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ARIPROS\Stochov_město\MŠ Stochov_navýšení_kapacit\DPS_2_MŠ_sociálky\"/>
    </mc:Choice>
  </mc:AlternateContent>
  <xr:revisionPtr revIDLastSave="0" documentId="13_ncr:1_{1DFC62C1-D0AA-4B36-9FDD-3AB0C4F28D6B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VORN!$I$36</definedName>
  </definedNames>
  <calcPr calcId="191029"/>
</workbook>
</file>

<file path=xl/calcChain.xml><?xml version="1.0" encoding="utf-8"?>
<calcChain xmlns="http://schemas.openxmlformats.org/spreadsheetml/2006/main">
  <c r="I22" i="3" l="1"/>
  <c r="C8" i="3"/>
  <c r="F10" i="3"/>
  <c r="I35" i="4"/>
  <c r="I36" i="4" s="1"/>
  <c r="I24" i="3" s="1"/>
  <c r="I26" i="4"/>
  <c r="I25" i="4"/>
  <c r="I24" i="4"/>
  <c r="I23" i="4"/>
  <c r="I22" i="4"/>
  <c r="I21" i="4"/>
  <c r="I27" i="4" s="1"/>
  <c r="I18" i="4"/>
  <c r="F29" i="4" s="1"/>
  <c r="I17" i="4"/>
  <c r="F16" i="3" s="1"/>
  <c r="F22" i="3" s="1"/>
  <c r="I16" i="4"/>
  <c r="I15" i="4"/>
  <c r="I10" i="4"/>
  <c r="F10" i="4"/>
  <c r="C10" i="4"/>
  <c r="F8" i="4"/>
  <c r="C8" i="4"/>
  <c r="F6" i="4"/>
  <c r="C6" i="4"/>
  <c r="F4" i="4"/>
  <c r="C4" i="4"/>
  <c r="F2" i="4"/>
  <c r="C2" i="4"/>
  <c r="F15" i="3"/>
  <c r="F14" i="3"/>
  <c r="F6" i="3"/>
  <c r="C6" i="3"/>
  <c r="F4" i="3"/>
  <c r="C4" i="3"/>
  <c r="F2" i="3"/>
  <c r="C2" i="3"/>
  <c r="C8" i="2"/>
  <c r="G6" i="2"/>
  <c r="C6" i="2"/>
  <c r="G4" i="2"/>
  <c r="C4" i="2"/>
  <c r="G2" i="2"/>
  <c r="C2" i="2"/>
  <c r="BW284" i="1"/>
  <c r="BJ284" i="1"/>
  <c r="BD284" i="1"/>
  <c r="AP284" i="1"/>
  <c r="AX284" i="1" s="1"/>
  <c r="AO284" i="1"/>
  <c r="BH284" i="1" s="1"/>
  <c r="AF284" i="1" s="1"/>
  <c r="AK284" i="1"/>
  <c r="AJ284" i="1"/>
  <c r="AH284" i="1"/>
  <c r="AE284" i="1"/>
  <c r="AD284" i="1"/>
  <c r="AC284" i="1"/>
  <c r="AB284" i="1"/>
  <c r="Z284" i="1"/>
  <c r="P284" i="1"/>
  <c r="BF284" i="1" s="1"/>
  <c r="L284" i="1"/>
  <c r="K284" i="1"/>
  <c r="BW283" i="1"/>
  <c r="BJ283" i="1"/>
  <c r="Z283" i="1" s="1"/>
  <c r="BD283" i="1"/>
  <c r="AP283" i="1"/>
  <c r="BI283" i="1" s="1"/>
  <c r="AO283" i="1"/>
  <c r="BH283" i="1" s="1"/>
  <c r="AK283" i="1"/>
  <c r="AJ283" i="1"/>
  <c r="AH283" i="1"/>
  <c r="AG283" i="1"/>
  <c r="AF283" i="1"/>
  <c r="AE283" i="1"/>
  <c r="AD283" i="1"/>
  <c r="AC283" i="1"/>
  <c r="AB283" i="1"/>
  <c r="P283" i="1"/>
  <c r="BF283" i="1" s="1"/>
  <c r="L283" i="1"/>
  <c r="AL283" i="1" s="1"/>
  <c r="BW281" i="1"/>
  <c r="BJ281" i="1"/>
  <c r="BD281" i="1"/>
  <c r="AP281" i="1"/>
  <c r="AX281" i="1" s="1"/>
  <c r="AO281" i="1"/>
  <c r="BH281" i="1" s="1"/>
  <c r="AB281" i="1" s="1"/>
  <c r="AK281" i="1"/>
  <c r="AJ281" i="1"/>
  <c r="AH281" i="1"/>
  <c r="AG281" i="1"/>
  <c r="AF281" i="1"/>
  <c r="AE281" i="1"/>
  <c r="AD281" i="1"/>
  <c r="Z281" i="1"/>
  <c r="P281" i="1"/>
  <c r="BF281" i="1" s="1"/>
  <c r="L281" i="1"/>
  <c r="AL281" i="1" s="1"/>
  <c r="BW279" i="1"/>
  <c r="BJ279" i="1"/>
  <c r="BD279" i="1"/>
  <c r="AP279" i="1"/>
  <c r="BI279" i="1" s="1"/>
  <c r="AG279" i="1" s="1"/>
  <c r="AO279" i="1"/>
  <c r="BH279" i="1" s="1"/>
  <c r="AF279" i="1" s="1"/>
  <c r="AK279" i="1"/>
  <c r="AJ279" i="1"/>
  <c r="AH279" i="1"/>
  <c r="AE279" i="1"/>
  <c r="AD279" i="1"/>
  <c r="AC279" i="1"/>
  <c r="AB279" i="1"/>
  <c r="Z279" i="1"/>
  <c r="P279" i="1"/>
  <c r="BF279" i="1" s="1"/>
  <c r="L279" i="1"/>
  <c r="AL279" i="1" s="1"/>
  <c r="K279" i="1"/>
  <c r="BW277" i="1"/>
  <c r="BJ277" i="1"/>
  <c r="BD277" i="1"/>
  <c r="AP277" i="1"/>
  <c r="BI277" i="1" s="1"/>
  <c r="AG277" i="1" s="1"/>
  <c r="AO277" i="1"/>
  <c r="BH277" i="1" s="1"/>
  <c r="AF277" i="1" s="1"/>
  <c r="AK277" i="1"/>
  <c r="AJ277" i="1"/>
  <c r="AH277" i="1"/>
  <c r="AE277" i="1"/>
  <c r="AD277" i="1"/>
  <c r="AC277" i="1"/>
  <c r="AB277" i="1"/>
  <c r="Z277" i="1"/>
  <c r="P277" i="1"/>
  <c r="BF277" i="1" s="1"/>
  <c r="L277" i="1"/>
  <c r="AL277" i="1" s="1"/>
  <c r="BW276" i="1"/>
  <c r="BJ276" i="1"/>
  <c r="BD276" i="1"/>
  <c r="AP276" i="1"/>
  <c r="BI276" i="1" s="1"/>
  <c r="AG276" i="1" s="1"/>
  <c r="AO276" i="1"/>
  <c r="AK276" i="1"/>
  <c r="AJ276" i="1"/>
  <c r="AH276" i="1"/>
  <c r="AE276" i="1"/>
  <c r="AD276" i="1"/>
  <c r="AC276" i="1"/>
  <c r="AB276" i="1"/>
  <c r="Z276" i="1"/>
  <c r="P276" i="1"/>
  <c r="BF276" i="1" s="1"/>
  <c r="L276" i="1"/>
  <c r="AL276" i="1" s="1"/>
  <c r="BW274" i="1"/>
  <c r="BJ274" i="1"/>
  <c r="BD274" i="1"/>
  <c r="AP274" i="1"/>
  <c r="BI274" i="1" s="1"/>
  <c r="AG274" i="1" s="1"/>
  <c r="AO274" i="1"/>
  <c r="AK274" i="1"/>
  <c r="AJ274" i="1"/>
  <c r="AH274" i="1"/>
  <c r="AE274" i="1"/>
  <c r="AD274" i="1"/>
  <c r="AC274" i="1"/>
  <c r="AB274" i="1"/>
  <c r="Z274" i="1"/>
  <c r="P274" i="1"/>
  <c r="BF274" i="1" s="1"/>
  <c r="L274" i="1"/>
  <c r="BW273" i="1"/>
  <c r="BJ273" i="1"/>
  <c r="BD273" i="1"/>
  <c r="AP273" i="1"/>
  <c r="BI273" i="1" s="1"/>
  <c r="AG273" i="1" s="1"/>
  <c r="AO273" i="1"/>
  <c r="BH273" i="1" s="1"/>
  <c r="AF273" i="1" s="1"/>
  <c r="AK273" i="1"/>
  <c r="AJ273" i="1"/>
  <c r="AH273" i="1"/>
  <c r="AE273" i="1"/>
  <c r="AD273" i="1"/>
  <c r="AC273" i="1"/>
  <c r="AB273" i="1"/>
  <c r="Z273" i="1"/>
  <c r="P273" i="1"/>
  <c r="BF273" i="1" s="1"/>
  <c r="L273" i="1"/>
  <c r="AL273" i="1" s="1"/>
  <c r="J273" i="1"/>
  <c r="BW272" i="1"/>
  <c r="BJ272" i="1"/>
  <c r="BD272" i="1"/>
  <c r="AP272" i="1"/>
  <c r="BI272" i="1" s="1"/>
  <c r="AG272" i="1" s="1"/>
  <c r="AO272" i="1"/>
  <c r="AK272" i="1"/>
  <c r="AJ272" i="1"/>
  <c r="AH272" i="1"/>
  <c r="AE272" i="1"/>
  <c r="AD272" i="1"/>
  <c r="AC272" i="1"/>
  <c r="AB272" i="1"/>
  <c r="Z272" i="1"/>
  <c r="P272" i="1"/>
  <c r="BF272" i="1" s="1"/>
  <c r="L272" i="1"/>
  <c r="AL272" i="1" s="1"/>
  <c r="BW271" i="1"/>
  <c r="BJ271" i="1"/>
  <c r="BD271" i="1"/>
  <c r="AP271" i="1"/>
  <c r="BI271" i="1" s="1"/>
  <c r="AG271" i="1" s="1"/>
  <c r="AO271" i="1"/>
  <c r="AK271" i="1"/>
  <c r="AJ271" i="1"/>
  <c r="AH271" i="1"/>
  <c r="AE271" i="1"/>
  <c r="AD271" i="1"/>
  <c r="AC271" i="1"/>
  <c r="AB271" i="1"/>
  <c r="Z271" i="1"/>
  <c r="P271" i="1"/>
  <c r="L271" i="1"/>
  <c r="BW269" i="1"/>
  <c r="BJ269" i="1"/>
  <c r="Z269" i="1" s="1"/>
  <c r="BD269" i="1"/>
  <c r="AP269" i="1"/>
  <c r="BI269" i="1" s="1"/>
  <c r="AO269" i="1"/>
  <c r="BH269" i="1" s="1"/>
  <c r="AK269" i="1"/>
  <c r="AT268" i="1" s="1"/>
  <c r="AJ269" i="1"/>
  <c r="AS268" i="1" s="1"/>
  <c r="AH269" i="1"/>
  <c r="AG269" i="1"/>
  <c r="AF269" i="1"/>
  <c r="AE269" i="1"/>
  <c r="AD269" i="1"/>
  <c r="AC269" i="1"/>
  <c r="AB269" i="1"/>
  <c r="P269" i="1"/>
  <c r="BF269" i="1" s="1"/>
  <c r="L269" i="1"/>
  <c r="L268" i="1" s="1"/>
  <c r="F25" i="2" s="1"/>
  <c r="I25" i="2" s="1"/>
  <c r="BW266" i="1"/>
  <c r="BJ266" i="1"/>
  <c r="Z266" i="1" s="1"/>
  <c r="BD266" i="1"/>
  <c r="AP266" i="1"/>
  <c r="AO266" i="1"/>
  <c r="J266" i="1" s="1"/>
  <c r="AK266" i="1"/>
  <c r="AJ266" i="1"/>
  <c r="AH266" i="1"/>
  <c r="AG266" i="1"/>
  <c r="AF266" i="1"/>
  <c r="AE266" i="1"/>
  <c r="AD266" i="1"/>
  <c r="AC266" i="1"/>
  <c r="AB266" i="1"/>
  <c r="P266" i="1"/>
  <c r="BF266" i="1" s="1"/>
  <c r="L266" i="1"/>
  <c r="BW265" i="1"/>
  <c r="BJ265" i="1"/>
  <c r="Z265" i="1" s="1"/>
  <c r="BD265" i="1"/>
  <c r="AP265" i="1"/>
  <c r="AX265" i="1" s="1"/>
  <c r="AO265" i="1"/>
  <c r="BH265" i="1" s="1"/>
  <c r="AK265" i="1"/>
  <c r="AJ265" i="1"/>
  <c r="AH265" i="1"/>
  <c r="AG265" i="1"/>
  <c r="AF265" i="1"/>
  <c r="AE265" i="1"/>
  <c r="AD265" i="1"/>
  <c r="AC265" i="1"/>
  <c r="AB265" i="1"/>
  <c r="P265" i="1"/>
  <c r="BF265" i="1" s="1"/>
  <c r="L265" i="1"/>
  <c r="BW264" i="1"/>
  <c r="BJ264" i="1"/>
  <c r="Z264" i="1" s="1"/>
  <c r="BD264" i="1"/>
  <c r="AP264" i="1"/>
  <c r="BI264" i="1" s="1"/>
  <c r="AO264" i="1"/>
  <c r="BH264" i="1" s="1"/>
  <c r="AK264" i="1"/>
  <c r="AJ264" i="1"/>
  <c r="AH264" i="1"/>
  <c r="AG264" i="1"/>
  <c r="AF264" i="1"/>
  <c r="AE264" i="1"/>
  <c r="AD264" i="1"/>
  <c r="AC264" i="1"/>
  <c r="AB264" i="1"/>
  <c r="P264" i="1"/>
  <c r="BF264" i="1" s="1"/>
  <c r="L264" i="1"/>
  <c r="AL264" i="1" s="1"/>
  <c r="BW263" i="1"/>
  <c r="BJ263" i="1"/>
  <c r="Z263" i="1" s="1"/>
  <c r="BD263" i="1"/>
  <c r="AP263" i="1"/>
  <c r="BI263" i="1" s="1"/>
  <c r="AO263" i="1"/>
  <c r="BH263" i="1" s="1"/>
  <c r="AK263" i="1"/>
  <c r="AJ263" i="1"/>
  <c r="AH263" i="1"/>
  <c r="AG263" i="1"/>
  <c r="AF263" i="1"/>
  <c r="AE263" i="1"/>
  <c r="AD263" i="1"/>
  <c r="AC263" i="1"/>
  <c r="AB263" i="1"/>
  <c r="P263" i="1"/>
  <c r="BF263" i="1" s="1"/>
  <c r="L263" i="1"/>
  <c r="AL263" i="1" s="1"/>
  <c r="BW261" i="1"/>
  <c r="BJ261" i="1"/>
  <c r="Z261" i="1" s="1"/>
  <c r="BD261" i="1"/>
  <c r="AP261" i="1"/>
  <c r="BI261" i="1" s="1"/>
  <c r="AO261" i="1"/>
  <c r="AW261" i="1" s="1"/>
  <c r="AK261" i="1"/>
  <c r="AJ261" i="1"/>
  <c r="AH261" i="1"/>
  <c r="AG261" i="1"/>
  <c r="AF261" i="1"/>
  <c r="AE261" i="1"/>
  <c r="AD261" i="1"/>
  <c r="AC261" i="1"/>
  <c r="AB261" i="1"/>
  <c r="P261" i="1"/>
  <c r="BF261" i="1" s="1"/>
  <c r="L261" i="1"/>
  <c r="BW259" i="1"/>
  <c r="BJ259" i="1"/>
  <c r="Z259" i="1" s="1"/>
  <c r="BD259" i="1"/>
  <c r="AP259" i="1"/>
  <c r="K259" i="1" s="1"/>
  <c r="AO259" i="1"/>
  <c r="BH259" i="1" s="1"/>
  <c r="AK259" i="1"/>
  <c r="AJ259" i="1"/>
  <c r="AH259" i="1"/>
  <c r="AG259" i="1"/>
  <c r="AF259" i="1"/>
  <c r="AE259" i="1"/>
  <c r="AD259" i="1"/>
  <c r="AC259" i="1"/>
  <c r="AB259" i="1"/>
  <c r="P259" i="1"/>
  <c r="BF259" i="1" s="1"/>
  <c r="L259" i="1"/>
  <c r="AL259" i="1" s="1"/>
  <c r="BW257" i="1"/>
  <c r="BJ257" i="1"/>
  <c r="BD257" i="1"/>
  <c r="AP257" i="1"/>
  <c r="BI257" i="1" s="1"/>
  <c r="AC257" i="1" s="1"/>
  <c r="AO257" i="1"/>
  <c r="BH257" i="1" s="1"/>
  <c r="AK257" i="1"/>
  <c r="AJ257" i="1"/>
  <c r="AH257" i="1"/>
  <c r="AG257" i="1"/>
  <c r="AF257" i="1"/>
  <c r="AE257" i="1"/>
  <c r="AD257" i="1"/>
  <c r="AB257" i="1"/>
  <c r="Z257" i="1"/>
  <c r="P257" i="1"/>
  <c r="BF257" i="1" s="1"/>
  <c r="L257" i="1"/>
  <c r="AL257" i="1" s="1"/>
  <c r="BW256" i="1"/>
  <c r="BJ256" i="1"/>
  <c r="BD256" i="1"/>
  <c r="AP256" i="1"/>
  <c r="BI256" i="1" s="1"/>
  <c r="AG256" i="1" s="1"/>
  <c r="AO256" i="1"/>
  <c r="BH256" i="1" s="1"/>
  <c r="AF256" i="1" s="1"/>
  <c r="AK256" i="1"/>
  <c r="AJ256" i="1"/>
  <c r="AH256" i="1"/>
  <c r="AE256" i="1"/>
  <c r="AD256" i="1"/>
  <c r="AC256" i="1"/>
  <c r="AB256" i="1"/>
  <c r="Z256" i="1"/>
  <c r="P256" i="1"/>
  <c r="BF256" i="1" s="1"/>
  <c r="L256" i="1"/>
  <c r="AL256" i="1" s="1"/>
  <c r="BW255" i="1"/>
  <c r="BJ255" i="1"/>
  <c r="BD255" i="1"/>
  <c r="AP255" i="1"/>
  <c r="AO255" i="1"/>
  <c r="J255" i="1" s="1"/>
  <c r="AK255" i="1"/>
  <c r="AJ255" i="1"/>
  <c r="AH255" i="1"/>
  <c r="AG255" i="1"/>
  <c r="AF255" i="1"/>
  <c r="AE255" i="1"/>
  <c r="AD255" i="1"/>
  <c r="Z255" i="1"/>
  <c r="P255" i="1"/>
  <c r="BF255" i="1" s="1"/>
  <c r="L255" i="1"/>
  <c r="BW253" i="1"/>
  <c r="BJ253" i="1"/>
  <c r="BD253" i="1"/>
  <c r="AP253" i="1"/>
  <c r="AX253" i="1" s="1"/>
  <c r="AO253" i="1"/>
  <c r="AK253" i="1"/>
  <c r="AJ253" i="1"/>
  <c r="AH253" i="1"/>
  <c r="AG253" i="1"/>
  <c r="AF253" i="1"/>
  <c r="AE253" i="1"/>
  <c r="AD253" i="1"/>
  <c r="Z253" i="1"/>
  <c r="P253" i="1"/>
  <c r="BF253" i="1" s="1"/>
  <c r="L253" i="1"/>
  <c r="BW251" i="1"/>
  <c r="BJ251" i="1"/>
  <c r="BD251" i="1"/>
  <c r="AP251" i="1"/>
  <c r="BI251" i="1" s="1"/>
  <c r="AC251" i="1" s="1"/>
  <c r="AO251" i="1"/>
  <c r="BH251" i="1" s="1"/>
  <c r="AK251" i="1"/>
  <c r="AJ251" i="1"/>
  <c r="AH251" i="1"/>
  <c r="AG251" i="1"/>
  <c r="AF251" i="1"/>
  <c r="AE251" i="1"/>
  <c r="AD251" i="1"/>
  <c r="AB251" i="1"/>
  <c r="Z251" i="1"/>
  <c r="P251" i="1"/>
  <c r="BF251" i="1" s="1"/>
  <c r="L251" i="1"/>
  <c r="AL251" i="1" s="1"/>
  <c r="BW250" i="1"/>
  <c r="BJ250" i="1"/>
  <c r="BD250" i="1"/>
  <c r="AP250" i="1"/>
  <c r="BI250" i="1" s="1"/>
  <c r="AC250" i="1" s="1"/>
  <c r="AO250" i="1"/>
  <c r="AW250" i="1" s="1"/>
  <c r="AK250" i="1"/>
  <c r="AJ250" i="1"/>
  <c r="AH250" i="1"/>
  <c r="AG250" i="1"/>
  <c r="AF250" i="1"/>
  <c r="AE250" i="1"/>
  <c r="AD250" i="1"/>
  <c r="Z250" i="1"/>
  <c r="P250" i="1"/>
  <c r="BF250" i="1" s="1"/>
  <c r="L250" i="1"/>
  <c r="BW249" i="1"/>
  <c r="BJ249" i="1"/>
  <c r="BD249" i="1"/>
  <c r="AP249" i="1"/>
  <c r="BI249" i="1" s="1"/>
  <c r="AC249" i="1" s="1"/>
  <c r="AO249" i="1"/>
  <c r="AW249" i="1" s="1"/>
  <c r="AK249" i="1"/>
  <c r="AJ249" i="1"/>
  <c r="AH249" i="1"/>
  <c r="AG249" i="1"/>
  <c r="AF249" i="1"/>
  <c r="AE249" i="1"/>
  <c r="AD249" i="1"/>
  <c r="Z249" i="1"/>
  <c r="P249" i="1"/>
  <c r="BF249" i="1" s="1"/>
  <c r="L249" i="1"/>
  <c r="AL249" i="1" s="1"/>
  <c r="BW248" i="1"/>
  <c r="BJ248" i="1"/>
  <c r="BD248" i="1"/>
  <c r="AP248" i="1"/>
  <c r="K248" i="1" s="1"/>
  <c r="AO248" i="1"/>
  <c r="BH248" i="1" s="1"/>
  <c r="AB248" i="1" s="1"/>
  <c r="AK248" i="1"/>
  <c r="AJ248" i="1"/>
  <c r="AH248" i="1"/>
  <c r="AG248" i="1"/>
  <c r="AF248" i="1"/>
  <c r="AE248" i="1"/>
  <c r="AD248" i="1"/>
  <c r="Z248" i="1"/>
  <c r="P248" i="1"/>
  <c r="BF248" i="1" s="1"/>
  <c r="L248" i="1"/>
  <c r="BW247" i="1"/>
  <c r="BJ247" i="1"/>
  <c r="BD247" i="1"/>
  <c r="AP247" i="1"/>
  <c r="AO247" i="1"/>
  <c r="BH247" i="1" s="1"/>
  <c r="AK247" i="1"/>
  <c r="AJ247" i="1"/>
  <c r="AH247" i="1"/>
  <c r="AG247" i="1"/>
  <c r="AF247" i="1"/>
  <c r="AE247" i="1"/>
  <c r="AD247" i="1"/>
  <c r="AB247" i="1"/>
  <c r="Z247" i="1"/>
  <c r="P247" i="1"/>
  <c r="BF247" i="1" s="1"/>
  <c r="L247" i="1"/>
  <c r="BW246" i="1"/>
  <c r="BJ246" i="1"/>
  <c r="BD246" i="1"/>
  <c r="AP246" i="1"/>
  <c r="BI246" i="1" s="1"/>
  <c r="AC246" i="1" s="1"/>
  <c r="AO246" i="1"/>
  <c r="BH246" i="1" s="1"/>
  <c r="AK246" i="1"/>
  <c r="AJ246" i="1"/>
  <c r="AH246" i="1"/>
  <c r="AG246" i="1"/>
  <c r="AF246" i="1"/>
  <c r="AE246" i="1"/>
  <c r="AD246" i="1"/>
  <c r="AB246" i="1"/>
  <c r="Z246" i="1"/>
  <c r="P246" i="1"/>
  <c r="BF246" i="1" s="1"/>
  <c r="L246" i="1"/>
  <c r="AL246" i="1" s="1"/>
  <c r="BW245" i="1"/>
  <c r="BJ245" i="1"/>
  <c r="BD245" i="1"/>
  <c r="AP245" i="1"/>
  <c r="BI245" i="1" s="1"/>
  <c r="AC245" i="1" s="1"/>
  <c r="AO245" i="1"/>
  <c r="J245" i="1" s="1"/>
  <c r="AK245" i="1"/>
  <c r="AJ245" i="1"/>
  <c r="AH245" i="1"/>
  <c r="AG245" i="1"/>
  <c r="AF245" i="1"/>
  <c r="AE245" i="1"/>
  <c r="AD245" i="1"/>
  <c r="Z245" i="1"/>
  <c r="P245" i="1"/>
  <c r="BF245" i="1" s="1"/>
  <c r="L245" i="1"/>
  <c r="BW244" i="1"/>
  <c r="BJ244" i="1"/>
  <c r="BD244" i="1"/>
  <c r="AP244" i="1"/>
  <c r="AX244" i="1" s="1"/>
  <c r="AO244" i="1"/>
  <c r="BH244" i="1" s="1"/>
  <c r="AB244" i="1" s="1"/>
  <c r="AK244" i="1"/>
  <c r="AJ244" i="1"/>
  <c r="AH244" i="1"/>
  <c r="AG244" i="1"/>
  <c r="AF244" i="1"/>
  <c r="AE244" i="1"/>
  <c r="AD244" i="1"/>
  <c r="Z244" i="1"/>
  <c r="P244" i="1"/>
  <c r="L244" i="1"/>
  <c r="BW241" i="1"/>
  <c r="BJ241" i="1"/>
  <c r="BD241" i="1"/>
  <c r="AP241" i="1"/>
  <c r="BI241" i="1" s="1"/>
  <c r="AC241" i="1" s="1"/>
  <c r="AO241" i="1"/>
  <c r="BH241" i="1" s="1"/>
  <c r="AK241" i="1"/>
  <c r="AJ241" i="1"/>
  <c r="AH241" i="1"/>
  <c r="AG241" i="1"/>
  <c r="AF241" i="1"/>
  <c r="AE241" i="1"/>
  <c r="AD241" i="1"/>
  <c r="AB241" i="1"/>
  <c r="Z241" i="1"/>
  <c r="P241" i="1"/>
  <c r="BF241" i="1" s="1"/>
  <c r="L241" i="1"/>
  <c r="AL241" i="1" s="1"/>
  <c r="BW239" i="1"/>
  <c r="BJ239" i="1"/>
  <c r="BD239" i="1"/>
  <c r="AP239" i="1"/>
  <c r="AX239" i="1" s="1"/>
  <c r="AO239" i="1"/>
  <c r="J239" i="1" s="1"/>
  <c r="AK239" i="1"/>
  <c r="AJ239" i="1"/>
  <c r="AH239" i="1"/>
  <c r="AG239" i="1"/>
  <c r="AF239" i="1"/>
  <c r="AE239" i="1"/>
  <c r="AD239" i="1"/>
  <c r="Z239" i="1"/>
  <c r="P239" i="1"/>
  <c r="BF239" i="1" s="1"/>
  <c r="L239" i="1"/>
  <c r="K239" i="1"/>
  <c r="BW237" i="1"/>
  <c r="BJ237" i="1"/>
  <c r="BD237" i="1"/>
  <c r="AP237" i="1"/>
  <c r="AO237" i="1"/>
  <c r="AK237" i="1"/>
  <c r="AJ237" i="1"/>
  <c r="AH237" i="1"/>
  <c r="AG237" i="1"/>
  <c r="AF237" i="1"/>
  <c r="AE237" i="1"/>
  <c r="AD237" i="1"/>
  <c r="Z237" i="1"/>
  <c r="P237" i="1"/>
  <c r="BF237" i="1" s="1"/>
  <c r="L237" i="1"/>
  <c r="BW236" i="1"/>
  <c r="BJ236" i="1"/>
  <c r="BD236" i="1"/>
  <c r="AP236" i="1"/>
  <c r="BI236" i="1" s="1"/>
  <c r="AG236" i="1" s="1"/>
  <c r="AO236" i="1"/>
  <c r="BH236" i="1" s="1"/>
  <c r="AF236" i="1" s="1"/>
  <c r="AK236" i="1"/>
  <c r="AJ236" i="1"/>
  <c r="AH236" i="1"/>
  <c r="AE236" i="1"/>
  <c r="AD236" i="1"/>
  <c r="AC236" i="1"/>
  <c r="AB236" i="1"/>
  <c r="Z236" i="1"/>
  <c r="P236" i="1"/>
  <c r="BF236" i="1" s="1"/>
  <c r="L236" i="1"/>
  <c r="AL236" i="1" s="1"/>
  <c r="BW235" i="1"/>
  <c r="BJ235" i="1"/>
  <c r="BD235" i="1"/>
  <c r="AP235" i="1"/>
  <c r="BI235" i="1" s="1"/>
  <c r="AG235" i="1" s="1"/>
  <c r="AO235" i="1"/>
  <c r="AW235" i="1" s="1"/>
  <c r="AK235" i="1"/>
  <c r="AJ235" i="1"/>
  <c r="AH235" i="1"/>
  <c r="AE235" i="1"/>
  <c r="AD235" i="1"/>
  <c r="AC235" i="1"/>
  <c r="AB235" i="1"/>
  <c r="Z235" i="1"/>
  <c r="P235" i="1"/>
  <c r="BF235" i="1" s="1"/>
  <c r="L235" i="1"/>
  <c r="AL235" i="1" s="1"/>
  <c r="BW234" i="1"/>
  <c r="BJ234" i="1"/>
  <c r="BD234" i="1"/>
  <c r="AP234" i="1"/>
  <c r="BI234" i="1" s="1"/>
  <c r="AC234" i="1" s="1"/>
  <c r="AO234" i="1"/>
  <c r="AK234" i="1"/>
  <c r="AJ234" i="1"/>
  <c r="AH234" i="1"/>
  <c r="AG234" i="1"/>
  <c r="AF234" i="1"/>
  <c r="AE234" i="1"/>
  <c r="AD234" i="1"/>
  <c r="Z234" i="1"/>
  <c r="P234" i="1"/>
  <c r="L234" i="1"/>
  <c r="M234" i="1" s="1"/>
  <c r="BW231" i="1"/>
  <c r="BJ231" i="1"/>
  <c r="BD231" i="1"/>
  <c r="AP231" i="1"/>
  <c r="BI231" i="1" s="1"/>
  <c r="AE231" i="1" s="1"/>
  <c r="AO231" i="1"/>
  <c r="BH231" i="1" s="1"/>
  <c r="AD231" i="1" s="1"/>
  <c r="AK231" i="1"/>
  <c r="AJ231" i="1"/>
  <c r="AH231" i="1"/>
  <c r="AG231" i="1"/>
  <c r="AF231" i="1"/>
  <c r="AC231" i="1"/>
  <c r="AB231" i="1"/>
  <c r="Z231" i="1"/>
  <c r="P231" i="1"/>
  <c r="BF231" i="1" s="1"/>
  <c r="L231" i="1"/>
  <c r="AL231" i="1" s="1"/>
  <c r="BW229" i="1"/>
  <c r="BJ229" i="1"/>
  <c r="BD229" i="1"/>
  <c r="AP229" i="1"/>
  <c r="BI229" i="1" s="1"/>
  <c r="AE229" i="1" s="1"/>
  <c r="AO229" i="1"/>
  <c r="AW229" i="1" s="1"/>
  <c r="AK229" i="1"/>
  <c r="AJ229" i="1"/>
  <c r="AH229" i="1"/>
  <c r="AG229" i="1"/>
  <c r="AF229" i="1"/>
  <c r="AC229" i="1"/>
  <c r="AB229" i="1"/>
  <c r="Z229" i="1"/>
  <c r="P229" i="1"/>
  <c r="BF229" i="1" s="1"/>
  <c r="L229" i="1"/>
  <c r="AL229" i="1" s="1"/>
  <c r="BW228" i="1"/>
  <c r="BJ228" i="1"/>
  <c r="BD228" i="1"/>
  <c r="AP228" i="1"/>
  <c r="BI228" i="1" s="1"/>
  <c r="AE228" i="1" s="1"/>
  <c r="AO228" i="1"/>
  <c r="AW228" i="1" s="1"/>
  <c r="AK228" i="1"/>
  <c r="AJ228" i="1"/>
  <c r="AH228" i="1"/>
  <c r="AG228" i="1"/>
  <c r="AF228" i="1"/>
  <c r="AC228" i="1"/>
  <c r="AB228" i="1"/>
  <c r="Z228" i="1"/>
  <c r="P228" i="1"/>
  <c r="BF228" i="1" s="1"/>
  <c r="L228" i="1"/>
  <c r="BW226" i="1"/>
  <c r="BJ226" i="1"/>
  <c r="BD226" i="1"/>
  <c r="AP226" i="1"/>
  <c r="K226" i="1" s="1"/>
  <c r="AO226" i="1"/>
  <c r="BH226" i="1" s="1"/>
  <c r="AD226" i="1" s="1"/>
  <c r="AK226" i="1"/>
  <c r="AJ226" i="1"/>
  <c r="AH226" i="1"/>
  <c r="AG226" i="1"/>
  <c r="AF226" i="1"/>
  <c r="AC226" i="1"/>
  <c r="AB226" i="1"/>
  <c r="Z226" i="1"/>
  <c r="P226" i="1"/>
  <c r="L226" i="1"/>
  <c r="BW223" i="1"/>
  <c r="BJ223" i="1"/>
  <c r="BD223" i="1"/>
  <c r="AP223" i="1"/>
  <c r="BI223" i="1" s="1"/>
  <c r="AE223" i="1" s="1"/>
  <c r="AO223" i="1"/>
  <c r="AW223" i="1" s="1"/>
  <c r="AK223" i="1"/>
  <c r="AJ223" i="1"/>
  <c r="AH223" i="1"/>
  <c r="AG223" i="1"/>
  <c r="AF223" i="1"/>
  <c r="AC223" i="1"/>
  <c r="AB223" i="1"/>
  <c r="Z223" i="1"/>
  <c r="P223" i="1"/>
  <c r="BF223" i="1" s="1"/>
  <c r="L223" i="1"/>
  <c r="AL223" i="1" s="1"/>
  <c r="BW222" i="1"/>
  <c r="BJ222" i="1"/>
  <c r="BD222" i="1"/>
  <c r="AP222" i="1"/>
  <c r="BI222" i="1" s="1"/>
  <c r="AE222" i="1" s="1"/>
  <c r="AO222" i="1"/>
  <c r="AK222" i="1"/>
  <c r="AJ222" i="1"/>
  <c r="AH222" i="1"/>
  <c r="AG222" i="1"/>
  <c r="AF222" i="1"/>
  <c r="AC222" i="1"/>
  <c r="AB222" i="1"/>
  <c r="Z222" i="1"/>
  <c r="P222" i="1"/>
  <c r="P221" i="1" s="1"/>
  <c r="G21" i="2" s="1"/>
  <c r="L222" i="1"/>
  <c r="BW220" i="1"/>
  <c r="BJ220" i="1"/>
  <c r="Z220" i="1" s="1"/>
  <c r="BD220" i="1"/>
  <c r="AP220" i="1"/>
  <c r="K220" i="1" s="1"/>
  <c r="AO220" i="1"/>
  <c r="BH220" i="1" s="1"/>
  <c r="AK220" i="1"/>
  <c r="AJ220" i="1"/>
  <c r="AH220" i="1"/>
  <c r="AG220" i="1"/>
  <c r="AF220" i="1"/>
  <c r="AE220" i="1"/>
  <c r="AD220" i="1"/>
  <c r="AC220" i="1"/>
  <c r="AB220" i="1"/>
  <c r="P220" i="1"/>
  <c r="BF220" i="1" s="1"/>
  <c r="L220" i="1"/>
  <c r="AL220" i="1" s="1"/>
  <c r="BW218" i="1"/>
  <c r="BJ218" i="1"/>
  <c r="BD218" i="1"/>
  <c r="AP218" i="1"/>
  <c r="BI218" i="1" s="1"/>
  <c r="AE218" i="1" s="1"/>
  <c r="AO218" i="1"/>
  <c r="BH218" i="1" s="1"/>
  <c r="AD218" i="1" s="1"/>
  <c r="AK218" i="1"/>
  <c r="AJ218" i="1"/>
  <c r="AH218" i="1"/>
  <c r="AG218" i="1"/>
  <c r="AF218" i="1"/>
  <c r="AC218" i="1"/>
  <c r="AB218" i="1"/>
  <c r="Z218" i="1"/>
  <c r="P218" i="1"/>
  <c r="BF218" i="1" s="1"/>
  <c r="L218" i="1"/>
  <c r="BW216" i="1"/>
  <c r="BJ216" i="1"/>
  <c r="BD216" i="1"/>
  <c r="AP216" i="1"/>
  <c r="BI216" i="1" s="1"/>
  <c r="AE216" i="1" s="1"/>
  <c r="AO216" i="1"/>
  <c r="BH216" i="1" s="1"/>
  <c r="AD216" i="1" s="1"/>
  <c r="AK216" i="1"/>
  <c r="AJ216" i="1"/>
  <c r="AH216" i="1"/>
  <c r="AG216" i="1"/>
  <c r="AF216" i="1"/>
  <c r="AC216" i="1"/>
  <c r="AB216" i="1"/>
  <c r="Z216" i="1"/>
  <c r="P216" i="1"/>
  <c r="BF216" i="1" s="1"/>
  <c r="L216" i="1"/>
  <c r="BW214" i="1"/>
  <c r="BJ214" i="1"/>
  <c r="BD214" i="1"/>
  <c r="AP214" i="1"/>
  <c r="BI214" i="1" s="1"/>
  <c r="AE214" i="1" s="1"/>
  <c r="AO214" i="1"/>
  <c r="J214" i="1" s="1"/>
  <c r="AK214" i="1"/>
  <c r="AJ214" i="1"/>
  <c r="AH214" i="1"/>
  <c r="AG214" i="1"/>
  <c r="AF214" i="1"/>
  <c r="AC214" i="1"/>
  <c r="AB214" i="1"/>
  <c r="Z214" i="1"/>
  <c r="P214" i="1"/>
  <c r="BF214" i="1" s="1"/>
  <c r="L214" i="1"/>
  <c r="BW212" i="1"/>
  <c r="BJ212" i="1"/>
  <c r="BD212" i="1"/>
  <c r="AP212" i="1"/>
  <c r="AX212" i="1" s="1"/>
  <c r="AO212" i="1"/>
  <c r="BH212" i="1" s="1"/>
  <c r="AD212" i="1" s="1"/>
  <c r="AK212" i="1"/>
  <c r="AJ212" i="1"/>
  <c r="AH212" i="1"/>
  <c r="AG212" i="1"/>
  <c r="AF212" i="1"/>
  <c r="AC212" i="1"/>
  <c r="AB212" i="1"/>
  <c r="Z212" i="1"/>
  <c r="P212" i="1"/>
  <c r="BF212" i="1" s="1"/>
  <c r="L212" i="1"/>
  <c r="M212" i="1" s="1"/>
  <c r="BW211" i="1"/>
  <c r="BJ211" i="1"/>
  <c r="BD211" i="1"/>
  <c r="AP211" i="1"/>
  <c r="BI211" i="1" s="1"/>
  <c r="AE211" i="1" s="1"/>
  <c r="AO211" i="1"/>
  <c r="BH211" i="1" s="1"/>
  <c r="AD211" i="1" s="1"/>
  <c r="AK211" i="1"/>
  <c r="AJ211" i="1"/>
  <c r="AH211" i="1"/>
  <c r="AG211" i="1"/>
  <c r="AF211" i="1"/>
  <c r="AC211" i="1"/>
  <c r="AB211" i="1"/>
  <c r="Z211" i="1"/>
  <c r="P211" i="1"/>
  <c r="BF211" i="1" s="1"/>
  <c r="L211" i="1"/>
  <c r="AL211" i="1" s="1"/>
  <c r="BW209" i="1"/>
  <c r="BJ209" i="1"/>
  <c r="BD209" i="1"/>
  <c r="AP209" i="1"/>
  <c r="BI209" i="1" s="1"/>
  <c r="AE209" i="1" s="1"/>
  <c r="AO209" i="1"/>
  <c r="AK209" i="1"/>
  <c r="AJ209" i="1"/>
  <c r="AH209" i="1"/>
  <c r="AG209" i="1"/>
  <c r="AF209" i="1"/>
  <c r="AC209" i="1"/>
  <c r="AB209" i="1"/>
  <c r="Z209" i="1"/>
  <c r="P209" i="1"/>
  <c r="BF209" i="1" s="1"/>
  <c r="L209" i="1"/>
  <c r="AL209" i="1" s="1"/>
  <c r="J209" i="1"/>
  <c r="BW208" i="1"/>
  <c r="BJ208" i="1"/>
  <c r="BD208" i="1"/>
  <c r="AP208" i="1"/>
  <c r="BI208" i="1" s="1"/>
  <c r="AE208" i="1" s="1"/>
  <c r="AO208" i="1"/>
  <c r="AW208" i="1" s="1"/>
  <c r="AK208" i="1"/>
  <c r="AJ208" i="1"/>
  <c r="AH208" i="1"/>
  <c r="AG208" i="1"/>
  <c r="AF208" i="1"/>
  <c r="AC208" i="1"/>
  <c r="AB208" i="1"/>
  <c r="Z208" i="1"/>
  <c r="P208" i="1"/>
  <c r="BF208" i="1" s="1"/>
  <c r="L208" i="1"/>
  <c r="M208" i="1" s="1"/>
  <c r="BW207" i="1"/>
  <c r="BJ207" i="1"/>
  <c r="BD207" i="1"/>
  <c r="AP207" i="1"/>
  <c r="AO207" i="1"/>
  <c r="BH207" i="1" s="1"/>
  <c r="AD207" i="1" s="1"/>
  <c r="AK207" i="1"/>
  <c r="AJ207" i="1"/>
  <c r="AH207" i="1"/>
  <c r="AG207" i="1"/>
  <c r="AF207" i="1"/>
  <c r="AC207" i="1"/>
  <c r="AB207" i="1"/>
  <c r="Z207" i="1"/>
  <c r="P207" i="1"/>
  <c r="BF207" i="1" s="1"/>
  <c r="L207" i="1"/>
  <c r="AL207" i="1" s="1"/>
  <c r="BW205" i="1"/>
  <c r="BJ205" i="1"/>
  <c r="BD205" i="1"/>
  <c r="AP205" i="1"/>
  <c r="BI205" i="1" s="1"/>
  <c r="AE205" i="1" s="1"/>
  <c r="AO205" i="1"/>
  <c r="BH205" i="1" s="1"/>
  <c r="AD205" i="1" s="1"/>
  <c r="AK205" i="1"/>
  <c r="AJ205" i="1"/>
  <c r="AH205" i="1"/>
  <c r="AG205" i="1"/>
  <c r="AF205" i="1"/>
  <c r="AC205" i="1"/>
  <c r="AB205" i="1"/>
  <c r="Z205" i="1"/>
  <c r="P205" i="1"/>
  <c r="BF205" i="1" s="1"/>
  <c r="L205" i="1"/>
  <c r="AL205" i="1" s="1"/>
  <c r="BW204" i="1"/>
  <c r="BJ204" i="1"/>
  <c r="BD204" i="1"/>
  <c r="AP204" i="1"/>
  <c r="BI204" i="1" s="1"/>
  <c r="AE204" i="1" s="1"/>
  <c r="AO204" i="1"/>
  <c r="BH204" i="1" s="1"/>
  <c r="AD204" i="1" s="1"/>
  <c r="AK204" i="1"/>
  <c r="AJ204" i="1"/>
  <c r="AH204" i="1"/>
  <c r="AG204" i="1"/>
  <c r="AF204" i="1"/>
  <c r="AC204" i="1"/>
  <c r="AB204" i="1"/>
  <c r="Z204" i="1"/>
  <c r="P204" i="1"/>
  <c r="BF204" i="1" s="1"/>
  <c r="L204" i="1"/>
  <c r="AL204" i="1" s="1"/>
  <c r="BW202" i="1"/>
  <c r="BJ202" i="1"/>
  <c r="Z202" i="1" s="1"/>
  <c r="BD202" i="1"/>
  <c r="AP202" i="1"/>
  <c r="AO202" i="1"/>
  <c r="BH202" i="1" s="1"/>
  <c r="AK202" i="1"/>
  <c r="AJ202" i="1"/>
  <c r="AH202" i="1"/>
  <c r="AG202" i="1"/>
  <c r="AF202" i="1"/>
  <c r="AE202" i="1"/>
  <c r="AD202" i="1"/>
  <c r="AC202" i="1"/>
  <c r="AB202" i="1"/>
  <c r="P202" i="1"/>
  <c r="BF202" i="1" s="1"/>
  <c r="L202" i="1"/>
  <c r="AL202" i="1" s="1"/>
  <c r="BW201" i="1"/>
  <c r="BJ201" i="1"/>
  <c r="BD201" i="1"/>
  <c r="AP201" i="1"/>
  <c r="BI201" i="1" s="1"/>
  <c r="AE201" i="1" s="1"/>
  <c r="AO201" i="1"/>
  <c r="BH201" i="1" s="1"/>
  <c r="AD201" i="1" s="1"/>
  <c r="AK201" i="1"/>
  <c r="AJ201" i="1"/>
  <c r="AH201" i="1"/>
  <c r="AG201" i="1"/>
  <c r="AF201" i="1"/>
  <c r="AC201" i="1"/>
  <c r="AB201" i="1"/>
  <c r="Z201" i="1"/>
  <c r="P201" i="1"/>
  <c r="BF201" i="1" s="1"/>
  <c r="L201" i="1"/>
  <c r="M201" i="1" s="1"/>
  <c r="BW200" i="1"/>
  <c r="BJ200" i="1"/>
  <c r="BD200" i="1"/>
  <c r="AP200" i="1"/>
  <c r="BI200" i="1" s="1"/>
  <c r="AE200" i="1" s="1"/>
  <c r="AO200" i="1"/>
  <c r="BH200" i="1" s="1"/>
  <c r="AD200" i="1" s="1"/>
  <c r="AK200" i="1"/>
  <c r="AJ200" i="1"/>
  <c r="AH200" i="1"/>
  <c r="AG200" i="1"/>
  <c r="AF200" i="1"/>
  <c r="AC200" i="1"/>
  <c r="AB200" i="1"/>
  <c r="Z200" i="1"/>
  <c r="P200" i="1"/>
  <c r="BF200" i="1" s="1"/>
  <c r="L200" i="1"/>
  <c r="AL200" i="1" s="1"/>
  <c r="BW198" i="1"/>
  <c r="BJ198" i="1"/>
  <c r="BD198" i="1"/>
  <c r="AP198" i="1"/>
  <c r="AX198" i="1" s="1"/>
  <c r="AO198" i="1"/>
  <c r="AK198" i="1"/>
  <c r="AJ198" i="1"/>
  <c r="AH198" i="1"/>
  <c r="AG198" i="1"/>
  <c r="AF198" i="1"/>
  <c r="AC198" i="1"/>
  <c r="AB198" i="1"/>
  <c r="Z198" i="1"/>
  <c r="P198" i="1"/>
  <c r="BF198" i="1" s="1"/>
  <c r="L198" i="1"/>
  <c r="BW196" i="1"/>
  <c r="BJ196" i="1"/>
  <c r="BD196" i="1"/>
  <c r="AP196" i="1"/>
  <c r="AX196" i="1" s="1"/>
  <c r="AO196" i="1"/>
  <c r="BH196" i="1" s="1"/>
  <c r="AD196" i="1" s="1"/>
  <c r="AK196" i="1"/>
  <c r="AJ196" i="1"/>
  <c r="AH196" i="1"/>
  <c r="AG196" i="1"/>
  <c r="AF196" i="1"/>
  <c r="AC196" i="1"/>
  <c r="AB196" i="1"/>
  <c r="Z196" i="1"/>
  <c r="P196" i="1"/>
  <c r="BF196" i="1" s="1"/>
  <c r="L196" i="1"/>
  <c r="BW194" i="1"/>
  <c r="BJ194" i="1"/>
  <c r="BD194" i="1"/>
  <c r="AP194" i="1"/>
  <c r="BI194" i="1" s="1"/>
  <c r="AE194" i="1" s="1"/>
  <c r="AO194" i="1"/>
  <c r="BH194" i="1" s="1"/>
  <c r="AD194" i="1" s="1"/>
  <c r="AK194" i="1"/>
  <c r="AJ194" i="1"/>
  <c r="AH194" i="1"/>
  <c r="AG194" i="1"/>
  <c r="AF194" i="1"/>
  <c r="AC194" i="1"/>
  <c r="AB194" i="1"/>
  <c r="Z194" i="1"/>
  <c r="P194" i="1"/>
  <c r="BF194" i="1" s="1"/>
  <c r="L194" i="1"/>
  <c r="AL194" i="1" s="1"/>
  <c r="BW192" i="1"/>
  <c r="BJ192" i="1"/>
  <c r="BD192" i="1"/>
  <c r="AP192" i="1"/>
  <c r="BI192" i="1" s="1"/>
  <c r="AE192" i="1" s="1"/>
  <c r="AO192" i="1"/>
  <c r="AW192" i="1" s="1"/>
  <c r="AK192" i="1"/>
  <c r="AJ192" i="1"/>
  <c r="AH192" i="1"/>
  <c r="AG192" i="1"/>
  <c r="AF192" i="1"/>
  <c r="AC192" i="1"/>
  <c r="AB192" i="1"/>
  <c r="Z192" i="1"/>
  <c r="P192" i="1"/>
  <c r="BF192" i="1" s="1"/>
  <c r="L192" i="1"/>
  <c r="BW190" i="1"/>
  <c r="BJ190" i="1"/>
  <c r="BD190" i="1"/>
  <c r="AP190" i="1"/>
  <c r="BI190" i="1" s="1"/>
  <c r="AE190" i="1" s="1"/>
  <c r="AO190" i="1"/>
  <c r="AW190" i="1" s="1"/>
  <c r="AK190" i="1"/>
  <c r="AJ190" i="1"/>
  <c r="AH190" i="1"/>
  <c r="AG190" i="1"/>
  <c r="AF190" i="1"/>
  <c r="AC190" i="1"/>
  <c r="AB190" i="1"/>
  <c r="Z190" i="1"/>
  <c r="P190" i="1"/>
  <c r="BF190" i="1" s="1"/>
  <c r="L190" i="1"/>
  <c r="BW188" i="1"/>
  <c r="BJ188" i="1"/>
  <c r="BD188" i="1"/>
  <c r="AP188" i="1"/>
  <c r="AO188" i="1"/>
  <c r="BH188" i="1" s="1"/>
  <c r="AD188" i="1" s="1"/>
  <c r="AK188" i="1"/>
  <c r="AJ188" i="1"/>
  <c r="AH188" i="1"/>
  <c r="AG188" i="1"/>
  <c r="AF188" i="1"/>
  <c r="AC188" i="1"/>
  <c r="AB188" i="1"/>
  <c r="Z188" i="1"/>
  <c r="P188" i="1"/>
  <c r="BF188" i="1" s="1"/>
  <c r="L188" i="1"/>
  <c r="AL188" i="1" s="1"/>
  <c r="BW186" i="1"/>
  <c r="BJ186" i="1"/>
  <c r="BD186" i="1"/>
  <c r="AP186" i="1"/>
  <c r="BI186" i="1" s="1"/>
  <c r="AE186" i="1" s="1"/>
  <c r="AO186" i="1"/>
  <c r="BH186" i="1" s="1"/>
  <c r="AD186" i="1" s="1"/>
  <c r="AK186" i="1"/>
  <c r="AJ186" i="1"/>
  <c r="AH186" i="1"/>
  <c r="AG186" i="1"/>
  <c r="AF186" i="1"/>
  <c r="AC186" i="1"/>
  <c r="AB186" i="1"/>
  <c r="Z186" i="1"/>
  <c r="P186" i="1"/>
  <c r="BF186" i="1" s="1"/>
  <c r="L186" i="1"/>
  <c r="AL186" i="1" s="1"/>
  <c r="BW184" i="1"/>
  <c r="BJ184" i="1"/>
  <c r="BD184" i="1"/>
  <c r="AP184" i="1"/>
  <c r="BI184" i="1" s="1"/>
  <c r="AE184" i="1" s="1"/>
  <c r="AO184" i="1"/>
  <c r="BH184" i="1" s="1"/>
  <c r="AD184" i="1" s="1"/>
  <c r="AK184" i="1"/>
  <c r="AJ184" i="1"/>
  <c r="AH184" i="1"/>
  <c r="AG184" i="1"/>
  <c r="AF184" i="1"/>
  <c r="AC184" i="1"/>
  <c r="AB184" i="1"/>
  <c r="Z184" i="1"/>
  <c r="P184" i="1"/>
  <c r="L184" i="1"/>
  <c r="AL184" i="1" s="1"/>
  <c r="BW181" i="1"/>
  <c r="BJ181" i="1"/>
  <c r="BD181" i="1"/>
  <c r="AP181" i="1"/>
  <c r="BI181" i="1" s="1"/>
  <c r="AE181" i="1" s="1"/>
  <c r="AO181" i="1"/>
  <c r="BH181" i="1" s="1"/>
  <c r="AD181" i="1" s="1"/>
  <c r="AK181" i="1"/>
  <c r="AT180" i="1" s="1"/>
  <c r="AJ181" i="1"/>
  <c r="AS180" i="1" s="1"/>
  <c r="AH181" i="1"/>
  <c r="AG181" i="1"/>
  <c r="AF181" i="1"/>
  <c r="AC181" i="1"/>
  <c r="AB181" i="1"/>
  <c r="Z181" i="1"/>
  <c r="P181" i="1"/>
  <c r="L181" i="1"/>
  <c r="BW179" i="1"/>
  <c r="BJ179" i="1"/>
  <c r="BD179" i="1"/>
  <c r="AP179" i="1"/>
  <c r="BI179" i="1" s="1"/>
  <c r="AE179" i="1" s="1"/>
  <c r="AO179" i="1"/>
  <c r="AK179" i="1"/>
  <c r="AJ179" i="1"/>
  <c r="AH179" i="1"/>
  <c r="AG179" i="1"/>
  <c r="AF179" i="1"/>
  <c r="AC179" i="1"/>
  <c r="AB179" i="1"/>
  <c r="Z179" i="1"/>
  <c r="P179" i="1"/>
  <c r="BF179" i="1" s="1"/>
  <c r="L179" i="1"/>
  <c r="AL179" i="1" s="1"/>
  <c r="BW178" i="1"/>
  <c r="BJ178" i="1"/>
  <c r="BD178" i="1"/>
  <c r="AP178" i="1"/>
  <c r="BI178" i="1" s="1"/>
  <c r="AE178" i="1" s="1"/>
  <c r="AO178" i="1"/>
  <c r="AW178" i="1" s="1"/>
  <c r="AK178" i="1"/>
  <c r="AJ178" i="1"/>
  <c r="AH178" i="1"/>
  <c r="AG178" i="1"/>
  <c r="AF178" i="1"/>
  <c r="AC178" i="1"/>
  <c r="AB178" i="1"/>
  <c r="Z178" i="1"/>
  <c r="P178" i="1"/>
  <c r="BF178" i="1" s="1"/>
  <c r="L178" i="1"/>
  <c r="BW177" i="1"/>
  <c r="BJ177" i="1"/>
  <c r="BD177" i="1"/>
  <c r="AP177" i="1"/>
  <c r="AO177" i="1"/>
  <c r="BH177" i="1" s="1"/>
  <c r="AD177" i="1" s="1"/>
  <c r="AK177" i="1"/>
  <c r="AJ177" i="1"/>
  <c r="AH177" i="1"/>
  <c r="AG177" i="1"/>
  <c r="AF177" i="1"/>
  <c r="AC177" i="1"/>
  <c r="AB177" i="1"/>
  <c r="Z177" i="1"/>
  <c r="P177" i="1"/>
  <c r="BF177" i="1" s="1"/>
  <c r="L177" i="1"/>
  <c r="AL177" i="1" s="1"/>
  <c r="BW176" i="1"/>
  <c r="BJ176" i="1"/>
  <c r="BD176" i="1"/>
  <c r="AP176" i="1"/>
  <c r="BI176" i="1" s="1"/>
  <c r="AE176" i="1" s="1"/>
  <c r="AO176" i="1"/>
  <c r="BH176" i="1" s="1"/>
  <c r="AD176" i="1" s="1"/>
  <c r="AK176" i="1"/>
  <c r="AJ176" i="1"/>
  <c r="AH176" i="1"/>
  <c r="AG176" i="1"/>
  <c r="AF176" i="1"/>
  <c r="AC176" i="1"/>
  <c r="AB176" i="1"/>
  <c r="Z176" i="1"/>
  <c r="P176" i="1"/>
  <c r="BF176" i="1" s="1"/>
  <c r="L176" i="1"/>
  <c r="AL176" i="1" s="1"/>
  <c r="BW174" i="1"/>
  <c r="BJ174" i="1"/>
  <c r="BD174" i="1"/>
  <c r="AP174" i="1"/>
  <c r="BI174" i="1" s="1"/>
  <c r="AE174" i="1" s="1"/>
  <c r="AO174" i="1"/>
  <c r="BH174" i="1" s="1"/>
  <c r="AD174" i="1" s="1"/>
  <c r="AK174" i="1"/>
  <c r="AJ174" i="1"/>
  <c r="AH174" i="1"/>
  <c r="AG174" i="1"/>
  <c r="AF174" i="1"/>
  <c r="AC174" i="1"/>
  <c r="AB174" i="1"/>
  <c r="Z174" i="1"/>
  <c r="P174" i="1"/>
  <c r="BF174" i="1" s="1"/>
  <c r="L174" i="1"/>
  <c r="AL174" i="1" s="1"/>
  <c r="BW173" i="1"/>
  <c r="BJ173" i="1"/>
  <c r="BD173" i="1"/>
  <c r="AP173" i="1"/>
  <c r="AO173" i="1"/>
  <c r="BH173" i="1" s="1"/>
  <c r="AD173" i="1" s="1"/>
  <c r="AK173" i="1"/>
  <c r="AJ173" i="1"/>
  <c r="AH173" i="1"/>
  <c r="AG173" i="1"/>
  <c r="AF173" i="1"/>
  <c r="AC173" i="1"/>
  <c r="AB173" i="1"/>
  <c r="Z173" i="1"/>
  <c r="P173" i="1"/>
  <c r="BF173" i="1" s="1"/>
  <c r="L173" i="1"/>
  <c r="BW171" i="1"/>
  <c r="BJ171" i="1"/>
  <c r="BD171" i="1"/>
  <c r="AP171" i="1"/>
  <c r="AX171" i="1" s="1"/>
  <c r="AO171" i="1"/>
  <c r="AK171" i="1"/>
  <c r="AJ171" i="1"/>
  <c r="AH171" i="1"/>
  <c r="AG171" i="1"/>
  <c r="AF171" i="1"/>
  <c r="AC171" i="1"/>
  <c r="AB171" i="1"/>
  <c r="Z171" i="1"/>
  <c r="P171" i="1"/>
  <c r="BF171" i="1" s="1"/>
  <c r="L171" i="1"/>
  <c r="BW170" i="1"/>
  <c r="BJ170" i="1"/>
  <c r="BD170" i="1"/>
  <c r="AP170" i="1"/>
  <c r="BI170" i="1" s="1"/>
  <c r="AE170" i="1" s="1"/>
  <c r="AO170" i="1"/>
  <c r="BH170" i="1" s="1"/>
  <c r="AD170" i="1" s="1"/>
  <c r="AK170" i="1"/>
  <c r="AJ170" i="1"/>
  <c r="AH170" i="1"/>
  <c r="AG170" i="1"/>
  <c r="AF170" i="1"/>
  <c r="AC170" i="1"/>
  <c r="AB170" i="1"/>
  <c r="Z170" i="1"/>
  <c r="P170" i="1"/>
  <c r="BF170" i="1" s="1"/>
  <c r="L170" i="1"/>
  <c r="AL170" i="1" s="1"/>
  <c r="BW169" i="1"/>
  <c r="BJ169" i="1"/>
  <c r="BD169" i="1"/>
  <c r="AP169" i="1"/>
  <c r="BI169" i="1" s="1"/>
  <c r="AE169" i="1" s="1"/>
  <c r="AO169" i="1"/>
  <c r="BH169" i="1" s="1"/>
  <c r="AD169" i="1" s="1"/>
  <c r="AK169" i="1"/>
  <c r="AJ169" i="1"/>
  <c r="AH169" i="1"/>
  <c r="AG169" i="1"/>
  <c r="AF169" i="1"/>
  <c r="AC169" i="1"/>
  <c r="AB169" i="1"/>
  <c r="Z169" i="1"/>
  <c r="P169" i="1"/>
  <c r="BF169" i="1" s="1"/>
  <c r="L169" i="1"/>
  <c r="AL169" i="1" s="1"/>
  <c r="BW168" i="1"/>
  <c r="BJ168" i="1"/>
  <c r="BD168" i="1"/>
  <c r="AP168" i="1"/>
  <c r="BI168" i="1" s="1"/>
  <c r="AE168" i="1" s="1"/>
  <c r="AO168" i="1"/>
  <c r="AW168" i="1" s="1"/>
  <c r="AK168" i="1"/>
  <c r="AJ168" i="1"/>
  <c r="AH168" i="1"/>
  <c r="AG168" i="1"/>
  <c r="AF168" i="1"/>
  <c r="AC168" i="1"/>
  <c r="AB168" i="1"/>
  <c r="Z168" i="1"/>
  <c r="P168" i="1"/>
  <c r="BF168" i="1" s="1"/>
  <c r="L168" i="1"/>
  <c r="J168" i="1"/>
  <c r="BW166" i="1"/>
  <c r="BJ166" i="1"/>
  <c r="BD166" i="1"/>
  <c r="AP166" i="1"/>
  <c r="BI166" i="1" s="1"/>
  <c r="AE166" i="1" s="1"/>
  <c r="AO166" i="1"/>
  <c r="BH166" i="1" s="1"/>
  <c r="AD166" i="1" s="1"/>
  <c r="AK166" i="1"/>
  <c r="AJ166" i="1"/>
  <c r="AH166" i="1"/>
  <c r="AG166" i="1"/>
  <c r="AF166" i="1"/>
  <c r="AC166" i="1"/>
  <c r="AB166" i="1"/>
  <c r="Z166" i="1"/>
  <c r="P166" i="1"/>
  <c r="BF166" i="1" s="1"/>
  <c r="L166" i="1"/>
  <c r="AL166" i="1" s="1"/>
  <c r="J166" i="1"/>
  <c r="BW164" i="1"/>
  <c r="BJ164" i="1"/>
  <c r="BD164" i="1"/>
  <c r="AP164" i="1"/>
  <c r="K164" i="1" s="1"/>
  <c r="AO164" i="1"/>
  <c r="AK164" i="1"/>
  <c r="AJ164" i="1"/>
  <c r="AH164" i="1"/>
  <c r="AG164" i="1"/>
  <c r="AF164" i="1"/>
  <c r="AC164" i="1"/>
  <c r="AB164" i="1"/>
  <c r="Z164" i="1"/>
  <c r="P164" i="1"/>
  <c r="BF164" i="1" s="1"/>
  <c r="L164" i="1"/>
  <c r="BW162" i="1"/>
  <c r="BJ162" i="1"/>
  <c r="BD162" i="1"/>
  <c r="AP162" i="1"/>
  <c r="BI162" i="1" s="1"/>
  <c r="AE162" i="1" s="1"/>
  <c r="AO162" i="1"/>
  <c r="BH162" i="1" s="1"/>
  <c r="AD162" i="1" s="1"/>
  <c r="AK162" i="1"/>
  <c r="AJ162" i="1"/>
  <c r="AH162" i="1"/>
  <c r="AG162" i="1"/>
  <c r="AF162" i="1"/>
  <c r="AC162" i="1"/>
  <c r="AB162" i="1"/>
  <c r="Z162" i="1"/>
  <c r="P162" i="1"/>
  <c r="BF162" i="1" s="1"/>
  <c r="L162" i="1"/>
  <c r="AL162" i="1" s="1"/>
  <c r="BW161" i="1"/>
  <c r="BJ161" i="1"/>
  <c r="BD161" i="1"/>
  <c r="AP161" i="1"/>
  <c r="AX161" i="1" s="1"/>
  <c r="AO161" i="1"/>
  <c r="BH161" i="1" s="1"/>
  <c r="AD161" i="1" s="1"/>
  <c r="AK161" i="1"/>
  <c r="AJ161" i="1"/>
  <c r="AH161" i="1"/>
  <c r="AG161" i="1"/>
  <c r="AF161" i="1"/>
  <c r="AC161" i="1"/>
  <c r="AB161" i="1"/>
  <c r="Z161" i="1"/>
  <c r="P161" i="1"/>
  <c r="BF161" i="1" s="1"/>
  <c r="L161" i="1"/>
  <c r="BW160" i="1"/>
  <c r="BJ160" i="1"/>
  <c r="BD160" i="1"/>
  <c r="AP160" i="1"/>
  <c r="BI160" i="1" s="1"/>
  <c r="AE160" i="1" s="1"/>
  <c r="AO160" i="1"/>
  <c r="AK160" i="1"/>
  <c r="AJ160" i="1"/>
  <c r="AH160" i="1"/>
  <c r="AG160" i="1"/>
  <c r="AF160" i="1"/>
  <c r="AC160" i="1"/>
  <c r="AB160" i="1"/>
  <c r="Z160" i="1"/>
  <c r="P160" i="1"/>
  <c r="BF160" i="1" s="1"/>
  <c r="L160" i="1"/>
  <c r="AL160" i="1" s="1"/>
  <c r="BW158" i="1"/>
  <c r="BJ158" i="1"/>
  <c r="BD158" i="1"/>
  <c r="AP158" i="1"/>
  <c r="AX158" i="1" s="1"/>
  <c r="AO158" i="1"/>
  <c r="AK158" i="1"/>
  <c r="AJ158" i="1"/>
  <c r="AH158" i="1"/>
  <c r="AG158" i="1"/>
  <c r="AF158" i="1"/>
  <c r="AC158" i="1"/>
  <c r="AB158" i="1"/>
  <c r="Z158" i="1"/>
  <c r="P158" i="1"/>
  <c r="BF158" i="1" s="1"/>
  <c r="L158" i="1"/>
  <c r="BW157" i="1"/>
  <c r="BJ157" i="1"/>
  <c r="BD157" i="1"/>
  <c r="AP157" i="1"/>
  <c r="AO157" i="1"/>
  <c r="AW157" i="1" s="1"/>
  <c r="AK157" i="1"/>
  <c r="AJ157" i="1"/>
  <c r="AH157" i="1"/>
  <c r="AG157" i="1"/>
  <c r="AF157" i="1"/>
  <c r="AC157" i="1"/>
  <c r="AB157" i="1"/>
  <c r="Z157" i="1"/>
  <c r="P157" i="1"/>
  <c r="BF157" i="1" s="1"/>
  <c r="L157" i="1"/>
  <c r="AL157" i="1" s="1"/>
  <c r="BW156" i="1"/>
  <c r="BJ156" i="1"/>
  <c r="BD156" i="1"/>
  <c r="AP156" i="1"/>
  <c r="BI156" i="1" s="1"/>
  <c r="AE156" i="1" s="1"/>
  <c r="AO156" i="1"/>
  <c r="BH156" i="1" s="1"/>
  <c r="AD156" i="1" s="1"/>
  <c r="AK156" i="1"/>
  <c r="AJ156" i="1"/>
  <c r="AH156" i="1"/>
  <c r="AG156" i="1"/>
  <c r="AF156" i="1"/>
  <c r="AC156" i="1"/>
  <c r="AB156" i="1"/>
  <c r="Z156" i="1"/>
  <c r="P156" i="1"/>
  <c r="BF156" i="1" s="1"/>
  <c r="L156" i="1"/>
  <c r="BW155" i="1"/>
  <c r="BJ155" i="1"/>
  <c r="BD155" i="1"/>
  <c r="AP155" i="1"/>
  <c r="BI155" i="1" s="1"/>
  <c r="AE155" i="1" s="1"/>
  <c r="AO155" i="1"/>
  <c r="BH155" i="1" s="1"/>
  <c r="AD155" i="1" s="1"/>
  <c r="AK155" i="1"/>
  <c r="AJ155" i="1"/>
  <c r="AH155" i="1"/>
  <c r="AG155" i="1"/>
  <c r="AF155" i="1"/>
  <c r="AC155" i="1"/>
  <c r="AB155" i="1"/>
  <c r="Z155" i="1"/>
  <c r="P155" i="1"/>
  <c r="BF155" i="1" s="1"/>
  <c r="L155" i="1"/>
  <c r="M155" i="1" s="1"/>
  <c r="K155" i="1"/>
  <c r="BW153" i="1"/>
  <c r="BJ153" i="1"/>
  <c r="BD153" i="1"/>
  <c r="AP153" i="1"/>
  <c r="BI153" i="1" s="1"/>
  <c r="AE153" i="1" s="1"/>
  <c r="AO153" i="1"/>
  <c r="BH153" i="1" s="1"/>
  <c r="AD153" i="1" s="1"/>
  <c r="AK153" i="1"/>
  <c r="AJ153" i="1"/>
  <c r="AH153" i="1"/>
  <c r="AG153" i="1"/>
  <c r="AF153" i="1"/>
  <c r="AC153" i="1"/>
  <c r="AB153" i="1"/>
  <c r="Z153" i="1"/>
  <c r="P153" i="1"/>
  <c r="BF153" i="1" s="1"/>
  <c r="L153" i="1"/>
  <c r="BW152" i="1"/>
  <c r="BJ152" i="1"/>
  <c r="BD152" i="1"/>
  <c r="AP152" i="1"/>
  <c r="BI152" i="1" s="1"/>
  <c r="AE152" i="1" s="1"/>
  <c r="AO152" i="1"/>
  <c r="BH152" i="1" s="1"/>
  <c r="AD152" i="1" s="1"/>
  <c r="AK152" i="1"/>
  <c r="AJ152" i="1"/>
  <c r="AH152" i="1"/>
  <c r="AG152" i="1"/>
  <c r="AF152" i="1"/>
  <c r="AC152" i="1"/>
  <c r="AB152" i="1"/>
  <c r="Z152" i="1"/>
  <c r="P152" i="1"/>
  <c r="BF152" i="1" s="1"/>
  <c r="L152" i="1"/>
  <c r="AL152" i="1" s="1"/>
  <c r="BW151" i="1"/>
  <c r="BJ151" i="1"/>
  <c r="BD151" i="1"/>
  <c r="AP151" i="1"/>
  <c r="AX151" i="1" s="1"/>
  <c r="AO151" i="1"/>
  <c r="BH151" i="1" s="1"/>
  <c r="AD151" i="1" s="1"/>
  <c r="AK151" i="1"/>
  <c r="AJ151" i="1"/>
  <c r="AH151" i="1"/>
  <c r="AG151" i="1"/>
  <c r="AF151" i="1"/>
  <c r="AC151" i="1"/>
  <c r="AB151" i="1"/>
  <c r="Z151" i="1"/>
  <c r="P151" i="1"/>
  <c r="BF151" i="1" s="1"/>
  <c r="L151" i="1"/>
  <c r="AL151" i="1" s="1"/>
  <c r="BW149" i="1"/>
  <c r="BJ149" i="1"/>
  <c r="BD149" i="1"/>
  <c r="AP149" i="1"/>
  <c r="BI149" i="1" s="1"/>
  <c r="AE149" i="1" s="1"/>
  <c r="AO149" i="1"/>
  <c r="BH149" i="1" s="1"/>
  <c r="AD149" i="1" s="1"/>
  <c r="AK149" i="1"/>
  <c r="AJ149" i="1"/>
  <c r="AH149" i="1"/>
  <c r="AG149" i="1"/>
  <c r="AF149" i="1"/>
  <c r="AC149" i="1"/>
  <c r="AB149" i="1"/>
  <c r="Z149" i="1"/>
  <c r="P149" i="1"/>
  <c r="BF149" i="1" s="1"/>
  <c r="L149" i="1"/>
  <c r="AL149" i="1" s="1"/>
  <c r="BW148" i="1"/>
  <c r="BJ148" i="1"/>
  <c r="BD148" i="1"/>
  <c r="AP148" i="1"/>
  <c r="K148" i="1" s="1"/>
  <c r="AO148" i="1"/>
  <c r="BH148" i="1" s="1"/>
  <c r="AD148" i="1" s="1"/>
  <c r="AK148" i="1"/>
  <c r="AJ148" i="1"/>
  <c r="AH148" i="1"/>
  <c r="AG148" i="1"/>
  <c r="AF148" i="1"/>
  <c r="AC148" i="1"/>
  <c r="AB148" i="1"/>
  <c r="Z148" i="1"/>
  <c r="P148" i="1"/>
  <c r="BF148" i="1" s="1"/>
  <c r="L148" i="1"/>
  <c r="BW147" i="1"/>
  <c r="BJ147" i="1"/>
  <c r="BD147" i="1"/>
  <c r="AP147" i="1"/>
  <c r="AO147" i="1"/>
  <c r="AW147" i="1" s="1"/>
  <c r="AK147" i="1"/>
  <c r="AJ147" i="1"/>
  <c r="AH147" i="1"/>
  <c r="AG147" i="1"/>
  <c r="AF147" i="1"/>
  <c r="AC147" i="1"/>
  <c r="AB147" i="1"/>
  <c r="Z147" i="1"/>
  <c r="P147" i="1"/>
  <c r="BF147" i="1" s="1"/>
  <c r="L147" i="1"/>
  <c r="AL147" i="1" s="1"/>
  <c r="BW146" i="1"/>
  <c r="BJ146" i="1"/>
  <c r="BD146" i="1"/>
  <c r="AP146" i="1"/>
  <c r="BI146" i="1" s="1"/>
  <c r="AE146" i="1" s="1"/>
  <c r="AO146" i="1"/>
  <c r="BH146" i="1" s="1"/>
  <c r="AD146" i="1" s="1"/>
  <c r="AK146" i="1"/>
  <c r="AJ146" i="1"/>
  <c r="AH146" i="1"/>
  <c r="AG146" i="1"/>
  <c r="AF146" i="1"/>
  <c r="AC146" i="1"/>
  <c r="AB146" i="1"/>
  <c r="Z146" i="1"/>
  <c r="P146" i="1"/>
  <c r="BF146" i="1" s="1"/>
  <c r="L146" i="1"/>
  <c r="AL146" i="1" s="1"/>
  <c r="BW145" i="1"/>
  <c r="BJ145" i="1"/>
  <c r="BD145" i="1"/>
  <c r="AP145" i="1"/>
  <c r="BI145" i="1" s="1"/>
  <c r="AE145" i="1" s="1"/>
  <c r="AO145" i="1"/>
  <c r="J145" i="1" s="1"/>
  <c r="AK145" i="1"/>
  <c r="AJ145" i="1"/>
  <c r="AH145" i="1"/>
  <c r="AG145" i="1"/>
  <c r="AF145" i="1"/>
  <c r="AC145" i="1"/>
  <c r="AB145" i="1"/>
  <c r="Z145" i="1"/>
  <c r="P145" i="1"/>
  <c r="BF145" i="1" s="1"/>
  <c r="L145" i="1"/>
  <c r="BW144" i="1"/>
  <c r="BJ144" i="1"/>
  <c r="BD144" i="1"/>
  <c r="AP144" i="1"/>
  <c r="BI144" i="1" s="1"/>
  <c r="AE144" i="1" s="1"/>
  <c r="AO144" i="1"/>
  <c r="BH144" i="1" s="1"/>
  <c r="AD144" i="1" s="1"/>
  <c r="AK144" i="1"/>
  <c r="AJ144" i="1"/>
  <c r="AH144" i="1"/>
  <c r="AG144" i="1"/>
  <c r="AF144" i="1"/>
  <c r="AC144" i="1"/>
  <c r="AB144" i="1"/>
  <c r="Z144" i="1"/>
  <c r="P144" i="1"/>
  <c r="BF144" i="1" s="1"/>
  <c r="L144" i="1"/>
  <c r="BW143" i="1"/>
  <c r="BJ143" i="1"/>
  <c r="BD143" i="1"/>
  <c r="AP143" i="1"/>
  <c r="AO143" i="1"/>
  <c r="BH143" i="1" s="1"/>
  <c r="AD143" i="1" s="1"/>
  <c r="AK143" i="1"/>
  <c r="AJ143" i="1"/>
  <c r="AH143" i="1"/>
  <c r="AG143" i="1"/>
  <c r="AF143" i="1"/>
  <c r="AC143" i="1"/>
  <c r="AB143" i="1"/>
  <c r="Z143" i="1"/>
  <c r="P143" i="1"/>
  <c r="BF143" i="1" s="1"/>
  <c r="L143" i="1"/>
  <c r="BW141" i="1"/>
  <c r="BJ141" i="1"/>
  <c r="BD141" i="1"/>
  <c r="AP141" i="1"/>
  <c r="AX141" i="1" s="1"/>
  <c r="AO141" i="1"/>
  <c r="BH141" i="1" s="1"/>
  <c r="AD141" i="1" s="1"/>
  <c r="AK141" i="1"/>
  <c r="AJ141" i="1"/>
  <c r="AH141" i="1"/>
  <c r="AG141" i="1"/>
  <c r="AF141" i="1"/>
  <c r="AC141" i="1"/>
  <c r="AB141" i="1"/>
  <c r="Z141" i="1"/>
  <c r="P141" i="1"/>
  <c r="BF141" i="1" s="1"/>
  <c r="L141" i="1"/>
  <c r="M141" i="1" s="1"/>
  <c r="BW140" i="1"/>
  <c r="BJ140" i="1"/>
  <c r="BD140" i="1"/>
  <c r="AP140" i="1"/>
  <c r="BI140" i="1" s="1"/>
  <c r="AE140" i="1" s="1"/>
  <c r="AO140" i="1"/>
  <c r="AW140" i="1" s="1"/>
  <c r="AK140" i="1"/>
  <c r="AJ140" i="1"/>
  <c r="AH140" i="1"/>
  <c r="AG140" i="1"/>
  <c r="AF140" i="1"/>
  <c r="AC140" i="1"/>
  <c r="AB140" i="1"/>
  <c r="Z140" i="1"/>
  <c r="P140" i="1"/>
  <c r="BF140" i="1" s="1"/>
  <c r="L140" i="1"/>
  <c r="AL140" i="1" s="1"/>
  <c r="BW138" i="1"/>
  <c r="BJ138" i="1"/>
  <c r="Z138" i="1" s="1"/>
  <c r="BD138" i="1"/>
  <c r="AP138" i="1"/>
  <c r="AX138" i="1" s="1"/>
  <c r="AO138" i="1"/>
  <c r="BH138" i="1" s="1"/>
  <c r="AK138" i="1"/>
  <c r="AJ138" i="1"/>
  <c r="AH138" i="1"/>
  <c r="AG138" i="1"/>
  <c r="AF138" i="1"/>
  <c r="AE138" i="1"/>
  <c r="AD138" i="1"/>
  <c r="AC138" i="1"/>
  <c r="AB138" i="1"/>
  <c r="P138" i="1"/>
  <c r="BF138" i="1" s="1"/>
  <c r="L138" i="1"/>
  <c r="AL138" i="1" s="1"/>
  <c r="BW136" i="1"/>
  <c r="BJ136" i="1"/>
  <c r="BD136" i="1"/>
  <c r="AP136" i="1"/>
  <c r="BI136" i="1" s="1"/>
  <c r="AE136" i="1" s="1"/>
  <c r="AO136" i="1"/>
  <c r="BH136" i="1" s="1"/>
  <c r="AD136" i="1" s="1"/>
  <c r="AK136" i="1"/>
  <c r="AJ136" i="1"/>
  <c r="AH136" i="1"/>
  <c r="AG136" i="1"/>
  <c r="AF136" i="1"/>
  <c r="AC136" i="1"/>
  <c r="AB136" i="1"/>
  <c r="Z136" i="1"/>
  <c r="P136" i="1"/>
  <c r="BF136" i="1" s="1"/>
  <c r="L136" i="1"/>
  <c r="AL136" i="1" s="1"/>
  <c r="BW134" i="1"/>
  <c r="BJ134" i="1"/>
  <c r="BD134" i="1"/>
  <c r="AP134" i="1"/>
  <c r="BI134" i="1" s="1"/>
  <c r="AE134" i="1" s="1"/>
  <c r="AO134" i="1"/>
  <c r="AW134" i="1" s="1"/>
  <c r="AK134" i="1"/>
  <c r="AJ134" i="1"/>
  <c r="AH134" i="1"/>
  <c r="AG134" i="1"/>
  <c r="AF134" i="1"/>
  <c r="AC134" i="1"/>
  <c r="AB134" i="1"/>
  <c r="Z134" i="1"/>
  <c r="P134" i="1"/>
  <c r="BF134" i="1" s="1"/>
  <c r="L134" i="1"/>
  <c r="AL134" i="1" s="1"/>
  <c r="BW133" i="1"/>
  <c r="BJ133" i="1"/>
  <c r="BD133" i="1"/>
  <c r="AP133" i="1"/>
  <c r="AO133" i="1"/>
  <c r="AW133" i="1" s="1"/>
  <c r="AK133" i="1"/>
  <c r="AJ133" i="1"/>
  <c r="AH133" i="1"/>
  <c r="AG133" i="1"/>
  <c r="AF133" i="1"/>
  <c r="AC133" i="1"/>
  <c r="AB133" i="1"/>
  <c r="Z133" i="1"/>
  <c r="P133" i="1"/>
  <c r="BF133" i="1" s="1"/>
  <c r="L133" i="1"/>
  <c r="BW132" i="1"/>
  <c r="BJ132" i="1"/>
  <c r="BD132" i="1"/>
  <c r="AP132" i="1"/>
  <c r="K132" i="1" s="1"/>
  <c r="AO132" i="1"/>
  <c r="BH132" i="1" s="1"/>
  <c r="AD132" i="1" s="1"/>
  <c r="AK132" i="1"/>
  <c r="AJ132" i="1"/>
  <c r="AH132" i="1"/>
  <c r="AG132" i="1"/>
  <c r="AF132" i="1"/>
  <c r="AC132" i="1"/>
  <c r="AB132" i="1"/>
  <c r="Z132" i="1"/>
  <c r="P132" i="1"/>
  <c r="BF132" i="1" s="1"/>
  <c r="L132" i="1"/>
  <c r="AL132" i="1" s="1"/>
  <c r="BW130" i="1"/>
  <c r="BJ130" i="1"/>
  <c r="Z130" i="1" s="1"/>
  <c r="BD130" i="1"/>
  <c r="AP130" i="1"/>
  <c r="BI130" i="1" s="1"/>
  <c r="AO130" i="1"/>
  <c r="BH130" i="1" s="1"/>
  <c r="AK130" i="1"/>
  <c r="AJ130" i="1"/>
  <c r="AH130" i="1"/>
  <c r="AG130" i="1"/>
  <c r="AF130" i="1"/>
  <c r="AE130" i="1"/>
  <c r="AD130" i="1"/>
  <c r="AC130" i="1"/>
  <c r="AB130" i="1"/>
  <c r="P130" i="1"/>
  <c r="BF130" i="1" s="1"/>
  <c r="L130" i="1"/>
  <c r="AL130" i="1" s="1"/>
  <c r="BW129" i="1"/>
  <c r="BJ129" i="1"/>
  <c r="BD129" i="1"/>
  <c r="AP129" i="1"/>
  <c r="BI129" i="1" s="1"/>
  <c r="AE129" i="1" s="1"/>
  <c r="AO129" i="1"/>
  <c r="AK129" i="1"/>
  <c r="AJ129" i="1"/>
  <c r="AH129" i="1"/>
  <c r="AG129" i="1"/>
  <c r="AF129" i="1"/>
  <c r="AC129" i="1"/>
  <c r="AB129" i="1"/>
  <c r="Z129" i="1"/>
  <c r="P129" i="1"/>
  <c r="BF129" i="1" s="1"/>
  <c r="L129" i="1"/>
  <c r="AL129" i="1" s="1"/>
  <c r="BW128" i="1"/>
  <c r="BJ128" i="1"/>
  <c r="BD128" i="1"/>
  <c r="AP128" i="1"/>
  <c r="BI128" i="1" s="1"/>
  <c r="AE128" i="1" s="1"/>
  <c r="AO128" i="1"/>
  <c r="J128" i="1" s="1"/>
  <c r="AK128" i="1"/>
  <c r="AJ128" i="1"/>
  <c r="AH128" i="1"/>
  <c r="AG128" i="1"/>
  <c r="AF128" i="1"/>
  <c r="AC128" i="1"/>
  <c r="AB128" i="1"/>
  <c r="Z128" i="1"/>
  <c r="P128" i="1"/>
  <c r="BF128" i="1" s="1"/>
  <c r="L128" i="1"/>
  <c r="BW127" i="1"/>
  <c r="BJ127" i="1"/>
  <c r="BD127" i="1"/>
  <c r="AP127" i="1"/>
  <c r="AX127" i="1" s="1"/>
  <c r="AO127" i="1"/>
  <c r="AK127" i="1"/>
  <c r="AJ127" i="1"/>
  <c r="AH127" i="1"/>
  <c r="AG127" i="1"/>
  <c r="AF127" i="1"/>
  <c r="AC127" i="1"/>
  <c r="AB127" i="1"/>
  <c r="Z127" i="1"/>
  <c r="P127" i="1"/>
  <c r="BF127" i="1" s="1"/>
  <c r="L127" i="1"/>
  <c r="AL127" i="1" s="1"/>
  <c r="BW126" i="1"/>
  <c r="BJ126" i="1"/>
  <c r="BD126" i="1"/>
  <c r="AP126" i="1"/>
  <c r="BI126" i="1" s="1"/>
  <c r="AE126" i="1" s="1"/>
  <c r="AO126" i="1"/>
  <c r="BH126" i="1" s="1"/>
  <c r="AD126" i="1" s="1"/>
  <c r="AK126" i="1"/>
  <c r="AJ126" i="1"/>
  <c r="AH126" i="1"/>
  <c r="AG126" i="1"/>
  <c r="AF126" i="1"/>
  <c r="AC126" i="1"/>
  <c r="AB126" i="1"/>
  <c r="Z126" i="1"/>
  <c r="P126" i="1"/>
  <c r="BF126" i="1" s="1"/>
  <c r="L126" i="1"/>
  <c r="AL126" i="1" s="1"/>
  <c r="BW125" i="1"/>
  <c r="BJ125" i="1"/>
  <c r="BD125" i="1"/>
  <c r="AP125" i="1"/>
  <c r="BI125" i="1" s="1"/>
  <c r="AE125" i="1" s="1"/>
  <c r="AO125" i="1"/>
  <c r="AW125" i="1" s="1"/>
  <c r="AK125" i="1"/>
  <c r="AJ125" i="1"/>
  <c r="AH125" i="1"/>
  <c r="AG125" i="1"/>
  <c r="AF125" i="1"/>
  <c r="AC125" i="1"/>
  <c r="AB125" i="1"/>
  <c r="Z125" i="1"/>
  <c r="P125" i="1"/>
  <c r="BF125" i="1" s="1"/>
  <c r="L125" i="1"/>
  <c r="BW124" i="1"/>
  <c r="BJ124" i="1"/>
  <c r="BD124" i="1"/>
  <c r="AP124" i="1"/>
  <c r="K124" i="1" s="1"/>
  <c r="AO124" i="1"/>
  <c r="AK124" i="1"/>
  <c r="AJ124" i="1"/>
  <c r="AH124" i="1"/>
  <c r="AG124" i="1"/>
  <c r="AF124" i="1"/>
  <c r="AC124" i="1"/>
  <c r="AB124" i="1"/>
  <c r="Z124" i="1"/>
  <c r="P124" i="1"/>
  <c r="BF124" i="1" s="1"/>
  <c r="L124" i="1"/>
  <c r="BW123" i="1"/>
  <c r="BJ123" i="1"/>
  <c r="BD123" i="1"/>
  <c r="AP123" i="1"/>
  <c r="BI123" i="1" s="1"/>
  <c r="AE123" i="1" s="1"/>
  <c r="AO123" i="1"/>
  <c r="AK123" i="1"/>
  <c r="AJ123" i="1"/>
  <c r="AH123" i="1"/>
  <c r="AG123" i="1"/>
  <c r="AF123" i="1"/>
  <c r="AC123" i="1"/>
  <c r="AB123" i="1"/>
  <c r="Z123" i="1"/>
  <c r="P123" i="1"/>
  <c r="BF123" i="1" s="1"/>
  <c r="L123" i="1"/>
  <c r="BW122" i="1"/>
  <c r="BJ122" i="1"/>
  <c r="BD122" i="1"/>
  <c r="AP122" i="1"/>
  <c r="BI122" i="1" s="1"/>
  <c r="AE122" i="1" s="1"/>
  <c r="AO122" i="1"/>
  <c r="BH122" i="1" s="1"/>
  <c r="AD122" i="1" s="1"/>
  <c r="AK122" i="1"/>
  <c r="AJ122" i="1"/>
  <c r="AH122" i="1"/>
  <c r="AG122" i="1"/>
  <c r="AF122" i="1"/>
  <c r="AC122" i="1"/>
  <c r="AB122" i="1"/>
  <c r="Z122" i="1"/>
  <c r="P122" i="1"/>
  <c r="BF122" i="1" s="1"/>
  <c r="L122" i="1"/>
  <c r="AL122" i="1" s="1"/>
  <c r="BW121" i="1"/>
  <c r="BJ121" i="1"/>
  <c r="Z121" i="1" s="1"/>
  <c r="BD121" i="1"/>
  <c r="AP121" i="1"/>
  <c r="AX121" i="1" s="1"/>
  <c r="AO121" i="1"/>
  <c r="AW121" i="1" s="1"/>
  <c r="AK121" i="1"/>
  <c r="AJ121" i="1"/>
  <c r="AH121" i="1"/>
  <c r="AG121" i="1"/>
  <c r="AF121" i="1"/>
  <c r="AE121" i="1"/>
  <c r="AD121" i="1"/>
  <c r="AC121" i="1"/>
  <c r="AB121" i="1"/>
  <c r="P121" i="1"/>
  <c r="BF121" i="1" s="1"/>
  <c r="L121" i="1"/>
  <c r="AL121" i="1" s="1"/>
  <c r="BW120" i="1"/>
  <c r="BJ120" i="1"/>
  <c r="Z120" i="1" s="1"/>
  <c r="BD120" i="1"/>
  <c r="AP120" i="1"/>
  <c r="BI120" i="1" s="1"/>
  <c r="AO120" i="1"/>
  <c r="BH120" i="1" s="1"/>
  <c r="AK120" i="1"/>
  <c r="AJ120" i="1"/>
  <c r="AH120" i="1"/>
  <c r="AG120" i="1"/>
  <c r="AF120" i="1"/>
  <c r="AE120" i="1"/>
  <c r="AD120" i="1"/>
  <c r="AC120" i="1"/>
  <c r="AB120" i="1"/>
  <c r="P120" i="1"/>
  <c r="BF120" i="1" s="1"/>
  <c r="L120" i="1"/>
  <c r="AL120" i="1" s="1"/>
  <c r="BW119" i="1"/>
  <c r="BJ119" i="1"/>
  <c r="Z119" i="1" s="1"/>
  <c r="BD119" i="1"/>
  <c r="AP119" i="1"/>
  <c r="BI119" i="1" s="1"/>
  <c r="AO119" i="1"/>
  <c r="BH119" i="1" s="1"/>
  <c r="AK119" i="1"/>
  <c r="AJ119" i="1"/>
  <c r="AH119" i="1"/>
  <c r="AG119" i="1"/>
  <c r="AF119" i="1"/>
  <c r="AE119" i="1"/>
  <c r="AD119" i="1"/>
  <c r="AC119" i="1"/>
  <c r="AB119" i="1"/>
  <c r="P119" i="1"/>
  <c r="BF119" i="1" s="1"/>
  <c r="L119" i="1"/>
  <c r="AL119" i="1" s="1"/>
  <c r="BW117" i="1"/>
  <c r="BJ117" i="1"/>
  <c r="BD117" i="1"/>
  <c r="AP117" i="1"/>
  <c r="AO117" i="1"/>
  <c r="AW117" i="1" s="1"/>
  <c r="AK117" i="1"/>
  <c r="AJ117" i="1"/>
  <c r="AH117" i="1"/>
  <c r="AG117" i="1"/>
  <c r="AF117" i="1"/>
  <c r="AC117" i="1"/>
  <c r="AB117" i="1"/>
  <c r="Z117" i="1"/>
  <c r="P117" i="1"/>
  <c r="BF117" i="1" s="1"/>
  <c r="L117" i="1"/>
  <c r="J117" i="1"/>
  <c r="BW115" i="1"/>
  <c r="BJ115" i="1"/>
  <c r="BD115" i="1"/>
  <c r="AP115" i="1"/>
  <c r="BI115" i="1" s="1"/>
  <c r="AE115" i="1" s="1"/>
  <c r="AO115" i="1"/>
  <c r="BH115" i="1" s="1"/>
  <c r="AD115" i="1" s="1"/>
  <c r="AK115" i="1"/>
  <c r="AJ115" i="1"/>
  <c r="AH115" i="1"/>
  <c r="AG115" i="1"/>
  <c r="AF115" i="1"/>
  <c r="AC115" i="1"/>
  <c r="AB115" i="1"/>
  <c r="Z115" i="1"/>
  <c r="P115" i="1"/>
  <c r="BF115" i="1" s="1"/>
  <c r="L115" i="1"/>
  <c r="AL115" i="1" s="1"/>
  <c r="J115" i="1"/>
  <c r="BW113" i="1"/>
  <c r="BJ113" i="1"/>
  <c r="BD113" i="1"/>
  <c r="AP113" i="1"/>
  <c r="AX113" i="1" s="1"/>
  <c r="AO113" i="1"/>
  <c r="AW113" i="1" s="1"/>
  <c r="AK113" i="1"/>
  <c r="AJ113" i="1"/>
  <c r="AH113" i="1"/>
  <c r="AG113" i="1"/>
  <c r="AF113" i="1"/>
  <c r="AC113" i="1"/>
  <c r="AB113" i="1"/>
  <c r="Z113" i="1"/>
  <c r="P113" i="1"/>
  <c r="BF113" i="1" s="1"/>
  <c r="L113" i="1"/>
  <c r="AL113" i="1" s="1"/>
  <c r="BW111" i="1"/>
  <c r="BJ111" i="1"/>
  <c r="BD111" i="1"/>
  <c r="AP111" i="1"/>
  <c r="BI111" i="1" s="1"/>
  <c r="AE111" i="1" s="1"/>
  <c r="AO111" i="1"/>
  <c r="BH111" i="1" s="1"/>
  <c r="AD111" i="1" s="1"/>
  <c r="AK111" i="1"/>
  <c r="AJ111" i="1"/>
  <c r="AH111" i="1"/>
  <c r="AG111" i="1"/>
  <c r="AF111" i="1"/>
  <c r="AC111" i="1"/>
  <c r="AB111" i="1"/>
  <c r="Z111" i="1"/>
  <c r="P111" i="1"/>
  <c r="BF111" i="1" s="1"/>
  <c r="L111" i="1"/>
  <c r="BW109" i="1"/>
  <c r="BJ109" i="1"/>
  <c r="BD109" i="1"/>
  <c r="AP109" i="1"/>
  <c r="AO109" i="1"/>
  <c r="BH109" i="1" s="1"/>
  <c r="AD109" i="1" s="1"/>
  <c r="AK109" i="1"/>
  <c r="AJ109" i="1"/>
  <c r="AH109" i="1"/>
  <c r="AG109" i="1"/>
  <c r="AF109" i="1"/>
  <c r="AC109" i="1"/>
  <c r="AB109" i="1"/>
  <c r="Z109" i="1"/>
  <c r="P109" i="1"/>
  <c r="BF109" i="1" s="1"/>
  <c r="L109" i="1"/>
  <c r="BW107" i="1"/>
  <c r="BJ107" i="1"/>
  <c r="BD107" i="1"/>
  <c r="AP107" i="1"/>
  <c r="AX107" i="1" s="1"/>
  <c r="AO107" i="1"/>
  <c r="AK107" i="1"/>
  <c r="AJ107" i="1"/>
  <c r="AH107" i="1"/>
  <c r="AG107" i="1"/>
  <c r="AF107" i="1"/>
  <c r="AC107" i="1"/>
  <c r="AB107" i="1"/>
  <c r="Z107" i="1"/>
  <c r="P107" i="1"/>
  <c r="BF107" i="1" s="1"/>
  <c r="L107" i="1"/>
  <c r="AL107" i="1" s="1"/>
  <c r="BW106" i="1"/>
  <c r="BJ106" i="1"/>
  <c r="BD106" i="1"/>
  <c r="AP106" i="1"/>
  <c r="BI106" i="1" s="1"/>
  <c r="AE106" i="1" s="1"/>
  <c r="AO106" i="1"/>
  <c r="BH106" i="1" s="1"/>
  <c r="AD106" i="1" s="1"/>
  <c r="AK106" i="1"/>
  <c r="AJ106" i="1"/>
  <c r="AH106" i="1"/>
  <c r="AG106" i="1"/>
  <c r="AF106" i="1"/>
  <c r="AC106" i="1"/>
  <c r="AB106" i="1"/>
  <c r="Z106" i="1"/>
  <c r="P106" i="1"/>
  <c r="BF106" i="1" s="1"/>
  <c r="L106" i="1"/>
  <c r="AL106" i="1" s="1"/>
  <c r="BW104" i="1"/>
  <c r="BJ104" i="1"/>
  <c r="BD104" i="1"/>
  <c r="AP104" i="1"/>
  <c r="BI104" i="1" s="1"/>
  <c r="AE104" i="1" s="1"/>
  <c r="AO104" i="1"/>
  <c r="BH104" i="1" s="1"/>
  <c r="AD104" i="1" s="1"/>
  <c r="AK104" i="1"/>
  <c r="AJ104" i="1"/>
  <c r="AH104" i="1"/>
  <c r="AG104" i="1"/>
  <c r="AF104" i="1"/>
  <c r="AC104" i="1"/>
  <c r="AB104" i="1"/>
  <c r="Z104" i="1"/>
  <c r="P104" i="1"/>
  <c r="BF104" i="1" s="1"/>
  <c r="L104" i="1"/>
  <c r="AL104" i="1" s="1"/>
  <c r="BW102" i="1"/>
  <c r="BJ102" i="1"/>
  <c r="BD102" i="1"/>
  <c r="AP102" i="1"/>
  <c r="BI102" i="1" s="1"/>
  <c r="AE102" i="1" s="1"/>
  <c r="AO102" i="1"/>
  <c r="BH102" i="1" s="1"/>
  <c r="AD102" i="1" s="1"/>
  <c r="AK102" i="1"/>
  <c r="AJ102" i="1"/>
  <c r="AH102" i="1"/>
  <c r="AG102" i="1"/>
  <c r="AF102" i="1"/>
  <c r="AC102" i="1"/>
  <c r="AB102" i="1"/>
  <c r="Z102" i="1"/>
  <c r="P102" i="1"/>
  <c r="BF102" i="1" s="1"/>
  <c r="L102" i="1"/>
  <c r="BW101" i="1"/>
  <c r="BJ101" i="1"/>
  <c r="BD101" i="1"/>
  <c r="AP101" i="1"/>
  <c r="BI101" i="1" s="1"/>
  <c r="AE101" i="1" s="1"/>
  <c r="AO101" i="1"/>
  <c r="BH101" i="1" s="1"/>
  <c r="AD101" i="1" s="1"/>
  <c r="AK101" i="1"/>
  <c r="AJ101" i="1"/>
  <c r="AH101" i="1"/>
  <c r="AG101" i="1"/>
  <c r="AF101" i="1"/>
  <c r="AC101" i="1"/>
  <c r="AB101" i="1"/>
  <c r="Z101" i="1"/>
  <c r="P101" i="1"/>
  <c r="BF101" i="1" s="1"/>
  <c r="L101" i="1"/>
  <c r="AL101" i="1" s="1"/>
  <c r="BW99" i="1"/>
  <c r="BJ99" i="1"/>
  <c r="BD99" i="1"/>
  <c r="AP99" i="1"/>
  <c r="K99" i="1" s="1"/>
  <c r="AO99" i="1"/>
  <c r="BH99" i="1" s="1"/>
  <c r="AD99" i="1" s="1"/>
  <c r="AK99" i="1"/>
  <c r="AJ99" i="1"/>
  <c r="AH99" i="1"/>
  <c r="AG99" i="1"/>
  <c r="AF99" i="1"/>
  <c r="AC99" i="1"/>
  <c r="AB99" i="1"/>
  <c r="Z99" i="1"/>
  <c r="P99" i="1"/>
  <c r="BF99" i="1" s="1"/>
  <c r="L99" i="1"/>
  <c r="BW97" i="1"/>
  <c r="BJ97" i="1"/>
  <c r="BD97" i="1"/>
  <c r="AP97" i="1"/>
  <c r="BI97" i="1" s="1"/>
  <c r="AE97" i="1" s="1"/>
  <c r="AO97" i="1"/>
  <c r="AK97" i="1"/>
  <c r="AJ97" i="1"/>
  <c r="AH97" i="1"/>
  <c r="AG97" i="1"/>
  <c r="AF97" i="1"/>
  <c r="AC97" i="1"/>
  <c r="AB97" i="1"/>
  <c r="Z97" i="1"/>
  <c r="P97" i="1"/>
  <c r="L97" i="1"/>
  <c r="BW95" i="1"/>
  <c r="BJ95" i="1"/>
  <c r="Z95" i="1" s="1"/>
  <c r="BD95" i="1"/>
  <c r="AP95" i="1"/>
  <c r="BI95" i="1" s="1"/>
  <c r="AO95" i="1"/>
  <c r="BH95" i="1" s="1"/>
  <c r="AK95" i="1"/>
  <c r="AJ95" i="1"/>
  <c r="AH95" i="1"/>
  <c r="AG95" i="1"/>
  <c r="AF95" i="1"/>
  <c r="AE95" i="1"/>
  <c r="AD95" i="1"/>
  <c r="AC95" i="1"/>
  <c r="AB95" i="1"/>
  <c r="P95" i="1"/>
  <c r="BF95" i="1" s="1"/>
  <c r="L95" i="1"/>
  <c r="AL95" i="1" s="1"/>
  <c r="BW93" i="1"/>
  <c r="BJ93" i="1"/>
  <c r="BD93" i="1"/>
  <c r="AP93" i="1"/>
  <c r="AO93" i="1"/>
  <c r="BH93" i="1" s="1"/>
  <c r="AD93" i="1" s="1"/>
  <c r="AK93" i="1"/>
  <c r="AJ93" i="1"/>
  <c r="AH93" i="1"/>
  <c r="AG93" i="1"/>
  <c r="AF93" i="1"/>
  <c r="AC93" i="1"/>
  <c r="AB93" i="1"/>
  <c r="Z93" i="1"/>
  <c r="P93" i="1"/>
  <c r="BF93" i="1" s="1"/>
  <c r="L93" i="1"/>
  <c r="BW91" i="1"/>
  <c r="BJ91" i="1"/>
  <c r="BD91" i="1"/>
  <c r="AP91" i="1"/>
  <c r="BI91" i="1" s="1"/>
  <c r="AE91" i="1" s="1"/>
  <c r="AO91" i="1"/>
  <c r="BH91" i="1" s="1"/>
  <c r="AD91" i="1" s="1"/>
  <c r="AK91" i="1"/>
  <c r="AJ91" i="1"/>
  <c r="AH91" i="1"/>
  <c r="AG91" i="1"/>
  <c r="AF91" i="1"/>
  <c r="AC91" i="1"/>
  <c r="AB91" i="1"/>
  <c r="Z91" i="1"/>
  <c r="P91" i="1"/>
  <c r="BF91" i="1" s="1"/>
  <c r="L91" i="1"/>
  <c r="BW90" i="1"/>
  <c r="BJ90" i="1"/>
  <c r="BD90" i="1"/>
  <c r="AP90" i="1"/>
  <c r="BI90" i="1" s="1"/>
  <c r="AE90" i="1" s="1"/>
  <c r="AO90" i="1"/>
  <c r="BH90" i="1" s="1"/>
  <c r="AD90" i="1" s="1"/>
  <c r="AK90" i="1"/>
  <c r="AJ90" i="1"/>
  <c r="AH90" i="1"/>
  <c r="AG90" i="1"/>
  <c r="AF90" i="1"/>
  <c r="AC90" i="1"/>
  <c r="AB90" i="1"/>
  <c r="Z90" i="1"/>
  <c r="P90" i="1"/>
  <c r="BF90" i="1" s="1"/>
  <c r="L90" i="1"/>
  <c r="AL90" i="1" s="1"/>
  <c r="BW89" i="1"/>
  <c r="BJ89" i="1"/>
  <c r="Z89" i="1" s="1"/>
  <c r="BD89" i="1"/>
  <c r="AP89" i="1"/>
  <c r="AX89" i="1" s="1"/>
  <c r="AO89" i="1"/>
  <c r="AW89" i="1" s="1"/>
  <c r="AK89" i="1"/>
  <c r="AJ89" i="1"/>
  <c r="AH89" i="1"/>
  <c r="AG89" i="1"/>
  <c r="AF89" i="1"/>
  <c r="AE89" i="1"/>
  <c r="AD89" i="1"/>
  <c r="AC89" i="1"/>
  <c r="AB89" i="1"/>
  <c r="P89" i="1"/>
  <c r="BF89" i="1" s="1"/>
  <c r="L89" i="1"/>
  <c r="BW88" i="1"/>
  <c r="BJ88" i="1"/>
  <c r="BD88" i="1"/>
  <c r="AP88" i="1"/>
  <c r="BI88" i="1" s="1"/>
  <c r="AE88" i="1" s="1"/>
  <c r="AO88" i="1"/>
  <c r="BH88" i="1" s="1"/>
  <c r="AD88" i="1" s="1"/>
  <c r="AK88" i="1"/>
  <c r="AJ88" i="1"/>
  <c r="AH88" i="1"/>
  <c r="AG88" i="1"/>
  <c r="AF88" i="1"/>
  <c r="AC88" i="1"/>
  <c r="AB88" i="1"/>
  <c r="Z88" i="1"/>
  <c r="P88" i="1"/>
  <c r="BF88" i="1" s="1"/>
  <c r="L88" i="1"/>
  <c r="AL88" i="1" s="1"/>
  <c r="BW87" i="1"/>
  <c r="BJ87" i="1"/>
  <c r="BD87" i="1"/>
  <c r="AP87" i="1"/>
  <c r="K87" i="1" s="1"/>
  <c r="AO87" i="1"/>
  <c r="BH87" i="1" s="1"/>
  <c r="AD87" i="1" s="1"/>
  <c r="AK87" i="1"/>
  <c r="AJ87" i="1"/>
  <c r="AH87" i="1"/>
  <c r="AG87" i="1"/>
  <c r="AF87" i="1"/>
  <c r="AC87" i="1"/>
  <c r="AB87" i="1"/>
  <c r="Z87" i="1"/>
  <c r="P87" i="1"/>
  <c r="BF87" i="1" s="1"/>
  <c r="L87" i="1"/>
  <c r="AL87" i="1" s="1"/>
  <c r="BW85" i="1"/>
  <c r="BJ85" i="1"/>
  <c r="BD85" i="1"/>
  <c r="AP85" i="1"/>
  <c r="AO85" i="1"/>
  <c r="AW85" i="1" s="1"/>
  <c r="AK85" i="1"/>
  <c r="AJ85" i="1"/>
  <c r="AH85" i="1"/>
  <c r="AG85" i="1"/>
  <c r="AF85" i="1"/>
  <c r="AC85" i="1"/>
  <c r="AB85" i="1"/>
  <c r="Z85" i="1"/>
  <c r="P85" i="1"/>
  <c r="BF85" i="1" s="1"/>
  <c r="L85" i="1"/>
  <c r="BW83" i="1"/>
  <c r="BJ83" i="1"/>
  <c r="BD83" i="1"/>
  <c r="AP83" i="1"/>
  <c r="BI83" i="1" s="1"/>
  <c r="AE83" i="1" s="1"/>
  <c r="AO83" i="1"/>
  <c r="BH83" i="1" s="1"/>
  <c r="AD83" i="1" s="1"/>
  <c r="AK83" i="1"/>
  <c r="AJ83" i="1"/>
  <c r="AH83" i="1"/>
  <c r="AG83" i="1"/>
  <c r="AF83" i="1"/>
  <c r="AC83" i="1"/>
  <c r="AB83" i="1"/>
  <c r="Z83" i="1"/>
  <c r="P83" i="1"/>
  <c r="BF83" i="1" s="1"/>
  <c r="L83" i="1"/>
  <c r="AL83" i="1" s="1"/>
  <c r="BW81" i="1"/>
  <c r="BJ81" i="1"/>
  <c r="BD81" i="1"/>
  <c r="AP81" i="1"/>
  <c r="AX81" i="1" s="1"/>
  <c r="AO81" i="1"/>
  <c r="AW81" i="1" s="1"/>
  <c r="AK81" i="1"/>
  <c r="AJ81" i="1"/>
  <c r="AH81" i="1"/>
  <c r="AG81" i="1"/>
  <c r="AF81" i="1"/>
  <c r="AC81" i="1"/>
  <c r="AB81" i="1"/>
  <c r="Z81" i="1"/>
  <c r="P81" i="1"/>
  <c r="BF81" i="1" s="1"/>
  <c r="L81" i="1"/>
  <c r="AL81" i="1" s="1"/>
  <c r="BW79" i="1"/>
  <c r="BJ79" i="1"/>
  <c r="BD79" i="1"/>
  <c r="AP79" i="1"/>
  <c r="BI79" i="1" s="1"/>
  <c r="AE79" i="1" s="1"/>
  <c r="AO79" i="1"/>
  <c r="BH79" i="1" s="1"/>
  <c r="AD79" i="1" s="1"/>
  <c r="AK79" i="1"/>
  <c r="AJ79" i="1"/>
  <c r="AH79" i="1"/>
  <c r="AG79" i="1"/>
  <c r="AF79" i="1"/>
  <c r="AC79" i="1"/>
  <c r="AB79" i="1"/>
  <c r="Z79" i="1"/>
  <c r="P79" i="1"/>
  <c r="BF79" i="1" s="1"/>
  <c r="L79" i="1"/>
  <c r="BW78" i="1"/>
  <c r="BJ78" i="1"/>
  <c r="BD78" i="1"/>
  <c r="AP78" i="1"/>
  <c r="AO78" i="1"/>
  <c r="BH78" i="1" s="1"/>
  <c r="AD78" i="1" s="1"/>
  <c r="AK78" i="1"/>
  <c r="AJ78" i="1"/>
  <c r="AH78" i="1"/>
  <c r="AG78" i="1"/>
  <c r="AF78" i="1"/>
  <c r="AC78" i="1"/>
  <c r="AB78" i="1"/>
  <c r="Z78" i="1"/>
  <c r="P78" i="1"/>
  <c r="BF78" i="1" s="1"/>
  <c r="L78" i="1"/>
  <c r="BW77" i="1"/>
  <c r="BJ77" i="1"/>
  <c r="BD77" i="1"/>
  <c r="AP77" i="1"/>
  <c r="AX77" i="1" s="1"/>
  <c r="AO77" i="1"/>
  <c r="AK77" i="1"/>
  <c r="AJ77" i="1"/>
  <c r="AH77" i="1"/>
  <c r="AG77" i="1"/>
  <c r="AF77" i="1"/>
  <c r="AC77" i="1"/>
  <c r="AB77" i="1"/>
  <c r="Z77" i="1"/>
  <c r="P77" i="1"/>
  <c r="BF77" i="1" s="1"/>
  <c r="L77" i="1"/>
  <c r="AL77" i="1" s="1"/>
  <c r="BW76" i="1"/>
  <c r="BJ76" i="1"/>
  <c r="BD76" i="1"/>
  <c r="AP76" i="1"/>
  <c r="BI76" i="1" s="1"/>
  <c r="AE76" i="1" s="1"/>
  <c r="AO76" i="1"/>
  <c r="BH76" i="1" s="1"/>
  <c r="AD76" i="1" s="1"/>
  <c r="AK76" i="1"/>
  <c r="AJ76" i="1"/>
  <c r="AH76" i="1"/>
  <c r="AG76" i="1"/>
  <c r="AF76" i="1"/>
  <c r="AC76" i="1"/>
  <c r="AB76" i="1"/>
  <c r="Z76" i="1"/>
  <c r="P76" i="1"/>
  <c r="BF76" i="1" s="1"/>
  <c r="L76" i="1"/>
  <c r="AL76" i="1" s="1"/>
  <c r="BW75" i="1"/>
  <c r="BJ75" i="1"/>
  <c r="BD75" i="1"/>
  <c r="AP75" i="1"/>
  <c r="BI75" i="1" s="1"/>
  <c r="AE75" i="1" s="1"/>
  <c r="AO75" i="1"/>
  <c r="AW75" i="1" s="1"/>
  <c r="AK75" i="1"/>
  <c r="AJ75" i="1"/>
  <c r="AH75" i="1"/>
  <c r="AG75" i="1"/>
  <c r="AF75" i="1"/>
  <c r="AC75" i="1"/>
  <c r="AB75" i="1"/>
  <c r="Z75" i="1"/>
  <c r="P75" i="1"/>
  <c r="BF75" i="1" s="1"/>
  <c r="L75" i="1"/>
  <c r="BW74" i="1"/>
  <c r="BJ74" i="1"/>
  <c r="BD74" i="1"/>
  <c r="AP74" i="1"/>
  <c r="K74" i="1" s="1"/>
  <c r="AO74" i="1"/>
  <c r="BH74" i="1" s="1"/>
  <c r="AD74" i="1" s="1"/>
  <c r="AK74" i="1"/>
  <c r="AJ74" i="1"/>
  <c r="AH74" i="1"/>
  <c r="AG74" i="1"/>
  <c r="AF74" i="1"/>
  <c r="AC74" i="1"/>
  <c r="AB74" i="1"/>
  <c r="Z74" i="1"/>
  <c r="P74" i="1"/>
  <c r="BF74" i="1" s="1"/>
  <c r="L74" i="1"/>
  <c r="BW73" i="1"/>
  <c r="BJ73" i="1"/>
  <c r="BD73" i="1"/>
  <c r="AP73" i="1"/>
  <c r="K73" i="1" s="1"/>
  <c r="AO73" i="1"/>
  <c r="BH73" i="1" s="1"/>
  <c r="AD73" i="1" s="1"/>
  <c r="AK73" i="1"/>
  <c r="AJ73" i="1"/>
  <c r="AH73" i="1"/>
  <c r="AG73" i="1"/>
  <c r="AF73" i="1"/>
  <c r="AC73" i="1"/>
  <c r="AB73" i="1"/>
  <c r="Z73" i="1"/>
  <c r="P73" i="1"/>
  <c r="BF73" i="1" s="1"/>
  <c r="L73" i="1"/>
  <c r="AL73" i="1" s="1"/>
  <c r="BW72" i="1"/>
  <c r="BJ72" i="1"/>
  <c r="BD72" i="1"/>
  <c r="AP72" i="1"/>
  <c r="BI72" i="1" s="1"/>
  <c r="AE72" i="1" s="1"/>
  <c r="AO72" i="1"/>
  <c r="AW72" i="1" s="1"/>
  <c r="AK72" i="1"/>
  <c r="AJ72" i="1"/>
  <c r="AH72" i="1"/>
  <c r="AG72" i="1"/>
  <c r="AF72" i="1"/>
  <c r="AC72" i="1"/>
  <c r="AB72" i="1"/>
  <c r="Z72" i="1"/>
  <c r="P72" i="1"/>
  <c r="BF72" i="1" s="1"/>
  <c r="L72" i="1"/>
  <c r="BW71" i="1"/>
  <c r="BJ71" i="1"/>
  <c r="BD71" i="1"/>
  <c r="AP71" i="1"/>
  <c r="AX71" i="1" s="1"/>
  <c r="AO71" i="1"/>
  <c r="J71" i="1" s="1"/>
  <c r="AK71" i="1"/>
  <c r="AJ71" i="1"/>
  <c r="AH71" i="1"/>
  <c r="AG71" i="1"/>
  <c r="AF71" i="1"/>
  <c r="AC71" i="1"/>
  <c r="AB71" i="1"/>
  <c r="Z71" i="1"/>
  <c r="P71" i="1"/>
  <c r="BF71" i="1" s="1"/>
  <c r="L71" i="1"/>
  <c r="BW70" i="1"/>
  <c r="BJ70" i="1"/>
  <c r="BD70" i="1"/>
  <c r="AP70" i="1"/>
  <c r="AX70" i="1" s="1"/>
  <c r="AO70" i="1"/>
  <c r="BH70" i="1" s="1"/>
  <c r="AD70" i="1" s="1"/>
  <c r="AK70" i="1"/>
  <c r="AJ70" i="1"/>
  <c r="AH70" i="1"/>
  <c r="AG70" i="1"/>
  <c r="AF70" i="1"/>
  <c r="AC70" i="1"/>
  <c r="AB70" i="1"/>
  <c r="Z70" i="1"/>
  <c r="P70" i="1"/>
  <c r="BF70" i="1" s="1"/>
  <c r="L70" i="1"/>
  <c r="BW69" i="1"/>
  <c r="BJ69" i="1"/>
  <c r="BD69" i="1"/>
  <c r="AP69" i="1"/>
  <c r="AX69" i="1" s="1"/>
  <c r="AO69" i="1"/>
  <c r="AW69" i="1" s="1"/>
  <c r="AK69" i="1"/>
  <c r="AJ69" i="1"/>
  <c r="AH69" i="1"/>
  <c r="AG69" i="1"/>
  <c r="AF69" i="1"/>
  <c r="AC69" i="1"/>
  <c r="AB69" i="1"/>
  <c r="Z69" i="1"/>
  <c r="P69" i="1"/>
  <c r="BF69" i="1" s="1"/>
  <c r="L69" i="1"/>
  <c r="AL69" i="1" s="1"/>
  <c r="BW68" i="1"/>
  <c r="BJ68" i="1"/>
  <c r="BD68" i="1"/>
  <c r="AP68" i="1"/>
  <c r="BI68" i="1" s="1"/>
  <c r="AE68" i="1" s="1"/>
  <c r="AO68" i="1"/>
  <c r="BH68" i="1" s="1"/>
  <c r="AD68" i="1" s="1"/>
  <c r="AK68" i="1"/>
  <c r="AJ68" i="1"/>
  <c r="AH68" i="1"/>
  <c r="AG68" i="1"/>
  <c r="AF68" i="1"/>
  <c r="AC68" i="1"/>
  <c r="AB68" i="1"/>
  <c r="Z68" i="1"/>
  <c r="P68" i="1"/>
  <c r="BF68" i="1" s="1"/>
  <c r="L68" i="1"/>
  <c r="AL68" i="1" s="1"/>
  <c r="BW67" i="1"/>
  <c r="BJ67" i="1"/>
  <c r="BD67" i="1"/>
  <c r="AP67" i="1"/>
  <c r="AX67" i="1" s="1"/>
  <c r="AO67" i="1"/>
  <c r="AW67" i="1" s="1"/>
  <c r="AK67" i="1"/>
  <c r="AJ67" i="1"/>
  <c r="AH67" i="1"/>
  <c r="AG67" i="1"/>
  <c r="AF67" i="1"/>
  <c r="AC67" i="1"/>
  <c r="AB67" i="1"/>
  <c r="Z67" i="1"/>
  <c r="P67" i="1"/>
  <c r="BF67" i="1" s="1"/>
  <c r="L67" i="1"/>
  <c r="AL67" i="1" s="1"/>
  <c r="BW66" i="1"/>
  <c r="BJ66" i="1"/>
  <c r="BD66" i="1"/>
  <c r="AP66" i="1"/>
  <c r="BI66" i="1" s="1"/>
  <c r="AE66" i="1" s="1"/>
  <c r="AO66" i="1"/>
  <c r="BH66" i="1" s="1"/>
  <c r="AD66" i="1" s="1"/>
  <c r="AK66" i="1"/>
  <c r="AJ66" i="1"/>
  <c r="AH66" i="1"/>
  <c r="AG66" i="1"/>
  <c r="AF66" i="1"/>
  <c r="AC66" i="1"/>
  <c r="AB66" i="1"/>
  <c r="Z66" i="1"/>
  <c r="P66" i="1"/>
  <c r="BF66" i="1" s="1"/>
  <c r="L66" i="1"/>
  <c r="BW65" i="1"/>
  <c r="BJ65" i="1"/>
  <c r="BD65" i="1"/>
  <c r="AP65" i="1"/>
  <c r="BI65" i="1" s="1"/>
  <c r="AE65" i="1" s="1"/>
  <c r="AO65" i="1"/>
  <c r="BH65" i="1" s="1"/>
  <c r="AD65" i="1" s="1"/>
  <c r="AK65" i="1"/>
  <c r="AJ65" i="1"/>
  <c r="AH65" i="1"/>
  <c r="AG65" i="1"/>
  <c r="AF65" i="1"/>
  <c r="AC65" i="1"/>
  <c r="AB65" i="1"/>
  <c r="Z65" i="1"/>
  <c r="P65" i="1"/>
  <c r="BF65" i="1" s="1"/>
  <c r="L65" i="1"/>
  <c r="AL65" i="1" s="1"/>
  <c r="BW64" i="1"/>
  <c r="BJ64" i="1"/>
  <c r="BD64" i="1"/>
  <c r="AP64" i="1"/>
  <c r="AX64" i="1" s="1"/>
  <c r="AO64" i="1"/>
  <c r="AW64" i="1" s="1"/>
  <c r="AK64" i="1"/>
  <c r="AJ64" i="1"/>
  <c r="AH64" i="1"/>
  <c r="AG64" i="1"/>
  <c r="AF64" i="1"/>
  <c r="AC64" i="1"/>
  <c r="AB64" i="1"/>
  <c r="Z64" i="1"/>
  <c r="P64" i="1"/>
  <c r="BF64" i="1" s="1"/>
  <c r="L64" i="1"/>
  <c r="BW63" i="1"/>
  <c r="BJ63" i="1"/>
  <c r="BD63" i="1"/>
  <c r="AP63" i="1"/>
  <c r="BI63" i="1" s="1"/>
  <c r="AE63" i="1" s="1"/>
  <c r="AO63" i="1"/>
  <c r="BH63" i="1" s="1"/>
  <c r="AD63" i="1" s="1"/>
  <c r="AK63" i="1"/>
  <c r="AJ63" i="1"/>
  <c r="AH63" i="1"/>
  <c r="AG63" i="1"/>
  <c r="AF63" i="1"/>
  <c r="AC63" i="1"/>
  <c r="AB63" i="1"/>
  <c r="Z63" i="1"/>
  <c r="P63" i="1"/>
  <c r="BF63" i="1" s="1"/>
  <c r="L63" i="1"/>
  <c r="AL63" i="1" s="1"/>
  <c r="BW62" i="1"/>
  <c r="BJ62" i="1"/>
  <c r="BD62" i="1"/>
  <c r="AP62" i="1"/>
  <c r="AX62" i="1" s="1"/>
  <c r="AO62" i="1"/>
  <c r="AK62" i="1"/>
  <c r="AJ62" i="1"/>
  <c r="AH62" i="1"/>
  <c r="AG62" i="1"/>
  <c r="AF62" i="1"/>
  <c r="AC62" i="1"/>
  <c r="AB62" i="1"/>
  <c r="Z62" i="1"/>
  <c r="P62" i="1"/>
  <c r="BF62" i="1" s="1"/>
  <c r="L62" i="1"/>
  <c r="AL62" i="1" s="1"/>
  <c r="BW61" i="1"/>
  <c r="BJ61" i="1"/>
  <c r="BD61" i="1"/>
  <c r="AP61" i="1"/>
  <c r="BI61" i="1" s="1"/>
  <c r="AE61" i="1" s="1"/>
  <c r="AO61" i="1"/>
  <c r="AW61" i="1" s="1"/>
  <c r="AK61" i="1"/>
  <c r="AJ61" i="1"/>
  <c r="AH61" i="1"/>
  <c r="AG61" i="1"/>
  <c r="AF61" i="1"/>
  <c r="AC61" i="1"/>
  <c r="AB61" i="1"/>
  <c r="Z61" i="1"/>
  <c r="P61" i="1"/>
  <c r="BF61" i="1" s="1"/>
  <c r="L61" i="1"/>
  <c r="BW60" i="1"/>
  <c r="BJ60" i="1"/>
  <c r="BD60" i="1"/>
  <c r="AP60" i="1"/>
  <c r="BI60" i="1" s="1"/>
  <c r="AE60" i="1" s="1"/>
  <c r="AO60" i="1"/>
  <c r="BH60" i="1" s="1"/>
  <c r="AD60" i="1" s="1"/>
  <c r="AK60" i="1"/>
  <c r="AJ60" i="1"/>
  <c r="AH60" i="1"/>
  <c r="AG60" i="1"/>
  <c r="AF60" i="1"/>
  <c r="AC60" i="1"/>
  <c r="AB60" i="1"/>
  <c r="Z60" i="1"/>
  <c r="P60" i="1"/>
  <c r="BF60" i="1" s="1"/>
  <c r="L60" i="1"/>
  <c r="AL60" i="1" s="1"/>
  <c r="BW59" i="1"/>
  <c r="BJ59" i="1"/>
  <c r="BD59" i="1"/>
  <c r="AP59" i="1"/>
  <c r="AX59" i="1" s="1"/>
  <c r="AO59" i="1"/>
  <c r="BH59" i="1" s="1"/>
  <c r="AD59" i="1" s="1"/>
  <c r="AK59" i="1"/>
  <c r="AJ59" i="1"/>
  <c r="AH59" i="1"/>
  <c r="AG59" i="1"/>
  <c r="AF59" i="1"/>
  <c r="AC59" i="1"/>
  <c r="AB59" i="1"/>
  <c r="Z59" i="1"/>
  <c r="P59" i="1"/>
  <c r="BF59" i="1" s="1"/>
  <c r="L59" i="1"/>
  <c r="AL59" i="1" s="1"/>
  <c r="BW58" i="1"/>
  <c r="BJ58" i="1"/>
  <c r="BD58" i="1"/>
  <c r="AP58" i="1"/>
  <c r="BI58" i="1" s="1"/>
  <c r="AE58" i="1" s="1"/>
  <c r="AO58" i="1"/>
  <c r="AK58" i="1"/>
  <c r="AJ58" i="1"/>
  <c r="AH58" i="1"/>
  <c r="AG58" i="1"/>
  <c r="AF58" i="1"/>
  <c r="AC58" i="1"/>
  <c r="AB58" i="1"/>
  <c r="Z58" i="1"/>
  <c r="P58" i="1"/>
  <c r="BF58" i="1" s="1"/>
  <c r="L58" i="1"/>
  <c r="BW57" i="1"/>
  <c r="BJ57" i="1"/>
  <c r="BD57" i="1"/>
  <c r="AP57" i="1"/>
  <c r="AX57" i="1" s="1"/>
  <c r="AO57" i="1"/>
  <c r="J57" i="1" s="1"/>
  <c r="AK57" i="1"/>
  <c r="AJ57" i="1"/>
  <c r="AH57" i="1"/>
  <c r="AG57" i="1"/>
  <c r="AF57" i="1"/>
  <c r="AC57" i="1"/>
  <c r="AB57" i="1"/>
  <c r="Z57" i="1"/>
  <c r="P57" i="1"/>
  <c r="BF57" i="1" s="1"/>
  <c r="L57" i="1"/>
  <c r="AL57" i="1" s="1"/>
  <c r="BW55" i="1"/>
  <c r="BJ55" i="1"/>
  <c r="BD55" i="1"/>
  <c r="AP55" i="1"/>
  <c r="AX55" i="1" s="1"/>
  <c r="AO55" i="1"/>
  <c r="AW55" i="1" s="1"/>
  <c r="AK55" i="1"/>
  <c r="AJ55" i="1"/>
  <c r="AH55" i="1"/>
  <c r="AG55" i="1"/>
  <c r="AF55" i="1"/>
  <c r="AC55" i="1"/>
  <c r="AB55" i="1"/>
  <c r="Z55" i="1"/>
  <c r="P55" i="1"/>
  <c r="BF55" i="1" s="1"/>
  <c r="L55" i="1"/>
  <c r="AL55" i="1" s="1"/>
  <c r="BW53" i="1"/>
  <c r="BJ53" i="1"/>
  <c r="BD53" i="1"/>
  <c r="AP53" i="1"/>
  <c r="BI53" i="1" s="1"/>
  <c r="AE53" i="1" s="1"/>
  <c r="AO53" i="1"/>
  <c r="BH53" i="1" s="1"/>
  <c r="AD53" i="1" s="1"/>
  <c r="AK53" i="1"/>
  <c r="AJ53" i="1"/>
  <c r="AH53" i="1"/>
  <c r="AG53" i="1"/>
  <c r="AF53" i="1"/>
  <c r="AC53" i="1"/>
  <c r="AB53" i="1"/>
  <c r="Z53" i="1"/>
  <c r="P53" i="1"/>
  <c r="BF53" i="1" s="1"/>
  <c r="L53" i="1"/>
  <c r="AL53" i="1" s="1"/>
  <c r="BW51" i="1"/>
  <c r="BJ51" i="1"/>
  <c r="BD51" i="1"/>
  <c r="AP51" i="1"/>
  <c r="BI51" i="1" s="1"/>
  <c r="AE51" i="1" s="1"/>
  <c r="AO51" i="1"/>
  <c r="AW51" i="1" s="1"/>
  <c r="AK51" i="1"/>
  <c r="AJ51" i="1"/>
  <c r="AH51" i="1"/>
  <c r="AG51" i="1"/>
  <c r="AF51" i="1"/>
  <c r="AC51" i="1"/>
  <c r="AB51" i="1"/>
  <c r="Z51" i="1"/>
  <c r="P51" i="1"/>
  <c r="BF51" i="1" s="1"/>
  <c r="L51" i="1"/>
  <c r="AL51" i="1" s="1"/>
  <c r="BW49" i="1"/>
  <c r="BJ49" i="1"/>
  <c r="BD49" i="1"/>
  <c r="AP49" i="1"/>
  <c r="AX49" i="1" s="1"/>
  <c r="AO49" i="1"/>
  <c r="AW49" i="1" s="1"/>
  <c r="AK49" i="1"/>
  <c r="AJ49" i="1"/>
  <c r="AH49" i="1"/>
  <c r="AG49" i="1"/>
  <c r="AF49" i="1"/>
  <c r="AE49" i="1"/>
  <c r="AD49" i="1"/>
  <c r="Z49" i="1"/>
  <c r="P49" i="1"/>
  <c r="BF49" i="1" s="1"/>
  <c r="L49" i="1"/>
  <c r="AL49" i="1" s="1"/>
  <c r="BW47" i="1"/>
  <c r="BJ47" i="1"/>
  <c r="BD47" i="1"/>
  <c r="AP47" i="1"/>
  <c r="BI47" i="1" s="1"/>
  <c r="AC47" i="1" s="1"/>
  <c r="AO47" i="1"/>
  <c r="BH47" i="1" s="1"/>
  <c r="AB47" i="1" s="1"/>
  <c r="AK47" i="1"/>
  <c r="AJ47" i="1"/>
  <c r="AH47" i="1"/>
  <c r="AG47" i="1"/>
  <c r="AF47" i="1"/>
  <c r="AE47" i="1"/>
  <c r="AD47" i="1"/>
  <c r="Z47" i="1"/>
  <c r="P47" i="1"/>
  <c r="BF47" i="1" s="1"/>
  <c r="L47" i="1"/>
  <c r="BW44" i="1"/>
  <c r="BJ44" i="1"/>
  <c r="BD44" i="1"/>
  <c r="AP44" i="1"/>
  <c r="AX44" i="1" s="1"/>
  <c r="AO44" i="1"/>
  <c r="J44" i="1" s="1"/>
  <c r="AK44" i="1"/>
  <c r="AJ44" i="1"/>
  <c r="AH44" i="1"/>
  <c r="AG44" i="1"/>
  <c r="AF44" i="1"/>
  <c r="AE44" i="1"/>
  <c r="AD44" i="1"/>
  <c r="Z44" i="1"/>
  <c r="P44" i="1"/>
  <c r="BF44" i="1" s="1"/>
  <c r="L44" i="1"/>
  <c r="AL44" i="1" s="1"/>
  <c r="BW42" i="1"/>
  <c r="BJ42" i="1"/>
  <c r="BD42" i="1"/>
  <c r="AP42" i="1"/>
  <c r="AX42" i="1" s="1"/>
  <c r="AO42" i="1"/>
  <c r="AW42" i="1" s="1"/>
  <c r="AK42" i="1"/>
  <c r="AJ42" i="1"/>
  <c r="AH42" i="1"/>
  <c r="AG42" i="1"/>
  <c r="AF42" i="1"/>
  <c r="AE42" i="1"/>
  <c r="AD42" i="1"/>
  <c r="Z42" i="1"/>
  <c r="P42" i="1"/>
  <c r="BF42" i="1" s="1"/>
  <c r="L42" i="1"/>
  <c r="BW40" i="1"/>
  <c r="BJ40" i="1"/>
  <c r="BD40" i="1"/>
  <c r="AP40" i="1"/>
  <c r="BI40" i="1" s="1"/>
  <c r="AC40" i="1" s="1"/>
  <c r="AO40" i="1"/>
  <c r="BH40" i="1" s="1"/>
  <c r="AB40" i="1" s="1"/>
  <c r="AK40" i="1"/>
  <c r="AJ40" i="1"/>
  <c r="AH40" i="1"/>
  <c r="AG40" i="1"/>
  <c r="AF40" i="1"/>
  <c r="AE40" i="1"/>
  <c r="AD40" i="1"/>
  <c r="Z40" i="1"/>
  <c r="P40" i="1"/>
  <c r="BF40" i="1" s="1"/>
  <c r="L40" i="1"/>
  <c r="AL40" i="1" s="1"/>
  <c r="BW38" i="1"/>
  <c r="BJ38" i="1"/>
  <c r="BD38" i="1"/>
  <c r="AP38" i="1"/>
  <c r="BI38" i="1" s="1"/>
  <c r="AC38" i="1" s="1"/>
  <c r="AO38" i="1"/>
  <c r="AW38" i="1" s="1"/>
  <c r="AK38" i="1"/>
  <c r="AJ38" i="1"/>
  <c r="AH38" i="1"/>
  <c r="AG38" i="1"/>
  <c r="AF38" i="1"/>
  <c r="AE38" i="1"/>
  <c r="AD38" i="1"/>
  <c r="Z38" i="1"/>
  <c r="P38" i="1"/>
  <c r="BF38" i="1" s="1"/>
  <c r="L38" i="1"/>
  <c r="BW36" i="1"/>
  <c r="BJ36" i="1"/>
  <c r="BD36" i="1"/>
  <c r="AP36" i="1"/>
  <c r="K36" i="1" s="1"/>
  <c r="AO36" i="1"/>
  <c r="AW36" i="1" s="1"/>
  <c r="AK36" i="1"/>
  <c r="AJ36" i="1"/>
  <c r="AH36" i="1"/>
  <c r="AG36" i="1"/>
  <c r="AF36" i="1"/>
  <c r="AE36" i="1"/>
  <c r="AD36" i="1"/>
  <c r="Z36" i="1"/>
  <c r="P36" i="1"/>
  <c r="L36" i="1"/>
  <c r="BW33" i="1"/>
  <c r="BJ33" i="1"/>
  <c r="BD33" i="1"/>
  <c r="AP33" i="1"/>
  <c r="BI33" i="1" s="1"/>
  <c r="AC33" i="1" s="1"/>
  <c r="AO33" i="1"/>
  <c r="BH33" i="1" s="1"/>
  <c r="AB33" i="1" s="1"/>
  <c r="AK33" i="1"/>
  <c r="AJ33" i="1"/>
  <c r="AH33" i="1"/>
  <c r="AG33" i="1"/>
  <c r="AF33" i="1"/>
  <c r="AE33" i="1"/>
  <c r="AD33" i="1"/>
  <c r="Z33" i="1"/>
  <c r="P33" i="1"/>
  <c r="BF33" i="1" s="1"/>
  <c r="L33" i="1"/>
  <c r="AL33" i="1" s="1"/>
  <c r="BW31" i="1"/>
  <c r="BJ31" i="1"/>
  <c r="BD31" i="1"/>
  <c r="AP31" i="1"/>
  <c r="BI31" i="1" s="1"/>
  <c r="AC31" i="1" s="1"/>
  <c r="AO31" i="1"/>
  <c r="AW31" i="1" s="1"/>
  <c r="AK31" i="1"/>
  <c r="AJ31" i="1"/>
  <c r="AH31" i="1"/>
  <c r="AG31" i="1"/>
  <c r="AF31" i="1"/>
  <c r="AE31" i="1"/>
  <c r="AD31" i="1"/>
  <c r="Z31" i="1"/>
  <c r="P31" i="1"/>
  <c r="BF31" i="1" s="1"/>
  <c r="L31" i="1"/>
  <c r="BW29" i="1"/>
  <c r="BJ29" i="1"/>
  <c r="BD29" i="1"/>
  <c r="AP29" i="1"/>
  <c r="K29" i="1" s="1"/>
  <c r="AO29" i="1"/>
  <c r="BH29" i="1" s="1"/>
  <c r="AB29" i="1" s="1"/>
  <c r="AK29" i="1"/>
  <c r="AJ29" i="1"/>
  <c r="AH29" i="1"/>
  <c r="AG29" i="1"/>
  <c r="AF29" i="1"/>
  <c r="AE29" i="1"/>
  <c r="AD29" i="1"/>
  <c r="Z29" i="1"/>
  <c r="P29" i="1"/>
  <c r="BF29" i="1" s="1"/>
  <c r="L29" i="1"/>
  <c r="M29" i="1" s="1"/>
  <c r="BW27" i="1"/>
  <c r="BJ27" i="1"/>
  <c r="BD27" i="1"/>
  <c r="AP27" i="1"/>
  <c r="K27" i="1" s="1"/>
  <c r="AO27" i="1"/>
  <c r="BH27" i="1" s="1"/>
  <c r="AB27" i="1" s="1"/>
  <c r="AK27" i="1"/>
  <c r="AJ27" i="1"/>
  <c r="AH27" i="1"/>
  <c r="AG27" i="1"/>
  <c r="AF27" i="1"/>
  <c r="AE27" i="1"/>
  <c r="AD27" i="1"/>
  <c r="Z27" i="1"/>
  <c r="P27" i="1"/>
  <c r="BF27" i="1" s="1"/>
  <c r="L27" i="1"/>
  <c r="AL27" i="1" s="1"/>
  <c r="BW26" i="1"/>
  <c r="BJ26" i="1"/>
  <c r="BD26" i="1"/>
  <c r="AP26" i="1"/>
  <c r="AX26" i="1" s="1"/>
  <c r="AO26" i="1"/>
  <c r="AW26" i="1" s="1"/>
  <c r="AK26" i="1"/>
  <c r="AJ26" i="1"/>
  <c r="AH26" i="1"/>
  <c r="AG26" i="1"/>
  <c r="AF26" i="1"/>
  <c r="AE26" i="1"/>
  <c r="AD26" i="1"/>
  <c r="Z26" i="1"/>
  <c r="P26" i="1"/>
  <c r="BF26" i="1" s="1"/>
  <c r="L26" i="1"/>
  <c r="BW24" i="1"/>
  <c r="BJ24" i="1"/>
  <c r="BD24" i="1"/>
  <c r="AP24" i="1"/>
  <c r="BI24" i="1" s="1"/>
  <c r="AC24" i="1" s="1"/>
  <c r="AO24" i="1"/>
  <c r="J24" i="1" s="1"/>
  <c r="AK24" i="1"/>
  <c r="AJ24" i="1"/>
  <c r="AH24" i="1"/>
  <c r="AG24" i="1"/>
  <c r="AF24" i="1"/>
  <c r="AE24" i="1"/>
  <c r="AD24" i="1"/>
  <c r="Z24" i="1"/>
  <c r="P24" i="1"/>
  <c r="BF24" i="1" s="1"/>
  <c r="L24" i="1"/>
  <c r="BW22" i="1"/>
  <c r="BJ22" i="1"/>
  <c r="BD22" i="1"/>
  <c r="AP22" i="1"/>
  <c r="AX22" i="1" s="1"/>
  <c r="AO22" i="1"/>
  <c r="J22" i="1" s="1"/>
  <c r="AK22" i="1"/>
  <c r="AJ22" i="1"/>
  <c r="AH22" i="1"/>
  <c r="AG22" i="1"/>
  <c r="AF22" i="1"/>
  <c r="AE22" i="1"/>
  <c r="AD22" i="1"/>
  <c r="Z22" i="1"/>
  <c r="P22" i="1"/>
  <c r="BF22" i="1" s="1"/>
  <c r="L22" i="1"/>
  <c r="AL22" i="1" s="1"/>
  <c r="BW20" i="1"/>
  <c r="BJ20" i="1"/>
  <c r="BD20" i="1"/>
  <c r="AP20" i="1"/>
  <c r="BI20" i="1" s="1"/>
  <c r="AC20" i="1" s="1"/>
  <c r="AO20" i="1"/>
  <c r="AW20" i="1" s="1"/>
  <c r="AK20" i="1"/>
  <c r="AJ20" i="1"/>
  <c r="AH20" i="1"/>
  <c r="AG20" i="1"/>
  <c r="AF20" i="1"/>
  <c r="AE20" i="1"/>
  <c r="AD20" i="1"/>
  <c r="Z20" i="1"/>
  <c r="P20" i="1"/>
  <c r="BF20" i="1" s="1"/>
  <c r="L20" i="1"/>
  <c r="AL20" i="1" s="1"/>
  <c r="BW17" i="1"/>
  <c r="BJ17" i="1"/>
  <c r="BD17" i="1"/>
  <c r="AP17" i="1"/>
  <c r="BI17" i="1" s="1"/>
  <c r="AC17" i="1" s="1"/>
  <c r="AO17" i="1"/>
  <c r="J17" i="1" s="1"/>
  <c r="AK17" i="1"/>
  <c r="AJ17" i="1"/>
  <c r="AH17" i="1"/>
  <c r="AG17" i="1"/>
  <c r="AF17" i="1"/>
  <c r="AE17" i="1"/>
  <c r="AD17" i="1"/>
  <c r="Z17" i="1"/>
  <c r="P17" i="1"/>
  <c r="BF17" i="1" s="1"/>
  <c r="L17" i="1"/>
  <c r="AL17" i="1" s="1"/>
  <c r="BW15" i="1"/>
  <c r="BJ15" i="1"/>
  <c r="BD15" i="1"/>
  <c r="AP15" i="1"/>
  <c r="AX15" i="1" s="1"/>
  <c r="AO15" i="1"/>
  <c r="BH15" i="1" s="1"/>
  <c r="AB15" i="1" s="1"/>
  <c r="AK15" i="1"/>
  <c r="AJ15" i="1"/>
  <c r="AH15" i="1"/>
  <c r="AG15" i="1"/>
  <c r="AF15" i="1"/>
  <c r="AE15" i="1"/>
  <c r="AD15" i="1"/>
  <c r="Z15" i="1"/>
  <c r="P15" i="1"/>
  <c r="BF15" i="1" s="1"/>
  <c r="L15" i="1"/>
  <c r="AL15" i="1" s="1"/>
  <c r="BW13" i="1"/>
  <c r="BJ13" i="1"/>
  <c r="BD13" i="1"/>
  <c r="AP13" i="1"/>
  <c r="K13" i="1" s="1"/>
  <c r="AO13" i="1"/>
  <c r="BH13" i="1" s="1"/>
  <c r="AB13" i="1" s="1"/>
  <c r="AK13" i="1"/>
  <c r="AJ13" i="1"/>
  <c r="AH13" i="1"/>
  <c r="AG13" i="1"/>
  <c r="AF13" i="1"/>
  <c r="AE13" i="1"/>
  <c r="AD13" i="1"/>
  <c r="Z13" i="1"/>
  <c r="P13" i="1"/>
  <c r="BF13" i="1" s="1"/>
  <c r="L13" i="1"/>
  <c r="AU1" i="1"/>
  <c r="AT1" i="1"/>
  <c r="AS1" i="1"/>
  <c r="AT221" i="1" l="1"/>
  <c r="J211" i="1"/>
  <c r="K208" i="1"/>
  <c r="J190" i="1"/>
  <c r="J136" i="1"/>
  <c r="K69" i="1"/>
  <c r="AW15" i="1"/>
  <c r="BC15" i="1" s="1"/>
  <c r="L46" i="1"/>
  <c r="F14" i="2" s="1"/>
  <c r="I14" i="2" s="1"/>
  <c r="AS46" i="1"/>
  <c r="M89" i="1"/>
  <c r="M178" i="1"/>
  <c r="M196" i="1"/>
  <c r="M247" i="1"/>
  <c r="J15" i="1"/>
  <c r="K97" i="1"/>
  <c r="AS221" i="1"/>
  <c r="J236" i="1"/>
  <c r="BC64" i="1"/>
  <c r="M211" i="1"/>
  <c r="M91" i="1"/>
  <c r="M111" i="1"/>
  <c r="K121" i="1"/>
  <c r="M133" i="1"/>
  <c r="M261" i="1"/>
  <c r="K66" i="1"/>
  <c r="M271" i="1"/>
  <c r="J63" i="1"/>
  <c r="K64" i="1"/>
  <c r="K174" i="1"/>
  <c r="J176" i="1"/>
  <c r="J177" i="1"/>
  <c r="J178" i="1"/>
  <c r="J181" i="1"/>
  <c r="J180" i="1" s="1"/>
  <c r="D18" i="2" s="1"/>
  <c r="AW214" i="1"/>
  <c r="M97" i="1"/>
  <c r="J85" i="1"/>
  <c r="AW151" i="1"/>
  <c r="AW236" i="1"/>
  <c r="BI113" i="1"/>
  <c r="AE113" i="1" s="1"/>
  <c r="AV121" i="1"/>
  <c r="AX148" i="1"/>
  <c r="J246" i="1"/>
  <c r="J284" i="1"/>
  <c r="BI15" i="1"/>
  <c r="AC15" i="1" s="1"/>
  <c r="AW17" i="1"/>
  <c r="AX20" i="1"/>
  <c r="AV20" i="1" s="1"/>
  <c r="AW27" i="1"/>
  <c r="AX29" i="1"/>
  <c r="AX95" i="1"/>
  <c r="M177" i="1"/>
  <c r="AX178" i="1"/>
  <c r="BC178" i="1" s="1"/>
  <c r="K209" i="1"/>
  <c r="K212" i="1"/>
  <c r="AS233" i="1"/>
  <c r="J241" i="1"/>
  <c r="BC42" i="1"/>
  <c r="J202" i="1"/>
  <c r="M222" i="1"/>
  <c r="AX234" i="1"/>
  <c r="J26" i="1"/>
  <c r="J27" i="1"/>
  <c r="AS35" i="1"/>
  <c r="BC151" i="1"/>
  <c r="K178" i="1"/>
  <c r="BH178" i="1"/>
  <c r="AD178" i="1" s="1"/>
  <c r="K17" i="1"/>
  <c r="K126" i="1"/>
  <c r="BI148" i="1"/>
  <c r="AE148" i="1" s="1"/>
  <c r="AW184" i="1"/>
  <c r="AX190" i="1"/>
  <c r="BH229" i="1"/>
  <c r="AD229" i="1" s="1"/>
  <c r="BI259" i="1"/>
  <c r="AX272" i="1"/>
  <c r="AW277" i="1"/>
  <c r="K91" i="1"/>
  <c r="BH134" i="1"/>
  <c r="AD134" i="1" s="1"/>
  <c r="J146" i="1"/>
  <c r="J151" i="1"/>
  <c r="J184" i="1"/>
  <c r="J229" i="1"/>
  <c r="BI239" i="1"/>
  <c r="AC239" i="1" s="1"/>
  <c r="AW246" i="1"/>
  <c r="K256" i="1"/>
  <c r="AV15" i="1"/>
  <c r="AT46" i="1"/>
  <c r="AV49" i="1"/>
  <c r="J59" i="1"/>
  <c r="J60" i="1"/>
  <c r="J61" i="1"/>
  <c r="M64" i="1"/>
  <c r="AW78" i="1"/>
  <c r="J134" i="1"/>
  <c r="K184" i="1"/>
  <c r="K190" i="1"/>
  <c r="AW216" i="1"/>
  <c r="K236" i="1"/>
  <c r="K272" i="1"/>
  <c r="AX79" i="1"/>
  <c r="AX87" i="1"/>
  <c r="M192" i="1"/>
  <c r="J216" i="1"/>
  <c r="J220" i="1"/>
  <c r="J247" i="1"/>
  <c r="K261" i="1"/>
  <c r="AW266" i="1"/>
  <c r="M274" i="1"/>
  <c r="M284" i="1"/>
  <c r="K22" i="1"/>
  <c r="AX33" i="1"/>
  <c r="M58" i="1"/>
  <c r="AW106" i="1"/>
  <c r="BI127" i="1"/>
  <c r="AE127" i="1" s="1"/>
  <c r="M168" i="1"/>
  <c r="K169" i="1"/>
  <c r="M216" i="1"/>
  <c r="J231" i="1"/>
  <c r="M231" i="1"/>
  <c r="K249" i="1"/>
  <c r="M250" i="1"/>
  <c r="J263" i="1"/>
  <c r="M24" i="1"/>
  <c r="M26" i="1"/>
  <c r="BI87" i="1"/>
  <c r="AE87" i="1" s="1"/>
  <c r="AX88" i="1"/>
  <c r="AW95" i="1"/>
  <c r="J130" i="1"/>
  <c r="K134" i="1"/>
  <c r="AW211" i="1"/>
  <c r="K231" i="1"/>
  <c r="K234" i="1"/>
  <c r="K31" i="1"/>
  <c r="J33" i="1"/>
  <c r="P46" i="1"/>
  <c r="G14" i="2" s="1"/>
  <c r="AW65" i="1"/>
  <c r="K79" i="1"/>
  <c r="J121" i="1"/>
  <c r="AW141" i="1"/>
  <c r="AV141" i="1" s="1"/>
  <c r="AX149" i="1"/>
  <c r="M179" i="1"/>
  <c r="J201" i="1"/>
  <c r="J235" i="1"/>
  <c r="AX256" i="1"/>
  <c r="K33" i="1"/>
  <c r="J40" i="1"/>
  <c r="J42" i="1"/>
  <c r="J95" i="1"/>
  <c r="J125" i="1"/>
  <c r="M134" i="1"/>
  <c r="AX174" i="1"/>
  <c r="AX184" i="1"/>
  <c r="AV184" i="1" s="1"/>
  <c r="J207" i="1"/>
  <c r="P268" i="1"/>
  <c r="G25" i="2" s="1"/>
  <c r="J36" i="1"/>
  <c r="M38" i="1"/>
  <c r="J47" i="1"/>
  <c r="K49" i="1"/>
  <c r="K71" i="1"/>
  <c r="K72" i="1"/>
  <c r="J73" i="1"/>
  <c r="J74" i="1"/>
  <c r="J75" i="1"/>
  <c r="K88" i="1"/>
  <c r="M122" i="1"/>
  <c r="M145" i="1"/>
  <c r="M146" i="1"/>
  <c r="AW22" i="1"/>
  <c r="AV22" i="1" s="1"/>
  <c r="M121" i="1"/>
  <c r="K140" i="1"/>
  <c r="K141" i="1"/>
  <c r="K149" i="1"/>
  <c r="M156" i="1"/>
  <c r="BH168" i="1"/>
  <c r="AD168" i="1" s="1"/>
  <c r="AX169" i="1"/>
  <c r="AX220" i="1"/>
  <c r="AS270" i="1"/>
  <c r="AW194" i="1"/>
  <c r="AW279" i="1"/>
  <c r="K42" i="1"/>
  <c r="AX53" i="1"/>
  <c r="BC55" i="1"/>
  <c r="M61" i="1"/>
  <c r="K63" i="1"/>
  <c r="M72" i="1"/>
  <c r="M74" i="1"/>
  <c r="K75" i="1"/>
  <c r="AL89" i="1"/>
  <c r="AW101" i="1"/>
  <c r="AX111" i="1"/>
  <c r="K136" i="1"/>
  <c r="K144" i="1"/>
  <c r="AW146" i="1"/>
  <c r="K151" i="1"/>
  <c r="K160" i="1"/>
  <c r="K161" i="1"/>
  <c r="AX200" i="1"/>
  <c r="AX204" i="1"/>
  <c r="M209" i="1"/>
  <c r="K222" i="1"/>
  <c r="AT233" i="1"/>
  <c r="K244" i="1"/>
  <c r="AX248" i="1"/>
  <c r="K250" i="1"/>
  <c r="J256" i="1"/>
  <c r="K263" i="1"/>
  <c r="K274" i="1"/>
  <c r="M277" i="1"/>
  <c r="AX279" i="1"/>
  <c r="AV279" i="1" s="1"/>
  <c r="K120" i="1"/>
  <c r="M123" i="1"/>
  <c r="J29" i="1"/>
  <c r="M42" i="1"/>
  <c r="J49" i="1"/>
  <c r="AW68" i="1"/>
  <c r="K76" i="1"/>
  <c r="AW83" i="1"/>
  <c r="AV89" i="1"/>
  <c r="K129" i="1"/>
  <c r="M136" i="1"/>
  <c r="AX140" i="1"/>
  <c r="K145" i="1"/>
  <c r="J155" i="1"/>
  <c r="J157" i="1"/>
  <c r="M161" i="1"/>
  <c r="M162" i="1"/>
  <c r="J169" i="1"/>
  <c r="K192" i="1"/>
  <c r="J194" i="1"/>
  <c r="M202" i="1"/>
  <c r="P203" i="1"/>
  <c r="G20" i="2" s="1"/>
  <c r="AX208" i="1"/>
  <c r="BC208" i="1" s="1"/>
  <c r="J251" i="1"/>
  <c r="AL261" i="1"/>
  <c r="J20" i="1"/>
  <c r="K77" i="1"/>
  <c r="AL141" i="1"/>
  <c r="K179" i="1"/>
  <c r="K194" i="1"/>
  <c r="J200" i="1"/>
  <c r="AW201" i="1"/>
  <c r="J204" i="1"/>
  <c r="J223" i="1"/>
  <c r="AL234" i="1"/>
  <c r="K235" i="1"/>
  <c r="BI248" i="1"/>
  <c r="AC248" i="1" s="1"/>
  <c r="J269" i="1"/>
  <c r="J268" i="1" s="1"/>
  <c r="D25" i="2" s="1"/>
  <c r="M125" i="1"/>
  <c r="AX263" i="1"/>
  <c r="K15" i="1"/>
  <c r="K12" i="1" s="1"/>
  <c r="E11" i="2" s="1"/>
  <c r="K20" i="1"/>
  <c r="J31" i="1"/>
  <c r="AX38" i="1"/>
  <c r="AV38" i="1" s="1"/>
  <c r="J51" i="1"/>
  <c r="K53" i="1"/>
  <c r="BI57" i="1"/>
  <c r="AE57" i="1" s="1"/>
  <c r="AX60" i="1"/>
  <c r="M66" i="1"/>
  <c r="K67" i="1"/>
  <c r="J68" i="1"/>
  <c r="M79" i="1"/>
  <c r="K81" i="1"/>
  <c r="J83" i="1"/>
  <c r="J89" i="1"/>
  <c r="AX91" i="1"/>
  <c r="J101" i="1"/>
  <c r="J106" i="1"/>
  <c r="K111" i="1"/>
  <c r="BH140" i="1"/>
  <c r="AD140" i="1" s="1"/>
  <c r="J170" i="1"/>
  <c r="J174" i="1"/>
  <c r="K196" i="1"/>
  <c r="K200" i="1"/>
  <c r="K204" i="1"/>
  <c r="J208" i="1"/>
  <c r="K216" i="1"/>
  <c r="J226" i="1"/>
  <c r="K228" i="1"/>
  <c r="AL274" i="1"/>
  <c r="M279" i="1"/>
  <c r="AW284" i="1"/>
  <c r="AV284" i="1" s="1"/>
  <c r="AX136" i="1"/>
  <c r="M20" i="1"/>
  <c r="BH26" i="1"/>
  <c r="AB26" i="1" s="1"/>
  <c r="K55" i="1"/>
  <c r="BI62" i="1"/>
  <c r="AE62" i="1" s="1"/>
  <c r="BI70" i="1"/>
  <c r="AE70" i="1" s="1"/>
  <c r="K89" i="1"/>
  <c r="AV95" i="1"/>
  <c r="K107" i="1"/>
  <c r="K113" i="1"/>
  <c r="AW126" i="1"/>
  <c r="AW128" i="1"/>
  <c r="J133" i="1"/>
  <c r="J147" i="1"/>
  <c r="K170" i="1"/>
  <c r="J218" i="1"/>
  <c r="AX249" i="1"/>
  <c r="AV249" i="1" s="1"/>
  <c r="M264" i="1"/>
  <c r="L270" i="1"/>
  <c r="F26" i="2" s="1"/>
  <c r="I26" i="2" s="1"/>
  <c r="M272" i="1"/>
  <c r="AX17" i="1"/>
  <c r="AV17" i="1" s="1"/>
  <c r="K26" i="1"/>
  <c r="K38" i="1"/>
  <c r="M55" i="1"/>
  <c r="K59" i="1"/>
  <c r="AX63" i="1"/>
  <c r="K70" i="1"/>
  <c r="AX76" i="1"/>
  <c r="J120" i="1"/>
  <c r="AW120" i="1"/>
  <c r="BC120" i="1" s="1"/>
  <c r="K123" i="1"/>
  <c r="K125" i="1"/>
  <c r="J126" i="1"/>
  <c r="AX129" i="1"/>
  <c r="AW136" i="1"/>
  <c r="J141" i="1"/>
  <c r="AX145" i="1"/>
  <c r="BC145" i="1" s="1"/>
  <c r="AX222" i="1"/>
  <c r="AW263" i="1"/>
  <c r="BC263" i="1" s="1"/>
  <c r="AT270" i="1"/>
  <c r="AX274" i="1"/>
  <c r="BH17" i="1"/>
  <c r="AB17" i="1" s="1"/>
  <c r="AW29" i="1"/>
  <c r="M31" i="1"/>
  <c r="M53" i="1"/>
  <c r="AW60" i="1"/>
  <c r="M62" i="1"/>
  <c r="AL64" i="1"/>
  <c r="M69" i="1"/>
  <c r="AL72" i="1"/>
  <c r="AX73" i="1"/>
  <c r="M77" i="1"/>
  <c r="M83" i="1"/>
  <c r="AX125" i="1"/>
  <c r="AV125" i="1" s="1"/>
  <c r="M126" i="1"/>
  <c r="AT96" i="1"/>
  <c r="BI132" i="1"/>
  <c r="AE132" i="1" s="1"/>
  <c r="AW145" i="1"/>
  <c r="M149" i="1"/>
  <c r="AX155" i="1"/>
  <c r="AL156" i="1"/>
  <c r="AL161" i="1"/>
  <c r="AW169" i="1"/>
  <c r="AW186" i="1"/>
  <c r="M190" i="1"/>
  <c r="AL192" i="1"/>
  <c r="AW204" i="1"/>
  <c r="AW218" i="1"/>
  <c r="M228" i="1"/>
  <c r="AW231" i="1"/>
  <c r="AL250" i="1"/>
  <c r="BH250" i="1"/>
  <c r="AB250" i="1" s="1"/>
  <c r="M15" i="1"/>
  <c r="AW24" i="1"/>
  <c r="AW33" i="1"/>
  <c r="P35" i="1"/>
  <c r="G13" i="2" s="1"/>
  <c r="AT35" i="1"/>
  <c r="J38" i="1"/>
  <c r="AL42" i="1"/>
  <c r="AX58" i="1"/>
  <c r="K68" i="1"/>
  <c r="AX68" i="1"/>
  <c r="BI71" i="1"/>
  <c r="AE71" i="1" s="1"/>
  <c r="M73" i="1"/>
  <c r="BI73" i="1"/>
  <c r="AE73" i="1" s="1"/>
  <c r="AW74" i="1"/>
  <c r="M88" i="1"/>
  <c r="AX101" i="1"/>
  <c r="AV101" i="1" s="1"/>
  <c r="M104" i="1"/>
  <c r="M107" i="1"/>
  <c r="M115" i="1"/>
  <c r="AX119" i="1"/>
  <c r="AX120" i="1"/>
  <c r="BH121" i="1"/>
  <c r="AW122" i="1"/>
  <c r="BH125" i="1"/>
  <c r="AD125" i="1" s="1"/>
  <c r="M157" i="1"/>
  <c r="M160" i="1"/>
  <c r="AX168" i="1"/>
  <c r="BC168" i="1" s="1"/>
  <c r="M170" i="1"/>
  <c r="AW176" i="1"/>
  <c r="J186" i="1"/>
  <c r="AL190" i="1"/>
  <c r="J192" i="1"/>
  <c r="M207" i="1"/>
  <c r="BH223" i="1"/>
  <c r="AD223" i="1" s="1"/>
  <c r="AX226" i="1"/>
  <c r="AL228" i="1"/>
  <c r="BH235" i="1"/>
  <c r="AF235" i="1" s="1"/>
  <c r="K241" i="1"/>
  <c r="AW241" i="1"/>
  <c r="J250" i="1"/>
  <c r="AW251" i="1"/>
  <c r="M259" i="1"/>
  <c r="M263" i="1"/>
  <c r="AX271" i="1"/>
  <c r="M276" i="1"/>
  <c r="K281" i="1"/>
  <c r="AW283" i="1"/>
  <c r="AW13" i="1"/>
  <c r="AX24" i="1"/>
  <c r="BI29" i="1"/>
  <c r="AC29" i="1" s="1"/>
  <c r="BH38" i="1"/>
  <c r="AB38" i="1" s="1"/>
  <c r="M40" i="1"/>
  <c r="AW47" i="1"/>
  <c r="M49" i="1"/>
  <c r="M60" i="1"/>
  <c r="M63" i="1"/>
  <c r="AX72" i="1"/>
  <c r="AX74" i="1"/>
  <c r="BI81" i="1"/>
  <c r="AE81" i="1" s="1"/>
  <c r="M90" i="1"/>
  <c r="AW93" i="1"/>
  <c r="M95" i="1"/>
  <c r="M101" i="1"/>
  <c r="AW102" i="1"/>
  <c r="AX106" i="1"/>
  <c r="AL125" i="1"/>
  <c r="BH128" i="1"/>
  <c r="AD128" i="1" s="1"/>
  <c r="BH133" i="1"/>
  <c r="AD133" i="1" s="1"/>
  <c r="K138" i="1"/>
  <c r="BI138" i="1"/>
  <c r="M140" i="1"/>
  <c r="AW149" i="1"/>
  <c r="AV149" i="1" s="1"/>
  <c r="AW156" i="1"/>
  <c r="J161" i="1"/>
  <c r="AW161" i="1"/>
  <c r="AV161" i="1" s="1"/>
  <c r="M166" i="1"/>
  <c r="BI171" i="1"/>
  <c r="AE171" i="1" s="1"/>
  <c r="AW205" i="1"/>
  <c r="BH214" i="1"/>
  <c r="AD214" i="1" s="1"/>
  <c r="AL216" i="1"/>
  <c r="K229" i="1"/>
  <c r="AX229" i="1"/>
  <c r="BC229" i="1" s="1"/>
  <c r="AX241" i="1"/>
  <c r="K246" i="1"/>
  <c r="AX246" i="1"/>
  <c r="AV246" i="1" s="1"/>
  <c r="AW255" i="1"/>
  <c r="M256" i="1"/>
  <c r="AW257" i="1"/>
  <c r="AX261" i="1"/>
  <c r="AV261" i="1" s="1"/>
  <c r="M273" i="1"/>
  <c r="K277" i="1"/>
  <c r="M281" i="1"/>
  <c r="AS12" i="1"/>
  <c r="AX27" i="1"/>
  <c r="AS19" i="1"/>
  <c r="K47" i="1"/>
  <c r="K46" i="1" s="1"/>
  <c r="E14" i="2" s="1"/>
  <c r="AX47" i="1"/>
  <c r="J53" i="1"/>
  <c r="AW53" i="1"/>
  <c r="K58" i="1"/>
  <c r="AL66" i="1"/>
  <c r="J67" i="1"/>
  <c r="M68" i="1"/>
  <c r="AX97" i="1"/>
  <c r="K106" i="1"/>
  <c r="K119" i="1"/>
  <c r="AX123" i="1"/>
  <c r="M130" i="1"/>
  <c r="AW132" i="1"/>
  <c r="J149" i="1"/>
  <c r="M151" i="1"/>
  <c r="AL155" i="1"/>
  <c r="J156" i="1"/>
  <c r="K168" i="1"/>
  <c r="K171" i="1"/>
  <c r="AX192" i="1"/>
  <c r="AV192" i="1" s="1"/>
  <c r="K211" i="1"/>
  <c r="AX211" i="1"/>
  <c r="M223" i="1"/>
  <c r="M221" i="1" s="1"/>
  <c r="BI226" i="1"/>
  <c r="AE226" i="1" s="1"/>
  <c r="M235" i="1"/>
  <c r="AL247" i="1"/>
  <c r="BI253" i="1"/>
  <c r="AC253" i="1" s="1"/>
  <c r="J257" i="1"/>
  <c r="BI265" i="1"/>
  <c r="AW269" i="1"/>
  <c r="K271" i="1"/>
  <c r="K283" i="1"/>
  <c r="AT12" i="1"/>
  <c r="K24" i="1"/>
  <c r="BH24" i="1"/>
  <c r="AB24" i="1" s="1"/>
  <c r="AT19" i="1"/>
  <c r="AX31" i="1"/>
  <c r="BC31" i="1" s="1"/>
  <c r="AX36" i="1"/>
  <c r="BC36" i="1" s="1"/>
  <c r="BH67" i="1"/>
  <c r="AD67" i="1" s="1"/>
  <c r="M76" i="1"/>
  <c r="AX83" i="1"/>
  <c r="M120" i="1"/>
  <c r="M127" i="1"/>
  <c r="J132" i="1"/>
  <c r="AX132" i="1"/>
  <c r="AX144" i="1"/>
  <c r="AL145" i="1"/>
  <c r="M176" i="1"/>
  <c r="AW177" i="1"/>
  <c r="AX179" i="1"/>
  <c r="J188" i="1"/>
  <c r="M194" i="1"/>
  <c r="AW200" i="1"/>
  <c r="BC200" i="1" s="1"/>
  <c r="J205" i="1"/>
  <c r="AX228" i="1"/>
  <c r="AV228" i="1" s="1"/>
  <c r="M229" i="1"/>
  <c r="AT225" i="1"/>
  <c r="BH239" i="1"/>
  <c r="AB239" i="1" s="1"/>
  <c r="AW245" i="1"/>
  <c r="AX250" i="1"/>
  <c r="BC250" i="1" s="1"/>
  <c r="M251" i="1"/>
  <c r="BH255" i="1"/>
  <c r="AB255" i="1" s="1"/>
  <c r="M283" i="1"/>
  <c r="BI27" i="1"/>
  <c r="AC27" i="1" s="1"/>
  <c r="AW40" i="1"/>
  <c r="AS50" i="1"/>
  <c r="BI67" i="1"/>
  <c r="AE67" i="1" s="1"/>
  <c r="BH69" i="1"/>
  <c r="AD69" i="1" s="1"/>
  <c r="AW88" i="1"/>
  <c r="BC88" i="1" s="1"/>
  <c r="J93" i="1"/>
  <c r="J102" i="1"/>
  <c r="AW115" i="1"/>
  <c r="AS96" i="1"/>
  <c r="AX126" i="1"/>
  <c r="AL133" i="1"/>
  <c r="P139" i="1"/>
  <c r="G17" i="2" s="1"/>
  <c r="M169" i="1"/>
  <c r="AW174" i="1"/>
  <c r="AV174" i="1" s="1"/>
  <c r="AL178" i="1"/>
  <c r="AW207" i="1"/>
  <c r="AL208" i="1"/>
  <c r="AX209" i="1"/>
  <c r="AL222" i="1"/>
  <c r="AU221" i="1" s="1"/>
  <c r="K223" i="1"/>
  <c r="M241" i="1"/>
  <c r="BI244" i="1"/>
  <c r="AC244" i="1" s="1"/>
  <c r="AT243" i="1"/>
  <c r="M249" i="1"/>
  <c r="M257" i="1"/>
  <c r="M269" i="1"/>
  <c r="M268" i="1" s="1"/>
  <c r="P270" i="1"/>
  <c r="G26" i="2" s="1"/>
  <c r="AX276" i="1"/>
  <c r="L12" i="1"/>
  <c r="F11" i="2" s="1"/>
  <c r="I11" i="2" s="1"/>
  <c r="BH31" i="1"/>
  <c r="AB31" i="1" s="1"/>
  <c r="M33" i="1"/>
  <c r="BI36" i="1"/>
  <c r="AC36" i="1" s="1"/>
  <c r="K40" i="1"/>
  <c r="AX40" i="1"/>
  <c r="BH42" i="1"/>
  <c r="AB42" i="1" s="1"/>
  <c r="AL47" i="1"/>
  <c r="AU46" i="1" s="1"/>
  <c r="M47" i="1"/>
  <c r="AL58" i="1"/>
  <c r="AW63" i="1"/>
  <c r="AX66" i="1"/>
  <c r="AW73" i="1"/>
  <c r="AX75" i="1"/>
  <c r="AV75" i="1" s="1"/>
  <c r="J88" i="1"/>
  <c r="BH89" i="1"/>
  <c r="AW90" i="1"/>
  <c r="M106" i="1"/>
  <c r="AW109" i="1"/>
  <c r="AX115" i="1"/>
  <c r="AW130" i="1"/>
  <c r="M132" i="1"/>
  <c r="AX134" i="1"/>
  <c r="AV134" i="1" s="1"/>
  <c r="J140" i="1"/>
  <c r="M152" i="1"/>
  <c r="AW155" i="1"/>
  <c r="BC155" i="1" s="1"/>
  <c r="AX160" i="1"/>
  <c r="AL168" i="1"/>
  <c r="AW170" i="1"/>
  <c r="M188" i="1"/>
  <c r="BH192" i="1"/>
  <c r="AD192" i="1" s="1"/>
  <c r="AX216" i="1"/>
  <c r="AX223" i="1"/>
  <c r="AV223" i="1" s="1"/>
  <c r="AX235" i="1"/>
  <c r="BC235" i="1" s="1"/>
  <c r="M236" i="1"/>
  <c r="M246" i="1"/>
  <c r="AW247" i="1"/>
  <c r="BH249" i="1"/>
  <c r="AB249" i="1" s="1"/>
  <c r="AW256" i="1"/>
  <c r="J264" i="1"/>
  <c r="AW264" i="1"/>
  <c r="AL271" i="1"/>
  <c r="AW273" i="1"/>
  <c r="K276" i="1"/>
  <c r="BC67" i="1"/>
  <c r="AV67" i="1"/>
  <c r="BC69" i="1"/>
  <c r="AV69" i="1"/>
  <c r="AL78" i="1"/>
  <c r="M78" i="1"/>
  <c r="M85" i="1"/>
  <c r="AL85" i="1"/>
  <c r="M99" i="1"/>
  <c r="AL99" i="1"/>
  <c r="M17" i="1"/>
  <c r="M36" i="1"/>
  <c r="L35" i="1"/>
  <c r="F13" i="2" s="1"/>
  <c r="I13" i="2" s="1"/>
  <c r="P12" i="1"/>
  <c r="G11" i="2" s="1"/>
  <c r="BC24" i="1"/>
  <c r="M27" i="1"/>
  <c r="M51" i="1"/>
  <c r="M22" i="1"/>
  <c r="BF36" i="1"/>
  <c r="AW44" i="1"/>
  <c r="AV55" i="1"/>
  <c r="AW59" i="1"/>
  <c r="AL61" i="1"/>
  <c r="AV64" i="1"/>
  <c r="AW129" i="1"/>
  <c r="J129" i="1"/>
  <c r="BH129" i="1"/>
  <c r="AD129" i="1" s="1"/>
  <c r="AX247" i="1"/>
  <c r="K247" i="1"/>
  <c r="BI247" i="1"/>
  <c r="AC247" i="1" s="1"/>
  <c r="C27" i="3"/>
  <c r="AL29" i="1"/>
  <c r="AV42" i="1"/>
  <c r="BC49" i="1"/>
  <c r="M57" i="1"/>
  <c r="AW57" i="1"/>
  <c r="K62" i="1"/>
  <c r="AW66" i="1"/>
  <c r="J66" i="1"/>
  <c r="J69" i="1"/>
  <c r="AL70" i="1"/>
  <c r="M70" i="1"/>
  <c r="AL74" i="1"/>
  <c r="AW76" i="1"/>
  <c r="AX85" i="1"/>
  <c r="AV85" i="1" s="1"/>
  <c r="K85" i="1"/>
  <c r="BI85" i="1"/>
  <c r="AE85" i="1" s="1"/>
  <c r="M87" i="1"/>
  <c r="AX93" i="1"/>
  <c r="BI93" i="1"/>
  <c r="AE93" i="1" s="1"/>
  <c r="AX117" i="1"/>
  <c r="BC117" i="1" s="1"/>
  <c r="K117" i="1"/>
  <c r="BI117" i="1"/>
  <c r="AE117" i="1" s="1"/>
  <c r="M119" i="1"/>
  <c r="AL239" i="1"/>
  <c r="M239" i="1"/>
  <c r="L233" i="1"/>
  <c r="F23" i="2" s="1"/>
  <c r="I23" i="2" s="1"/>
  <c r="AW179" i="1"/>
  <c r="BH179" i="1"/>
  <c r="AD179" i="1" s="1"/>
  <c r="K188" i="1"/>
  <c r="AX188" i="1"/>
  <c r="BI188" i="1"/>
  <c r="AE188" i="1" s="1"/>
  <c r="AW124" i="1"/>
  <c r="BH124" i="1"/>
  <c r="AD124" i="1" s="1"/>
  <c r="AX51" i="1"/>
  <c r="AV51" i="1" s="1"/>
  <c r="J55" i="1"/>
  <c r="C20" i="3"/>
  <c r="K44" i="1"/>
  <c r="P50" i="1"/>
  <c r="G15" i="2" s="1"/>
  <c r="M59" i="1"/>
  <c r="J76" i="1"/>
  <c r="C28" i="3"/>
  <c r="F28" i="3" s="1"/>
  <c r="BH22" i="1"/>
  <c r="AB22" i="1" s="1"/>
  <c r="BI26" i="1"/>
  <c r="AC26" i="1" s="1"/>
  <c r="AL31" i="1"/>
  <c r="AL36" i="1"/>
  <c r="AL38" i="1"/>
  <c r="M44" i="1"/>
  <c r="BH51" i="1"/>
  <c r="AD51" i="1" s="1"/>
  <c r="AX61" i="1"/>
  <c r="BC61" i="1" s="1"/>
  <c r="K61" i="1"/>
  <c r="AW71" i="1"/>
  <c r="K78" i="1"/>
  <c r="AX78" i="1"/>
  <c r="AV78" i="1" s="1"/>
  <c r="BI78" i="1"/>
  <c r="AE78" i="1" s="1"/>
  <c r="J81" i="1"/>
  <c r="AX99" i="1"/>
  <c r="BI99" i="1"/>
  <c r="AE99" i="1" s="1"/>
  <c r="K109" i="1"/>
  <c r="AX109" i="1"/>
  <c r="AV109" i="1" s="1"/>
  <c r="BI109" i="1"/>
  <c r="AE109" i="1" s="1"/>
  <c r="J113" i="1"/>
  <c r="AW123" i="1"/>
  <c r="J123" i="1"/>
  <c r="BH123" i="1"/>
  <c r="AD123" i="1" s="1"/>
  <c r="M124" i="1"/>
  <c r="AL124" i="1"/>
  <c r="M138" i="1"/>
  <c r="M244" i="1"/>
  <c r="AL244" i="1"/>
  <c r="L243" i="1"/>
  <c r="F24" i="2" s="1"/>
  <c r="I24" i="2" s="1"/>
  <c r="BI13" i="1"/>
  <c r="AC13" i="1" s="1"/>
  <c r="K51" i="1"/>
  <c r="K143" i="1"/>
  <c r="AX143" i="1"/>
  <c r="BI143" i="1"/>
  <c r="AE143" i="1" s="1"/>
  <c r="AW58" i="1"/>
  <c r="J58" i="1"/>
  <c r="L96" i="1"/>
  <c r="F16" i="2" s="1"/>
  <c r="I16" i="2" s="1"/>
  <c r="K57" i="1"/>
  <c r="J64" i="1"/>
  <c r="M65" i="1"/>
  <c r="M102" i="1"/>
  <c r="AL102" i="1"/>
  <c r="J179" i="1"/>
  <c r="L50" i="1"/>
  <c r="F15" i="2" s="1"/>
  <c r="I15" i="2" s="1"/>
  <c r="BC81" i="1"/>
  <c r="AV81" i="1"/>
  <c r="BC113" i="1"/>
  <c r="AV113" i="1"/>
  <c r="C21" i="3"/>
  <c r="J13" i="1"/>
  <c r="AL13" i="1"/>
  <c r="AU12" i="1" s="1"/>
  <c r="BH20" i="1"/>
  <c r="AB20" i="1" s="1"/>
  <c r="BI22" i="1"/>
  <c r="AC22" i="1" s="1"/>
  <c r="AL26" i="1"/>
  <c r="BH44" i="1"/>
  <c r="AB44" i="1" s="1"/>
  <c r="AT50" i="1"/>
  <c r="BH58" i="1"/>
  <c r="AD58" i="1" s="1"/>
  <c r="BH64" i="1"/>
  <c r="AD64" i="1" s="1"/>
  <c r="M67" i="1"/>
  <c r="BH72" i="1"/>
  <c r="AD72" i="1" s="1"/>
  <c r="AW79" i="1"/>
  <c r="J79" i="1"/>
  <c r="K93" i="1"/>
  <c r="J99" i="1"/>
  <c r="AW99" i="1"/>
  <c r="AW111" i="1"/>
  <c r="J111" i="1"/>
  <c r="BH160" i="1"/>
  <c r="AD160" i="1" s="1"/>
  <c r="AW160" i="1"/>
  <c r="J160" i="1"/>
  <c r="AL75" i="1"/>
  <c r="M75" i="1"/>
  <c r="AW97" i="1"/>
  <c r="J97" i="1"/>
  <c r="BH97" i="1"/>
  <c r="AD97" i="1" s="1"/>
  <c r="AL109" i="1"/>
  <c r="M109" i="1"/>
  <c r="M117" i="1"/>
  <c r="AL117" i="1"/>
  <c r="M13" i="1"/>
  <c r="BC26" i="1"/>
  <c r="AV26" i="1"/>
  <c r="BC72" i="1"/>
  <c r="AV72" i="1"/>
  <c r="AW77" i="1"/>
  <c r="BH77" i="1"/>
  <c r="AD77" i="1" s="1"/>
  <c r="AX104" i="1"/>
  <c r="K104" i="1"/>
  <c r="AW107" i="1"/>
  <c r="BH107" i="1"/>
  <c r="AD107" i="1" s="1"/>
  <c r="J107" i="1"/>
  <c r="L19" i="1"/>
  <c r="F12" i="2" s="1"/>
  <c r="I12" i="2" s="1"/>
  <c r="J62" i="1"/>
  <c r="AW62" i="1"/>
  <c r="AX124" i="1"/>
  <c r="BI124" i="1"/>
  <c r="AE124" i="1" s="1"/>
  <c r="AL158" i="1"/>
  <c r="M158" i="1"/>
  <c r="L139" i="1"/>
  <c r="F17" i="2" s="1"/>
  <c r="I17" i="2" s="1"/>
  <c r="AX13" i="1"/>
  <c r="P19" i="1"/>
  <c r="G12" i="2" s="1"/>
  <c r="J72" i="1"/>
  <c r="J77" i="1"/>
  <c r="J124" i="1"/>
  <c r="BI44" i="1"/>
  <c r="AC44" i="1" s="1"/>
  <c r="BH49" i="1"/>
  <c r="AB49" i="1" s="1"/>
  <c r="BH55" i="1"/>
  <c r="AD55" i="1" s="1"/>
  <c r="BH57" i="1"/>
  <c r="AD57" i="1" s="1"/>
  <c r="BI59" i="1"/>
  <c r="AE59" i="1" s="1"/>
  <c r="BH62" i="1"/>
  <c r="AD62" i="1" s="1"/>
  <c r="K65" i="1"/>
  <c r="AX65" i="1"/>
  <c r="BC68" i="1"/>
  <c r="J70" i="1"/>
  <c r="AW70" i="1"/>
  <c r="BH71" i="1"/>
  <c r="AD71" i="1" s="1"/>
  <c r="BH81" i="1"/>
  <c r="AD81" i="1" s="1"/>
  <c r="M93" i="1"/>
  <c r="AL93" i="1"/>
  <c r="BH113" i="1"/>
  <c r="AD113" i="1" s="1"/>
  <c r="J127" i="1"/>
  <c r="AW127" i="1"/>
  <c r="BH127" i="1"/>
  <c r="AD127" i="1" s="1"/>
  <c r="J198" i="1"/>
  <c r="AW198" i="1"/>
  <c r="BH198" i="1"/>
  <c r="AD198" i="1" s="1"/>
  <c r="M218" i="1"/>
  <c r="AL218" i="1"/>
  <c r="AL24" i="1"/>
  <c r="BH36" i="1"/>
  <c r="AB36" i="1" s="1"/>
  <c r="BI42" i="1"/>
  <c r="AC42" i="1" s="1"/>
  <c r="BI49" i="1"/>
  <c r="AC49" i="1" s="1"/>
  <c r="BI55" i="1"/>
  <c r="AE55" i="1" s="1"/>
  <c r="BH61" i="1"/>
  <c r="AD61" i="1" s="1"/>
  <c r="BI64" i="1"/>
  <c r="AE64" i="1" s="1"/>
  <c r="K90" i="1"/>
  <c r="AX90" i="1"/>
  <c r="J104" i="1"/>
  <c r="AW104" i="1"/>
  <c r="AX133" i="1"/>
  <c r="BC133" i="1" s="1"/>
  <c r="K133" i="1"/>
  <c r="K122" i="1"/>
  <c r="AX122" i="1"/>
  <c r="AT139" i="1"/>
  <c r="AS139" i="1"/>
  <c r="AV155" i="1"/>
  <c r="AX157" i="1"/>
  <c r="AV157" i="1" s="1"/>
  <c r="K157" i="1"/>
  <c r="BH164" i="1"/>
  <c r="AD164" i="1" s="1"/>
  <c r="AW164" i="1"/>
  <c r="J164" i="1"/>
  <c r="L180" i="1"/>
  <c r="F18" i="2" s="1"/>
  <c r="I18" i="2" s="1"/>
  <c r="AL181" i="1"/>
  <c r="AU180" i="1" s="1"/>
  <c r="M181" i="1"/>
  <c r="M180" i="1" s="1"/>
  <c r="M71" i="1"/>
  <c r="AL71" i="1"/>
  <c r="BI74" i="1"/>
  <c r="AE74" i="1" s="1"/>
  <c r="BH75" i="1"/>
  <c r="AD75" i="1" s="1"/>
  <c r="BC89" i="1"/>
  <c r="AX102" i="1"/>
  <c r="K102" i="1"/>
  <c r="J119" i="1"/>
  <c r="AW119" i="1"/>
  <c r="AX128" i="1"/>
  <c r="BC128" i="1" s="1"/>
  <c r="K128" i="1"/>
  <c r="AL143" i="1"/>
  <c r="M143" i="1"/>
  <c r="AL148" i="1"/>
  <c r="M148" i="1"/>
  <c r="J158" i="1"/>
  <c r="AW158" i="1"/>
  <c r="BH158" i="1"/>
  <c r="AD158" i="1" s="1"/>
  <c r="BI164" i="1"/>
  <c r="AE164" i="1" s="1"/>
  <c r="AX164" i="1"/>
  <c r="AX214" i="1"/>
  <c r="K214" i="1"/>
  <c r="AW253" i="1"/>
  <c r="J253" i="1"/>
  <c r="BH253" i="1"/>
  <c r="AB253" i="1" s="1"/>
  <c r="K60" i="1"/>
  <c r="J65" i="1"/>
  <c r="M81" i="1"/>
  <c r="J87" i="1"/>
  <c r="AW87" i="1"/>
  <c r="P96" i="1"/>
  <c r="G16" i="2" s="1"/>
  <c r="BF97" i="1"/>
  <c r="M113" i="1"/>
  <c r="BC115" i="1"/>
  <c r="BC121" i="1"/>
  <c r="AV151" i="1"/>
  <c r="AX153" i="1"/>
  <c r="BI157" i="1"/>
  <c r="AE157" i="1" s="1"/>
  <c r="BI158" i="1"/>
  <c r="AE158" i="1" s="1"/>
  <c r="K158" i="1"/>
  <c r="K177" i="1"/>
  <c r="AX177" i="1"/>
  <c r="BI177" i="1"/>
  <c r="AE177" i="1" s="1"/>
  <c r="AS183" i="1"/>
  <c r="AL248" i="1"/>
  <c r="M248" i="1"/>
  <c r="AW91" i="1"/>
  <c r="J91" i="1"/>
  <c r="BI133" i="1"/>
  <c r="AE133" i="1" s="1"/>
  <c r="AV140" i="1"/>
  <c r="BC140" i="1"/>
  <c r="M144" i="1"/>
  <c r="AL144" i="1"/>
  <c r="AX147" i="1"/>
  <c r="BC147" i="1" s="1"/>
  <c r="K147" i="1"/>
  <c r="BI147" i="1"/>
  <c r="AE147" i="1" s="1"/>
  <c r="K153" i="1"/>
  <c r="K181" i="1"/>
  <c r="K180" i="1" s="1"/>
  <c r="E18" i="2" s="1"/>
  <c r="AX181" i="1"/>
  <c r="BF184" i="1"/>
  <c r="P183" i="1"/>
  <c r="G19" i="2" s="1"/>
  <c r="AT183" i="1"/>
  <c r="AX201" i="1"/>
  <c r="K201" i="1"/>
  <c r="K207" i="1"/>
  <c r="AX207" i="1"/>
  <c r="BI207" i="1"/>
  <c r="AE207" i="1" s="1"/>
  <c r="BI69" i="1"/>
  <c r="AE69" i="1" s="1"/>
  <c r="BI77" i="1"/>
  <c r="AE77" i="1" s="1"/>
  <c r="AL79" i="1"/>
  <c r="BH85" i="1"/>
  <c r="AD85" i="1" s="1"/>
  <c r="BI89" i="1"/>
  <c r="AL91" i="1"/>
  <c r="AL97" i="1"/>
  <c r="BI107" i="1"/>
  <c r="AE107" i="1" s="1"/>
  <c r="AL111" i="1"/>
  <c r="BH117" i="1"/>
  <c r="AD117" i="1" s="1"/>
  <c r="BI121" i="1"/>
  <c r="AL123" i="1"/>
  <c r="BH145" i="1"/>
  <c r="AD145" i="1" s="1"/>
  <c r="K152" i="1"/>
  <c r="AX152" i="1"/>
  <c r="M153" i="1"/>
  <c r="AL153" i="1"/>
  <c r="AV204" i="1"/>
  <c r="BC204" i="1"/>
  <c r="AW209" i="1"/>
  <c r="BH209" i="1"/>
  <c r="AD209" i="1" s="1"/>
  <c r="AX237" i="1"/>
  <c r="BI237" i="1"/>
  <c r="AC237" i="1" s="1"/>
  <c r="K237" i="1"/>
  <c r="K130" i="1"/>
  <c r="AX130" i="1"/>
  <c r="AW144" i="1"/>
  <c r="J144" i="1"/>
  <c r="K162" i="1"/>
  <c r="AX162" i="1"/>
  <c r="M164" i="1"/>
  <c r="AL164" i="1"/>
  <c r="K166" i="1"/>
  <c r="AX166" i="1"/>
  <c r="AL198" i="1"/>
  <c r="M198" i="1"/>
  <c r="K202" i="1"/>
  <c r="AX202" i="1"/>
  <c r="J78" i="1"/>
  <c r="K83" i="1"/>
  <c r="J90" i="1"/>
  <c r="K95" i="1"/>
  <c r="K101" i="1"/>
  <c r="J109" i="1"/>
  <c r="K115" i="1"/>
  <c r="J122" i="1"/>
  <c r="K127" i="1"/>
  <c r="M128" i="1"/>
  <c r="AL128" i="1"/>
  <c r="J138" i="1"/>
  <c r="AW138" i="1"/>
  <c r="M147" i="1"/>
  <c r="J148" i="1"/>
  <c r="AW148" i="1"/>
  <c r="J173" i="1"/>
  <c r="AW173" i="1"/>
  <c r="AS203" i="1"/>
  <c r="AW271" i="1"/>
  <c r="BH271" i="1"/>
  <c r="AF271" i="1" s="1"/>
  <c r="J271" i="1"/>
  <c r="M129" i="1"/>
  <c r="AW153" i="1"/>
  <c r="J153" i="1"/>
  <c r="BI173" i="1"/>
  <c r="AE173" i="1" s="1"/>
  <c r="AX173" i="1"/>
  <c r="K173" i="1"/>
  <c r="AV190" i="1"/>
  <c r="BC190" i="1"/>
  <c r="AW196" i="1"/>
  <c r="J196" i="1"/>
  <c r="BI202" i="1"/>
  <c r="AT203" i="1"/>
  <c r="AW143" i="1"/>
  <c r="AX146" i="1"/>
  <c r="AW152" i="1"/>
  <c r="AX156" i="1"/>
  <c r="AV156" i="1" s="1"/>
  <c r="AW162" i="1"/>
  <c r="AW171" i="1"/>
  <c r="J171" i="1"/>
  <c r="L183" i="1"/>
  <c r="F19" i="2" s="1"/>
  <c r="I19" i="2" s="1"/>
  <c r="M186" i="1"/>
  <c r="AL201" i="1"/>
  <c r="L203" i="1"/>
  <c r="F20" i="2" s="1"/>
  <c r="I20" i="2" s="1"/>
  <c r="M205" i="1"/>
  <c r="L225" i="1"/>
  <c r="F22" i="2" s="1"/>
  <c r="I22" i="2" s="1"/>
  <c r="AL226" i="1"/>
  <c r="M226" i="1"/>
  <c r="AS225" i="1"/>
  <c r="J276" i="1"/>
  <c r="BH276" i="1"/>
  <c r="AF276" i="1" s="1"/>
  <c r="AW276" i="1"/>
  <c r="BI141" i="1"/>
  <c r="AE141" i="1" s="1"/>
  <c r="BH147" i="1"/>
  <c r="AD147" i="1" s="1"/>
  <c r="BI151" i="1"/>
  <c r="AE151" i="1" s="1"/>
  <c r="BH157" i="1"/>
  <c r="AD157" i="1" s="1"/>
  <c r="BI161" i="1"/>
  <c r="AE161" i="1" s="1"/>
  <c r="AL173" i="1"/>
  <c r="M173" i="1"/>
  <c r="M174" i="1"/>
  <c r="K198" i="1"/>
  <c r="M200" i="1"/>
  <c r="AW222" i="1"/>
  <c r="BH222" i="1"/>
  <c r="AD222" i="1" s="1"/>
  <c r="J222" i="1"/>
  <c r="BF226" i="1"/>
  <c r="P225" i="1"/>
  <c r="G22" i="2" s="1"/>
  <c r="AW234" i="1"/>
  <c r="BH234" i="1"/>
  <c r="AB234" i="1" s="1"/>
  <c r="J234" i="1"/>
  <c r="BI255" i="1"/>
  <c r="AC255" i="1" s="1"/>
  <c r="AX255" i="1"/>
  <c r="M265" i="1"/>
  <c r="AL265" i="1"/>
  <c r="AX266" i="1"/>
  <c r="K266" i="1"/>
  <c r="J143" i="1"/>
  <c r="K146" i="1"/>
  <c r="J152" i="1"/>
  <c r="K156" i="1"/>
  <c r="J162" i="1"/>
  <c r="M171" i="1"/>
  <c r="AL171" i="1"/>
  <c r="BH171" i="1"/>
  <c r="AD171" i="1" s="1"/>
  <c r="AX176" i="1"/>
  <c r="K176" i="1"/>
  <c r="BF181" i="1"/>
  <c r="P180" i="1"/>
  <c r="G18" i="2" s="1"/>
  <c r="M184" i="1"/>
  <c r="BI198" i="1"/>
  <c r="AE198" i="1" s="1"/>
  <c r="M204" i="1"/>
  <c r="AW212" i="1"/>
  <c r="J212" i="1"/>
  <c r="AL214" i="1"/>
  <c r="M214" i="1"/>
  <c r="AX218" i="1"/>
  <c r="AV218" i="1" s="1"/>
  <c r="K218" i="1"/>
  <c r="K245" i="1"/>
  <c r="AX245" i="1"/>
  <c r="M253" i="1"/>
  <c r="AL253" i="1"/>
  <c r="BI266" i="1"/>
  <c r="AW272" i="1"/>
  <c r="BH272" i="1"/>
  <c r="AF272" i="1" s="1"/>
  <c r="J272" i="1"/>
  <c r="AX186" i="1"/>
  <c r="K186" i="1"/>
  <c r="AX205" i="1"/>
  <c r="K205" i="1"/>
  <c r="M220" i="1"/>
  <c r="BI220" i="1"/>
  <c r="AV235" i="1"/>
  <c r="AW237" i="1"/>
  <c r="J237" i="1"/>
  <c r="BH237" i="1"/>
  <c r="AB237" i="1" s="1"/>
  <c r="K255" i="1"/>
  <c r="AW166" i="1"/>
  <c r="AX170" i="1"/>
  <c r="AW181" i="1"/>
  <c r="AW188" i="1"/>
  <c r="AX194" i="1"/>
  <c r="AL196" i="1"/>
  <c r="AW202" i="1"/>
  <c r="AL212" i="1"/>
  <c r="AW220" i="1"/>
  <c r="BH228" i="1"/>
  <c r="AD228" i="1" s="1"/>
  <c r="BH261" i="1"/>
  <c r="AW274" i="1"/>
  <c r="J274" i="1"/>
  <c r="BH190" i="1"/>
  <c r="AD190" i="1" s="1"/>
  <c r="BI196" i="1"/>
  <c r="AE196" i="1" s="1"/>
  <c r="BH208" i="1"/>
  <c r="AD208" i="1" s="1"/>
  <c r="BI212" i="1"/>
  <c r="AE212" i="1" s="1"/>
  <c r="P243" i="1"/>
  <c r="G24" i="2" s="1"/>
  <c r="AS243" i="1"/>
  <c r="AL255" i="1"/>
  <c r="M255" i="1"/>
  <c r="AW265" i="1"/>
  <c r="J265" i="1"/>
  <c r="BC284" i="1"/>
  <c r="L221" i="1"/>
  <c r="F21" i="2" s="1"/>
  <c r="I21" i="2" s="1"/>
  <c r="P233" i="1"/>
  <c r="G23" i="2" s="1"/>
  <c r="BF234" i="1"/>
  <c r="M237" i="1"/>
  <c r="AL237" i="1"/>
  <c r="J261" i="1"/>
  <c r="AL266" i="1"/>
  <c r="M266" i="1"/>
  <c r="BF222" i="1"/>
  <c r="J228" i="1"/>
  <c r="AW239" i="1"/>
  <c r="AW244" i="1"/>
  <c r="J244" i="1"/>
  <c r="BF271" i="1"/>
  <c r="AL245" i="1"/>
  <c r="M245" i="1"/>
  <c r="BH245" i="1"/>
  <c r="AB245" i="1" s="1"/>
  <c r="J249" i="1"/>
  <c r="K253" i="1"/>
  <c r="AX257" i="1"/>
  <c r="K257" i="1"/>
  <c r="AX259" i="1"/>
  <c r="K265" i="1"/>
  <c r="BH266" i="1"/>
  <c r="BH274" i="1"/>
  <c r="AF274" i="1" s="1"/>
  <c r="BI281" i="1"/>
  <c r="AC281" i="1" s="1"/>
  <c r="AX283" i="1"/>
  <c r="AL284" i="1"/>
  <c r="AX277" i="1"/>
  <c r="J279" i="1"/>
  <c r="AW226" i="1"/>
  <c r="AX231" i="1"/>
  <c r="AX236" i="1"/>
  <c r="BF244" i="1"/>
  <c r="AW248" i="1"/>
  <c r="AX251" i="1"/>
  <c r="AW259" i="1"/>
  <c r="AX264" i="1"/>
  <c r="AX269" i="1"/>
  <c r="AX273" i="1"/>
  <c r="AW281" i="1"/>
  <c r="BI284" i="1"/>
  <c r="AG284" i="1" s="1"/>
  <c r="C19" i="3" s="1"/>
  <c r="J283" i="1"/>
  <c r="J277" i="1"/>
  <c r="AL269" i="1"/>
  <c r="AU268" i="1" s="1"/>
  <c r="J248" i="1"/>
  <c r="K251" i="1"/>
  <c r="J259" i="1"/>
  <c r="K264" i="1"/>
  <c r="K269" i="1"/>
  <c r="K268" i="1" s="1"/>
  <c r="E25" i="2" s="1"/>
  <c r="K273" i="1"/>
  <c r="J281" i="1"/>
  <c r="BC261" i="1" l="1"/>
  <c r="BC236" i="1"/>
  <c r="J221" i="1"/>
  <c r="D21" i="2" s="1"/>
  <c r="AV200" i="1"/>
  <c r="AV178" i="1"/>
  <c r="BC161" i="1"/>
  <c r="AV133" i="1"/>
  <c r="AV106" i="1"/>
  <c r="AV73" i="1"/>
  <c r="J46" i="1"/>
  <c r="D14" i="2" s="1"/>
  <c r="BC20" i="1"/>
  <c r="J12" i="1"/>
  <c r="D11" i="2" s="1"/>
  <c r="BC106" i="1"/>
  <c r="AV256" i="1"/>
  <c r="BC249" i="1"/>
  <c r="BC125" i="1"/>
  <c r="AV241" i="1"/>
  <c r="BC214" i="1"/>
  <c r="BC122" i="1"/>
  <c r="AV65" i="1"/>
  <c r="AV216" i="1"/>
  <c r="K221" i="1"/>
  <c r="E21" i="2" s="1"/>
  <c r="BC141" i="1"/>
  <c r="AV27" i="1"/>
  <c r="BC83" i="1"/>
  <c r="BC134" i="1"/>
  <c r="AV117" i="1"/>
  <c r="AV277" i="1"/>
  <c r="BC241" i="1"/>
  <c r="AV120" i="1"/>
  <c r="AU270" i="1"/>
  <c r="AV176" i="1"/>
  <c r="AV145" i="1"/>
  <c r="BC184" i="1"/>
  <c r="AV68" i="1"/>
  <c r="BC136" i="1"/>
  <c r="AV264" i="1"/>
  <c r="BC283" i="1"/>
  <c r="AV186" i="1"/>
  <c r="BC170" i="1"/>
  <c r="BC109" i="1"/>
  <c r="BC211" i="1"/>
  <c r="AV205" i="1"/>
  <c r="BC246" i="1"/>
  <c r="AV245" i="1"/>
  <c r="AV194" i="1"/>
  <c r="BC78" i="1"/>
  <c r="AV130" i="1"/>
  <c r="BC273" i="1"/>
  <c r="BC149" i="1"/>
  <c r="BC101" i="1"/>
  <c r="BC73" i="1"/>
  <c r="BC29" i="1"/>
  <c r="BC95" i="1"/>
  <c r="K233" i="1"/>
  <c r="E23" i="2" s="1"/>
  <c r="AV208" i="1"/>
  <c r="BC279" i="1"/>
  <c r="BC266" i="1"/>
  <c r="J203" i="1"/>
  <c r="D20" i="2" s="1"/>
  <c r="AV146" i="1"/>
  <c r="AU203" i="1"/>
  <c r="K203" i="1"/>
  <c r="E20" i="2" s="1"/>
  <c r="BC264" i="1"/>
  <c r="M183" i="1"/>
  <c r="J139" i="1"/>
  <c r="D17" i="2" s="1"/>
  <c r="AV29" i="1"/>
  <c r="K35" i="1"/>
  <c r="E13" i="2" s="1"/>
  <c r="BC17" i="1"/>
  <c r="K225" i="1"/>
  <c r="E22" i="2" s="1"/>
  <c r="BC22" i="1"/>
  <c r="AV263" i="1"/>
  <c r="AV201" i="1"/>
  <c r="AV229" i="1"/>
  <c r="BC256" i="1"/>
  <c r="AU233" i="1"/>
  <c r="M225" i="1"/>
  <c r="BC174" i="1"/>
  <c r="K19" i="1"/>
  <c r="E12" i="2" s="1"/>
  <c r="BC228" i="1"/>
  <c r="AV83" i="1"/>
  <c r="BC74" i="1"/>
  <c r="J35" i="1"/>
  <c r="D13" i="2" s="1"/>
  <c r="AU225" i="1"/>
  <c r="BC245" i="1"/>
  <c r="M46" i="1"/>
  <c r="BC93" i="1"/>
  <c r="M270" i="1"/>
  <c r="BC38" i="1"/>
  <c r="AU183" i="1"/>
  <c r="J225" i="1"/>
  <c r="D22" i="2" s="1"/>
  <c r="AV128" i="1"/>
  <c r="AV88" i="1"/>
  <c r="M12" i="1"/>
  <c r="AV36" i="1"/>
  <c r="BC126" i="1"/>
  <c r="AV74" i="1"/>
  <c r="AV136" i="1"/>
  <c r="J19" i="1"/>
  <c r="D12" i="2" s="1"/>
  <c r="AV63" i="1"/>
  <c r="BC251" i="1"/>
  <c r="J183" i="1"/>
  <c r="D19" i="2" s="1"/>
  <c r="AV93" i="1"/>
  <c r="BC146" i="1"/>
  <c r="BC223" i="1"/>
  <c r="BC60" i="1"/>
  <c r="AV60" i="1"/>
  <c r="K270" i="1"/>
  <c r="E26" i="2" s="1"/>
  <c r="AV214" i="1"/>
  <c r="AU139" i="1"/>
  <c r="C14" i="3"/>
  <c r="BC53" i="1"/>
  <c r="AV53" i="1"/>
  <c r="AV211" i="1"/>
  <c r="BC33" i="1"/>
  <c r="AV33" i="1"/>
  <c r="AV31" i="1"/>
  <c r="K243" i="1"/>
  <c r="E24" i="2" s="1"/>
  <c r="M233" i="1"/>
  <c r="BC255" i="1"/>
  <c r="BC194" i="1"/>
  <c r="AU19" i="1"/>
  <c r="C15" i="3"/>
  <c r="BC63" i="1"/>
  <c r="J50" i="1"/>
  <c r="D15" i="2" s="1"/>
  <c r="AV115" i="1"/>
  <c r="BC40" i="1"/>
  <c r="AV40" i="1"/>
  <c r="AV126" i="1"/>
  <c r="BC47" i="1"/>
  <c r="AV47" i="1"/>
  <c r="AV24" i="1"/>
  <c r="AV250" i="1"/>
  <c r="AV236" i="1"/>
  <c r="J233" i="1"/>
  <c r="D23" i="2" s="1"/>
  <c r="BC216" i="1"/>
  <c r="M139" i="1"/>
  <c r="AU50" i="1"/>
  <c r="BC157" i="1"/>
  <c r="K96" i="1"/>
  <c r="E16" i="2" s="1"/>
  <c r="M96" i="1"/>
  <c r="BC277" i="1"/>
  <c r="BC85" i="1"/>
  <c r="M19" i="1"/>
  <c r="BC192" i="1"/>
  <c r="BC75" i="1"/>
  <c r="BC231" i="1"/>
  <c r="AV147" i="1"/>
  <c r="AV251" i="1"/>
  <c r="AV13" i="1"/>
  <c r="C16" i="3"/>
  <c r="M35" i="1"/>
  <c r="BC132" i="1"/>
  <c r="AV132" i="1"/>
  <c r="C17" i="3"/>
  <c r="AV168" i="1"/>
  <c r="C18" i="3"/>
  <c r="AV122" i="1"/>
  <c r="BC27" i="1"/>
  <c r="BC169" i="1"/>
  <c r="AV169" i="1"/>
  <c r="BC181" i="1"/>
  <c r="AV181" i="1"/>
  <c r="BC162" i="1"/>
  <c r="AV162" i="1"/>
  <c r="J270" i="1"/>
  <c r="D26" i="2" s="1"/>
  <c r="BC87" i="1"/>
  <c r="AV87" i="1"/>
  <c r="AV158" i="1"/>
  <c r="BC158" i="1"/>
  <c r="BC90" i="1"/>
  <c r="AV90" i="1"/>
  <c r="BC62" i="1"/>
  <c r="AV62" i="1"/>
  <c r="AV58" i="1"/>
  <c r="BC58" i="1"/>
  <c r="BC257" i="1"/>
  <c r="AV257" i="1"/>
  <c r="BC276" i="1"/>
  <c r="AV276" i="1"/>
  <c r="AV123" i="1"/>
  <c r="BC123" i="1"/>
  <c r="K183" i="1"/>
  <c r="E19" i="2" s="1"/>
  <c r="BC152" i="1"/>
  <c r="AV152" i="1"/>
  <c r="C29" i="3"/>
  <c r="F29" i="3" s="1"/>
  <c r="AV102" i="1"/>
  <c r="BC102" i="1"/>
  <c r="BC179" i="1"/>
  <c r="AV179" i="1"/>
  <c r="M50" i="1"/>
  <c r="AV226" i="1"/>
  <c r="BC226" i="1"/>
  <c r="AV283" i="1"/>
  <c r="BC202" i="1"/>
  <c r="AV202" i="1"/>
  <c r="AV231" i="1"/>
  <c r="BC143" i="1"/>
  <c r="AV143" i="1"/>
  <c r="BC205" i="1"/>
  <c r="AV148" i="1"/>
  <c r="BC148" i="1"/>
  <c r="AV144" i="1"/>
  <c r="BC144" i="1"/>
  <c r="BC209" i="1"/>
  <c r="AV209" i="1"/>
  <c r="AV255" i="1"/>
  <c r="AV170" i="1"/>
  <c r="AV76" i="1"/>
  <c r="BC76" i="1"/>
  <c r="AV61" i="1"/>
  <c r="BC59" i="1"/>
  <c r="AV59" i="1"/>
  <c r="AV153" i="1"/>
  <c r="BC153" i="1"/>
  <c r="AV91" i="1"/>
  <c r="BC91" i="1"/>
  <c r="BC77" i="1"/>
  <c r="AV77" i="1"/>
  <c r="BC99" i="1"/>
  <c r="AV99" i="1"/>
  <c r="M243" i="1"/>
  <c r="J243" i="1"/>
  <c r="D24" i="2" s="1"/>
  <c r="AV266" i="1"/>
  <c r="AV212" i="1"/>
  <c r="BC212" i="1"/>
  <c r="AU96" i="1"/>
  <c r="BC176" i="1"/>
  <c r="BC198" i="1"/>
  <c r="AV198" i="1"/>
  <c r="AV160" i="1"/>
  <c r="BC160" i="1"/>
  <c r="AV57" i="1"/>
  <c r="BC57" i="1"/>
  <c r="BC247" i="1"/>
  <c r="AV247" i="1"/>
  <c r="BC65" i="1"/>
  <c r="AV265" i="1"/>
  <c r="BC265" i="1"/>
  <c r="BC138" i="1"/>
  <c r="AV138" i="1"/>
  <c r="AV253" i="1"/>
  <c r="BC253" i="1"/>
  <c r="BC119" i="1"/>
  <c r="AV119" i="1"/>
  <c r="AV111" i="1"/>
  <c r="BC111" i="1"/>
  <c r="BC129" i="1"/>
  <c r="AV129" i="1"/>
  <c r="L285" i="1"/>
  <c r="BC177" i="1"/>
  <c r="AV177" i="1"/>
  <c r="BC281" i="1"/>
  <c r="AV281" i="1"/>
  <c r="BC220" i="1"/>
  <c r="AV220" i="1"/>
  <c r="AV271" i="1"/>
  <c r="BC271" i="1"/>
  <c r="AV66" i="1"/>
  <c r="BC66" i="1"/>
  <c r="AV222" i="1"/>
  <c r="BC222" i="1"/>
  <c r="BC269" i="1"/>
  <c r="AV269" i="1"/>
  <c r="AV259" i="1"/>
  <c r="BC259" i="1"/>
  <c r="AV244" i="1"/>
  <c r="BC244" i="1"/>
  <c r="AV274" i="1"/>
  <c r="BC274" i="1"/>
  <c r="BC272" i="1"/>
  <c r="AV272" i="1"/>
  <c r="M203" i="1"/>
  <c r="AV234" i="1"/>
  <c r="BC234" i="1"/>
  <c r="AV171" i="1"/>
  <c r="BC171" i="1"/>
  <c r="BC130" i="1"/>
  <c r="AV273" i="1"/>
  <c r="BC104" i="1"/>
  <c r="AV104" i="1"/>
  <c r="J96" i="1"/>
  <c r="D16" i="2" s="1"/>
  <c r="K139" i="1"/>
  <c r="E17" i="2" s="1"/>
  <c r="AU35" i="1"/>
  <c r="AV124" i="1"/>
  <c r="BC124" i="1"/>
  <c r="AV44" i="1"/>
  <c r="BC44" i="1"/>
  <c r="BC248" i="1"/>
  <c r="AV248" i="1"/>
  <c r="BC127" i="1"/>
  <c r="AV127" i="1"/>
  <c r="BC166" i="1"/>
  <c r="AV166" i="1"/>
  <c r="AV196" i="1"/>
  <c r="BC196" i="1"/>
  <c r="BC173" i="1"/>
  <c r="AV173" i="1"/>
  <c r="BC70" i="1"/>
  <c r="AV70" i="1"/>
  <c r="AU243" i="1"/>
  <c r="BC201" i="1"/>
  <c r="BC51" i="1"/>
  <c r="BC239" i="1"/>
  <c r="AV239" i="1"/>
  <c r="BC188" i="1"/>
  <c r="AV188" i="1"/>
  <c r="AV237" i="1"/>
  <c r="BC237" i="1"/>
  <c r="BC218" i="1"/>
  <c r="BC207" i="1"/>
  <c r="AV207" i="1"/>
  <c r="BC186" i="1"/>
  <c r="BC164" i="1"/>
  <c r="AV164" i="1"/>
  <c r="BC107" i="1"/>
  <c r="AV107" i="1"/>
  <c r="AV97" i="1"/>
  <c r="BC97" i="1"/>
  <c r="AV79" i="1"/>
  <c r="BC79" i="1"/>
  <c r="K50" i="1"/>
  <c r="E15" i="2" s="1"/>
  <c r="AV71" i="1"/>
  <c r="BC71" i="1"/>
  <c r="BC156" i="1"/>
  <c r="F27" i="2"/>
  <c r="BC13" i="1"/>
  <c r="C22" i="3" l="1"/>
  <c r="M285" i="1"/>
  <c r="N283" i="1"/>
  <c r="N271" i="1"/>
  <c r="N261" i="1"/>
  <c r="N249" i="1"/>
  <c r="N234" i="1"/>
  <c r="N228" i="1"/>
  <c r="N222" i="1"/>
  <c r="N274" i="1"/>
  <c r="N270" i="1"/>
  <c r="N265" i="1"/>
  <c r="N253" i="1"/>
  <c r="N244" i="1"/>
  <c r="N237" i="1"/>
  <c r="N233" i="1"/>
  <c r="N279" i="1"/>
  <c r="N257" i="1"/>
  <c r="N247" i="1"/>
  <c r="N243" i="1"/>
  <c r="N284" i="1"/>
  <c r="N281" i="1"/>
  <c r="N259" i="1"/>
  <c r="N248" i="1"/>
  <c r="N226" i="1"/>
  <c r="N221" i="1"/>
  <c r="N208" i="1"/>
  <c r="N203" i="1"/>
  <c r="N190" i="1"/>
  <c r="N183" i="1"/>
  <c r="N178" i="1"/>
  <c r="N168" i="1"/>
  <c r="N272" i="1"/>
  <c r="N266" i="1"/>
  <c r="N246" i="1"/>
  <c r="N223" i="1"/>
  <c r="N212" i="1"/>
  <c r="N196" i="1"/>
  <c r="N171" i="1"/>
  <c r="N255" i="1"/>
  <c r="N235" i="1"/>
  <c r="N225" i="1"/>
  <c r="N218" i="1"/>
  <c r="N205" i="1"/>
  <c r="N201" i="1"/>
  <c r="N186" i="1"/>
  <c r="N176" i="1"/>
  <c r="N276" i="1"/>
  <c r="N268" i="1"/>
  <c r="N209" i="1"/>
  <c r="N192" i="1"/>
  <c r="N264" i="1"/>
  <c r="N250" i="1"/>
  <c r="N239" i="1"/>
  <c r="N220" i="1"/>
  <c r="N207" i="1"/>
  <c r="N202" i="1"/>
  <c r="N188" i="1"/>
  <c r="N181" i="1"/>
  <c r="N177" i="1"/>
  <c r="N166" i="1"/>
  <c r="N273" i="1"/>
  <c r="N269" i="1"/>
  <c r="N214" i="1"/>
  <c r="N204" i="1"/>
  <c r="N184" i="1"/>
  <c r="N169" i="1"/>
  <c r="N164" i="1"/>
  <c r="N153" i="1"/>
  <c r="N144" i="1"/>
  <c r="N216" i="1"/>
  <c r="N157" i="1"/>
  <c r="N147" i="1"/>
  <c r="N132" i="1"/>
  <c r="N277" i="1"/>
  <c r="N251" i="1"/>
  <c r="N245" i="1"/>
  <c r="N231" i="1"/>
  <c r="N229" i="1"/>
  <c r="N158" i="1"/>
  <c r="N148" i="1"/>
  <c r="N133" i="1"/>
  <c r="N236" i="1"/>
  <c r="N162" i="1"/>
  <c r="N152" i="1"/>
  <c r="N143" i="1"/>
  <c r="N138" i="1"/>
  <c r="N127" i="1"/>
  <c r="N174" i="1"/>
  <c r="N128" i="1"/>
  <c r="N125" i="1"/>
  <c r="N123" i="1"/>
  <c r="N111" i="1"/>
  <c r="N97" i="1"/>
  <c r="N91" i="1"/>
  <c r="N79" i="1"/>
  <c r="N211" i="1"/>
  <c r="N198" i="1"/>
  <c r="N117" i="1"/>
  <c r="N102" i="1"/>
  <c r="N96" i="1"/>
  <c r="N85" i="1"/>
  <c r="N74" i="1"/>
  <c r="N263" i="1"/>
  <c r="N161" i="1"/>
  <c r="N121" i="1"/>
  <c r="N107" i="1"/>
  <c r="N89" i="1"/>
  <c r="N173" i="1"/>
  <c r="N156" i="1"/>
  <c r="N155" i="1"/>
  <c r="N151" i="1"/>
  <c r="N136" i="1"/>
  <c r="N119" i="1"/>
  <c r="N104" i="1"/>
  <c r="N87" i="1"/>
  <c r="N75" i="1"/>
  <c r="N256" i="1"/>
  <c r="N139" i="1"/>
  <c r="N113" i="1"/>
  <c r="N106" i="1"/>
  <c r="N90" i="1"/>
  <c r="N81" i="1"/>
  <c r="N72" i="1"/>
  <c r="N66" i="1"/>
  <c r="N160" i="1"/>
  <c r="N134" i="1"/>
  <c r="N129" i="1"/>
  <c r="N77" i="1"/>
  <c r="N71" i="1"/>
  <c r="N70" i="1"/>
  <c r="N61" i="1"/>
  <c r="N36" i="1"/>
  <c r="N29" i="1"/>
  <c r="N69" i="1"/>
  <c r="N64" i="1"/>
  <c r="N55" i="1"/>
  <c r="N49" i="1"/>
  <c r="N42" i="1"/>
  <c r="N35" i="1"/>
  <c r="N20" i="1"/>
  <c r="N241" i="1"/>
  <c r="N179" i="1"/>
  <c r="N140" i="1"/>
  <c r="N194" i="1"/>
  <c r="N170" i="1"/>
  <c r="N149" i="1"/>
  <c r="N145" i="1"/>
  <c r="N141" i="1"/>
  <c r="N130" i="1"/>
  <c r="N126" i="1"/>
  <c r="N124" i="1"/>
  <c r="N99" i="1"/>
  <c r="N95" i="1"/>
  <c r="N62" i="1"/>
  <c r="N51" i="1"/>
  <c r="N38" i="1"/>
  <c r="N31" i="1"/>
  <c r="N200" i="1"/>
  <c r="N67" i="1"/>
  <c r="N15" i="1"/>
  <c r="N13" i="1"/>
  <c r="N12" i="1"/>
  <c r="N180" i="1"/>
  <c r="N101" i="1"/>
  <c r="N76" i="1"/>
  <c r="N63" i="1"/>
  <c r="N44" i="1"/>
  <c r="N46" i="1"/>
  <c r="N19" i="1"/>
  <c r="N120" i="1"/>
  <c r="N17" i="1"/>
  <c r="N78" i="1"/>
  <c r="N68" i="1"/>
  <c r="N146" i="1"/>
  <c r="N115" i="1"/>
  <c r="N83" i="1"/>
  <c r="N73" i="1"/>
  <c r="N60" i="1"/>
  <c r="N58" i="1"/>
  <c r="N57" i="1"/>
  <c r="N53" i="1"/>
  <c r="N50" i="1"/>
  <c r="N65" i="1"/>
  <c r="N47" i="1"/>
  <c r="N24" i="1"/>
  <c r="N26" i="1"/>
  <c r="N88" i="1"/>
  <c r="N59" i="1"/>
  <c r="N40" i="1"/>
  <c r="N33" i="1"/>
  <c r="N22" i="1"/>
  <c r="N27" i="1"/>
  <c r="N109" i="1"/>
  <c r="N122" i="1"/>
  <c r="N93" i="1"/>
  <c r="I28" i="3"/>
  <c r="I29" i="3" s="1"/>
</calcChain>
</file>

<file path=xl/sharedStrings.xml><?xml version="1.0" encoding="utf-8"?>
<sst xmlns="http://schemas.openxmlformats.org/spreadsheetml/2006/main" count="2681" uniqueCount="746">
  <si>
    <t>Stavební rozpočet</t>
  </si>
  <si>
    <t>Název stavby:</t>
  </si>
  <si>
    <t>Stavební úpravy objektu 2. MŠ Stochov</t>
  </si>
  <si>
    <t>Objednatel:</t>
  </si>
  <si>
    <t>Město Stochov</t>
  </si>
  <si>
    <t>Druh stavby:</t>
  </si>
  <si>
    <t>Začátek výstavby:</t>
  </si>
  <si>
    <t xml:space="preserve"> </t>
  </si>
  <si>
    <t>Projektant:</t>
  </si>
  <si>
    <t>ARIPROS s.r.o.</t>
  </si>
  <si>
    <t>Lokalita:</t>
  </si>
  <si>
    <t>Jaroslava Šípka 347, 273 03 Stochov</t>
  </si>
  <si>
    <t>Konec výstavby:</t>
  </si>
  <si>
    <t>Zhotovitel:</t>
  </si>
  <si>
    <t>Dle výběrového řízení</t>
  </si>
  <si>
    <t>JKSO:</t>
  </si>
  <si>
    <t>80131</t>
  </si>
  <si>
    <t>Zpracováno dne:</t>
  </si>
  <si>
    <t>Zpracoval:</t>
  </si>
  <si>
    <t>Č</t>
  </si>
  <si>
    <t>Objekt</t>
  </si>
  <si>
    <t>Kód</t>
  </si>
  <si>
    <t>Zkrácený popis / Varianta</t>
  </si>
  <si>
    <t>MJ</t>
  </si>
  <si>
    <t>Množství</t>
  </si>
  <si>
    <t>Cena/MJ</t>
  </si>
  <si>
    <t>Sazba DPH</t>
  </si>
  <si>
    <t>Náklady (Kč)</t>
  </si>
  <si>
    <t>%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</si>
  <si>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</si>
  <si>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</si>
  <si>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</si>
  <si>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</si>
  <si>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</si>
  <si>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</si>
  <si>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</si>
  <si>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</si>
  <si>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</si>
  <si>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</si>
  <si>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</si>
  <si>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</si>
  <si>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</si>
  <si>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</si>
  <si>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</si>
  <si>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</si>
  <si>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</si>
  <si>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</si>
  <si>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</si>
  <si>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</si>
  <si>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</si>
  <si>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</si>
  <si>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</si>
  <si>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</si>
  <si>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</si>
  <si>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</si>
  <si>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</t>
  </si>
  <si>
    <t>Všeobecné konstrukce a práce</t>
  </si>
  <si>
    <t>1</t>
  </si>
  <si>
    <t>070212107RA0</t>
  </si>
  <si>
    <t>Dveře vnitřní dřevěné šířky 600 mm, ocelová zárubeň do zdiva, nerez štítkové kování, přechodová lišta</t>
  </si>
  <si>
    <t>kus</t>
  </si>
  <si>
    <t>RTS II / 2024</t>
  </si>
  <si>
    <t>0_</t>
  </si>
  <si>
    <t>_</t>
  </si>
  <si>
    <t>kompletní dodávk a montáž vč. stavební přípomoci</t>
  </si>
  <si>
    <t>2</t>
  </si>
  <si>
    <t>Dveře vnitřní dřevěné šířky 700 mm, ocelová zárubeň do zdiva, nerez štítkové kování, přechodová lišta</t>
  </si>
  <si>
    <t>3</t>
  </si>
  <si>
    <t>070212108RA0</t>
  </si>
  <si>
    <t>Dveře vnitřní dřevěné šířky 800 mm, ocelová zárubeň do zdiva, nerez štítkové kování, přechodová lišta</t>
  </si>
  <si>
    <t>34</t>
  </si>
  <si>
    <t>Stěny a příčky</t>
  </si>
  <si>
    <t>4</t>
  </si>
  <si>
    <t>311230016RA0</t>
  </si>
  <si>
    <t>Zdivo z cihel pálených plných na MC, tl. 30 cm</t>
  </si>
  <si>
    <t>m3</t>
  </si>
  <si>
    <t>34_</t>
  </si>
  <si>
    <t>3_</t>
  </si>
  <si>
    <t>dozdívky z Cp</t>
  </si>
  <si>
    <t>5</t>
  </si>
  <si>
    <t>317100011RAA</t>
  </si>
  <si>
    <t>Dodatečná montáž překladu, otvor šířky do 105 cm</t>
  </si>
  <si>
    <t>vybourání rýhy, dodávka ocel. překladu</t>
  </si>
  <si>
    <t>6</t>
  </si>
  <si>
    <t>317120033RAB</t>
  </si>
  <si>
    <t>Překlad nenosný pro plynosilikát. zdivo</t>
  </si>
  <si>
    <t>překlad 125 x 25 x 10 cm</t>
  </si>
  <si>
    <t>7</t>
  </si>
  <si>
    <t>342270042RA0</t>
  </si>
  <si>
    <t>Příčka z desek plynosilikát. hladkých, tloušťka 10 cm</t>
  </si>
  <si>
    <t>m2</t>
  </si>
  <si>
    <t>8</t>
  </si>
  <si>
    <t>346244351RT2</t>
  </si>
  <si>
    <t>Obezdívka WC modulů tl. 65 mm</t>
  </si>
  <si>
    <t>s použitím suché maltové směsi</t>
  </si>
  <si>
    <t>9</t>
  </si>
  <si>
    <t>342264051RT3</t>
  </si>
  <si>
    <t>Podhled sádrokartonový na zavěšenou ocel. konstr.</t>
  </si>
  <si>
    <t>desky standard impreg. tl. 12,5 mm, bez izolace</t>
  </si>
  <si>
    <t>10</t>
  </si>
  <si>
    <t>342952112RWC</t>
  </si>
  <si>
    <t>Stěny dělící montované pro školky do umýváren a WC, rozměr bez kotevní nohy 54x101 cm</t>
  </si>
  <si>
    <t>materiál LTD s ABS hranami, nerez noha 14 cm, U profil dural elox</t>
  </si>
  <si>
    <t>11</t>
  </si>
  <si>
    <t>342262724WC</t>
  </si>
  <si>
    <t>Příčka sanitární Classic, TL/WC/02, v. 200 cm, dl. 100 cm</t>
  </si>
  <si>
    <t>materiál DTDL 18 mm, komaxit. profily šedé RAL 9006</t>
  </si>
  <si>
    <t>61</t>
  </si>
  <si>
    <t>Úprava povrchů vnitřní</t>
  </si>
  <si>
    <t>12</t>
  </si>
  <si>
    <t>611100013RAA</t>
  </si>
  <si>
    <t>Oprava omítek stropů vnitřních vápenocem.štukových</t>
  </si>
  <si>
    <t>61_</t>
  </si>
  <si>
    <t>6_</t>
  </si>
  <si>
    <t>oprava z 50 %, malba</t>
  </si>
  <si>
    <t>13</t>
  </si>
  <si>
    <t>612100033RAA</t>
  </si>
  <si>
    <t>Oprava omítek stěn vnitřních vápenocem. štukových</t>
  </si>
  <si>
    <t>14</t>
  </si>
  <si>
    <t>781101141R00</t>
  </si>
  <si>
    <t>Omítka jednovrstvá pod obklady</t>
  </si>
  <si>
    <t>vč. ztuž. síťky + stěrka</t>
  </si>
  <si>
    <t>15</t>
  </si>
  <si>
    <t>611479113R00</t>
  </si>
  <si>
    <t>Provedení vnitřní omítky stropů dvouvrstvé, ručně</t>
  </si>
  <si>
    <t>16</t>
  </si>
  <si>
    <t>784452911R00</t>
  </si>
  <si>
    <t>Oprava stáv. maleb směsí tekut. 2x, penetrace 1x, obrus podkladu</t>
  </si>
  <si>
    <t>místnost výšky do 3,8 m</t>
  </si>
  <si>
    <t>63</t>
  </si>
  <si>
    <t>Podlahy a podlahové konstrukce</t>
  </si>
  <si>
    <t>17</t>
  </si>
  <si>
    <t>631312611R00</t>
  </si>
  <si>
    <t>Mazanina betonová tl. 5 - 8 cm B 20 (C 16/20)</t>
  </si>
  <si>
    <t>63_</t>
  </si>
  <si>
    <t>18</t>
  </si>
  <si>
    <t>711212002R00</t>
  </si>
  <si>
    <t>Stěrka hydroizolační 2 mm</t>
  </si>
  <si>
    <t>721</t>
  </si>
  <si>
    <t>Vnitřní kanalizace</t>
  </si>
  <si>
    <t>19</t>
  </si>
  <si>
    <t>721176113R00</t>
  </si>
  <si>
    <t>Potrubí HT odpadní, D 50 x 1,8 mm</t>
  </si>
  <si>
    <t>m</t>
  </si>
  <si>
    <t>721_</t>
  </si>
  <si>
    <t>72_</t>
  </si>
  <si>
    <t>vč. montáže</t>
  </si>
  <si>
    <t>20</t>
  </si>
  <si>
    <t>721176114R00</t>
  </si>
  <si>
    <t>Potrubí HT odpadní, D 75 x 1,9 mm</t>
  </si>
  <si>
    <t>21</t>
  </si>
  <si>
    <t>721176115R00</t>
  </si>
  <si>
    <t>Potrubí HT odpadní, D 110 x 2,7 mm</t>
  </si>
  <si>
    <t>22</t>
  </si>
  <si>
    <t>727212112R00</t>
  </si>
  <si>
    <t>Koleno 50/45° PVC HT</t>
  </si>
  <si>
    <t>23</t>
  </si>
  <si>
    <t>727212112R01</t>
  </si>
  <si>
    <t>Koleno 50/87° PVC HT</t>
  </si>
  <si>
    <t>24</t>
  </si>
  <si>
    <t>727212112R02</t>
  </si>
  <si>
    <t>Koleno 75/45° PVC HT</t>
  </si>
  <si>
    <t>25</t>
  </si>
  <si>
    <t>727212112R04</t>
  </si>
  <si>
    <t>Koleno 75/87° PVC HT</t>
  </si>
  <si>
    <t>26</t>
  </si>
  <si>
    <t>727212112R05</t>
  </si>
  <si>
    <t>Koleno 110/15° PVC HT</t>
  </si>
  <si>
    <t>27</t>
  </si>
  <si>
    <t>727212112R06</t>
  </si>
  <si>
    <t>28</t>
  </si>
  <si>
    <t>Koleno 110/45° PVC HT</t>
  </si>
  <si>
    <t>29</t>
  </si>
  <si>
    <t>727212112R07</t>
  </si>
  <si>
    <t>Koleno 110/87° PVC HT</t>
  </si>
  <si>
    <t>30</t>
  </si>
  <si>
    <t>727212132R00</t>
  </si>
  <si>
    <t>Odbočka 50/50-87° PVC HT</t>
  </si>
  <si>
    <t>31</t>
  </si>
  <si>
    <t>727212132R01</t>
  </si>
  <si>
    <t>Odbočka 75/50-45° PVC HT</t>
  </si>
  <si>
    <t>32</t>
  </si>
  <si>
    <t>727212132R02</t>
  </si>
  <si>
    <t>Odbočka 75/50-87° PVC HT</t>
  </si>
  <si>
    <t>33</t>
  </si>
  <si>
    <t>727212132R03</t>
  </si>
  <si>
    <t>Odbočka 110/50-87° PVC HT</t>
  </si>
  <si>
    <t>727212132R04</t>
  </si>
  <si>
    <t>Odbočka 110/75-45° PVC HT</t>
  </si>
  <si>
    <t>35</t>
  </si>
  <si>
    <t>727212132R05</t>
  </si>
  <si>
    <t>Odbočka 110/75-87° PVC HT</t>
  </si>
  <si>
    <t>36</t>
  </si>
  <si>
    <t>727212132R06</t>
  </si>
  <si>
    <t>Odbočka 110/110-45° PVC HT</t>
  </si>
  <si>
    <t>37</t>
  </si>
  <si>
    <t>727212132R07</t>
  </si>
  <si>
    <t>Odbočka 110/110-87° PVC HT</t>
  </si>
  <si>
    <t>38</t>
  </si>
  <si>
    <t>727212135RR0</t>
  </si>
  <si>
    <t>Redukce PVC HT 75/50</t>
  </si>
  <si>
    <t>39</t>
  </si>
  <si>
    <t>727212135RR1</t>
  </si>
  <si>
    <t>Redukce PVC HT 110/50</t>
  </si>
  <si>
    <t>40</t>
  </si>
  <si>
    <t>727212135RR2</t>
  </si>
  <si>
    <t>Redukce PVC HT 110/75</t>
  </si>
  <si>
    <t>41</t>
  </si>
  <si>
    <t>721154237R00</t>
  </si>
  <si>
    <t>Kus čisticí ČK 160, KG-SN4, potrubí ležaté</t>
  </si>
  <si>
    <t>42</t>
  </si>
  <si>
    <t>721152215R</t>
  </si>
  <si>
    <t>Čisticí kus, pro odpadní svislé, ČK 50, HT</t>
  </si>
  <si>
    <t>43</t>
  </si>
  <si>
    <t>721152218R00</t>
  </si>
  <si>
    <t>Čisticí kus, pro odpadní svislé, ČK 110, HT</t>
  </si>
  <si>
    <t>44</t>
  </si>
  <si>
    <t>721273200RT3</t>
  </si>
  <si>
    <t>Souprava ventilační střešní, D 110 mm</t>
  </si>
  <si>
    <t>dodávka a montáž soupravy větrací hlavice HT</t>
  </si>
  <si>
    <t>45</t>
  </si>
  <si>
    <t>738119522R01</t>
  </si>
  <si>
    <t>Objímka pro potrubí D 50, 48-53</t>
  </si>
  <si>
    <t>vč. vrutu M8, hmoždinky, závit. tyče M8 a prodluž. matky M8</t>
  </si>
  <si>
    <t>46</t>
  </si>
  <si>
    <t>738119522R02</t>
  </si>
  <si>
    <t>Objímka pro potrubí D 75, 72-78</t>
  </si>
  <si>
    <t>47</t>
  </si>
  <si>
    <t>738119522R03</t>
  </si>
  <si>
    <t>Objímka pro potrubí D 110, 102-116</t>
  </si>
  <si>
    <t>48</t>
  </si>
  <si>
    <t>551625510</t>
  </si>
  <si>
    <t>Přivzdušňovací ventil, 50-75, HL905N - komplet</t>
  </si>
  <si>
    <t>49</t>
  </si>
  <si>
    <t>551625471</t>
  </si>
  <si>
    <t>Kryt ventilu přivzdušňovacího, 125x125, HL905.1, bílý</t>
  </si>
  <si>
    <t>50</t>
  </si>
  <si>
    <t>721999VD</t>
  </si>
  <si>
    <t>Drobný montážní materiál a nespecifikované tvarovky vč. montáže</t>
  </si>
  <si>
    <t>soubor</t>
  </si>
  <si>
    <t>51</t>
  </si>
  <si>
    <t>Tlaková zkouška a zkouška těsnosti</t>
  </si>
  <si>
    <t>52</t>
  </si>
  <si>
    <t>900      R01</t>
  </si>
  <si>
    <t>HZS - přípomocné práce vč. materiálu</t>
  </si>
  <si>
    <t>h</t>
  </si>
  <si>
    <t>stavební dělník v tarifní třídě 4</t>
  </si>
  <si>
    <t>53</t>
  </si>
  <si>
    <t>Demontáž původních rozvodů kanalizace</t>
  </si>
  <si>
    <t>demontáž, odvoz odpadu a likvidace</t>
  </si>
  <si>
    <t>54</t>
  </si>
  <si>
    <t>998721202R00</t>
  </si>
  <si>
    <t>Přesun hmot pro vnitřní kanalizaci, H do 12 m</t>
  </si>
  <si>
    <t>722</t>
  </si>
  <si>
    <t>Vnitřní vodovod</t>
  </si>
  <si>
    <t>55</t>
  </si>
  <si>
    <t>722172411R00</t>
  </si>
  <si>
    <t>Potrubí plastové PP-RCT, vč. zednických výpomocí, D 20x2,3 mm, rozvod studené vody</t>
  </si>
  <si>
    <t>722_</t>
  </si>
  <si>
    <t>dodávka a montáž vč. tvarovek</t>
  </si>
  <si>
    <t>56</t>
  </si>
  <si>
    <t>722172412R00</t>
  </si>
  <si>
    <t>Potrubí plastové PP-RCT, vč. zednických výpomocí, D 25x2,8 mm, rozvod studené vody</t>
  </si>
  <si>
    <t>57</t>
  </si>
  <si>
    <t>722172413R00</t>
  </si>
  <si>
    <t>Potrubí plastové PP-RCT, vč. zednických výpomocí, D 32x3,6 mm, rozvod studené vody</t>
  </si>
  <si>
    <t>58</t>
  </si>
  <si>
    <t>Potrubí plastové PP-RCT, vč. zednických výpomocí, D 20x2,3 mm, rozvod teplé vody a cirkulace</t>
  </si>
  <si>
    <t>59</t>
  </si>
  <si>
    <t>Potrubí plastové PP-RCT, vč. zednických výpomocí, D 25x2,8 mm, rozvod teplé vody a cirkulace</t>
  </si>
  <si>
    <t>60</t>
  </si>
  <si>
    <t>Potrubí plastové PP-RCT, vč. zednických výpomocí, D 32x3,6 mm, rozvod teplé vody a cirkulace</t>
  </si>
  <si>
    <t>722181212RZ6</t>
  </si>
  <si>
    <t>Izolace návleková PE tl. stěny 10 mm, vnitřní průměr 20 mm</t>
  </si>
  <si>
    <t>dodávka a montáž vč. spojovacích spon a lepící PVC pásky</t>
  </si>
  <si>
    <t>62</t>
  </si>
  <si>
    <t>722181212RT8</t>
  </si>
  <si>
    <t>Izolace návleková PE tl. stěny 10 mm, vnitřní průměr 25 mm</t>
  </si>
  <si>
    <t>722181212RU1</t>
  </si>
  <si>
    <t>Izolace návleková PE tl. stěny 10 mm, vnitřní průměr 32 mm</t>
  </si>
  <si>
    <t>64</t>
  </si>
  <si>
    <t>722181234RT7</t>
  </si>
  <si>
    <t>Izolace návleková kaučuková tl. stěny 13 mm, vnitřní průměr 22 mm</t>
  </si>
  <si>
    <t>dodávka a montáž vč. samolepící kaučukové izol. pásky a lepidla</t>
  </si>
  <si>
    <t>65</t>
  </si>
  <si>
    <t>722181233RT9</t>
  </si>
  <si>
    <t>Izolace návleková kaučuková tl. stěny 13 mm, vnitřní průměr 28 mm</t>
  </si>
  <si>
    <t>66</t>
  </si>
  <si>
    <t>722181233RU2</t>
  </si>
  <si>
    <t>Izolace návleková kaučuková tl. stěny 13 mm, vnitřní průměr 35 mm</t>
  </si>
  <si>
    <t>67</t>
  </si>
  <si>
    <t>7229999VD</t>
  </si>
  <si>
    <t>Potrubní žlab pozinkovaný pro PPR, rozměr 20x2000</t>
  </si>
  <si>
    <t>68</t>
  </si>
  <si>
    <t>Potrubní žlab pozinkovaný pro PPR, rozměr 25x2000</t>
  </si>
  <si>
    <t>69</t>
  </si>
  <si>
    <t>Potrubní žlab pozinkovaný pro PPR, rozměr 32x2000</t>
  </si>
  <si>
    <t>70</t>
  </si>
  <si>
    <t>767883112RT3</t>
  </si>
  <si>
    <t>Objímka jednošroubová pro PPR 20, kombivrut+hmoždinka, pro potrubí průměru 20 - 23 mm</t>
  </si>
  <si>
    <t>71</t>
  </si>
  <si>
    <t>767883112RT4</t>
  </si>
  <si>
    <t>Objímka jednošroubová pro PPR 25, kombivrut+hmoždinka, pro potrubí průměru 25 - 30 mm</t>
  </si>
  <si>
    <t>72</t>
  </si>
  <si>
    <t>Objímka jednošroubová pro PPR 32, kombivrut+hmoždinka, pro potrubí průměru 31 - 38 mm</t>
  </si>
  <si>
    <t>73</t>
  </si>
  <si>
    <t>722222182R00</t>
  </si>
  <si>
    <t>Kohout vodovodní kulový R910, páčka, DN 15 mm</t>
  </si>
  <si>
    <t>74</t>
  </si>
  <si>
    <t>722235113R00</t>
  </si>
  <si>
    <t>Kohout vodovodní kulový R910, páčka, DN 25 mm</t>
  </si>
  <si>
    <t>75</t>
  </si>
  <si>
    <t>Kohout vodovodní vypouštěcí R608D, DN 15 mm</t>
  </si>
  <si>
    <t>76</t>
  </si>
  <si>
    <t>722236358R00</t>
  </si>
  <si>
    <t>Termostatický směšovací ventil, VTA321, rozsah nastavení 20-43°C, DN20</t>
  </si>
  <si>
    <t>77</t>
  </si>
  <si>
    <t>734261223R00</t>
  </si>
  <si>
    <t>Šroubení závitové, DN20, mosaz</t>
  </si>
  <si>
    <t>78</t>
  </si>
  <si>
    <t>722999VD</t>
  </si>
  <si>
    <t>Ostatní a drobný montážní materiál vč. montáže</t>
  </si>
  <si>
    <t>vnitřní vodovod</t>
  </si>
  <si>
    <t>79</t>
  </si>
  <si>
    <t>722290234R00</t>
  </si>
  <si>
    <t>Proplach a dezinfekce vodovod.potrubí do DN 80</t>
  </si>
  <si>
    <t>80</t>
  </si>
  <si>
    <t>722290226R00</t>
  </si>
  <si>
    <t>Tlaková zkouška vodovodního potrubí</t>
  </si>
  <si>
    <t>81</t>
  </si>
  <si>
    <t>82</t>
  </si>
  <si>
    <t>Demontáž původních rozvodů vodovodu</t>
  </si>
  <si>
    <t>83</t>
  </si>
  <si>
    <t>998722102R00</t>
  </si>
  <si>
    <t>Přesun hmot pro vnitřní vodovod, výšky do 12 m</t>
  </si>
  <si>
    <t>725</t>
  </si>
  <si>
    <t>Zařizovací předměty</t>
  </si>
  <si>
    <t>84</t>
  </si>
  <si>
    <t>726212321R00</t>
  </si>
  <si>
    <t>Modul pro závěsné WC podomítkový</t>
  </si>
  <si>
    <t>725_</t>
  </si>
  <si>
    <t>85</t>
  </si>
  <si>
    <t>725014131RU1</t>
  </si>
  <si>
    <t>Klozet závěsný, zkrácený (490 mm), bílý</t>
  </si>
  <si>
    <t>bez dodávky sedátka</t>
  </si>
  <si>
    <t>86</t>
  </si>
  <si>
    <t>551674502</t>
  </si>
  <si>
    <t>WC sedátko, Duroplast, bílé</t>
  </si>
  <si>
    <t>87</t>
  </si>
  <si>
    <t>725292041R01</t>
  </si>
  <si>
    <t>WC ovládací deska, dvojčinné splachování, bílá</t>
  </si>
  <si>
    <t>88</t>
  </si>
  <si>
    <t>726212331R00</t>
  </si>
  <si>
    <t>Modul pro dětské závěsné WC podomítkový</t>
  </si>
  <si>
    <t>89</t>
  </si>
  <si>
    <t>725014131R00</t>
  </si>
  <si>
    <t>Klozet závěsný dětský, bílý</t>
  </si>
  <si>
    <t>90</t>
  </si>
  <si>
    <t>WC sedátko dětské, Duroplast, bílé</t>
  </si>
  <si>
    <t>91</t>
  </si>
  <si>
    <t>92</t>
  </si>
  <si>
    <t>725017331R00</t>
  </si>
  <si>
    <t>Umývátko na šrouby, š. 450 mm, bílé</t>
  </si>
  <si>
    <t>93</t>
  </si>
  <si>
    <t>725113914R01</t>
  </si>
  <si>
    <t>Instalační sada pro umyvadla</t>
  </si>
  <si>
    <t>sada</t>
  </si>
  <si>
    <t>94</t>
  </si>
  <si>
    <t>725860254R00</t>
  </si>
  <si>
    <t>Sifon umyvadlový oválný chromovaný ABS, 175-270 mm</t>
  </si>
  <si>
    <t>95</t>
  </si>
  <si>
    <t>725017162R00</t>
  </si>
  <si>
    <t>Umyvadlo na šrouby, š. 550 mm, bílé</t>
  </si>
  <si>
    <t>96</t>
  </si>
  <si>
    <t>97</t>
  </si>
  <si>
    <t>98</t>
  </si>
  <si>
    <t>725224138R01</t>
  </si>
  <si>
    <t>Vanička sprchová obdelníková, 750x900 mm, bílá</t>
  </si>
  <si>
    <t>99</t>
  </si>
  <si>
    <t>725860222RT1</t>
  </si>
  <si>
    <t>Sifon pro sprchové vaničky, D 40/50 mm</t>
  </si>
  <si>
    <t>samočisticí, stavitelný odpad, krytka nerez</t>
  </si>
  <si>
    <t>100</t>
  </si>
  <si>
    <t>725224138R02</t>
  </si>
  <si>
    <t>Nohy k vestavným vaničkám</t>
  </si>
  <si>
    <t>101</t>
  </si>
  <si>
    <t>725224138R03</t>
  </si>
  <si>
    <t>Sada upevnění ke zdi pro sprch. vaničku</t>
  </si>
  <si>
    <t>102</t>
  </si>
  <si>
    <t>725224138R04</t>
  </si>
  <si>
    <t>Zástěna sprchového koutu, 900 mm</t>
  </si>
  <si>
    <t>dle výběru investora</t>
  </si>
  <si>
    <t>103</t>
  </si>
  <si>
    <t>725224138R05</t>
  </si>
  <si>
    <t>Zástěna sprchového koutu, 900x750 mm</t>
  </si>
  <si>
    <t>104</t>
  </si>
  <si>
    <t>725100019RA0</t>
  </si>
  <si>
    <t>Set kombinované nerez výlevky s umyvadlem a vodovodní baterií - dodávka a montáž</t>
  </si>
  <si>
    <t>nerez výlevka s mřížkou, baterie stoj. chrom. s prodlouž. ramínkem, sifon, napojení odpadu</t>
  </si>
  <si>
    <t>105</t>
  </si>
  <si>
    <t>725200010RA0</t>
  </si>
  <si>
    <t>Montáž zařizovacích předmětů - klozet</t>
  </si>
  <si>
    <t>106</t>
  </si>
  <si>
    <t>725200030RA0</t>
  </si>
  <si>
    <t>Montáž zařizovacích předmětů - umyvadlo</t>
  </si>
  <si>
    <t>107</t>
  </si>
  <si>
    <t>725200050RA0</t>
  </si>
  <si>
    <t>Montáž zařizovacích předmětů - sprchový kout</t>
  </si>
  <si>
    <t>108</t>
  </si>
  <si>
    <t>725823111RT1</t>
  </si>
  <si>
    <t>Baterie umyvadlová stojánková, ruční, bez otvírání odpadu</t>
  </si>
  <si>
    <t>standardní</t>
  </si>
  <si>
    <t>109</t>
  </si>
  <si>
    <t>725810402R00</t>
  </si>
  <si>
    <t>Ventil rohový 3/8"-1/2", chromový</t>
  </si>
  <si>
    <t>110</t>
  </si>
  <si>
    <t>725825111RT0</t>
  </si>
  <si>
    <t>Baterie umyvadlová nástěnná s ramínkem, 150 mm</t>
  </si>
  <si>
    <t>111</t>
  </si>
  <si>
    <t>725829301R00</t>
  </si>
  <si>
    <t>Montáž baterie umyvadlové a dřezové stojánkové</t>
  </si>
  <si>
    <t>112</t>
  </si>
  <si>
    <t>551450380</t>
  </si>
  <si>
    <t>Baterie sprchová nástěnná</t>
  </si>
  <si>
    <t>113</t>
  </si>
  <si>
    <t>55145352</t>
  </si>
  <si>
    <t>Set sprchový - hadice, držák, sprch. hlavice</t>
  </si>
  <si>
    <t>114</t>
  </si>
  <si>
    <t>725849205R00</t>
  </si>
  <si>
    <t>Montáž baterie sprchové vč. sprchového setu</t>
  </si>
  <si>
    <t>728</t>
  </si>
  <si>
    <t>Vzduchotechnika</t>
  </si>
  <si>
    <t>115</t>
  </si>
  <si>
    <t>728415122R00</t>
  </si>
  <si>
    <t>Montáž mřížky větrací nebo ventilační 200x200 mm</t>
  </si>
  <si>
    <t>728_</t>
  </si>
  <si>
    <t>vč. plast. mřížky, odvětrání soc. kabin personálu</t>
  </si>
  <si>
    <t>733</t>
  </si>
  <si>
    <t>Rozvod potrubí</t>
  </si>
  <si>
    <t>116</t>
  </si>
  <si>
    <t>733163102R00</t>
  </si>
  <si>
    <t>Potrubí z měděných trubek vytápění D 15 x 1,0 mm</t>
  </si>
  <si>
    <t>733_</t>
  </si>
  <si>
    <t>73_</t>
  </si>
  <si>
    <t>pol. zahrnuje náklady na dodávku potrubí a tvarovek včetně montáže</t>
  </si>
  <si>
    <t>117</t>
  </si>
  <si>
    <t>733163103R00</t>
  </si>
  <si>
    <t>Potrubí z měděných trubek vytápění D 18 x 1,0 mm</t>
  </si>
  <si>
    <t>118</t>
  </si>
  <si>
    <t>722181233RT5</t>
  </si>
  <si>
    <t>Izolace návleková PE, TUBEX, tl. stěny 15 mm, vnitřní průměr 15 mm</t>
  </si>
  <si>
    <t>dodávka a montáž vč. izolační trubice, spon a lepicí pásky</t>
  </si>
  <si>
    <t>119</t>
  </si>
  <si>
    <t>722181233RT6</t>
  </si>
  <si>
    <t>Izolace návleková PE, TUBEX, tl. stěny 15 mm, vnitřní průměr 18 mm</t>
  </si>
  <si>
    <t>vnitřní průměr 18 mm</t>
  </si>
  <si>
    <t>120</t>
  </si>
  <si>
    <t>767883111RT1</t>
  </si>
  <si>
    <t>Objímka kovová jednošroubová, rozměr 14-16, kombivrut + hmoždinka</t>
  </si>
  <si>
    <t>pro potrubí 15x1</t>
  </si>
  <si>
    <t>121</t>
  </si>
  <si>
    <t>767883111RT3</t>
  </si>
  <si>
    <t>Objímka kovová jednošroubová, rozměr 17-19, kombivrut + hmoždinka</t>
  </si>
  <si>
    <t>pro potrubí 18x1</t>
  </si>
  <si>
    <t>122</t>
  </si>
  <si>
    <t>733999VD</t>
  </si>
  <si>
    <t>rozvod potrubí</t>
  </si>
  <si>
    <t>123</t>
  </si>
  <si>
    <t>Demontáž původních zařízení, rozvodů, otopných těles, exp. nádob (m.č. 3.13)</t>
  </si>
  <si>
    <t>124</t>
  </si>
  <si>
    <t>Tlaková zkouška - otopná soustava</t>
  </si>
  <si>
    <t>125</t>
  </si>
  <si>
    <t>Topná zkouška - otopná soustava</t>
  </si>
  <si>
    <t>126</t>
  </si>
  <si>
    <t>998733101R00</t>
  </si>
  <si>
    <t>Přesun hmot pro rozvody potrubí, H do 12 m</t>
  </si>
  <si>
    <t>735</t>
  </si>
  <si>
    <t>Otopná tělesa</t>
  </si>
  <si>
    <t>127</t>
  </si>
  <si>
    <t>735141820RT1</t>
  </si>
  <si>
    <t>Otopné těleso designové Vertikal, K11V200058-M, 588/2000 mm</t>
  </si>
  <si>
    <t>735_</t>
  </si>
  <si>
    <t>128</t>
  </si>
  <si>
    <t>735999VD</t>
  </si>
  <si>
    <t>Repase litinových článků OT, rozměr 500/200 mm, Slávia</t>
  </si>
  <si>
    <t>článek</t>
  </si>
  <si>
    <t>129</t>
  </si>
  <si>
    <t>735156667R0</t>
  </si>
  <si>
    <t>Montáž otopných těles</t>
  </si>
  <si>
    <t>130</t>
  </si>
  <si>
    <t>734221672RT0</t>
  </si>
  <si>
    <t>Hlavice ovládání ventilů termostatická DX, M30x1,5</t>
  </si>
  <si>
    <t>131</t>
  </si>
  <si>
    <t>734226222RT1</t>
  </si>
  <si>
    <t>Ventil term. rohový, V-exact II, 1/2", 3451-02.000</t>
  </si>
  <si>
    <t>bez termostatické hlavice</t>
  </si>
  <si>
    <t>132</t>
  </si>
  <si>
    <t>734266212R00</t>
  </si>
  <si>
    <t>Šroubení rohové vypouštěcí 1/2", Regulux, 0351-02.000</t>
  </si>
  <si>
    <t>133</t>
  </si>
  <si>
    <t>Svěrné šroubení na měď Rp1/2-15, 2201-15.351</t>
  </si>
  <si>
    <t>napojení koupelnových těles, univerzální</t>
  </si>
  <si>
    <t>134</t>
  </si>
  <si>
    <t>55121100050</t>
  </si>
  <si>
    <t>Šroubení s ventilem, komplet bílý, Multilux 4-SET, M30x1,5</t>
  </si>
  <si>
    <t>termostatická hlavice v ceně setu</t>
  </si>
  <si>
    <t>135</t>
  </si>
  <si>
    <t>Svěrné šroubení G3/4, 3831-15.351</t>
  </si>
  <si>
    <t>136</t>
  </si>
  <si>
    <t>otopná tělesa</t>
  </si>
  <si>
    <t>137</t>
  </si>
  <si>
    <t>998735202R00</t>
  </si>
  <si>
    <t>Přesun hmot pro otopná tělesa, výšky do 12 m</t>
  </si>
  <si>
    <t>771</t>
  </si>
  <si>
    <t>Podlahy z dlaždic</t>
  </si>
  <si>
    <t>138</t>
  </si>
  <si>
    <t>771575109R00</t>
  </si>
  <si>
    <t>Montáž podlah keram.,režné hladké, tmel, 30x30 cm</t>
  </si>
  <si>
    <t>771_</t>
  </si>
  <si>
    <t>77_</t>
  </si>
  <si>
    <t>139</t>
  </si>
  <si>
    <t>597816VD</t>
  </si>
  <si>
    <t>Dlažba keramická dle výběru investora</t>
  </si>
  <si>
    <t>referenční výrobek RAKO Taurus Granit šedá 30x30 cm</t>
  </si>
  <si>
    <t>781</t>
  </si>
  <si>
    <t>Obklady (keramické)</t>
  </si>
  <si>
    <t>140</t>
  </si>
  <si>
    <t>781101210RT1</t>
  </si>
  <si>
    <t>Penetrace podkladu pod obklady</t>
  </si>
  <si>
    <t>781_</t>
  </si>
  <si>
    <t>78_</t>
  </si>
  <si>
    <t>Poznámka:</t>
  </si>
  <si>
    <t>141</t>
  </si>
  <si>
    <t>781415016R00</t>
  </si>
  <si>
    <t>Montáž obkladů stěn, porovin.,tmel, nad 20x25 cm</t>
  </si>
  <si>
    <t>142</t>
  </si>
  <si>
    <t>781415013RA0</t>
  </si>
  <si>
    <t>Obklad keramický 19,8x39x8, dle výběru investora</t>
  </si>
  <si>
    <t>referenční výrobek EBS Joy obklad 19,8x39,8 oranžový</t>
  </si>
  <si>
    <t>143</t>
  </si>
  <si>
    <t>781415013RA1</t>
  </si>
  <si>
    <t>Obklad keramický dekorativní Bob a Bobek</t>
  </si>
  <si>
    <t>referenční výrobek Rako Play bílá 20x40 cm lesk (WIDMB210.1)</t>
  </si>
  <si>
    <t>Různé dokončovací konstrukce a práce na pozemních stavbách</t>
  </si>
  <si>
    <t>144</t>
  </si>
  <si>
    <t>952901111R00</t>
  </si>
  <si>
    <t>Vyčištění budov o výšce podlaží do 4 m</t>
  </si>
  <si>
    <t>95_</t>
  </si>
  <si>
    <t>9_</t>
  </si>
  <si>
    <t>145</t>
  </si>
  <si>
    <t>220261664R00</t>
  </si>
  <si>
    <t>Hrubá výplň drážky</t>
  </si>
  <si>
    <t>146</t>
  </si>
  <si>
    <t>220261665R00</t>
  </si>
  <si>
    <t>Začištění drážky, konečná úprava</t>
  </si>
  <si>
    <t>147</t>
  </si>
  <si>
    <t>954313304R00</t>
  </si>
  <si>
    <t>Opláštění z SDK, 3.str, do 800x800 mm, RFI tl.12,5 mm</t>
  </si>
  <si>
    <t>instal. kaslíky pro krytí rozvodů TZB</t>
  </si>
  <si>
    <t>148</t>
  </si>
  <si>
    <t>HZS - kompletační a drobné práce jinde neuvedené</t>
  </si>
  <si>
    <t>149</t>
  </si>
  <si>
    <t>959999VD</t>
  </si>
  <si>
    <t>Protiprašná opatření v prostoru stavby</t>
  </si>
  <si>
    <t>oddělení m.č. 3.11, 3.06, 2.12., 2.06 a prostor vedení TZB</t>
  </si>
  <si>
    <t>Bourání konstrukcí</t>
  </si>
  <si>
    <t>150</t>
  </si>
  <si>
    <t>725290020RA0</t>
  </si>
  <si>
    <t>Demontáž umyvadla včetně baterie a konzol</t>
  </si>
  <si>
    <t>96_</t>
  </si>
  <si>
    <t>151</t>
  </si>
  <si>
    <t>725110811R00</t>
  </si>
  <si>
    <t>Demontáž klozetů splachovacích</t>
  </si>
  <si>
    <t>152</t>
  </si>
  <si>
    <t>725240811R00</t>
  </si>
  <si>
    <t>Demontáž sprchových kabin</t>
  </si>
  <si>
    <t>153</t>
  </si>
  <si>
    <t>968061125R00</t>
  </si>
  <si>
    <t>Vyvěšení dřevěných a plastových dveřních křídel pl. do 2 m2</t>
  </si>
  <si>
    <t>154</t>
  </si>
  <si>
    <t>968072455R00</t>
  </si>
  <si>
    <t>Vybourání kovových dveřních zárubní pl. do 2 m2</t>
  </si>
  <si>
    <t>155</t>
  </si>
  <si>
    <t>962031113R00</t>
  </si>
  <si>
    <t>Bourání příček z cihel pálených plných tl. 65 mm</t>
  </si>
  <si>
    <t>156</t>
  </si>
  <si>
    <t>978500010RA0</t>
  </si>
  <si>
    <t>Odsekání vnitřních obkladů</t>
  </si>
  <si>
    <t>157</t>
  </si>
  <si>
    <t>630900030RAB</t>
  </si>
  <si>
    <t>Vybourání dlažby a podkladního betonu</t>
  </si>
  <si>
    <t>tloušťka do 10 cm</t>
  </si>
  <si>
    <t>158</t>
  </si>
  <si>
    <t>962032241R00</t>
  </si>
  <si>
    <t>Bourání zdiva z cihel pálených na MC</t>
  </si>
  <si>
    <t>provedení otvorů v nosných zdech</t>
  </si>
  <si>
    <t>159</t>
  </si>
  <si>
    <t>766111820R00</t>
  </si>
  <si>
    <t>Demontáž plastových příček a stěn</t>
  </si>
  <si>
    <t>160</t>
  </si>
  <si>
    <t>220261662R00</t>
  </si>
  <si>
    <t>Zhotovení drážky ve zdi cihlovém</t>
  </si>
  <si>
    <t>161</t>
  </si>
  <si>
    <t>HZS - bourání ostatních a doplňkových konstrukcí</t>
  </si>
  <si>
    <t>162</t>
  </si>
  <si>
    <t>979082111R00</t>
  </si>
  <si>
    <t>Vnitrostaveništní doprava suti</t>
  </si>
  <si>
    <t>t</t>
  </si>
  <si>
    <t>Včetně případného složení na staveništní deponii</t>
  </si>
  <si>
    <t>163</t>
  </si>
  <si>
    <t>979013312R00</t>
  </si>
  <si>
    <t>Svislá doprava vybouraných hmot</t>
  </si>
  <si>
    <t>S naložením do dopravního zařízení s vyprázdněním dopravního zařízení na hromadu nebo do dopravního prostředku</t>
  </si>
  <si>
    <t>164</t>
  </si>
  <si>
    <t>979081111R00</t>
  </si>
  <si>
    <t>Odvoz suti a vybour. hmot na skládku do 1 km</t>
  </si>
  <si>
    <t>165</t>
  </si>
  <si>
    <t>979081121R00</t>
  </si>
  <si>
    <t>Příplatek k odvozu za každý další 1 km</t>
  </si>
  <si>
    <t>166</t>
  </si>
  <si>
    <t>979990107R00</t>
  </si>
  <si>
    <t>Poplatek za uložení suti - směs betonu, cihel, dřeva, skupina odpadu 170904</t>
  </si>
  <si>
    <t>167</t>
  </si>
  <si>
    <t>979093111R00</t>
  </si>
  <si>
    <t>Uložení suti na skládku bez zhutnění</t>
  </si>
  <si>
    <t>V položce jsou zakalkulovány i náklady na hrubé urovnání</t>
  </si>
  <si>
    <t>H01</t>
  </si>
  <si>
    <t>Budovy občanské výstavby</t>
  </si>
  <si>
    <t>168</t>
  </si>
  <si>
    <t>998011002R00</t>
  </si>
  <si>
    <t>Přesun hmot pro budovy zděné výšky do 12 m</t>
  </si>
  <si>
    <t>H01_</t>
  </si>
  <si>
    <t>M21</t>
  </si>
  <si>
    <t>Elektromontáže</t>
  </si>
  <si>
    <t>169</t>
  </si>
  <si>
    <t>210201526R00</t>
  </si>
  <si>
    <t>Svítidlo LED stropní přisazené</t>
  </si>
  <si>
    <t>M21_</t>
  </si>
  <si>
    <t>170</t>
  </si>
  <si>
    <t>210201517R00</t>
  </si>
  <si>
    <t>Svítidlo LED stěnové</t>
  </si>
  <si>
    <t>171</t>
  </si>
  <si>
    <t>650101511R00</t>
  </si>
  <si>
    <t>Montáž LED svítidla</t>
  </si>
  <si>
    <t>172</t>
  </si>
  <si>
    <t>210110001RT2</t>
  </si>
  <si>
    <t>Spínač nástěnný jednopól.- řaz. 1, obyč. prostředí</t>
  </si>
  <si>
    <t>včetně dodávky spínače 3553-01929</t>
  </si>
  <si>
    <t>173</t>
  </si>
  <si>
    <t>210110002R00</t>
  </si>
  <si>
    <t>Spínač nástěnný dvoupól.- řaz. 2, obyč.prostředí</t>
  </si>
  <si>
    <t>174</t>
  </si>
  <si>
    <t>210111011RT6</t>
  </si>
  <si>
    <t>Zásuvka domovní zapuštěná - provedení 2P+PE</t>
  </si>
  <si>
    <t>včetně dodávky zásuvky a rámečku</t>
  </si>
  <si>
    <t>175</t>
  </si>
  <si>
    <t>210001111VD</t>
  </si>
  <si>
    <t>Elektromontáže - kabelové rozvody, ostatní materiál</t>
  </si>
  <si>
    <t>176</t>
  </si>
  <si>
    <t>177</t>
  </si>
  <si>
    <t>2100999VD</t>
  </si>
  <si>
    <t>Drobný montážní materiál vč. montáže</t>
  </si>
  <si>
    <t>178</t>
  </si>
  <si>
    <t>650516813R01</t>
  </si>
  <si>
    <t>Revize elektro</t>
  </si>
  <si>
    <t>Celkem:</t>
  </si>
  <si>
    <t>PD je vytvořena digitálním způsobem v programu AutoCAD. Výměry v rozpočtu jsou jeho zpracovatelem stanoveny dle digitálního modelu - funkce měření ploch, délek atd. Uchazeč ve všech listech neoceněného rozpočtového souboru může měnit pouze buňky se žlutým pozadím. Jedná se o údaje o uchazeči a zpracovateli ocenění rozpočtu včetně data zpracování, J.C. (Kč) položek zadané na maximálně dvě desetinná místa a dobu výstavby ve dnech.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</si>
  <si>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</si>
  <si>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</si>
  <si>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</si>
  <si>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</si>
  <si>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</si>
  <si>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</si>
  <si>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</si>
  <si>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Krycí list rozpočtu</t>
  </si>
  <si>
    <t>IČO/DIČ:</t>
  </si>
  <si>
    <t>00234923/CZ00234923</t>
  </si>
  <si>
    <t>26174936/CZ26174936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</si>
  <si>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</si>
  <si>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</si>
  <si>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</si>
  <si>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</si>
  <si>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</si>
  <si>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</si>
  <si>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</si>
  <si>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</si>
  <si>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</si>
  <si>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</si>
  <si>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</si>
  <si>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</si>
  <si>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</si>
  <si>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</si>
  <si>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</si>
  <si>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</si>
  <si>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</si>
  <si>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</si>
  <si>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</si>
  <si>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</si>
  <si>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</si>
  <si>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</si>
  <si>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</si>
  <si>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</si>
  <si>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</si>
  <si>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</si>
  <si>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</si>
  <si>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</si>
  <si>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</si>
  <si>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</si>
  <si>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</si>
  <si>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</si>
  <si>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</si>
  <si>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</si>
  <si>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</si>
  <si>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</si>
  <si>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</si>
  <si>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</si>
  <si>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</si>
  <si>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</si>
  <si>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</si>
  <si>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</si>
  <si>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</si>
  <si>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</si>
  <si>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</si>
  <si>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</si>
  <si>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</si>
  <si>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</si>
  <si>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</si>
  <si>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</si>
  <si>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</si>
  <si>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</si>
  <si>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</si>
  <si>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 ARIPROS s.r.o.</t>
  </si>
  <si>
    <t>Doba výstavby (dny):</t>
  </si>
  <si>
    <t>Doby výstavby (dny):</t>
  </si>
  <si>
    <t>Rekonstrukce soc. zázemí a rozvodů TZB v 1.PP až 3.NP</t>
  </si>
  <si>
    <t>4x prostor soc. zázemí + související</t>
  </si>
  <si>
    <t>včetně případného složení na staveništní deponii</t>
  </si>
  <si>
    <t>v položce jsou zakalkulovány i náklady na hrubé urovnání</t>
  </si>
  <si>
    <t>s naložením do dopravního zařízení s vyprázdněním dopravního zařízení na hromadu nebo do dopravního prostředku</t>
  </si>
  <si>
    <t>stavební dělník v tarifní třídě 4 (nátěr těles a zárubní, montáž drobných ZP apod.)</t>
  </si>
  <si>
    <t>penetrační nátěr</t>
  </si>
  <si>
    <t>napojení vertikálních těles, univerzální</t>
  </si>
  <si>
    <t>repase otop. těles vč. nátěru</t>
  </si>
  <si>
    <t>včetně stržení povrchu</t>
  </si>
  <si>
    <t>Oprava a doplnění omítek stropů vnitřních vápenocem.štukových</t>
  </si>
  <si>
    <t>Oprava a doplnění omítek stěn vnitřních vápenocem. štukových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</si>
</sst>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b/>
      <sz val="12"/>
      <color rgb="FF000000"/>
      <name val="Arial"/>
      <charset val="238"/>
    </font>
    <font>
      <b/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" fontId="2" fillId="2" borderId="35" xfId="0" applyNumberFormat="1" applyFont="1" applyFill="1" applyBorder="1" applyAlignment="1">
      <alignment horizontal="right" vertical="center"/>
    </xf>
    <xf numFmtId="9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right" vertical="center"/>
    </xf>
    <xf numFmtId="1" fontId="3" fillId="0" borderId="38" xfId="0" applyNumberFormat="1" applyFont="1" applyBorder="1" applyAlignment="1">
      <alignment horizontal="right" vertical="center"/>
    </xf>
    <xf numFmtId="9" fontId="3" fillId="0" borderId="3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39" xfId="0" applyNumberFormat="1" applyFont="1" applyBorder="1" applyAlignment="1">
      <alignment horizontal="right" vertical="center"/>
    </xf>
    <xf numFmtId="0" fontId="2" fillId="0" borderId="75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4" fontId="3" fillId="0" borderId="79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4" fontId="8" fillId="0" borderId="52" xfId="0" applyNumberFormat="1" applyFont="1" applyBorder="1" applyAlignment="1">
      <alignment horizontal="right" vertical="center"/>
    </xf>
    <xf numFmtId="0" fontId="7" fillId="0" borderId="55" xfId="0" applyFont="1" applyBorder="1" applyAlignment="1">
      <alignment horizontal="left" vertical="center"/>
    </xf>
    <xf numFmtId="0" fontId="8" fillId="0" borderId="52" xfId="0" applyFont="1" applyBorder="1" applyAlignment="1">
      <alignment horizontal="right" vertical="center"/>
    </xf>
    <xf numFmtId="4" fontId="8" fillId="0" borderId="59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4" fontId="8" fillId="0" borderId="50" xfId="0" applyNumberFormat="1" applyFont="1" applyBorder="1" applyAlignment="1">
      <alignment horizontal="right" vertical="center"/>
    </xf>
    <xf numFmtId="0" fontId="9" fillId="0" borderId="0" xfId="0" applyFont="1"/>
    <xf numFmtId="4" fontId="7" fillId="2" borderId="49" xfId="0" applyNumberFormat="1" applyFont="1" applyFill="1" applyBorder="1" applyAlignment="1">
      <alignment horizontal="right" vertical="center"/>
    </xf>
    <xf numFmtId="4" fontId="7" fillId="2" borderId="54" xfId="0" applyNumberFormat="1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4" fontId="8" fillId="0" borderId="85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horizontal="left" vertical="center"/>
    </xf>
    <xf numFmtId="4" fontId="8" fillId="3" borderId="5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3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8" fillId="0" borderId="67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2" borderId="61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0" fontId="7" fillId="2" borderId="56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53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/>
    </xf>
    <xf numFmtId="0" fontId="11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5" fillId="0" borderId="81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4" fontId="5" fillId="0" borderId="84" xfId="0" applyNumberFormat="1" applyFont="1" applyBorder="1" applyAlignment="1">
      <alignment horizontal="right" vertical="center"/>
    </xf>
    <xf numFmtId="0" fontId="5" fillId="0" borderId="81" xfId="0" applyFont="1" applyBorder="1" applyAlignment="1">
      <alignment horizontal="right" vertical="center"/>
    </xf>
    <xf numFmtId="0" fontId="5" fillId="0" borderId="82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87"/>
  <sheetViews>
    <sheetView workbookViewId="0">
      <pane ySplit="11" topLeftCell="A256" activePane="bottomLeft" state="frozen"/>
      <selection pane="bottomLeft" activeCell="H285" sqref="H285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4.7109375" customWidth="1"/>
    <col min="4" max="4" width="42.85546875" customWidth="1"/>
    <col min="5" max="5" width="15.85546875" customWidth="1"/>
    <col min="6" max="6" width="6.42578125" customWidth="1"/>
    <col min="7" max="7" width="12.85546875" customWidth="1"/>
    <col min="8" max="8" width="12" customWidth="1"/>
    <col min="9" max="9" width="11.140625" customWidth="1"/>
    <col min="10" max="12" width="15.7109375" customWidth="1"/>
    <col min="13" max="13" width="15.7109375" hidden="1" customWidth="1"/>
    <col min="14" max="14" width="7.140625" hidden="1" customWidth="1"/>
    <col min="15" max="16" width="11.7109375" customWidth="1"/>
    <col min="17" max="17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27" t="s">
        <v>1</v>
      </c>
      <c r="B2" s="113"/>
      <c r="C2" s="113"/>
      <c r="D2" s="131" t="s">
        <v>2</v>
      </c>
      <c r="E2" s="132"/>
      <c r="F2" s="113" t="s">
        <v>732</v>
      </c>
      <c r="G2" s="113"/>
      <c r="H2" s="123"/>
      <c r="I2" s="112" t="s">
        <v>3</v>
      </c>
      <c r="J2" s="112" t="s">
        <v>4</v>
      </c>
      <c r="K2" s="113"/>
      <c r="L2" s="113"/>
      <c r="M2" s="113"/>
      <c r="N2" s="113"/>
      <c r="O2" s="113"/>
      <c r="P2" s="113"/>
      <c r="Q2" s="114"/>
    </row>
    <row r="3" spans="1:76" x14ac:dyDescent="0.25">
      <c r="A3" s="128"/>
      <c r="B3" s="96"/>
      <c r="C3" s="96"/>
      <c r="D3" s="133"/>
      <c r="E3" s="133"/>
      <c r="F3" s="96"/>
      <c r="G3" s="96"/>
      <c r="H3" s="116"/>
      <c r="I3" s="96"/>
      <c r="J3" s="96"/>
      <c r="K3" s="96"/>
      <c r="L3" s="96"/>
      <c r="M3" s="96"/>
      <c r="N3" s="96"/>
      <c r="O3" s="96"/>
      <c r="P3" s="96"/>
      <c r="Q3" s="115"/>
    </row>
    <row r="4" spans="1:76" x14ac:dyDescent="0.25">
      <c r="A4" s="129" t="s">
        <v>5</v>
      </c>
      <c r="B4" s="96"/>
      <c r="C4" s="96"/>
      <c r="D4" s="103" t="s">
        <v>734</v>
      </c>
      <c r="E4" s="96"/>
      <c r="F4" s="96" t="s">
        <v>6</v>
      </c>
      <c r="G4" s="96"/>
      <c r="H4" s="124"/>
      <c r="I4" s="95" t="s">
        <v>8</v>
      </c>
      <c r="J4" s="95" t="s">
        <v>9</v>
      </c>
      <c r="K4" s="96"/>
      <c r="L4" s="96"/>
      <c r="M4" s="96"/>
      <c r="N4" s="96"/>
      <c r="O4" s="96"/>
      <c r="P4" s="96"/>
      <c r="Q4" s="115"/>
    </row>
    <row r="5" spans="1:76" x14ac:dyDescent="0.25">
      <c r="A5" s="128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15"/>
    </row>
    <row r="6" spans="1:76" x14ac:dyDescent="0.25">
      <c r="A6" s="129" t="s">
        <v>10</v>
      </c>
      <c r="B6" s="96"/>
      <c r="C6" s="96"/>
      <c r="D6" s="95" t="s">
        <v>11</v>
      </c>
      <c r="E6" s="96"/>
      <c r="F6" s="96" t="s">
        <v>12</v>
      </c>
      <c r="G6" s="96"/>
      <c r="H6" s="96"/>
      <c r="I6" s="95" t="s">
        <v>13</v>
      </c>
      <c r="J6" s="95" t="s">
        <v>14</v>
      </c>
      <c r="K6" s="96"/>
      <c r="L6" s="96"/>
      <c r="M6" s="96"/>
      <c r="N6" s="96"/>
      <c r="O6" s="96"/>
      <c r="P6" s="96"/>
      <c r="Q6" s="115"/>
    </row>
    <row r="7" spans="1:76" x14ac:dyDescent="0.25">
      <c r="A7" s="128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15"/>
    </row>
    <row r="8" spans="1:76" x14ac:dyDescent="0.25">
      <c r="A8" s="129" t="s">
        <v>15</v>
      </c>
      <c r="B8" s="96"/>
      <c r="C8" s="96"/>
      <c r="D8" s="95" t="s">
        <v>16</v>
      </c>
      <c r="E8" s="96"/>
      <c r="F8" s="96" t="s">
        <v>17</v>
      </c>
      <c r="G8" s="96"/>
      <c r="H8" s="125">
        <v>45717</v>
      </c>
      <c r="I8" s="95" t="s">
        <v>18</v>
      </c>
      <c r="J8" s="116" t="s">
        <v>731</v>
      </c>
      <c r="K8" s="116"/>
      <c r="L8" s="116"/>
      <c r="M8" s="116"/>
      <c r="N8" s="116"/>
      <c r="O8" s="116"/>
      <c r="P8" s="116"/>
      <c r="Q8" s="117"/>
    </row>
    <row r="9" spans="1:76" x14ac:dyDescent="0.25">
      <c r="A9" s="130"/>
      <c r="B9" s="122"/>
      <c r="C9" s="122"/>
      <c r="D9" s="122"/>
      <c r="E9" s="122"/>
      <c r="F9" s="122"/>
      <c r="G9" s="122"/>
      <c r="H9" s="118"/>
      <c r="I9" s="122"/>
      <c r="J9" s="118"/>
      <c r="K9" s="118"/>
      <c r="L9" s="118"/>
      <c r="M9" s="118"/>
      <c r="N9" s="118"/>
      <c r="O9" s="118"/>
      <c r="P9" s="118"/>
      <c r="Q9" s="119"/>
    </row>
    <row r="10" spans="1:76" x14ac:dyDescent="0.25">
      <c r="A10" s="5" t="s">
        <v>19</v>
      </c>
      <c r="B10" s="6" t="s">
        <v>20</v>
      </c>
      <c r="C10" s="6" t="s">
        <v>21</v>
      </c>
      <c r="D10" s="120" t="s">
        <v>22</v>
      </c>
      <c r="E10" s="121"/>
      <c r="F10" s="7" t="s">
        <v>23</v>
      </c>
      <c r="G10" s="7" t="s">
        <v>24</v>
      </c>
      <c r="H10" s="8" t="s">
        <v>25</v>
      </c>
      <c r="I10" s="9" t="s">
        <v>26</v>
      </c>
      <c r="J10" s="106" t="s">
        <v>27</v>
      </c>
      <c r="K10" s="107"/>
      <c r="L10" s="108"/>
      <c r="M10" s="10" t="s">
        <v>27</v>
      </c>
      <c r="N10" s="9" t="s">
        <v>28</v>
      </c>
      <c r="O10" s="106" t="s">
        <v>29</v>
      </c>
      <c r="P10" s="109"/>
      <c r="Q10" s="11" t="s">
        <v>30</v>
      </c>
      <c r="BK10" s="12" t="s">
        <v>31</v>
      </c>
      <c r="BL10" s="13" t="s">
        <v>32</v>
      </c>
      <c r="BW10" s="13" t="s">
        <v>33</v>
      </c>
    </row>
    <row r="11" spans="1:76" x14ac:dyDescent="0.25">
      <c r="A11" s="14" t="s">
        <v>7</v>
      </c>
      <c r="B11" s="15" t="s">
        <v>7</v>
      </c>
      <c r="C11" s="15" t="s">
        <v>7</v>
      </c>
      <c r="D11" s="104" t="s">
        <v>34</v>
      </c>
      <c r="E11" s="105"/>
      <c r="F11" s="15" t="s">
        <v>7</v>
      </c>
      <c r="G11" s="15" t="s">
        <v>7</v>
      </c>
      <c r="H11" s="16" t="s">
        <v>35</v>
      </c>
      <c r="I11" s="17" t="s">
        <v>7</v>
      </c>
      <c r="J11" s="18" t="s">
        <v>36</v>
      </c>
      <c r="K11" s="19" t="s">
        <v>37</v>
      </c>
      <c r="L11" s="20" t="s">
        <v>38</v>
      </c>
      <c r="M11" s="21" t="s">
        <v>39</v>
      </c>
      <c r="N11" s="22" t="s">
        <v>7</v>
      </c>
      <c r="O11" s="18" t="s">
        <v>40</v>
      </c>
      <c r="P11" s="23" t="s">
        <v>38</v>
      </c>
      <c r="Q11" s="24" t="s">
        <v>41</v>
      </c>
      <c r="Z11" s="12" t="s">
        <v>42</v>
      </c>
      <c r="AA11" s="12" t="s">
        <v>43</v>
      </c>
      <c r="AB11" s="12" t="s">
        <v>44</v>
      </c>
      <c r="AC11" s="12" t="s">
        <v>45</v>
      </c>
      <c r="AD11" s="12" t="s">
        <v>46</v>
      </c>
      <c r="AE11" s="12" t="s">
        <v>47</v>
      </c>
      <c r="AF11" s="12" t="s">
        <v>48</v>
      </c>
      <c r="AG11" s="12" t="s">
        <v>49</v>
      </c>
      <c r="AH11" s="12" t="s">
        <v>50</v>
      </c>
      <c r="BH11" s="12" t="s">
        <v>51</v>
      </c>
      <c r="BI11" s="12" t="s">
        <v>52</v>
      </c>
      <c r="BJ11" s="12" t="s">
        <v>53</v>
      </c>
    </row>
    <row r="12" spans="1:76" x14ac:dyDescent="0.25">
      <c r="A12" s="25" t="s">
        <v>54</v>
      </c>
      <c r="B12" s="26" t="s">
        <v>54</v>
      </c>
      <c r="C12" s="26" t="s">
        <v>55</v>
      </c>
      <c r="D12" s="110" t="s">
        <v>56</v>
      </c>
      <c r="E12" s="111"/>
      <c r="F12" s="27" t="s">
        <v>7</v>
      </c>
      <c r="G12" s="27" t="s">
        <v>7</v>
      </c>
      <c r="H12" s="27" t="s">
        <v>7</v>
      </c>
      <c r="I12" s="27" t="s">
        <v>7</v>
      </c>
      <c r="J12" s="28">
        <f>SUM(J13:J17)</f>
        <v>0</v>
      </c>
      <c r="K12" s="28">
        <f>SUM(K13:K17)</f>
        <v>0</v>
      </c>
      <c r="L12" s="28">
        <f>SUM(L13:L17)</f>
        <v>0</v>
      </c>
      <c r="M12" s="28">
        <f>SUM(M13:M17)</f>
        <v>0</v>
      </c>
      <c r="N12" s="29">
        <f>IF(L285=0,0,L12/L285)</f>
        <v>0</v>
      </c>
      <c r="O12" s="30" t="s">
        <v>54</v>
      </c>
      <c r="P12" s="28">
        <f>SUM(P13:P17)</f>
        <v>0.44852999999999998</v>
      </c>
      <c r="Q12" s="31" t="s">
        <v>54</v>
      </c>
      <c r="AI12" s="12" t="s">
        <v>54</v>
      </c>
      <c r="AS12" s="1">
        <f>SUM(AJ13:AJ17)</f>
        <v>0</v>
      </c>
      <c r="AT12" s="1">
        <f>SUM(AK13:AK17)</f>
        <v>0</v>
      </c>
      <c r="AU12" s="1">
        <f>SUM(AL13:AL17)</f>
        <v>0</v>
      </c>
    </row>
    <row r="13" spans="1:76" ht="25.5" x14ac:dyDescent="0.25">
      <c r="A13" s="2" t="s">
        <v>57</v>
      </c>
      <c r="B13" s="3" t="s">
        <v>54</v>
      </c>
      <c r="C13" s="3" t="s">
        <v>58</v>
      </c>
      <c r="D13" s="95" t="s">
        <v>59</v>
      </c>
      <c r="E13" s="96"/>
      <c r="F13" s="3" t="s">
        <v>60</v>
      </c>
      <c r="G13" s="32">
        <v>1</v>
      </c>
      <c r="H13" s="89">
        <v>0</v>
      </c>
      <c r="I13" s="33">
        <v>21</v>
      </c>
      <c r="J13" s="32">
        <f>ROUND(G13*AO13,2)</f>
        <v>0</v>
      </c>
      <c r="K13" s="32">
        <f>ROUND(G13*AP13,2)</f>
        <v>0</v>
      </c>
      <c r="L13" s="32">
        <f>ROUND(G13*H13,2)</f>
        <v>0</v>
      </c>
      <c r="M13" s="32">
        <f>L13*(1+BW13/100)</f>
        <v>0</v>
      </c>
      <c r="N13" s="34">
        <f>IF(L285=0,0,L13/L285)</f>
        <v>0</v>
      </c>
      <c r="O13" s="32">
        <v>4.8809999999999999E-2</v>
      </c>
      <c r="P13" s="32">
        <f>G13*O13</f>
        <v>4.8809999999999999E-2</v>
      </c>
      <c r="Q13" s="35" t="s">
        <v>61</v>
      </c>
      <c r="Z13" s="32">
        <f>ROUND(IF(AQ13="5",BJ13,0),2)</f>
        <v>0</v>
      </c>
      <c r="AB13" s="32">
        <f>ROUND(IF(AQ13="1",BH13,0),2)</f>
        <v>0</v>
      </c>
      <c r="AC13" s="32">
        <f>ROUND(IF(AQ13="1",BI13,0),2)</f>
        <v>0</v>
      </c>
      <c r="AD13" s="32">
        <f>ROUND(IF(AQ13="7",BH13,0),2)</f>
        <v>0</v>
      </c>
      <c r="AE13" s="32">
        <f>ROUND(IF(AQ13="7",BI13,0),2)</f>
        <v>0</v>
      </c>
      <c r="AF13" s="32">
        <f>ROUND(IF(AQ13="2",BH13,0),2)</f>
        <v>0</v>
      </c>
      <c r="AG13" s="32">
        <f>ROUND(IF(AQ13="2",BI13,0),2)</f>
        <v>0</v>
      </c>
      <c r="AH13" s="32">
        <f>ROUND(IF(AQ13="0",BJ13,0),2)</f>
        <v>0</v>
      </c>
      <c r="AI13" s="12" t="s">
        <v>54</v>
      </c>
      <c r="AJ13" s="32">
        <f>IF(AN13=0,L13,0)</f>
        <v>0</v>
      </c>
      <c r="AK13" s="32">
        <f>IF(AN13=12,L13,0)</f>
        <v>0</v>
      </c>
      <c r="AL13" s="32">
        <f>IF(AN13=21,L13,0)</f>
        <v>0</v>
      </c>
      <c r="AN13" s="32">
        <v>21</v>
      </c>
      <c r="AO13" s="32">
        <f>H13*0.778675044</f>
        <v>0</v>
      </c>
      <c r="AP13" s="32">
        <f>H13*(1-0.778675044)</f>
        <v>0</v>
      </c>
      <c r="AQ13" s="36" t="s">
        <v>57</v>
      </c>
      <c r="AV13" s="32">
        <f>ROUND(AW13+AX13,2)</f>
        <v>0</v>
      </c>
      <c r="AW13" s="32">
        <f>ROUND(G13*AO13,2)</f>
        <v>0</v>
      </c>
      <c r="AX13" s="32">
        <f>ROUND(G13*AP13,2)</f>
        <v>0</v>
      </c>
      <c r="AY13" s="36" t="s">
        <v>62</v>
      </c>
      <c r="AZ13" s="36" t="s">
        <v>62</v>
      </c>
      <c r="BA13" s="12" t="s">
        <v>63</v>
      </c>
      <c r="BC13" s="32">
        <f>AW13+AX13</f>
        <v>0</v>
      </c>
      <c r="BD13" s="32">
        <f>H13/(100-BE13)*100</f>
        <v>0</v>
      </c>
      <c r="BE13" s="32">
        <v>0</v>
      </c>
      <c r="BF13" s="32">
        <f>P13</f>
        <v>4.8809999999999999E-2</v>
      </c>
      <c r="BH13" s="32">
        <f>G13*AO13</f>
        <v>0</v>
      </c>
      <c r="BI13" s="32">
        <f>G13*AP13</f>
        <v>0</v>
      </c>
      <c r="BJ13" s="32">
        <f>G13*H13</f>
        <v>0</v>
      </c>
      <c r="BK13" s="32"/>
      <c r="BL13" s="32">
        <v>0</v>
      </c>
      <c r="BW13" s="32">
        <f>I13</f>
        <v>21</v>
      </c>
      <c r="BX13" s="4" t="s">
        <v>59</v>
      </c>
    </row>
    <row r="14" spans="1:76" ht="13.5" customHeight="1" x14ac:dyDescent="0.25">
      <c r="A14" s="37"/>
      <c r="C14" s="38"/>
      <c r="D14" s="100" t="s">
        <v>64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</row>
    <row r="15" spans="1:76" ht="25.5" x14ac:dyDescent="0.25">
      <c r="A15" s="2" t="s">
        <v>65</v>
      </c>
      <c r="B15" s="3" t="s">
        <v>54</v>
      </c>
      <c r="C15" s="3" t="s">
        <v>58</v>
      </c>
      <c r="D15" s="95" t="s">
        <v>66</v>
      </c>
      <c r="E15" s="96"/>
      <c r="F15" s="3" t="s">
        <v>60</v>
      </c>
      <c r="G15" s="32">
        <v>4</v>
      </c>
      <c r="H15" s="89">
        <v>0</v>
      </c>
      <c r="I15" s="33">
        <v>21</v>
      </c>
      <c r="J15" s="32">
        <f>ROUND(G15*AO15,2)</f>
        <v>0</v>
      </c>
      <c r="K15" s="32">
        <f>ROUND(G15*AP15,2)</f>
        <v>0</v>
      </c>
      <c r="L15" s="32">
        <f>ROUND(G15*H15,2)</f>
        <v>0</v>
      </c>
      <c r="M15" s="32">
        <f>L15*(1+BW15/100)</f>
        <v>0</v>
      </c>
      <c r="N15" s="34">
        <f>IF(L285=0,0,L15/L285)</f>
        <v>0</v>
      </c>
      <c r="O15" s="32">
        <v>4.8809999999999999E-2</v>
      </c>
      <c r="P15" s="32">
        <f>G15*O15</f>
        <v>0.19524</v>
      </c>
      <c r="Q15" s="35" t="s">
        <v>61</v>
      </c>
      <c r="Z15" s="32">
        <f>ROUND(IF(AQ15="5",BJ15,0),2)</f>
        <v>0</v>
      </c>
      <c r="AB15" s="32">
        <f>ROUND(IF(AQ15="1",BH15,0),2)</f>
        <v>0</v>
      </c>
      <c r="AC15" s="32">
        <f>ROUND(IF(AQ15="1",BI15,0),2)</f>
        <v>0</v>
      </c>
      <c r="AD15" s="32">
        <f>ROUND(IF(AQ15="7",BH15,0),2)</f>
        <v>0</v>
      </c>
      <c r="AE15" s="32">
        <f>ROUND(IF(AQ15="7",BI15,0),2)</f>
        <v>0</v>
      </c>
      <c r="AF15" s="32">
        <f>ROUND(IF(AQ15="2",BH15,0),2)</f>
        <v>0</v>
      </c>
      <c r="AG15" s="32">
        <f>ROUND(IF(AQ15="2",BI15,0),2)</f>
        <v>0</v>
      </c>
      <c r="AH15" s="32">
        <f>ROUND(IF(AQ15="0",BJ15,0),2)</f>
        <v>0</v>
      </c>
      <c r="AI15" s="12" t="s">
        <v>54</v>
      </c>
      <c r="AJ15" s="32">
        <f>IF(AN15=0,L15,0)</f>
        <v>0</v>
      </c>
      <c r="AK15" s="32">
        <f>IF(AN15=12,L15,0)</f>
        <v>0</v>
      </c>
      <c r="AL15" s="32">
        <f>IF(AN15=21,L15,0)</f>
        <v>0</v>
      </c>
      <c r="AN15" s="32">
        <v>21</v>
      </c>
      <c r="AO15" s="32">
        <f>H15*0.778675044</f>
        <v>0</v>
      </c>
      <c r="AP15" s="32">
        <f>H15*(1-0.778675044)</f>
        <v>0</v>
      </c>
      <c r="AQ15" s="36" t="s">
        <v>57</v>
      </c>
      <c r="AV15" s="32">
        <f>ROUND(AW15+AX15,2)</f>
        <v>0</v>
      </c>
      <c r="AW15" s="32">
        <f>ROUND(G15*AO15,2)</f>
        <v>0</v>
      </c>
      <c r="AX15" s="32">
        <f>ROUND(G15*AP15,2)</f>
        <v>0</v>
      </c>
      <c r="AY15" s="36" t="s">
        <v>62</v>
      </c>
      <c r="AZ15" s="36" t="s">
        <v>62</v>
      </c>
      <c r="BA15" s="12" t="s">
        <v>63</v>
      </c>
      <c r="BC15" s="32">
        <f>AW15+AX15</f>
        <v>0</v>
      </c>
      <c r="BD15" s="32">
        <f>H15/(100-BE15)*100</f>
        <v>0</v>
      </c>
      <c r="BE15" s="32">
        <v>0</v>
      </c>
      <c r="BF15" s="32">
        <f>P15</f>
        <v>0.19524</v>
      </c>
      <c r="BH15" s="32">
        <f>G15*AO15</f>
        <v>0</v>
      </c>
      <c r="BI15" s="32">
        <f>G15*AP15</f>
        <v>0</v>
      </c>
      <c r="BJ15" s="32">
        <f>G15*H15</f>
        <v>0</v>
      </c>
      <c r="BK15" s="32"/>
      <c r="BL15" s="32">
        <v>0</v>
      </c>
      <c r="BW15" s="32">
        <f>I15</f>
        <v>21</v>
      </c>
      <c r="BX15" s="4" t="s">
        <v>66</v>
      </c>
    </row>
    <row r="16" spans="1:76" ht="13.5" customHeight="1" x14ac:dyDescent="0.25">
      <c r="A16" s="37"/>
      <c r="C16" s="38"/>
      <c r="D16" s="100" t="s">
        <v>64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9"/>
    </row>
    <row r="17" spans="1:76" ht="25.5" x14ac:dyDescent="0.25">
      <c r="A17" s="2" t="s">
        <v>67</v>
      </c>
      <c r="B17" s="3" t="s">
        <v>54</v>
      </c>
      <c r="C17" s="3" t="s">
        <v>68</v>
      </c>
      <c r="D17" s="95" t="s">
        <v>69</v>
      </c>
      <c r="E17" s="96"/>
      <c r="F17" s="3" t="s">
        <v>60</v>
      </c>
      <c r="G17" s="32">
        <v>4</v>
      </c>
      <c r="H17" s="89">
        <v>0</v>
      </c>
      <c r="I17" s="33">
        <v>21</v>
      </c>
      <c r="J17" s="32">
        <f>ROUND(G17*AO17,2)</f>
        <v>0</v>
      </c>
      <c r="K17" s="32">
        <f>ROUND(G17*AP17,2)</f>
        <v>0</v>
      </c>
      <c r="L17" s="32">
        <f>ROUND(G17*H17,2)</f>
        <v>0</v>
      </c>
      <c r="M17" s="32">
        <f>L17*(1+BW17/100)</f>
        <v>0</v>
      </c>
      <c r="N17" s="34">
        <f>IF(L285=0,0,L17/L285)</f>
        <v>0</v>
      </c>
      <c r="O17" s="32">
        <v>5.1119999999999999E-2</v>
      </c>
      <c r="P17" s="32">
        <f>G17*O17</f>
        <v>0.20448</v>
      </c>
      <c r="Q17" s="35" t="s">
        <v>61</v>
      </c>
      <c r="Z17" s="32">
        <f>ROUND(IF(AQ17="5",BJ17,0),2)</f>
        <v>0</v>
      </c>
      <c r="AB17" s="32">
        <f>ROUND(IF(AQ17="1",BH17,0),2)</f>
        <v>0</v>
      </c>
      <c r="AC17" s="32">
        <f>ROUND(IF(AQ17="1",BI17,0),2)</f>
        <v>0</v>
      </c>
      <c r="AD17" s="32">
        <f>ROUND(IF(AQ17="7",BH17,0),2)</f>
        <v>0</v>
      </c>
      <c r="AE17" s="32">
        <f>ROUND(IF(AQ17="7",BI17,0),2)</f>
        <v>0</v>
      </c>
      <c r="AF17" s="32">
        <f>ROUND(IF(AQ17="2",BH17,0),2)</f>
        <v>0</v>
      </c>
      <c r="AG17" s="32">
        <f>ROUND(IF(AQ17="2",BI17,0),2)</f>
        <v>0</v>
      </c>
      <c r="AH17" s="32">
        <f>ROUND(IF(AQ17="0",BJ17,0),2)</f>
        <v>0</v>
      </c>
      <c r="AI17" s="12" t="s">
        <v>54</v>
      </c>
      <c r="AJ17" s="32">
        <f>IF(AN17=0,L17,0)</f>
        <v>0</v>
      </c>
      <c r="AK17" s="32">
        <f>IF(AN17=12,L17,0)</f>
        <v>0</v>
      </c>
      <c r="AL17" s="32">
        <f>IF(AN17=21,L17,0)</f>
        <v>0</v>
      </c>
      <c r="AN17" s="32">
        <v>21</v>
      </c>
      <c r="AO17" s="32">
        <f>H17*0.778569719</f>
        <v>0</v>
      </c>
      <c r="AP17" s="32">
        <f>H17*(1-0.778569719)</f>
        <v>0</v>
      </c>
      <c r="AQ17" s="36" t="s">
        <v>57</v>
      </c>
      <c r="AV17" s="32">
        <f>ROUND(AW17+AX17,2)</f>
        <v>0</v>
      </c>
      <c r="AW17" s="32">
        <f>ROUND(G17*AO17,2)</f>
        <v>0</v>
      </c>
      <c r="AX17" s="32">
        <f>ROUND(G17*AP17,2)</f>
        <v>0</v>
      </c>
      <c r="AY17" s="36" t="s">
        <v>62</v>
      </c>
      <c r="AZ17" s="36" t="s">
        <v>62</v>
      </c>
      <c r="BA17" s="12" t="s">
        <v>63</v>
      </c>
      <c r="BC17" s="32">
        <f>AW17+AX17</f>
        <v>0</v>
      </c>
      <c r="BD17" s="32">
        <f>H17/(100-BE17)*100</f>
        <v>0</v>
      </c>
      <c r="BE17" s="32">
        <v>0</v>
      </c>
      <c r="BF17" s="32">
        <f>P17</f>
        <v>0.20448</v>
      </c>
      <c r="BH17" s="32">
        <f>G17*AO17</f>
        <v>0</v>
      </c>
      <c r="BI17" s="32">
        <f>G17*AP17</f>
        <v>0</v>
      </c>
      <c r="BJ17" s="32">
        <f>G17*H17</f>
        <v>0</v>
      </c>
      <c r="BK17" s="32"/>
      <c r="BL17" s="32">
        <v>0</v>
      </c>
      <c r="BW17" s="32">
        <f>I17</f>
        <v>21</v>
      </c>
      <c r="BX17" s="4" t="s">
        <v>69</v>
      </c>
    </row>
    <row r="18" spans="1:76" ht="13.5" customHeight="1" x14ac:dyDescent="0.25">
      <c r="A18" s="37"/>
      <c r="C18" s="38"/>
      <c r="D18" s="100" t="s">
        <v>64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</row>
    <row r="19" spans="1:76" x14ac:dyDescent="0.25">
      <c r="A19" s="40" t="s">
        <v>54</v>
      </c>
      <c r="B19" s="41" t="s">
        <v>54</v>
      </c>
      <c r="C19" s="41" t="s">
        <v>70</v>
      </c>
      <c r="D19" s="101" t="s">
        <v>71</v>
      </c>
      <c r="E19" s="102"/>
      <c r="F19" s="42" t="s">
        <v>7</v>
      </c>
      <c r="G19" s="42" t="s">
        <v>7</v>
      </c>
      <c r="H19" s="42" t="s">
        <v>7</v>
      </c>
      <c r="I19" s="42" t="s">
        <v>7</v>
      </c>
      <c r="J19" s="1">
        <f>SUM(J20:J33)</f>
        <v>0</v>
      </c>
      <c r="K19" s="1">
        <f>SUM(K20:K33)</f>
        <v>0</v>
      </c>
      <c r="L19" s="1">
        <f>SUM(L20:L33)</f>
        <v>0</v>
      </c>
      <c r="M19" s="1">
        <f>SUM(M20:M33)</f>
        <v>0</v>
      </c>
      <c r="N19" s="43">
        <f>IF(L285=0,0,L19/L285)</f>
        <v>0</v>
      </c>
      <c r="O19" s="12" t="s">
        <v>54</v>
      </c>
      <c r="P19" s="1">
        <f>SUM(P20:P33)</f>
        <v>9.5683512000000022</v>
      </c>
      <c r="Q19" s="44" t="s">
        <v>54</v>
      </c>
      <c r="AI19" s="12" t="s">
        <v>54</v>
      </c>
      <c r="AS19" s="1">
        <f>SUM(AJ20:AJ33)</f>
        <v>0</v>
      </c>
      <c r="AT19" s="1">
        <f>SUM(AK20:AK33)</f>
        <v>0</v>
      </c>
      <c r="AU19" s="1">
        <f>SUM(AL20:AL33)</f>
        <v>0</v>
      </c>
    </row>
    <row r="20" spans="1:76" x14ac:dyDescent="0.25">
      <c r="A20" s="2" t="s">
        <v>72</v>
      </c>
      <c r="B20" s="3" t="s">
        <v>54</v>
      </c>
      <c r="C20" s="3" t="s">
        <v>73</v>
      </c>
      <c r="D20" s="95" t="s">
        <v>74</v>
      </c>
      <c r="E20" s="96"/>
      <c r="F20" s="3" t="s">
        <v>75</v>
      </c>
      <c r="G20" s="32">
        <v>1.5</v>
      </c>
      <c r="H20" s="89">
        <v>0</v>
      </c>
      <c r="I20" s="33">
        <v>21</v>
      </c>
      <c r="J20" s="32">
        <f>ROUND(G20*AO20,2)</f>
        <v>0</v>
      </c>
      <c r="K20" s="32">
        <f>ROUND(G20*AP20,2)</f>
        <v>0</v>
      </c>
      <c r="L20" s="32">
        <f>ROUND(G20*H20,2)</f>
        <v>0</v>
      </c>
      <c r="M20" s="32">
        <f>L20*(1+BW20/100)</f>
        <v>0</v>
      </c>
      <c r="N20" s="34">
        <f>IF(L285=0,0,L20/L285)</f>
        <v>0</v>
      </c>
      <c r="O20" s="32">
        <v>1.7993399999999999</v>
      </c>
      <c r="P20" s="32">
        <f>G20*O20</f>
        <v>2.6990099999999999</v>
      </c>
      <c r="Q20" s="35" t="s">
        <v>61</v>
      </c>
      <c r="Z20" s="32">
        <f>ROUND(IF(AQ20="5",BJ20,0),2)</f>
        <v>0</v>
      </c>
      <c r="AB20" s="32">
        <f>ROUND(IF(AQ20="1",BH20,0),2)</f>
        <v>0</v>
      </c>
      <c r="AC20" s="32">
        <f>ROUND(IF(AQ20="1",BI20,0),2)</f>
        <v>0</v>
      </c>
      <c r="AD20" s="32">
        <f>ROUND(IF(AQ20="7",BH20,0),2)</f>
        <v>0</v>
      </c>
      <c r="AE20" s="32">
        <f>ROUND(IF(AQ20="7",BI20,0),2)</f>
        <v>0</v>
      </c>
      <c r="AF20" s="32">
        <f>ROUND(IF(AQ20="2",BH20,0),2)</f>
        <v>0</v>
      </c>
      <c r="AG20" s="32">
        <f>ROUND(IF(AQ20="2",BI20,0),2)</f>
        <v>0</v>
      </c>
      <c r="AH20" s="32">
        <f>ROUND(IF(AQ20="0",BJ20,0),2)</f>
        <v>0</v>
      </c>
      <c r="AI20" s="12" t="s">
        <v>54</v>
      </c>
      <c r="AJ20" s="32">
        <f>IF(AN20=0,L20,0)</f>
        <v>0</v>
      </c>
      <c r="AK20" s="32">
        <f>IF(AN20=12,L20,0)</f>
        <v>0</v>
      </c>
      <c r="AL20" s="32">
        <f>IF(AN20=21,L20,0)</f>
        <v>0</v>
      </c>
      <c r="AN20" s="32">
        <v>21</v>
      </c>
      <c r="AO20" s="32">
        <f>H20*0.599014987</f>
        <v>0</v>
      </c>
      <c r="AP20" s="32">
        <f>H20*(1-0.599014987)</f>
        <v>0</v>
      </c>
      <c r="AQ20" s="36" t="s">
        <v>57</v>
      </c>
      <c r="AV20" s="32">
        <f>ROUND(AW20+AX20,2)</f>
        <v>0</v>
      </c>
      <c r="AW20" s="32">
        <f>ROUND(G20*AO20,2)</f>
        <v>0</v>
      </c>
      <c r="AX20" s="32">
        <f>ROUND(G20*AP20,2)</f>
        <v>0</v>
      </c>
      <c r="AY20" s="36" t="s">
        <v>76</v>
      </c>
      <c r="AZ20" s="36" t="s">
        <v>77</v>
      </c>
      <c r="BA20" s="12" t="s">
        <v>63</v>
      </c>
      <c r="BC20" s="32">
        <f>AW20+AX20</f>
        <v>0</v>
      </c>
      <c r="BD20" s="32">
        <f>H20/(100-BE20)*100</f>
        <v>0</v>
      </c>
      <c r="BE20" s="32">
        <v>0</v>
      </c>
      <c r="BF20" s="32">
        <f>P20</f>
        <v>2.6990099999999999</v>
      </c>
      <c r="BH20" s="32">
        <f>G20*AO20</f>
        <v>0</v>
      </c>
      <c r="BI20" s="32">
        <f>G20*AP20</f>
        <v>0</v>
      </c>
      <c r="BJ20" s="32">
        <f>G20*H20</f>
        <v>0</v>
      </c>
      <c r="BK20" s="32"/>
      <c r="BL20" s="32">
        <v>34</v>
      </c>
      <c r="BW20" s="32">
        <f>I20</f>
        <v>21</v>
      </c>
      <c r="BX20" s="4" t="s">
        <v>74</v>
      </c>
    </row>
    <row r="21" spans="1:76" ht="13.5" customHeight="1" x14ac:dyDescent="0.25">
      <c r="A21" s="37"/>
      <c r="C21" s="38"/>
      <c r="D21" s="100" t="s">
        <v>78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</row>
    <row r="22" spans="1:76" x14ac:dyDescent="0.25">
      <c r="A22" s="2" t="s">
        <v>79</v>
      </c>
      <c r="B22" s="3" t="s">
        <v>54</v>
      </c>
      <c r="C22" s="3" t="s">
        <v>80</v>
      </c>
      <c r="D22" s="95" t="s">
        <v>81</v>
      </c>
      <c r="E22" s="96"/>
      <c r="F22" s="3" t="s">
        <v>60</v>
      </c>
      <c r="G22" s="32">
        <v>2</v>
      </c>
      <c r="H22" s="89">
        <v>0</v>
      </c>
      <c r="I22" s="33">
        <v>21</v>
      </c>
      <c r="J22" s="32">
        <f>ROUND(G22*AO22,2)</f>
        <v>0</v>
      </c>
      <c r="K22" s="32">
        <f>ROUND(G22*AP22,2)</f>
        <v>0</v>
      </c>
      <c r="L22" s="32">
        <f>ROUND(G22*H22,2)</f>
        <v>0</v>
      </c>
      <c r="M22" s="32">
        <f>L22*(1+BW22/100)</f>
        <v>0</v>
      </c>
      <c r="N22" s="34">
        <f>IF(L285=0,0,L22/L285)</f>
        <v>0</v>
      </c>
      <c r="O22" s="32">
        <v>0.14860000000000001</v>
      </c>
      <c r="P22" s="32">
        <f>G22*O22</f>
        <v>0.29720000000000002</v>
      </c>
      <c r="Q22" s="35" t="s">
        <v>61</v>
      </c>
      <c r="Z22" s="32">
        <f>ROUND(IF(AQ22="5",BJ22,0),2)</f>
        <v>0</v>
      </c>
      <c r="AB22" s="32">
        <f>ROUND(IF(AQ22="1",BH22,0),2)</f>
        <v>0</v>
      </c>
      <c r="AC22" s="32">
        <f>ROUND(IF(AQ22="1",BI22,0),2)</f>
        <v>0</v>
      </c>
      <c r="AD22" s="32">
        <f>ROUND(IF(AQ22="7",BH22,0),2)</f>
        <v>0</v>
      </c>
      <c r="AE22" s="32">
        <f>ROUND(IF(AQ22="7",BI22,0),2)</f>
        <v>0</v>
      </c>
      <c r="AF22" s="32">
        <f>ROUND(IF(AQ22="2",BH22,0),2)</f>
        <v>0</v>
      </c>
      <c r="AG22" s="32">
        <f>ROUND(IF(AQ22="2",BI22,0),2)</f>
        <v>0</v>
      </c>
      <c r="AH22" s="32">
        <f>ROUND(IF(AQ22="0",BJ22,0),2)</f>
        <v>0</v>
      </c>
      <c r="AI22" s="12" t="s">
        <v>54</v>
      </c>
      <c r="AJ22" s="32">
        <f>IF(AN22=0,L22,0)</f>
        <v>0</v>
      </c>
      <c r="AK22" s="32">
        <f>IF(AN22=12,L22,0)</f>
        <v>0</v>
      </c>
      <c r="AL22" s="32">
        <f>IF(AN22=21,L22,0)</f>
        <v>0</v>
      </c>
      <c r="AN22" s="32">
        <v>21</v>
      </c>
      <c r="AO22" s="32">
        <f>H22*0.304124305</f>
        <v>0</v>
      </c>
      <c r="AP22" s="32">
        <f>H22*(1-0.304124305)</f>
        <v>0</v>
      </c>
      <c r="AQ22" s="36" t="s">
        <v>57</v>
      </c>
      <c r="AV22" s="32">
        <f>ROUND(AW22+AX22,2)</f>
        <v>0</v>
      </c>
      <c r="AW22" s="32">
        <f>ROUND(G22*AO22,2)</f>
        <v>0</v>
      </c>
      <c r="AX22" s="32">
        <f>ROUND(G22*AP22,2)</f>
        <v>0</v>
      </c>
      <c r="AY22" s="36" t="s">
        <v>76</v>
      </c>
      <c r="AZ22" s="36" t="s">
        <v>77</v>
      </c>
      <c r="BA22" s="12" t="s">
        <v>63</v>
      </c>
      <c r="BC22" s="32">
        <f>AW22+AX22</f>
        <v>0</v>
      </c>
      <c r="BD22" s="32">
        <f>H22/(100-BE22)*100</f>
        <v>0</v>
      </c>
      <c r="BE22" s="32">
        <v>0</v>
      </c>
      <c r="BF22" s="32">
        <f>P22</f>
        <v>0.29720000000000002</v>
      </c>
      <c r="BH22" s="32">
        <f>G22*AO22</f>
        <v>0</v>
      </c>
      <c r="BI22" s="32">
        <f>G22*AP22</f>
        <v>0</v>
      </c>
      <c r="BJ22" s="32">
        <f>G22*H22</f>
        <v>0</v>
      </c>
      <c r="BK22" s="32"/>
      <c r="BL22" s="32">
        <v>34</v>
      </c>
      <c r="BW22" s="32">
        <f>I22</f>
        <v>21</v>
      </c>
      <c r="BX22" s="4" t="s">
        <v>81</v>
      </c>
    </row>
    <row r="23" spans="1:76" ht="13.5" customHeight="1" x14ac:dyDescent="0.25">
      <c r="A23" s="37"/>
      <c r="C23" s="38"/>
      <c r="D23" s="100" t="s">
        <v>82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</row>
    <row r="24" spans="1:76" x14ac:dyDescent="0.25">
      <c r="A24" s="2" t="s">
        <v>83</v>
      </c>
      <c r="B24" s="3" t="s">
        <v>54</v>
      </c>
      <c r="C24" s="3" t="s">
        <v>84</v>
      </c>
      <c r="D24" s="95" t="s">
        <v>85</v>
      </c>
      <c r="E24" s="96"/>
      <c r="F24" s="3" t="s">
        <v>60</v>
      </c>
      <c r="G24" s="32">
        <v>4</v>
      </c>
      <c r="H24" s="89">
        <v>0</v>
      </c>
      <c r="I24" s="33">
        <v>21</v>
      </c>
      <c r="J24" s="32">
        <f>ROUND(G24*AO24,2)</f>
        <v>0</v>
      </c>
      <c r="K24" s="32">
        <f>ROUND(G24*AP24,2)</f>
        <v>0</v>
      </c>
      <c r="L24" s="32">
        <f>ROUND(G24*H24,2)</f>
        <v>0</v>
      </c>
      <c r="M24" s="32">
        <f>L24*(1+BW24/100)</f>
        <v>0</v>
      </c>
      <c r="N24" s="34">
        <f>IF(L285=0,0,L24/L285)</f>
        <v>0</v>
      </c>
      <c r="O24" s="32">
        <v>2.6509999999999999E-2</v>
      </c>
      <c r="P24" s="32">
        <f>G24*O24</f>
        <v>0.10604</v>
      </c>
      <c r="Q24" s="35" t="s">
        <v>61</v>
      </c>
      <c r="Z24" s="32">
        <f>ROUND(IF(AQ24="5",BJ24,0),2)</f>
        <v>0</v>
      </c>
      <c r="AB24" s="32">
        <f>ROUND(IF(AQ24="1",BH24,0),2)</f>
        <v>0</v>
      </c>
      <c r="AC24" s="32">
        <f>ROUND(IF(AQ24="1",BI24,0),2)</f>
        <v>0</v>
      </c>
      <c r="AD24" s="32">
        <f>ROUND(IF(AQ24="7",BH24,0),2)</f>
        <v>0</v>
      </c>
      <c r="AE24" s="32">
        <f>ROUND(IF(AQ24="7",BI24,0),2)</f>
        <v>0</v>
      </c>
      <c r="AF24" s="32">
        <f>ROUND(IF(AQ24="2",BH24,0),2)</f>
        <v>0</v>
      </c>
      <c r="AG24" s="32">
        <f>ROUND(IF(AQ24="2",BI24,0),2)</f>
        <v>0</v>
      </c>
      <c r="AH24" s="32">
        <f>ROUND(IF(AQ24="0",BJ24,0),2)</f>
        <v>0</v>
      </c>
      <c r="AI24" s="12" t="s">
        <v>54</v>
      </c>
      <c r="AJ24" s="32">
        <f>IF(AN24=0,L24,0)</f>
        <v>0</v>
      </c>
      <c r="AK24" s="32">
        <f>IF(AN24=12,L24,0)</f>
        <v>0</v>
      </c>
      <c r="AL24" s="32">
        <f>IF(AN24=21,L24,0)</f>
        <v>0</v>
      </c>
      <c r="AN24" s="32">
        <v>21</v>
      </c>
      <c r="AO24" s="32">
        <f>H24*0.843650638</f>
        <v>0</v>
      </c>
      <c r="AP24" s="32">
        <f>H24*(1-0.843650638)</f>
        <v>0</v>
      </c>
      <c r="AQ24" s="36" t="s">
        <v>57</v>
      </c>
      <c r="AV24" s="32">
        <f>ROUND(AW24+AX24,2)</f>
        <v>0</v>
      </c>
      <c r="AW24" s="32">
        <f>ROUND(G24*AO24,2)</f>
        <v>0</v>
      </c>
      <c r="AX24" s="32">
        <f>ROUND(G24*AP24,2)</f>
        <v>0</v>
      </c>
      <c r="AY24" s="36" t="s">
        <v>76</v>
      </c>
      <c r="AZ24" s="36" t="s">
        <v>77</v>
      </c>
      <c r="BA24" s="12" t="s">
        <v>63</v>
      </c>
      <c r="BC24" s="32">
        <f>AW24+AX24</f>
        <v>0</v>
      </c>
      <c r="BD24" s="32">
        <f>H24/(100-BE24)*100</f>
        <v>0</v>
      </c>
      <c r="BE24" s="32">
        <v>0</v>
      </c>
      <c r="BF24" s="32">
        <f>P24</f>
        <v>0.10604</v>
      </c>
      <c r="BH24" s="32">
        <f>G24*AO24</f>
        <v>0</v>
      </c>
      <c r="BI24" s="32">
        <f>G24*AP24</f>
        <v>0</v>
      </c>
      <c r="BJ24" s="32">
        <f>G24*H24</f>
        <v>0</v>
      </c>
      <c r="BK24" s="32"/>
      <c r="BL24" s="32">
        <v>34</v>
      </c>
      <c r="BW24" s="32">
        <f>I24</f>
        <v>21</v>
      </c>
      <c r="BX24" s="4" t="s">
        <v>85</v>
      </c>
    </row>
    <row r="25" spans="1:76" ht="13.5" customHeight="1" x14ac:dyDescent="0.25">
      <c r="A25" s="37"/>
      <c r="C25" s="38"/>
      <c r="D25" s="100" t="s">
        <v>86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</row>
    <row r="26" spans="1:76" x14ac:dyDescent="0.25">
      <c r="A26" s="2" t="s">
        <v>87</v>
      </c>
      <c r="B26" s="3" t="s">
        <v>54</v>
      </c>
      <c r="C26" s="3" t="s">
        <v>88</v>
      </c>
      <c r="D26" s="95" t="s">
        <v>89</v>
      </c>
      <c r="E26" s="96"/>
      <c r="F26" s="3" t="s">
        <v>90</v>
      </c>
      <c r="G26" s="32">
        <v>45.33</v>
      </c>
      <c r="H26" s="89">
        <v>0</v>
      </c>
      <c r="I26" s="33">
        <v>21</v>
      </c>
      <c r="J26" s="32">
        <f>ROUND(G26*AO26,2)</f>
        <v>0</v>
      </c>
      <c r="K26" s="32">
        <f>ROUND(G26*AP26,2)</f>
        <v>0</v>
      </c>
      <c r="L26" s="32">
        <f>ROUND(G26*H26,2)</f>
        <v>0</v>
      </c>
      <c r="M26" s="32">
        <f>L26*(1+BW26/100)</f>
        <v>0</v>
      </c>
      <c r="N26" s="34">
        <f>IF(L285=0,0,L26/L285)</f>
        <v>0</v>
      </c>
      <c r="O26" s="32">
        <v>7.5340000000000004E-2</v>
      </c>
      <c r="P26" s="32">
        <f>G26*O26</f>
        <v>3.4151622000000001</v>
      </c>
      <c r="Q26" s="35" t="s">
        <v>61</v>
      </c>
      <c r="Z26" s="32">
        <f>ROUND(IF(AQ26="5",BJ26,0),2)</f>
        <v>0</v>
      </c>
      <c r="AB26" s="32">
        <f>ROUND(IF(AQ26="1",BH26,0),2)</f>
        <v>0</v>
      </c>
      <c r="AC26" s="32">
        <f>ROUND(IF(AQ26="1",BI26,0),2)</f>
        <v>0</v>
      </c>
      <c r="AD26" s="32">
        <f>ROUND(IF(AQ26="7",BH26,0),2)</f>
        <v>0</v>
      </c>
      <c r="AE26" s="32">
        <f>ROUND(IF(AQ26="7",BI26,0),2)</f>
        <v>0</v>
      </c>
      <c r="AF26" s="32">
        <f>ROUND(IF(AQ26="2",BH26,0),2)</f>
        <v>0</v>
      </c>
      <c r="AG26" s="32">
        <f>ROUND(IF(AQ26="2",BI26,0),2)</f>
        <v>0</v>
      </c>
      <c r="AH26" s="32">
        <f>ROUND(IF(AQ26="0",BJ26,0),2)</f>
        <v>0</v>
      </c>
      <c r="AI26" s="12" t="s">
        <v>54</v>
      </c>
      <c r="AJ26" s="32">
        <f>IF(AN26=0,L26,0)</f>
        <v>0</v>
      </c>
      <c r="AK26" s="32">
        <f>IF(AN26=12,L26,0)</f>
        <v>0</v>
      </c>
      <c r="AL26" s="32">
        <f>IF(AN26=21,L26,0)</f>
        <v>0</v>
      </c>
      <c r="AN26" s="32">
        <v>21</v>
      </c>
      <c r="AO26" s="32">
        <f>H26*0.631105738</f>
        <v>0</v>
      </c>
      <c r="AP26" s="32">
        <f>H26*(1-0.631105738)</f>
        <v>0</v>
      </c>
      <c r="AQ26" s="36" t="s">
        <v>57</v>
      </c>
      <c r="AV26" s="32">
        <f>ROUND(AW26+AX26,2)</f>
        <v>0</v>
      </c>
      <c r="AW26" s="32">
        <f>ROUND(G26*AO26,2)</f>
        <v>0</v>
      </c>
      <c r="AX26" s="32">
        <f>ROUND(G26*AP26,2)</f>
        <v>0</v>
      </c>
      <c r="AY26" s="36" t="s">
        <v>76</v>
      </c>
      <c r="AZ26" s="36" t="s">
        <v>77</v>
      </c>
      <c r="BA26" s="12" t="s">
        <v>63</v>
      </c>
      <c r="BC26" s="32">
        <f>AW26+AX26</f>
        <v>0</v>
      </c>
      <c r="BD26" s="32">
        <f>H26/(100-BE26)*100</f>
        <v>0</v>
      </c>
      <c r="BE26" s="32">
        <v>0</v>
      </c>
      <c r="BF26" s="32">
        <f>P26</f>
        <v>3.4151622000000001</v>
      </c>
      <c r="BH26" s="32">
        <f>G26*AO26</f>
        <v>0</v>
      </c>
      <c r="BI26" s="32">
        <f>G26*AP26</f>
        <v>0</v>
      </c>
      <c r="BJ26" s="32">
        <f>G26*H26</f>
        <v>0</v>
      </c>
      <c r="BK26" s="32"/>
      <c r="BL26" s="32">
        <v>34</v>
      </c>
      <c r="BW26" s="32">
        <f>I26</f>
        <v>21</v>
      </c>
      <c r="BX26" s="4" t="s">
        <v>89</v>
      </c>
    </row>
    <row r="27" spans="1:76" x14ac:dyDescent="0.25">
      <c r="A27" s="2" t="s">
        <v>91</v>
      </c>
      <c r="B27" s="3" t="s">
        <v>54</v>
      </c>
      <c r="C27" s="3" t="s">
        <v>92</v>
      </c>
      <c r="D27" s="95" t="s">
        <v>93</v>
      </c>
      <c r="E27" s="96"/>
      <c r="F27" s="3" t="s">
        <v>90</v>
      </c>
      <c r="G27" s="32">
        <v>14.5</v>
      </c>
      <c r="H27" s="89">
        <v>0</v>
      </c>
      <c r="I27" s="33">
        <v>21</v>
      </c>
      <c r="J27" s="32">
        <f>ROUND(G27*AO27,2)</f>
        <v>0</v>
      </c>
      <c r="K27" s="32">
        <f>ROUND(G27*AP27,2)</f>
        <v>0</v>
      </c>
      <c r="L27" s="32">
        <f>ROUND(G27*H27,2)</f>
        <v>0</v>
      </c>
      <c r="M27" s="32">
        <f>L27*(1+BW27/100)</f>
        <v>0</v>
      </c>
      <c r="N27" s="34">
        <f>IF(L285=0,0,L27/L285)</f>
        <v>0</v>
      </c>
      <c r="O27" s="32">
        <v>0.15179999999999999</v>
      </c>
      <c r="P27" s="32">
        <f>G27*O27</f>
        <v>2.2010999999999998</v>
      </c>
      <c r="Q27" s="35" t="s">
        <v>61</v>
      </c>
      <c r="Z27" s="32">
        <f>ROUND(IF(AQ27="5",BJ27,0),2)</f>
        <v>0</v>
      </c>
      <c r="AB27" s="32">
        <f>ROUND(IF(AQ27="1",BH27,0),2)</f>
        <v>0</v>
      </c>
      <c r="AC27" s="32">
        <f>ROUND(IF(AQ27="1",BI27,0),2)</f>
        <v>0</v>
      </c>
      <c r="AD27" s="32">
        <f>ROUND(IF(AQ27="7",BH27,0),2)</f>
        <v>0</v>
      </c>
      <c r="AE27" s="32">
        <f>ROUND(IF(AQ27="7",BI27,0),2)</f>
        <v>0</v>
      </c>
      <c r="AF27" s="32">
        <f>ROUND(IF(AQ27="2",BH27,0),2)</f>
        <v>0</v>
      </c>
      <c r="AG27" s="32">
        <f>ROUND(IF(AQ27="2",BI27,0),2)</f>
        <v>0</v>
      </c>
      <c r="AH27" s="32">
        <f>ROUND(IF(AQ27="0",BJ27,0),2)</f>
        <v>0</v>
      </c>
      <c r="AI27" s="12" t="s">
        <v>54</v>
      </c>
      <c r="AJ27" s="32">
        <f>IF(AN27=0,L27,0)</f>
        <v>0</v>
      </c>
      <c r="AK27" s="32">
        <f>IF(AN27=12,L27,0)</f>
        <v>0</v>
      </c>
      <c r="AL27" s="32">
        <f>IF(AN27=21,L27,0)</f>
        <v>0</v>
      </c>
      <c r="AN27" s="32">
        <v>21</v>
      </c>
      <c r="AO27" s="32">
        <f>H27*0.585953416</f>
        <v>0</v>
      </c>
      <c r="AP27" s="32">
        <f>H27*(1-0.585953416)</f>
        <v>0</v>
      </c>
      <c r="AQ27" s="36" t="s">
        <v>57</v>
      </c>
      <c r="AV27" s="32">
        <f>ROUND(AW27+AX27,2)</f>
        <v>0</v>
      </c>
      <c r="AW27" s="32">
        <f>ROUND(G27*AO27,2)</f>
        <v>0</v>
      </c>
      <c r="AX27" s="32">
        <f>ROUND(G27*AP27,2)</f>
        <v>0</v>
      </c>
      <c r="AY27" s="36" t="s">
        <v>76</v>
      </c>
      <c r="AZ27" s="36" t="s">
        <v>77</v>
      </c>
      <c r="BA27" s="12" t="s">
        <v>63</v>
      </c>
      <c r="BC27" s="32">
        <f>AW27+AX27</f>
        <v>0</v>
      </c>
      <c r="BD27" s="32">
        <f>H27/(100-BE27)*100</f>
        <v>0</v>
      </c>
      <c r="BE27" s="32">
        <v>0</v>
      </c>
      <c r="BF27" s="32">
        <f>P27</f>
        <v>2.2010999999999998</v>
      </c>
      <c r="BH27" s="32">
        <f>G27*AO27</f>
        <v>0</v>
      </c>
      <c r="BI27" s="32">
        <f>G27*AP27</f>
        <v>0</v>
      </c>
      <c r="BJ27" s="32">
        <f>G27*H27</f>
        <v>0</v>
      </c>
      <c r="BK27" s="32"/>
      <c r="BL27" s="32">
        <v>34</v>
      </c>
      <c r="BW27" s="32">
        <f>I27</f>
        <v>21</v>
      </c>
      <c r="BX27" s="4" t="s">
        <v>93</v>
      </c>
    </row>
    <row r="28" spans="1:76" ht="13.5" customHeight="1" x14ac:dyDescent="0.25">
      <c r="A28" s="37"/>
      <c r="C28" s="38"/>
      <c r="D28" s="100" t="s">
        <v>94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9"/>
    </row>
    <row r="29" spans="1:76" x14ac:dyDescent="0.25">
      <c r="A29" s="2" t="s">
        <v>95</v>
      </c>
      <c r="B29" s="3" t="s">
        <v>54</v>
      </c>
      <c r="C29" s="3" t="s">
        <v>96</v>
      </c>
      <c r="D29" s="95" t="s">
        <v>97</v>
      </c>
      <c r="E29" s="96"/>
      <c r="F29" s="3" t="s">
        <v>90</v>
      </c>
      <c r="G29" s="32">
        <v>5.58</v>
      </c>
      <c r="H29" s="89">
        <v>0</v>
      </c>
      <c r="I29" s="33">
        <v>21</v>
      </c>
      <c r="J29" s="32">
        <f>ROUND(G29*AO29,2)</f>
        <v>0</v>
      </c>
      <c r="K29" s="32">
        <f>ROUND(G29*AP29,2)</f>
        <v>0</v>
      </c>
      <c r="L29" s="32">
        <f>ROUND(G29*H29,2)</f>
        <v>0</v>
      </c>
      <c r="M29" s="32">
        <f>L29*(1+BW29/100)</f>
        <v>0</v>
      </c>
      <c r="N29" s="34">
        <f>IF(L285=0,0,L29/L285)</f>
        <v>0</v>
      </c>
      <c r="O29" s="32">
        <v>1.205E-2</v>
      </c>
      <c r="P29" s="32">
        <f>G29*O29</f>
        <v>6.7239000000000007E-2</v>
      </c>
      <c r="Q29" s="35" t="s">
        <v>61</v>
      </c>
      <c r="Z29" s="32">
        <f>ROUND(IF(AQ29="5",BJ29,0),2)</f>
        <v>0</v>
      </c>
      <c r="AB29" s="32">
        <f>ROUND(IF(AQ29="1",BH29,0),2)</f>
        <v>0</v>
      </c>
      <c r="AC29" s="32">
        <f>ROUND(IF(AQ29="1",BI29,0),2)</f>
        <v>0</v>
      </c>
      <c r="AD29" s="32">
        <f>ROUND(IF(AQ29="7",BH29,0),2)</f>
        <v>0</v>
      </c>
      <c r="AE29" s="32">
        <f>ROUND(IF(AQ29="7",BI29,0),2)</f>
        <v>0</v>
      </c>
      <c r="AF29" s="32">
        <f>ROUND(IF(AQ29="2",BH29,0),2)</f>
        <v>0</v>
      </c>
      <c r="AG29" s="32">
        <f>ROUND(IF(AQ29="2",BI29,0),2)</f>
        <v>0</v>
      </c>
      <c r="AH29" s="32">
        <f>ROUND(IF(AQ29="0",BJ29,0),2)</f>
        <v>0</v>
      </c>
      <c r="AI29" s="12" t="s">
        <v>54</v>
      </c>
      <c r="AJ29" s="32">
        <f>IF(AN29=0,L29,0)</f>
        <v>0</v>
      </c>
      <c r="AK29" s="32">
        <f>IF(AN29=12,L29,0)</f>
        <v>0</v>
      </c>
      <c r="AL29" s="32">
        <f>IF(AN29=21,L29,0)</f>
        <v>0</v>
      </c>
      <c r="AN29" s="32">
        <v>21</v>
      </c>
      <c r="AO29" s="32">
        <f>H29*0.424729511</f>
        <v>0</v>
      </c>
      <c r="AP29" s="32">
        <f>H29*(1-0.424729511)</f>
        <v>0</v>
      </c>
      <c r="AQ29" s="36" t="s">
        <v>57</v>
      </c>
      <c r="AV29" s="32">
        <f>ROUND(AW29+AX29,2)</f>
        <v>0</v>
      </c>
      <c r="AW29" s="32">
        <f>ROUND(G29*AO29,2)</f>
        <v>0</v>
      </c>
      <c r="AX29" s="32">
        <f>ROUND(G29*AP29,2)</f>
        <v>0</v>
      </c>
      <c r="AY29" s="36" t="s">
        <v>76</v>
      </c>
      <c r="AZ29" s="36" t="s">
        <v>77</v>
      </c>
      <c r="BA29" s="12" t="s">
        <v>63</v>
      </c>
      <c r="BC29" s="32">
        <f>AW29+AX29</f>
        <v>0</v>
      </c>
      <c r="BD29" s="32">
        <f>H29/(100-BE29)*100</f>
        <v>0</v>
      </c>
      <c r="BE29" s="32">
        <v>0</v>
      </c>
      <c r="BF29" s="32">
        <f>P29</f>
        <v>6.7239000000000007E-2</v>
      </c>
      <c r="BH29" s="32">
        <f>G29*AO29</f>
        <v>0</v>
      </c>
      <c r="BI29" s="32">
        <f>G29*AP29</f>
        <v>0</v>
      </c>
      <c r="BJ29" s="32">
        <f>G29*H29</f>
        <v>0</v>
      </c>
      <c r="BK29" s="32"/>
      <c r="BL29" s="32">
        <v>34</v>
      </c>
      <c r="BW29" s="32">
        <f>I29</f>
        <v>21</v>
      </c>
      <c r="BX29" s="4" t="s">
        <v>97</v>
      </c>
    </row>
    <row r="30" spans="1:76" ht="13.5" customHeight="1" x14ac:dyDescent="0.25">
      <c r="A30" s="37"/>
      <c r="C30" s="38"/>
      <c r="D30" s="100" t="s">
        <v>98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</row>
    <row r="31" spans="1:76" ht="25.5" x14ac:dyDescent="0.25">
      <c r="A31" s="2" t="s">
        <v>99</v>
      </c>
      <c r="B31" s="3" t="s">
        <v>54</v>
      </c>
      <c r="C31" s="3" t="s">
        <v>100</v>
      </c>
      <c r="D31" s="95" t="s">
        <v>101</v>
      </c>
      <c r="E31" s="95"/>
      <c r="F31" s="3" t="s">
        <v>60</v>
      </c>
      <c r="G31" s="32">
        <v>16</v>
      </c>
      <c r="H31" s="89">
        <v>0</v>
      </c>
      <c r="I31" s="33">
        <v>21</v>
      </c>
      <c r="J31" s="32">
        <f>ROUND(G31*AO31,2)</f>
        <v>0</v>
      </c>
      <c r="K31" s="32">
        <f>ROUND(G31*AP31,2)</f>
        <v>0</v>
      </c>
      <c r="L31" s="32">
        <f>ROUND(G31*H31,2)</f>
        <v>0</v>
      </c>
      <c r="M31" s="32">
        <f>L31*(1+BW31/100)</f>
        <v>0</v>
      </c>
      <c r="N31" s="34">
        <f>IF(L285=0,0,L31/L285)</f>
        <v>0</v>
      </c>
      <c r="O31" s="32">
        <v>3.5860000000000003E-2</v>
      </c>
      <c r="P31" s="32">
        <f>G31*O31</f>
        <v>0.57376000000000005</v>
      </c>
      <c r="Q31" s="35" t="s">
        <v>61</v>
      </c>
      <c r="Z31" s="32">
        <f>ROUND(IF(AQ31="5",BJ31,0),2)</f>
        <v>0</v>
      </c>
      <c r="AB31" s="32">
        <f>ROUND(IF(AQ31="1",BH31,0),2)</f>
        <v>0</v>
      </c>
      <c r="AC31" s="32">
        <f>ROUND(IF(AQ31="1",BI31,0),2)</f>
        <v>0</v>
      </c>
      <c r="AD31" s="32">
        <f>ROUND(IF(AQ31="7",BH31,0),2)</f>
        <v>0</v>
      </c>
      <c r="AE31" s="32">
        <f>ROUND(IF(AQ31="7",BI31,0),2)</f>
        <v>0</v>
      </c>
      <c r="AF31" s="32">
        <f>ROUND(IF(AQ31="2",BH31,0),2)</f>
        <v>0</v>
      </c>
      <c r="AG31" s="32">
        <f>ROUND(IF(AQ31="2",BI31,0),2)</f>
        <v>0</v>
      </c>
      <c r="AH31" s="32">
        <f>ROUND(IF(AQ31="0",BJ31,0),2)</f>
        <v>0</v>
      </c>
      <c r="AI31" s="12" t="s">
        <v>54</v>
      </c>
      <c r="AJ31" s="32">
        <f>IF(AN31=0,L31,0)</f>
        <v>0</v>
      </c>
      <c r="AK31" s="32">
        <f>IF(AN31=12,L31,0)</f>
        <v>0</v>
      </c>
      <c r="AL31" s="32">
        <f>IF(AN31=21,L31,0)</f>
        <v>0</v>
      </c>
      <c r="AN31" s="32">
        <v>21</v>
      </c>
      <c r="AO31" s="32">
        <f>H31*0.844967964</f>
        <v>0</v>
      </c>
      <c r="AP31" s="32">
        <f>H31*(1-0.844967964)</f>
        <v>0</v>
      </c>
      <c r="AQ31" s="36" t="s">
        <v>57</v>
      </c>
      <c r="AV31" s="32">
        <f>ROUND(AW31+AX31,2)</f>
        <v>0</v>
      </c>
      <c r="AW31" s="32">
        <f>ROUND(G31*AO31,2)</f>
        <v>0</v>
      </c>
      <c r="AX31" s="32">
        <f>ROUND(G31*AP31,2)</f>
        <v>0</v>
      </c>
      <c r="AY31" s="36" t="s">
        <v>76</v>
      </c>
      <c r="AZ31" s="36" t="s">
        <v>77</v>
      </c>
      <c r="BA31" s="12" t="s">
        <v>63</v>
      </c>
      <c r="BC31" s="32">
        <f>AW31+AX31</f>
        <v>0</v>
      </c>
      <c r="BD31" s="32">
        <f>H31/(100-BE31)*100</f>
        <v>0</v>
      </c>
      <c r="BE31" s="32">
        <v>0</v>
      </c>
      <c r="BF31" s="32">
        <f>P31</f>
        <v>0.57376000000000005</v>
      </c>
      <c r="BH31" s="32">
        <f>G31*AO31</f>
        <v>0</v>
      </c>
      <c r="BI31" s="32">
        <f>G31*AP31</f>
        <v>0</v>
      </c>
      <c r="BJ31" s="32">
        <f>G31*H31</f>
        <v>0</v>
      </c>
      <c r="BK31" s="32"/>
      <c r="BL31" s="32">
        <v>34</v>
      </c>
      <c r="BW31" s="32">
        <f>I31</f>
        <v>21</v>
      </c>
      <c r="BX31" s="4" t="s">
        <v>101</v>
      </c>
    </row>
    <row r="32" spans="1:76" ht="13.5" customHeight="1" x14ac:dyDescent="0.25">
      <c r="A32" s="37"/>
      <c r="C32" s="38"/>
      <c r="D32" s="100" t="s">
        <v>102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</row>
    <row r="33" spans="1:76" x14ac:dyDescent="0.25">
      <c r="A33" s="2" t="s">
        <v>103</v>
      </c>
      <c r="B33" s="3" t="s">
        <v>54</v>
      </c>
      <c r="C33" s="3" t="s">
        <v>104</v>
      </c>
      <c r="D33" s="95" t="s">
        <v>105</v>
      </c>
      <c r="E33" s="96"/>
      <c r="F33" s="3" t="s">
        <v>60</v>
      </c>
      <c r="G33" s="32">
        <v>4</v>
      </c>
      <c r="H33" s="89">
        <v>0</v>
      </c>
      <c r="I33" s="33">
        <v>21</v>
      </c>
      <c r="J33" s="32">
        <f>ROUND(G33*AO33,2)</f>
        <v>0</v>
      </c>
      <c r="K33" s="32">
        <f>ROUND(G33*AP33,2)</f>
        <v>0</v>
      </c>
      <c r="L33" s="32">
        <f>ROUND(G33*H33,2)</f>
        <v>0</v>
      </c>
      <c r="M33" s="32">
        <f>L33*(1+BW33/100)</f>
        <v>0</v>
      </c>
      <c r="N33" s="34">
        <f>IF(L285=0,0,L33/L285)</f>
        <v>0</v>
      </c>
      <c r="O33" s="32">
        <v>5.2209999999999999E-2</v>
      </c>
      <c r="P33" s="32">
        <f>G33*O33</f>
        <v>0.20884</v>
      </c>
      <c r="Q33" s="35" t="s">
        <v>54</v>
      </c>
      <c r="Z33" s="32">
        <f>ROUND(IF(AQ33="5",BJ33,0),2)</f>
        <v>0</v>
      </c>
      <c r="AB33" s="32">
        <f>ROUND(IF(AQ33="1",BH33,0),2)</f>
        <v>0</v>
      </c>
      <c r="AC33" s="32">
        <f>ROUND(IF(AQ33="1",BI33,0),2)</f>
        <v>0</v>
      </c>
      <c r="AD33" s="32">
        <f>ROUND(IF(AQ33="7",BH33,0),2)</f>
        <v>0</v>
      </c>
      <c r="AE33" s="32">
        <f>ROUND(IF(AQ33="7",BI33,0),2)</f>
        <v>0</v>
      </c>
      <c r="AF33" s="32">
        <f>ROUND(IF(AQ33="2",BH33,0),2)</f>
        <v>0</v>
      </c>
      <c r="AG33" s="32">
        <f>ROUND(IF(AQ33="2",BI33,0),2)</f>
        <v>0</v>
      </c>
      <c r="AH33" s="32">
        <f>ROUND(IF(AQ33="0",BJ33,0),2)</f>
        <v>0</v>
      </c>
      <c r="AI33" s="12" t="s">
        <v>54</v>
      </c>
      <c r="AJ33" s="32">
        <f>IF(AN33=0,L33,0)</f>
        <v>0</v>
      </c>
      <c r="AK33" s="32">
        <f>IF(AN33=12,L33,0)</f>
        <v>0</v>
      </c>
      <c r="AL33" s="32">
        <f>IF(AN33=21,L33,0)</f>
        <v>0</v>
      </c>
      <c r="AN33" s="32">
        <v>21</v>
      </c>
      <c r="AO33" s="32">
        <f>H33*0.760998076</f>
        <v>0</v>
      </c>
      <c r="AP33" s="32">
        <f>H33*(1-0.760998076)</f>
        <v>0</v>
      </c>
      <c r="AQ33" s="36" t="s">
        <v>57</v>
      </c>
      <c r="AV33" s="32">
        <f>ROUND(AW33+AX33,2)</f>
        <v>0</v>
      </c>
      <c r="AW33" s="32">
        <f>ROUND(G33*AO33,2)</f>
        <v>0</v>
      </c>
      <c r="AX33" s="32">
        <f>ROUND(G33*AP33,2)</f>
        <v>0</v>
      </c>
      <c r="AY33" s="36" t="s">
        <v>76</v>
      </c>
      <c r="AZ33" s="36" t="s">
        <v>77</v>
      </c>
      <c r="BA33" s="12" t="s">
        <v>63</v>
      </c>
      <c r="BC33" s="32">
        <f>AW33+AX33</f>
        <v>0</v>
      </c>
      <c r="BD33" s="32">
        <f>H33/(100-BE33)*100</f>
        <v>0</v>
      </c>
      <c r="BE33" s="32">
        <v>0</v>
      </c>
      <c r="BF33" s="32">
        <f>P33</f>
        <v>0.20884</v>
      </c>
      <c r="BH33" s="32">
        <f>G33*AO33</f>
        <v>0</v>
      </c>
      <c r="BI33" s="32">
        <f>G33*AP33</f>
        <v>0</v>
      </c>
      <c r="BJ33" s="32">
        <f>G33*H33</f>
        <v>0</v>
      </c>
      <c r="BK33" s="32"/>
      <c r="BL33" s="32">
        <v>34</v>
      </c>
      <c r="BW33" s="32">
        <f>I33</f>
        <v>21</v>
      </c>
      <c r="BX33" s="4" t="s">
        <v>105</v>
      </c>
    </row>
    <row r="34" spans="1:76" ht="13.5" customHeight="1" x14ac:dyDescent="0.25">
      <c r="A34" s="37"/>
      <c r="C34" s="38"/>
      <c r="D34" s="100" t="s">
        <v>106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</row>
    <row r="35" spans="1:76" x14ac:dyDescent="0.25">
      <c r="A35" s="40" t="s">
        <v>54</v>
      </c>
      <c r="B35" s="41" t="s">
        <v>54</v>
      </c>
      <c r="C35" s="41" t="s">
        <v>107</v>
      </c>
      <c r="D35" s="101" t="s">
        <v>108</v>
      </c>
      <c r="E35" s="102"/>
      <c r="F35" s="42" t="s">
        <v>7</v>
      </c>
      <c r="G35" s="42" t="s">
        <v>7</v>
      </c>
      <c r="H35" s="42" t="s">
        <v>7</v>
      </c>
      <c r="I35" s="42" t="s">
        <v>7</v>
      </c>
      <c r="J35" s="1">
        <f>SUM(J36:J44)</f>
        <v>0</v>
      </c>
      <c r="K35" s="1">
        <f>SUM(K36:K44)</f>
        <v>0</v>
      </c>
      <c r="L35" s="1">
        <f>SUM(L36:L44)</f>
        <v>0</v>
      </c>
      <c r="M35" s="1">
        <f>SUM(M36:M44)</f>
        <v>0</v>
      </c>
      <c r="N35" s="43">
        <f>IF(L285=0,0,L35/L285)</f>
        <v>0</v>
      </c>
      <c r="O35" s="12" t="s">
        <v>54</v>
      </c>
      <c r="P35" s="1">
        <f>SUM(P36:P44)</f>
        <v>7.8238091599999997</v>
      </c>
      <c r="Q35" s="44" t="s">
        <v>54</v>
      </c>
      <c r="AI35" s="12" t="s">
        <v>54</v>
      </c>
      <c r="AS35" s="1">
        <f>SUM(AJ36:AJ44)</f>
        <v>0</v>
      </c>
      <c r="AT35" s="1">
        <f>SUM(AK36:AK44)</f>
        <v>0</v>
      </c>
      <c r="AU35" s="1">
        <f>SUM(AL36:AL44)</f>
        <v>0</v>
      </c>
    </row>
    <row r="36" spans="1:76" x14ac:dyDescent="0.25">
      <c r="A36" s="2" t="s">
        <v>109</v>
      </c>
      <c r="B36" s="3" t="s">
        <v>54</v>
      </c>
      <c r="C36" s="3" t="s">
        <v>110</v>
      </c>
      <c r="D36" s="103" t="s">
        <v>744</v>
      </c>
      <c r="E36" s="96"/>
      <c r="F36" s="3" t="s">
        <v>90</v>
      </c>
      <c r="G36" s="32">
        <v>71.516000000000005</v>
      </c>
      <c r="H36" s="89">
        <v>0</v>
      </c>
      <c r="I36" s="33">
        <v>21</v>
      </c>
      <c r="J36" s="32">
        <f>ROUND(G36*AO36,2)</f>
        <v>0</v>
      </c>
      <c r="K36" s="32">
        <f>ROUND(G36*AP36,2)</f>
        <v>0</v>
      </c>
      <c r="L36" s="32">
        <f>ROUND(G36*H36,2)</f>
        <v>0</v>
      </c>
      <c r="M36" s="32">
        <f>L36*(1+BW36/100)</f>
        <v>0</v>
      </c>
      <c r="N36" s="34">
        <f>IF(L285=0,0,L36/L285)</f>
        <v>0</v>
      </c>
      <c r="O36" s="32">
        <v>4.9529999999999998E-2</v>
      </c>
      <c r="P36" s="32">
        <f>G36*O36</f>
        <v>3.5421874799999999</v>
      </c>
      <c r="Q36" s="35" t="s">
        <v>61</v>
      </c>
      <c r="Z36" s="32">
        <f>ROUND(IF(AQ36="5",BJ36,0),2)</f>
        <v>0</v>
      </c>
      <c r="AB36" s="32">
        <f>ROUND(IF(AQ36="1",BH36,0),2)</f>
        <v>0</v>
      </c>
      <c r="AC36" s="32">
        <f>ROUND(IF(AQ36="1",BI36,0),2)</f>
        <v>0</v>
      </c>
      <c r="AD36" s="32">
        <f>ROUND(IF(AQ36="7",BH36,0),2)</f>
        <v>0</v>
      </c>
      <c r="AE36" s="32">
        <f>ROUND(IF(AQ36="7",BI36,0),2)</f>
        <v>0</v>
      </c>
      <c r="AF36" s="32">
        <f>ROUND(IF(AQ36="2",BH36,0),2)</f>
        <v>0</v>
      </c>
      <c r="AG36" s="32">
        <f>ROUND(IF(AQ36="2",BI36,0),2)</f>
        <v>0</v>
      </c>
      <c r="AH36" s="32">
        <f>ROUND(IF(AQ36="0",BJ36,0),2)</f>
        <v>0</v>
      </c>
      <c r="AI36" s="12" t="s">
        <v>54</v>
      </c>
      <c r="AJ36" s="32">
        <f>IF(AN36=0,L36,0)</f>
        <v>0</v>
      </c>
      <c r="AK36" s="32">
        <f>IF(AN36=12,L36,0)</f>
        <v>0</v>
      </c>
      <c r="AL36" s="32">
        <f>IF(AN36=21,L36,0)</f>
        <v>0</v>
      </c>
      <c r="AN36" s="32">
        <v>21</v>
      </c>
      <c r="AO36" s="32">
        <f>H36*0.10856926</f>
        <v>0</v>
      </c>
      <c r="AP36" s="32">
        <f>H36*(1-0.10856926)</f>
        <v>0</v>
      </c>
      <c r="AQ36" s="36" t="s">
        <v>57</v>
      </c>
      <c r="AV36" s="32">
        <f>ROUND(AW36+AX36,2)</f>
        <v>0</v>
      </c>
      <c r="AW36" s="32">
        <f>ROUND(G36*AO36,2)</f>
        <v>0</v>
      </c>
      <c r="AX36" s="32">
        <f>ROUND(G36*AP36,2)</f>
        <v>0</v>
      </c>
      <c r="AY36" s="36" t="s">
        <v>112</v>
      </c>
      <c r="AZ36" s="36" t="s">
        <v>113</v>
      </c>
      <c r="BA36" s="12" t="s">
        <v>63</v>
      </c>
      <c r="BC36" s="32">
        <f>AW36+AX36</f>
        <v>0</v>
      </c>
      <c r="BD36" s="32">
        <f>H36/(100-BE36)*100</f>
        <v>0</v>
      </c>
      <c r="BE36" s="32">
        <v>0</v>
      </c>
      <c r="BF36" s="32">
        <f>P36</f>
        <v>3.5421874799999999</v>
      </c>
      <c r="BH36" s="32">
        <f>G36*AO36</f>
        <v>0</v>
      </c>
      <c r="BI36" s="32">
        <f>G36*AP36</f>
        <v>0</v>
      </c>
      <c r="BJ36" s="32">
        <f>G36*H36</f>
        <v>0</v>
      </c>
      <c r="BK36" s="32"/>
      <c r="BL36" s="32">
        <v>61</v>
      </c>
      <c r="BW36" s="32">
        <f>I36</f>
        <v>21</v>
      </c>
      <c r="BX36" s="4" t="s">
        <v>111</v>
      </c>
    </row>
    <row r="37" spans="1:76" ht="13.5" customHeight="1" x14ac:dyDescent="0.25">
      <c r="A37" s="37"/>
      <c r="C37" s="38"/>
      <c r="D37" s="100" t="s">
        <v>114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8" spans="1:76" x14ac:dyDescent="0.25">
      <c r="A38" s="2" t="s">
        <v>115</v>
      </c>
      <c r="B38" s="3" t="s">
        <v>54</v>
      </c>
      <c r="C38" s="3" t="s">
        <v>116</v>
      </c>
      <c r="D38" s="103" t="s">
        <v>745</v>
      </c>
      <c r="E38" s="96"/>
      <c r="F38" s="3" t="s">
        <v>90</v>
      </c>
      <c r="G38" s="32">
        <v>90.656000000000006</v>
      </c>
      <c r="H38" s="89">
        <v>0</v>
      </c>
      <c r="I38" s="33">
        <v>21</v>
      </c>
      <c r="J38" s="32">
        <f>ROUND(G38*AO38,2)</f>
        <v>0</v>
      </c>
      <c r="K38" s="32">
        <f>ROUND(G38*AP38,2)</f>
        <v>0</v>
      </c>
      <c r="L38" s="32">
        <f>ROUND(G38*H38,2)</f>
        <v>0</v>
      </c>
      <c r="M38" s="32">
        <f>L38*(1+BW38/100)</f>
        <v>0</v>
      </c>
      <c r="N38" s="34">
        <f>IF(L285=0,0,L38/L285)</f>
        <v>0</v>
      </c>
      <c r="O38" s="32">
        <v>4.6280000000000002E-2</v>
      </c>
      <c r="P38" s="32">
        <f>G38*O38</f>
        <v>4.1955596800000006</v>
      </c>
      <c r="Q38" s="35" t="s">
        <v>61</v>
      </c>
      <c r="Z38" s="32">
        <f>ROUND(IF(AQ38="5",BJ38,0),2)</f>
        <v>0</v>
      </c>
      <c r="AB38" s="32">
        <f>ROUND(IF(AQ38="1",BH38,0),2)</f>
        <v>0</v>
      </c>
      <c r="AC38" s="32">
        <f>ROUND(IF(AQ38="1",BI38,0),2)</f>
        <v>0</v>
      </c>
      <c r="AD38" s="32">
        <f>ROUND(IF(AQ38="7",BH38,0),2)</f>
        <v>0</v>
      </c>
      <c r="AE38" s="32">
        <f>ROUND(IF(AQ38="7",BI38,0),2)</f>
        <v>0</v>
      </c>
      <c r="AF38" s="32">
        <f>ROUND(IF(AQ38="2",BH38,0),2)</f>
        <v>0</v>
      </c>
      <c r="AG38" s="32">
        <f>ROUND(IF(AQ38="2",BI38,0),2)</f>
        <v>0</v>
      </c>
      <c r="AH38" s="32">
        <f>ROUND(IF(AQ38="0",BJ38,0),2)</f>
        <v>0</v>
      </c>
      <c r="AI38" s="12" t="s">
        <v>54</v>
      </c>
      <c r="AJ38" s="32">
        <f>IF(AN38=0,L38,0)</f>
        <v>0</v>
      </c>
      <c r="AK38" s="32">
        <f>IF(AN38=12,L38,0)</f>
        <v>0</v>
      </c>
      <c r="AL38" s="32">
        <f>IF(AN38=21,L38,0)</f>
        <v>0</v>
      </c>
      <c r="AN38" s="32">
        <v>21</v>
      </c>
      <c r="AO38" s="32">
        <f>H38*0.098122797</f>
        <v>0</v>
      </c>
      <c r="AP38" s="32">
        <f>H38*(1-0.098122797)</f>
        <v>0</v>
      </c>
      <c r="AQ38" s="36" t="s">
        <v>57</v>
      </c>
      <c r="AV38" s="32">
        <f>ROUND(AW38+AX38,2)</f>
        <v>0</v>
      </c>
      <c r="AW38" s="32">
        <f>ROUND(G38*AO38,2)</f>
        <v>0</v>
      </c>
      <c r="AX38" s="32">
        <f>ROUND(G38*AP38,2)</f>
        <v>0</v>
      </c>
      <c r="AY38" s="36" t="s">
        <v>112</v>
      </c>
      <c r="AZ38" s="36" t="s">
        <v>113</v>
      </c>
      <c r="BA38" s="12" t="s">
        <v>63</v>
      </c>
      <c r="BC38" s="32">
        <f>AW38+AX38</f>
        <v>0</v>
      </c>
      <c r="BD38" s="32">
        <f>H38/(100-BE38)*100</f>
        <v>0</v>
      </c>
      <c r="BE38" s="32">
        <v>0</v>
      </c>
      <c r="BF38" s="32">
        <f>P38</f>
        <v>4.1955596800000006</v>
      </c>
      <c r="BH38" s="32">
        <f>G38*AO38</f>
        <v>0</v>
      </c>
      <c r="BI38" s="32">
        <f>G38*AP38</f>
        <v>0</v>
      </c>
      <c r="BJ38" s="32">
        <f>G38*H38</f>
        <v>0</v>
      </c>
      <c r="BK38" s="32"/>
      <c r="BL38" s="32">
        <v>61</v>
      </c>
      <c r="BW38" s="32">
        <f>I38</f>
        <v>21</v>
      </c>
      <c r="BX38" s="4" t="s">
        <v>117</v>
      </c>
    </row>
    <row r="39" spans="1:76" ht="13.5" customHeight="1" x14ac:dyDescent="0.25">
      <c r="A39" s="37"/>
      <c r="C39" s="38"/>
      <c r="D39" s="100" t="s">
        <v>114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</row>
    <row r="40" spans="1:76" x14ac:dyDescent="0.25">
      <c r="A40" s="2" t="s">
        <v>118</v>
      </c>
      <c r="B40" s="3" t="s">
        <v>54</v>
      </c>
      <c r="C40" s="3" t="s">
        <v>119</v>
      </c>
      <c r="D40" s="95" t="s">
        <v>120</v>
      </c>
      <c r="E40" s="96"/>
      <c r="F40" s="3" t="s">
        <v>90</v>
      </c>
      <c r="G40" s="32">
        <v>203.19</v>
      </c>
      <c r="H40" s="89">
        <v>0</v>
      </c>
      <c r="I40" s="33">
        <v>21</v>
      </c>
      <c r="J40" s="32">
        <f>ROUND(G40*AO40,2)</f>
        <v>0</v>
      </c>
      <c r="K40" s="32">
        <f>ROUND(G40*AP40,2)</f>
        <v>0</v>
      </c>
      <c r="L40" s="32">
        <f>ROUND(G40*H40,2)</f>
        <v>0</v>
      </c>
      <c r="M40" s="32">
        <f>L40*(1+BW40/100)</f>
        <v>0</v>
      </c>
      <c r="N40" s="34">
        <f>IF(L285=0,0,L40/L285)</f>
        <v>0</v>
      </c>
      <c r="O40" s="32">
        <v>0</v>
      </c>
      <c r="P40" s="32">
        <f>G40*O40</f>
        <v>0</v>
      </c>
      <c r="Q40" s="35" t="s">
        <v>61</v>
      </c>
      <c r="Z40" s="32">
        <f>ROUND(IF(AQ40="5",BJ40,0),2)</f>
        <v>0</v>
      </c>
      <c r="AB40" s="32">
        <f>ROUND(IF(AQ40="1",BH40,0),2)</f>
        <v>0</v>
      </c>
      <c r="AC40" s="32">
        <f>ROUND(IF(AQ40="1",BI40,0),2)</f>
        <v>0</v>
      </c>
      <c r="AD40" s="32">
        <f>ROUND(IF(AQ40="7",BH40,0),2)</f>
        <v>0</v>
      </c>
      <c r="AE40" s="32">
        <f>ROUND(IF(AQ40="7",BI40,0),2)</f>
        <v>0</v>
      </c>
      <c r="AF40" s="32">
        <f>ROUND(IF(AQ40="2",BH40,0),2)</f>
        <v>0</v>
      </c>
      <c r="AG40" s="32">
        <f>ROUND(IF(AQ40="2",BI40,0),2)</f>
        <v>0</v>
      </c>
      <c r="AH40" s="32">
        <f>ROUND(IF(AQ40="0",BJ40,0),2)</f>
        <v>0</v>
      </c>
      <c r="AI40" s="12" t="s">
        <v>54</v>
      </c>
      <c r="AJ40" s="32">
        <f>IF(AN40=0,L40,0)</f>
        <v>0</v>
      </c>
      <c r="AK40" s="32">
        <f>IF(AN40=12,L40,0)</f>
        <v>0</v>
      </c>
      <c r="AL40" s="32">
        <f>IF(AN40=21,L40,0)</f>
        <v>0</v>
      </c>
      <c r="AN40" s="32">
        <v>21</v>
      </c>
      <c r="AO40" s="32">
        <f>H40*0</f>
        <v>0</v>
      </c>
      <c r="AP40" s="32">
        <f>H40*(1-0)</f>
        <v>0</v>
      </c>
      <c r="AQ40" s="36" t="s">
        <v>57</v>
      </c>
      <c r="AV40" s="32">
        <f>ROUND(AW40+AX40,2)</f>
        <v>0</v>
      </c>
      <c r="AW40" s="32">
        <f>ROUND(G40*AO40,2)</f>
        <v>0</v>
      </c>
      <c r="AX40" s="32">
        <f>ROUND(G40*AP40,2)</f>
        <v>0</v>
      </c>
      <c r="AY40" s="36" t="s">
        <v>112</v>
      </c>
      <c r="AZ40" s="36" t="s">
        <v>113</v>
      </c>
      <c r="BA40" s="12" t="s">
        <v>63</v>
      </c>
      <c r="BC40" s="32">
        <f>AW40+AX40</f>
        <v>0</v>
      </c>
      <c r="BD40" s="32">
        <f>H40/(100-BE40)*100</f>
        <v>0</v>
      </c>
      <c r="BE40" s="32">
        <v>0</v>
      </c>
      <c r="BF40" s="32">
        <f>P40</f>
        <v>0</v>
      </c>
      <c r="BH40" s="32">
        <f>G40*AO40</f>
        <v>0</v>
      </c>
      <c r="BI40" s="32">
        <f>G40*AP40</f>
        <v>0</v>
      </c>
      <c r="BJ40" s="32">
        <f>G40*H40</f>
        <v>0</v>
      </c>
      <c r="BK40" s="32"/>
      <c r="BL40" s="32">
        <v>61</v>
      </c>
      <c r="BW40" s="32">
        <f>I40</f>
        <v>21</v>
      </c>
      <c r="BX40" s="4" t="s">
        <v>120</v>
      </c>
    </row>
    <row r="41" spans="1:76" ht="13.5" customHeight="1" x14ac:dyDescent="0.25">
      <c r="A41" s="37"/>
      <c r="C41" s="38"/>
      <c r="D41" s="100" t="s">
        <v>121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/>
    </row>
    <row r="42" spans="1:76" x14ac:dyDescent="0.25">
      <c r="A42" s="2" t="s">
        <v>122</v>
      </c>
      <c r="B42" s="3" t="s">
        <v>54</v>
      </c>
      <c r="C42" s="3" t="s">
        <v>123</v>
      </c>
      <c r="D42" s="95" t="s">
        <v>124</v>
      </c>
      <c r="E42" s="96"/>
      <c r="F42" s="3" t="s">
        <v>90</v>
      </c>
      <c r="G42" s="32">
        <v>49.3</v>
      </c>
      <c r="H42" s="89">
        <v>0</v>
      </c>
      <c r="I42" s="33">
        <v>21</v>
      </c>
      <c r="J42" s="32">
        <f>ROUND(G42*AO42,2)</f>
        <v>0</v>
      </c>
      <c r="K42" s="32">
        <f>ROUND(G42*AP42,2)</f>
        <v>0</v>
      </c>
      <c r="L42" s="32">
        <f>ROUND(G42*H42,2)</f>
        <v>0</v>
      </c>
      <c r="M42" s="32">
        <f>L42*(1+BW42/100)</f>
        <v>0</v>
      </c>
      <c r="N42" s="34">
        <f>IF(L285=0,0,L42/L285)</f>
        <v>0</v>
      </c>
      <c r="O42" s="32">
        <v>1.34E-3</v>
      </c>
      <c r="P42" s="32">
        <f>G42*O42</f>
        <v>6.6061999999999996E-2</v>
      </c>
      <c r="Q42" s="35" t="s">
        <v>61</v>
      </c>
      <c r="Z42" s="32">
        <f>ROUND(IF(AQ42="5",BJ42,0),2)</f>
        <v>0</v>
      </c>
      <c r="AB42" s="32">
        <f>ROUND(IF(AQ42="1",BH42,0),2)</f>
        <v>0</v>
      </c>
      <c r="AC42" s="32">
        <f>ROUND(IF(AQ42="1",BI42,0),2)</f>
        <v>0</v>
      </c>
      <c r="AD42" s="32">
        <f>ROUND(IF(AQ42="7",BH42,0),2)</f>
        <v>0</v>
      </c>
      <c r="AE42" s="32">
        <f>ROUND(IF(AQ42="7",BI42,0),2)</f>
        <v>0</v>
      </c>
      <c r="AF42" s="32">
        <f>ROUND(IF(AQ42="2",BH42,0),2)</f>
        <v>0</v>
      </c>
      <c r="AG42" s="32">
        <f>ROUND(IF(AQ42="2",BI42,0),2)</f>
        <v>0</v>
      </c>
      <c r="AH42" s="32">
        <f>ROUND(IF(AQ42="0",BJ42,0),2)</f>
        <v>0</v>
      </c>
      <c r="AI42" s="12" t="s">
        <v>54</v>
      </c>
      <c r="AJ42" s="32">
        <f>IF(AN42=0,L42,0)</f>
        <v>0</v>
      </c>
      <c r="AK42" s="32">
        <f>IF(AN42=12,L42,0)</f>
        <v>0</v>
      </c>
      <c r="AL42" s="32">
        <f>IF(AN42=21,L42,0)</f>
        <v>0</v>
      </c>
      <c r="AN42" s="32">
        <v>21</v>
      </c>
      <c r="AO42" s="32">
        <f>H42*0.057027184</f>
        <v>0</v>
      </c>
      <c r="AP42" s="32">
        <f>H42*(1-0.057027184)</f>
        <v>0</v>
      </c>
      <c r="AQ42" s="36" t="s">
        <v>57</v>
      </c>
      <c r="AV42" s="32">
        <f>ROUND(AW42+AX42,2)</f>
        <v>0</v>
      </c>
      <c r="AW42" s="32">
        <f>ROUND(G42*AO42,2)</f>
        <v>0</v>
      </c>
      <c r="AX42" s="32">
        <f>ROUND(G42*AP42,2)</f>
        <v>0</v>
      </c>
      <c r="AY42" s="36" t="s">
        <v>112</v>
      </c>
      <c r="AZ42" s="36" t="s">
        <v>113</v>
      </c>
      <c r="BA42" s="12" t="s">
        <v>63</v>
      </c>
      <c r="BC42" s="32">
        <f>AW42+AX42</f>
        <v>0</v>
      </c>
      <c r="BD42" s="32">
        <f>H42/(100-BE42)*100</f>
        <v>0</v>
      </c>
      <c r="BE42" s="32">
        <v>0</v>
      </c>
      <c r="BF42" s="32">
        <f>P42</f>
        <v>6.6061999999999996E-2</v>
      </c>
      <c r="BH42" s="32">
        <f>G42*AO42</f>
        <v>0</v>
      </c>
      <c r="BI42" s="32">
        <f>G42*AP42</f>
        <v>0</v>
      </c>
      <c r="BJ42" s="32">
        <f>G42*H42</f>
        <v>0</v>
      </c>
      <c r="BK42" s="32"/>
      <c r="BL42" s="32">
        <v>61</v>
      </c>
      <c r="BW42" s="32">
        <f>I42</f>
        <v>21</v>
      </c>
      <c r="BX42" s="4" t="s">
        <v>124</v>
      </c>
    </row>
    <row r="43" spans="1:76" ht="13.5" customHeight="1" x14ac:dyDescent="0.25">
      <c r="A43" s="37"/>
      <c r="C43" s="38"/>
      <c r="D43" s="100" t="s">
        <v>121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9"/>
    </row>
    <row r="44" spans="1:76" x14ac:dyDescent="0.25">
      <c r="A44" s="2" t="s">
        <v>125</v>
      </c>
      <c r="B44" s="3" t="s">
        <v>54</v>
      </c>
      <c r="C44" s="3" t="s">
        <v>126</v>
      </c>
      <c r="D44" s="95" t="s">
        <v>127</v>
      </c>
      <c r="E44" s="96"/>
      <c r="F44" s="3" t="s">
        <v>90</v>
      </c>
      <c r="G44" s="32">
        <v>100</v>
      </c>
      <c r="H44" s="89">
        <v>0</v>
      </c>
      <c r="I44" s="33">
        <v>21</v>
      </c>
      <c r="J44" s="32">
        <f>ROUND(G44*AO44,2)</f>
        <v>0</v>
      </c>
      <c r="K44" s="32">
        <f>ROUND(G44*AP44,2)</f>
        <v>0</v>
      </c>
      <c r="L44" s="32">
        <f>ROUND(G44*H44,2)</f>
        <v>0</v>
      </c>
      <c r="M44" s="32">
        <f>L44*(1+BW44/100)</f>
        <v>0</v>
      </c>
      <c r="N44" s="34">
        <f>IF(L285=0,0,L44/L285)</f>
        <v>0</v>
      </c>
      <c r="O44" s="32">
        <v>2.0000000000000001E-4</v>
      </c>
      <c r="P44" s="32">
        <f>G44*O44</f>
        <v>0.02</v>
      </c>
      <c r="Q44" s="35" t="s">
        <v>61</v>
      </c>
      <c r="Z44" s="32">
        <f>ROUND(IF(AQ44="5",BJ44,0),2)</f>
        <v>0</v>
      </c>
      <c r="AB44" s="32">
        <f>ROUND(IF(AQ44="1",BH44,0),2)</f>
        <v>0</v>
      </c>
      <c r="AC44" s="32">
        <f>ROUND(IF(AQ44="1",BI44,0),2)</f>
        <v>0</v>
      </c>
      <c r="AD44" s="32">
        <f>ROUND(IF(AQ44="7",BH44,0),2)</f>
        <v>0</v>
      </c>
      <c r="AE44" s="32">
        <f>ROUND(IF(AQ44="7",BI44,0),2)</f>
        <v>0</v>
      </c>
      <c r="AF44" s="32">
        <f>ROUND(IF(AQ44="2",BH44,0),2)</f>
        <v>0</v>
      </c>
      <c r="AG44" s="32">
        <f>ROUND(IF(AQ44="2",BI44,0),2)</f>
        <v>0</v>
      </c>
      <c r="AH44" s="32">
        <f>ROUND(IF(AQ44="0",BJ44,0),2)</f>
        <v>0</v>
      </c>
      <c r="AI44" s="12" t="s">
        <v>54</v>
      </c>
      <c r="AJ44" s="32">
        <f>IF(AN44=0,L44,0)</f>
        <v>0</v>
      </c>
      <c r="AK44" s="32">
        <f>IF(AN44=12,L44,0)</f>
        <v>0</v>
      </c>
      <c r="AL44" s="32">
        <f>IF(AN44=21,L44,0)</f>
        <v>0</v>
      </c>
      <c r="AN44" s="32">
        <v>21</v>
      </c>
      <c r="AO44" s="32">
        <f>H44*0.097473404</f>
        <v>0</v>
      </c>
      <c r="AP44" s="32">
        <f>H44*(1-0.097473404)</f>
        <v>0</v>
      </c>
      <c r="AQ44" s="36" t="s">
        <v>57</v>
      </c>
      <c r="AV44" s="32">
        <f>ROUND(AW44+AX44,2)</f>
        <v>0</v>
      </c>
      <c r="AW44" s="32">
        <f>ROUND(G44*AO44,2)</f>
        <v>0</v>
      </c>
      <c r="AX44" s="32">
        <f>ROUND(G44*AP44,2)</f>
        <v>0</v>
      </c>
      <c r="AY44" s="36" t="s">
        <v>112</v>
      </c>
      <c r="AZ44" s="36" t="s">
        <v>113</v>
      </c>
      <c r="BA44" s="12" t="s">
        <v>63</v>
      </c>
      <c r="BC44" s="32">
        <f>AW44+AX44</f>
        <v>0</v>
      </c>
      <c r="BD44" s="32">
        <f>H44/(100-BE44)*100</f>
        <v>0</v>
      </c>
      <c r="BE44" s="32">
        <v>0</v>
      </c>
      <c r="BF44" s="32">
        <f>P44</f>
        <v>0.02</v>
      </c>
      <c r="BH44" s="32">
        <f>G44*AO44</f>
        <v>0</v>
      </c>
      <c r="BI44" s="32">
        <f>G44*AP44</f>
        <v>0</v>
      </c>
      <c r="BJ44" s="32">
        <f>G44*H44</f>
        <v>0</v>
      </c>
      <c r="BK44" s="32"/>
      <c r="BL44" s="32">
        <v>61</v>
      </c>
      <c r="BW44" s="32">
        <f>I44</f>
        <v>21</v>
      </c>
      <c r="BX44" s="4" t="s">
        <v>127</v>
      </c>
    </row>
    <row r="45" spans="1:76" ht="13.5" customHeight="1" x14ac:dyDescent="0.25">
      <c r="A45" s="37"/>
      <c r="C45" s="38"/>
      <c r="D45" s="100" t="s">
        <v>128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9"/>
    </row>
    <row r="46" spans="1:76" x14ac:dyDescent="0.25">
      <c r="A46" s="40" t="s">
        <v>54</v>
      </c>
      <c r="B46" s="41" t="s">
        <v>54</v>
      </c>
      <c r="C46" s="41" t="s">
        <v>129</v>
      </c>
      <c r="D46" s="101" t="s">
        <v>130</v>
      </c>
      <c r="E46" s="102"/>
      <c r="F46" s="42" t="s">
        <v>7</v>
      </c>
      <c r="G46" s="42" t="s">
        <v>7</v>
      </c>
      <c r="H46" s="42" t="s">
        <v>7</v>
      </c>
      <c r="I46" s="42" t="s">
        <v>7</v>
      </c>
      <c r="J46" s="1">
        <f>SUM(J47:J49)</f>
        <v>0</v>
      </c>
      <c r="K46" s="1">
        <f>SUM(K47:K49)</f>
        <v>0</v>
      </c>
      <c r="L46" s="1">
        <f>SUM(L47:L49)</f>
        <v>0</v>
      </c>
      <c r="M46" s="1">
        <f>SUM(M47:M49)</f>
        <v>0</v>
      </c>
      <c r="N46" s="43">
        <f>IF(L285=0,0,L46/L285)</f>
        <v>0</v>
      </c>
      <c r="O46" s="12" t="s">
        <v>54</v>
      </c>
      <c r="P46" s="1">
        <f>SUM(P47:P49)</f>
        <v>11.696339199999999</v>
      </c>
      <c r="Q46" s="44" t="s">
        <v>54</v>
      </c>
      <c r="AI46" s="12" t="s">
        <v>54</v>
      </c>
      <c r="AS46" s="1">
        <f>SUM(AJ47:AJ49)</f>
        <v>0</v>
      </c>
      <c r="AT46" s="1">
        <f>SUM(AK47:AK49)</f>
        <v>0</v>
      </c>
      <c r="AU46" s="1">
        <f>SUM(AL47:AL49)</f>
        <v>0</v>
      </c>
    </row>
    <row r="47" spans="1:76" x14ac:dyDescent="0.25">
      <c r="A47" s="2" t="s">
        <v>131</v>
      </c>
      <c r="B47" s="3" t="s">
        <v>54</v>
      </c>
      <c r="C47" s="3" t="s">
        <v>132</v>
      </c>
      <c r="D47" s="95" t="s">
        <v>133</v>
      </c>
      <c r="E47" s="96"/>
      <c r="F47" s="3" t="s">
        <v>75</v>
      </c>
      <c r="G47" s="32">
        <v>4.5903999999999998</v>
      </c>
      <c r="H47" s="89">
        <v>0</v>
      </c>
      <c r="I47" s="33">
        <v>21</v>
      </c>
      <c r="J47" s="32">
        <f>ROUND(G47*AO47,2)</f>
        <v>0</v>
      </c>
      <c r="K47" s="32">
        <f>ROUND(G47*AP47,2)</f>
        <v>0</v>
      </c>
      <c r="L47" s="32">
        <f>ROUND(G47*H47,2)</f>
        <v>0</v>
      </c>
      <c r="M47" s="32">
        <f>L47*(1+BW47/100)</f>
        <v>0</v>
      </c>
      <c r="N47" s="34">
        <f>IF(L285=0,0,L47/L285)</f>
        <v>0</v>
      </c>
      <c r="O47" s="32">
        <v>2.5249999999999999</v>
      </c>
      <c r="P47" s="32">
        <f>G47*O47</f>
        <v>11.59076</v>
      </c>
      <c r="Q47" s="35" t="s">
        <v>61</v>
      </c>
      <c r="Z47" s="32">
        <f>ROUND(IF(AQ47="5",BJ47,0),2)</f>
        <v>0</v>
      </c>
      <c r="AB47" s="32">
        <f>ROUND(IF(AQ47="1",BH47,0),2)</f>
        <v>0</v>
      </c>
      <c r="AC47" s="32">
        <f>ROUND(IF(AQ47="1",BI47,0),2)</f>
        <v>0</v>
      </c>
      <c r="AD47" s="32">
        <f>ROUND(IF(AQ47="7",BH47,0),2)</f>
        <v>0</v>
      </c>
      <c r="AE47" s="32">
        <f>ROUND(IF(AQ47="7",BI47,0),2)</f>
        <v>0</v>
      </c>
      <c r="AF47" s="32">
        <f>ROUND(IF(AQ47="2",BH47,0),2)</f>
        <v>0</v>
      </c>
      <c r="AG47" s="32">
        <f>ROUND(IF(AQ47="2",BI47,0),2)</f>
        <v>0</v>
      </c>
      <c r="AH47" s="32">
        <f>ROUND(IF(AQ47="0",BJ47,0),2)</f>
        <v>0</v>
      </c>
      <c r="AI47" s="12" t="s">
        <v>54</v>
      </c>
      <c r="AJ47" s="32">
        <f>IF(AN47=0,L47,0)</f>
        <v>0</v>
      </c>
      <c r="AK47" s="32">
        <f>IF(AN47=12,L47,0)</f>
        <v>0</v>
      </c>
      <c r="AL47" s="32">
        <f>IF(AN47=21,L47,0)</f>
        <v>0</v>
      </c>
      <c r="AN47" s="32">
        <v>21</v>
      </c>
      <c r="AO47" s="32">
        <f>H47*0.653877167</f>
        <v>0</v>
      </c>
      <c r="AP47" s="32">
        <f>H47*(1-0.653877167)</f>
        <v>0</v>
      </c>
      <c r="AQ47" s="36" t="s">
        <v>57</v>
      </c>
      <c r="AV47" s="32">
        <f>ROUND(AW47+AX47,2)</f>
        <v>0</v>
      </c>
      <c r="AW47" s="32">
        <f>ROUND(G47*AO47,2)</f>
        <v>0</v>
      </c>
      <c r="AX47" s="32">
        <f>ROUND(G47*AP47,2)</f>
        <v>0</v>
      </c>
      <c r="AY47" s="36" t="s">
        <v>134</v>
      </c>
      <c r="AZ47" s="36" t="s">
        <v>113</v>
      </c>
      <c r="BA47" s="12" t="s">
        <v>63</v>
      </c>
      <c r="BC47" s="32">
        <f>AW47+AX47</f>
        <v>0</v>
      </c>
      <c r="BD47" s="32">
        <f>H47/(100-BE47)*100</f>
        <v>0</v>
      </c>
      <c r="BE47" s="32">
        <v>0</v>
      </c>
      <c r="BF47" s="32">
        <f>P47</f>
        <v>11.59076</v>
      </c>
      <c r="BH47" s="32">
        <f>G47*AO47</f>
        <v>0</v>
      </c>
      <c r="BI47" s="32">
        <f>G47*AP47</f>
        <v>0</v>
      </c>
      <c r="BJ47" s="32">
        <f>G47*H47</f>
        <v>0</v>
      </c>
      <c r="BK47" s="32"/>
      <c r="BL47" s="32">
        <v>63</v>
      </c>
      <c r="BW47" s="32">
        <f>I47</f>
        <v>21</v>
      </c>
      <c r="BX47" s="4" t="s">
        <v>133</v>
      </c>
    </row>
    <row r="48" spans="1:76" ht="13.5" customHeight="1" x14ac:dyDescent="0.25">
      <c r="A48" s="37"/>
      <c r="C48" s="38"/>
      <c r="D48" s="97" t="s">
        <v>743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</row>
    <row r="49" spans="1:76" x14ac:dyDescent="0.25">
      <c r="A49" s="2" t="s">
        <v>135</v>
      </c>
      <c r="B49" s="3" t="s">
        <v>54</v>
      </c>
      <c r="C49" s="3" t="s">
        <v>136</v>
      </c>
      <c r="D49" s="95" t="s">
        <v>137</v>
      </c>
      <c r="E49" s="96"/>
      <c r="F49" s="3" t="s">
        <v>90</v>
      </c>
      <c r="G49" s="32">
        <v>28.69</v>
      </c>
      <c r="H49" s="89">
        <v>0</v>
      </c>
      <c r="I49" s="33">
        <v>21</v>
      </c>
      <c r="J49" s="32">
        <f>ROUND(G49*AO49,2)</f>
        <v>0</v>
      </c>
      <c r="K49" s="32">
        <f>ROUND(G49*AP49,2)</f>
        <v>0</v>
      </c>
      <c r="L49" s="32">
        <f>ROUND(G49*H49,2)</f>
        <v>0</v>
      </c>
      <c r="M49" s="32">
        <f>L49*(1+BW49/100)</f>
        <v>0</v>
      </c>
      <c r="N49" s="34">
        <f>IF(L285=0,0,L49/L285)</f>
        <v>0</v>
      </c>
      <c r="O49" s="32">
        <v>3.6800000000000001E-3</v>
      </c>
      <c r="P49" s="32">
        <f>G49*O49</f>
        <v>0.10557920000000001</v>
      </c>
      <c r="Q49" s="35" t="s">
        <v>61</v>
      </c>
      <c r="Z49" s="32">
        <f>ROUND(IF(AQ49="5",BJ49,0),2)</f>
        <v>0</v>
      </c>
      <c r="AB49" s="32">
        <f>ROUND(IF(AQ49="1",BH49,0),2)</f>
        <v>0</v>
      </c>
      <c r="AC49" s="32">
        <f>ROUND(IF(AQ49="1",BI49,0),2)</f>
        <v>0</v>
      </c>
      <c r="AD49" s="32">
        <f>ROUND(IF(AQ49="7",BH49,0),2)</f>
        <v>0</v>
      </c>
      <c r="AE49" s="32">
        <f>ROUND(IF(AQ49="7",BI49,0),2)</f>
        <v>0</v>
      </c>
      <c r="AF49" s="32">
        <f>ROUND(IF(AQ49="2",BH49,0),2)</f>
        <v>0</v>
      </c>
      <c r="AG49" s="32">
        <f>ROUND(IF(AQ49="2",BI49,0),2)</f>
        <v>0</v>
      </c>
      <c r="AH49" s="32">
        <f>ROUND(IF(AQ49="0",BJ49,0),2)</f>
        <v>0</v>
      </c>
      <c r="AI49" s="12" t="s">
        <v>54</v>
      </c>
      <c r="AJ49" s="32">
        <f>IF(AN49=0,L49,0)</f>
        <v>0</v>
      </c>
      <c r="AK49" s="32">
        <f>IF(AN49=12,L49,0)</f>
        <v>0</v>
      </c>
      <c r="AL49" s="32">
        <f>IF(AN49=21,L49,0)</f>
        <v>0</v>
      </c>
      <c r="AN49" s="32">
        <v>21</v>
      </c>
      <c r="AO49" s="32">
        <f>H49*0.67276744</f>
        <v>0</v>
      </c>
      <c r="AP49" s="32">
        <f>H49*(1-0.67276744)</f>
        <v>0</v>
      </c>
      <c r="AQ49" s="36" t="s">
        <v>57</v>
      </c>
      <c r="AV49" s="32">
        <f>ROUND(AW49+AX49,2)</f>
        <v>0</v>
      </c>
      <c r="AW49" s="32">
        <f>ROUND(G49*AO49,2)</f>
        <v>0</v>
      </c>
      <c r="AX49" s="32">
        <f>ROUND(G49*AP49,2)</f>
        <v>0</v>
      </c>
      <c r="AY49" s="36" t="s">
        <v>134</v>
      </c>
      <c r="AZ49" s="36" t="s">
        <v>113</v>
      </c>
      <c r="BA49" s="12" t="s">
        <v>63</v>
      </c>
      <c r="BC49" s="32">
        <f>AW49+AX49</f>
        <v>0</v>
      </c>
      <c r="BD49" s="32">
        <f>H49/(100-BE49)*100</f>
        <v>0</v>
      </c>
      <c r="BE49" s="32">
        <v>0</v>
      </c>
      <c r="BF49" s="32">
        <f>P49</f>
        <v>0.10557920000000001</v>
      </c>
      <c r="BH49" s="32">
        <f>G49*AO49</f>
        <v>0</v>
      </c>
      <c r="BI49" s="32">
        <f>G49*AP49</f>
        <v>0</v>
      </c>
      <c r="BJ49" s="32">
        <f>G49*H49</f>
        <v>0</v>
      </c>
      <c r="BK49" s="32"/>
      <c r="BL49" s="32">
        <v>63</v>
      </c>
      <c r="BW49" s="32">
        <f>I49</f>
        <v>21</v>
      </c>
      <c r="BX49" s="4" t="s">
        <v>137</v>
      </c>
    </row>
    <row r="50" spans="1:76" x14ac:dyDescent="0.25">
      <c r="A50" s="40" t="s">
        <v>54</v>
      </c>
      <c r="B50" s="41" t="s">
        <v>54</v>
      </c>
      <c r="C50" s="41" t="s">
        <v>138</v>
      </c>
      <c r="D50" s="101" t="s">
        <v>139</v>
      </c>
      <c r="E50" s="102"/>
      <c r="F50" s="42" t="s">
        <v>7</v>
      </c>
      <c r="G50" s="42" t="s">
        <v>7</v>
      </c>
      <c r="H50" s="42" t="s">
        <v>7</v>
      </c>
      <c r="I50" s="42" t="s">
        <v>7</v>
      </c>
      <c r="J50" s="1">
        <f>SUM(J51:J95)</f>
        <v>0</v>
      </c>
      <c r="K50" s="1">
        <f>SUM(K51:K95)</f>
        <v>0</v>
      </c>
      <c r="L50" s="1">
        <f>SUM(L51:L95)</f>
        <v>0</v>
      </c>
      <c r="M50" s="1">
        <f>SUM(M51:M95)</f>
        <v>0</v>
      </c>
      <c r="N50" s="43">
        <f>IF(L285=0,0,L50/L285)</f>
        <v>0</v>
      </c>
      <c r="O50" s="12" t="s">
        <v>54</v>
      </c>
      <c r="P50" s="1">
        <f>SUM(P51:P95)</f>
        <v>0.16498200000000005</v>
      </c>
      <c r="Q50" s="44" t="s">
        <v>54</v>
      </c>
      <c r="AI50" s="12" t="s">
        <v>54</v>
      </c>
      <c r="AS50" s="1">
        <f>SUM(AJ51:AJ95)</f>
        <v>0</v>
      </c>
      <c r="AT50" s="1">
        <f>SUM(AK51:AK95)</f>
        <v>0</v>
      </c>
      <c r="AU50" s="1">
        <f>SUM(AL51:AL95)</f>
        <v>0</v>
      </c>
    </row>
    <row r="51" spans="1:76" x14ac:dyDescent="0.25">
      <c r="A51" s="2" t="s">
        <v>140</v>
      </c>
      <c r="B51" s="3" t="s">
        <v>54</v>
      </c>
      <c r="C51" s="3" t="s">
        <v>141</v>
      </c>
      <c r="D51" s="95" t="s">
        <v>142</v>
      </c>
      <c r="E51" s="96"/>
      <c r="F51" s="3" t="s">
        <v>143</v>
      </c>
      <c r="G51" s="32">
        <v>50.8</v>
      </c>
      <c r="H51" s="89">
        <v>0</v>
      </c>
      <c r="I51" s="33">
        <v>21</v>
      </c>
      <c r="J51" s="32">
        <f>ROUND(G51*AO51,2)</f>
        <v>0</v>
      </c>
      <c r="K51" s="32">
        <f>ROUND(G51*AP51,2)</f>
        <v>0</v>
      </c>
      <c r="L51" s="32">
        <f>ROUND(G51*H51,2)</f>
        <v>0</v>
      </c>
      <c r="M51" s="32">
        <f>L51*(1+BW51/100)</f>
        <v>0</v>
      </c>
      <c r="N51" s="34">
        <f>IF(L285=0,0,L51/L285)</f>
        <v>0</v>
      </c>
      <c r="O51" s="32">
        <v>5.1999999999999995E-4</v>
      </c>
      <c r="P51" s="32">
        <f>G51*O51</f>
        <v>2.6415999999999995E-2</v>
      </c>
      <c r="Q51" s="35" t="s">
        <v>61</v>
      </c>
      <c r="Z51" s="32">
        <f>ROUND(IF(AQ51="5",BJ51,0),2)</f>
        <v>0</v>
      </c>
      <c r="AB51" s="32">
        <f>ROUND(IF(AQ51="1",BH51,0),2)</f>
        <v>0</v>
      </c>
      <c r="AC51" s="32">
        <f>ROUND(IF(AQ51="1",BI51,0),2)</f>
        <v>0</v>
      </c>
      <c r="AD51" s="32">
        <f>ROUND(IF(AQ51="7",BH51,0),2)</f>
        <v>0</v>
      </c>
      <c r="AE51" s="32">
        <f>ROUND(IF(AQ51="7",BI51,0),2)</f>
        <v>0</v>
      </c>
      <c r="AF51" s="32">
        <f>ROUND(IF(AQ51="2",BH51,0),2)</f>
        <v>0</v>
      </c>
      <c r="AG51" s="32">
        <f>ROUND(IF(AQ51="2",BI51,0),2)</f>
        <v>0</v>
      </c>
      <c r="AH51" s="32">
        <f>ROUND(IF(AQ51="0",BJ51,0),2)</f>
        <v>0</v>
      </c>
      <c r="AI51" s="12" t="s">
        <v>54</v>
      </c>
      <c r="AJ51" s="32">
        <f>IF(AN51=0,L51,0)</f>
        <v>0</v>
      </c>
      <c r="AK51" s="32">
        <f>IF(AN51=12,L51,0)</f>
        <v>0</v>
      </c>
      <c r="AL51" s="32">
        <f>IF(AN51=21,L51,0)</f>
        <v>0</v>
      </c>
      <c r="AN51" s="32">
        <v>21</v>
      </c>
      <c r="AO51" s="32">
        <f>H51*0.350889825</f>
        <v>0</v>
      </c>
      <c r="AP51" s="32">
        <f>H51*(1-0.350889825)</f>
        <v>0</v>
      </c>
      <c r="AQ51" s="36" t="s">
        <v>87</v>
      </c>
      <c r="AV51" s="32">
        <f>ROUND(AW51+AX51,2)</f>
        <v>0</v>
      </c>
      <c r="AW51" s="32">
        <f>ROUND(G51*AO51,2)</f>
        <v>0</v>
      </c>
      <c r="AX51" s="32">
        <f>ROUND(G51*AP51,2)</f>
        <v>0</v>
      </c>
      <c r="AY51" s="36" t="s">
        <v>144</v>
      </c>
      <c r="AZ51" s="36" t="s">
        <v>145</v>
      </c>
      <c r="BA51" s="12" t="s">
        <v>63</v>
      </c>
      <c r="BC51" s="32">
        <f>AW51+AX51</f>
        <v>0</v>
      </c>
      <c r="BD51" s="32">
        <f>H51/(100-BE51)*100</f>
        <v>0</v>
      </c>
      <c r="BE51" s="32">
        <v>0</v>
      </c>
      <c r="BF51" s="32">
        <f>P51</f>
        <v>2.6415999999999995E-2</v>
      </c>
      <c r="BH51" s="32">
        <f>G51*AO51</f>
        <v>0</v>
      </c>
      <c r="BI51" s="32">
        <f>G51*AP51</f>
        <v>0</v>
      </c>
      <c r="BJ51" s="32">
        <f>G51*H51</f>
        <v>0</v>
      </c>
      <c r="BK51" s="32"/>
      <c r="BL51" s="32">
        <v>721</v>
      </c>
      <c r="BW51" s="32">
        <f>I51</f>
        <v>21</v>
      </c>
      <c r="BX51" s="4" t="s">
        <v>142</v>
      </c>
    </row>
    <row r="52" spans="1:76" ht="13.5" customHeight="1" x14ac:dyDescent="0.25">
      <c r="A52" s="37"/>
      <c r="C52" s="38"/>
      <c r="D52" s="100" t="s">
        <v>146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</row>
    <row r="53" spans="1:76" x14ac:dyDescent="0.25">
      <c r="A53" s="2" t="s">
        <v>147</v>
      </c>
      <c r="B53" s="3" t="s">
        <v>54</v>
      </c>
      <c r="C53" s="3" t="s">
        <v>148</v>
      </c>
      <c r="D53" s="95" t="s">
        <v>149</v>
      </c>
      <c r="E53" s="96"/>
      <c r="F53" s="3" t="s">
        <v>143</v>
      </c>
      <c r="G53" s="32">
        <v>26.2</v>
      </c>
      <c r="H53" s="89">
        <v>0</v>
      </c>
      <c r="I53" s="33">
        <v>21</v>
      </c>
      <c r="J53" s="32">
        <f>ROUND(G53*AO53,2)</f>
        <v>0</v>
      </c>
      <c r="K53" s="32">
        <f>ROUND(G53*AP53,2)</f>
        <v>0</v>
      </c>
      <c r="L53" s="32">
        <f>ROUND(G53*H53,2)</f>
        <v>0</v>
      </c>
      <c r="M53" s="32">
        <f>L53*(1+BW53/100)</f>
        <v>0</v>
      </c>
      <c r="N53" s="34">
        <f>IF(L285=0,0,L53/L285)</f>
        <v>0</v>
      </c>
      <c r="O53" s="32">
        <v>7.7999999999999999E-4</v>
      </c>
      <c r="P53" s="32">
        <f>G53*O53</f>
        <v>2.0435999999999999E-2</v>
      </c>
      <c r="Q53" s="35" t="s">
        <v>61</v>
      </c>
      <c r="Z53" s="32">
        <f>ROUND(IF(AQ53="5",BJ53,0),2)</f>
        <v>0</v>
      </c>
      <c r="AB53" s="32">
        <f>ROUND(IF(AQ53="1",BH53,0),2)</f>
        <v>0</v>
      </c>
      <c r="AC53" s="32">
        <f>ROUND(IF(AQ53="1",BI53,0),2)</f>
        <v>0</v>
      </c>
      <c r="AD53" s="32">
        <f>ROUND(IF(AQ53="7",BH53,0),2)</f>
        <v>0</v>
      </c>
      <c r="AE53" s="32">
        <f>ROUND(IF(AQ53="7",BI53,0),2)</f>
        <v>0</v>
      </c>
      <c r="AF53" s="32">
        <f>ROUND(IF(AQ53="2",BH53,0),2)</f>
        <v>0</v>
      </c>
      <c r="AG53" s="32">
        <f>ROUND(IF(AQ53="2",BI53,0),2)</f>
        <v>0</v>
      </c>
      <c r="AH53" s="32">
        <f>ROUND(IF(AQ53="0",BJ53,0),2)</f>
        <v>0</v>
      </c>
      <c r="AI53" s="12" t="s">
        <v>54</v>
      </c>
      <c r="AJ53" s="32">
        <f>IF(AN53=0,L53,0)</f>
        <v>0</v>
      </c>
      <c r="AK53" s="32">
        <f>IF(AN53=12,L53,0)</f>
        <v>0</v>
      </c>
      <c r="AL53" s="32">
        <f>IF(AN53=21,L53,0)</f>
        <v>0</v>
      </c>
      <c r="AN53" s="32">
        <v>21</v>
      </c>
      <c r="AO53" s="32">
        <f>H53*0.296729936</f>
        <v>0</v>
      </c>
      <c r="AP53" s="32">
        <f>H53*(1-0.296729936)</f>
        <v>0</v>
      </c>
      <c r="AQ53" s="36" t="s">
        <v>87</v>
      </c>
      <c r="AV53" s="32">
        <f>ROUND(AW53+AX53,2)</f>
        <v>0</v>
      </c>
      <c r="AW53" s="32">
        <f>ROUND(G53*AO53,2)</f>
        <v>0</v>
      </c>
      <c r="AX53" s="32">
        <f>ROUND(G53*AP53,2)</f>
        <v>0</v>
      </c>
      <c r="AY53" s="36" t="s">
        <v>144</v>
      </c>
      <c r="AZ53" s="36" t="s">
        <v>145</v>
      </c>
      <c r="BA53" s="12" t="s">
        <v>63</v>
      </c>
      <c r="BC53" s="32">
        <f>AW53+AX53</f>
        <v>0</v>
      </c>
      <c r="BD53" s="32">
        <f>H53/(100-BE53)*100</f>
        <v>0</v>
      </c>
      <c r="BE53" s="32">
        <v>0</v>
      </c>
      <c r="BF53" s="32">
        <f>P53</f>
        <v>2.0435999999999999E-2</v>
      </c>
      <c r="BH53" s="32">
        <f>G53*AO53</f>
        <v>0</v>
      </c>
      <c r="BI53" s="32">
        <f>G53*AP53</f>
        <v>0</v>
      </c>
      <c r="BJ53" s="32">
        <f>G53*H53</f>
        <v>0</v>
      </c>
      <c r="BK53" s="32"/>
      <c r="BL53" s="32">
        <v>721</v>
      </c>
      <c r="BW53" s="32">
        <f>I53</f>
        <v>21</v>
      </c>
      <c r="BX53" s="4" t="s">
        <v>149</v>
      </c>
    </row>
    <row r="54" spans="1:76" ht="13.5" customHeight="1" x14ac:dyDescent="0.25">
      <c r="A54" s="37"/>
      <c r="C54" s="38"/>
      <c r="D54" s="100" t="s">
        <v>146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9"/>
    </row>
    <row r="55" spans="1:76" x14ac:dyDescent="0.25">
      <c r="A55" s="2" t="s">
        <v>150</v>
      </c>
      <c r="B55" s="3" t="s">
        <v>54</v>
      </c>
      <c r="C55" s="3" t="s">
        <v>151</v>
      </c>
      <c r="D55" s="95" t="s">
        <v>152</v>
      </c>
      <c r="E55" s="96"/>
      <c r="F55" s="3" t="s">
        <v>143</v>
      </c>
      <c r="G55" s="32">
        <v>81</v>
      </c>
      <c r="H55" s="89">
        <v>0</v>
      </c>
      <c r="I55" s="33">
        <v>21</v>
      </c>
      <c r="J55" s="32">
        <f>ROUND(G55*AO55,2)</f>
        <v>0</v>
      </c>
      <c r="K55" s="32">
        <f>ROUND(G55*AP55,2)</f>
        <v>0</v>
      </c>
      <c r="L55" s="32">
        <f>ROUND(G55*H55,2)</f>
        <v>0</v>
      </c>
      <c r="M55" s="32">
        <f>L55*(1+BW55/100)</f>
        <v>0</v>
      </c>
      <c r="N55" s="34">
        <f>IF(L285=0,0,L55/L285)</f>
        <v>0</v>
      </c>
      <c r="O55" s="32">
        <v>1.31E-3</v>
      </c>
      <c r="P55" s="32">
        <f>G55*O55</f>
        <v>0.10611</v>
      </c>
      <c r="Q55" s="35" t="s">
        <v>61</v>
      </c>
      <c r="Z55" s="32">
        <f>ROUND(IF(AQ55="5",BJ55,0),2)</f>
        <v>0</v>
      </c>
      <c r="AB55" s="32">
        <f>ROUND(IF(AQ55="1",BH55,0),2)</f>
        <v>0</v>
      </c>
      <c r="AC55" s="32">
        <f>ROUND(IF(AQ55="1",BI55,0),2)</f>
        <v>0</v>
      </c>
      <c r="AD55" s="32">
        <f>ROUND(IF(AQ55="7",BH55,0),2)</f>
        <v>0</v>
      </c>
      <c r="AE55" s="32">
        <f>ROUND(IF(AQ55="7",BI55,0),2)</f>
        <v>0</v>
      </c>
      <c r="AF55" s="32">
        <f>ROUND(IF(AQ55="2",BH55,0),2)</f>
        <v>0</v>
      </c>
      <c r="AG55" s="32">
        <f>ROUND(IF(AQ55="2",BI55,0),2)</f>
        <v>0</v>
      </c>
      <c r="AH55" s="32">
        <f>ROUND(IF(AQ55="0",BJ55,0),2)</f>
        <v>0</v>
      </c>
      <c r="AI55" s="12" t="s">
        <v>54</v>
      </c>
      <c r="AJ55" s="32">
        <f>IF(AN55=0,L55,0)</f>
        <v>0</v>
      </c>
      <c r="AK55" s="32">
        <f>IF(AN55=12,L55,0)</f>
        <v>0</v>
      </c>
      <c r="AL55" s="32">
        <f>IF(AN55=21,L55,0)</f>
        <v>0</v>
      </c>
      <c r="AN55" s="32">
        <v>21</v>
      </c>
      <c r="AO55" s="32">
        <f>H55*0.372245658</f>
        <v>0</v>
      </c>
      <c r="AP55" s="32">
        <f>H55*(1-0.372245658)</f>
        <v>0</v>
      </c>
      <c r="AQ55" s="36" t="s">
        <v>87</v>
      </c>
      <c r="AV55" s="32">
        <f>ROUND(AW55+AX55,2)</f>
        <v>0</v>
      </c>
      <c r="AW55" s="32">
        <f>ROUND(G55*AO55,2)</f>
        <v>0</v>
      </c>
      <c r="AX55" s="32">
        <f>ROUND(G55*AP55,2)</f>
        <v>0</v>
      </c>
      <c r="AY55" s="36" t="s">
        <v>144</v>
      </c>
      <c r="AZ55" s="36" t="s">
        <v>145</v>
      </c>
      <c r="BA55" s="12" t="s">
        <v>63</v>
      </c>
      <c r="BC55" s="32">
        <f>AW55+AX55</f>
        <v>0</v>
      </c>
      <c r="BD55" s="32">
        <f>H55/(100-BE55)*100</f>
        <v>0</v>
      </c>
      <c r="BE55" s="32">
        <v>0</v>
      </c>
      <c r="BF55" s="32">
        <f>P55</f>
        <v>0.10611</v>
      </c>
      <c r="BH55" s="32">
        <f>G55*AO55</f>
        <v>0</v>
      </c>
      <c r="BI55" s="32">
        <f>G55*AP55</f>
        <v>0</v>
      </c>
      <c r="BJ55" s="32">
        <f>G55*H55</f>
        <v>0</v>
      </c>
      <c r="BK55" s="32"/>
      <c r="BL55" s="32">
        <v>721</v>
      </c>
      <c r="BW55" s="32">
        <f>I55</f>
        <v>21</v>
      </c>
      <c r="BX55" s="4" t="s">
        <v>152</v>
      </c>
    </row>
    <row r="56" spans="1:76" ht="13.5" customHeight="1" x14ac:dyDescent="0.25">
      <c r="A56" s="37"/>
      <c r="C56" s="38"/>
      <c r="D56" s="100" t="s">
        <v>146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</row>
    <row r="57" spans="1:76" x14ac:dyDescent="0.25">
      <c r="A57" s="2" t="s">
        <v>153</v>
      </c>
      <c r="B57" s="3" t="s">
        <v>54</v>
      </c>
      <c r="C57" s="3" t="s">
        <v>154</v>
      </c>
      <c r="D57" s="95" t="s">
        <v>155</v>
      </c>
      <c r="E57" s="96"/>
      <c r="F57" s="3" t="s">
        <v>60</v>
      </c>
      <c r="G57" s="32">
        <v>15</v>
      </c>
      <c r="H57" s="89">
        <v>0</v>
      </c>
      <c r="I57" s="33">
        <v>21</v>
      </c>
      <c r="J57" s="32">
        <f t="shared" ref="J57:J79" si="0">ROUND(G57*AO57,2)</f>
        <v>0</v>
      </c>
      <c r="K57" s="32">
        <f t="shared" ref="K57:K79" si="1">ROUND(G57*AP57,2)</f>
        <v>0</v>
      </c>
      <c r="L57" s="32">
        <f t="shared" ref="L57:L79" si="2">ROUND(G57*H57,2)</f>
        <v>0</v>
      </c>
      <c r="M57" s="32">
        <f t="shared" ref="M57:M79" si="3">L57*(1+BW57/100)</f>
        <v>0</v>
      </c>
      <c r="N57" s="34">
        <f>IF(L285=0,0,L57/L285)</f>
        <v>0</v>
      </c>
      <c r="O57" s="32">
        <v>0</v>
      </c>
      <c r="P57" s="32">
        <f t="shared" ref="P57:P79" si="4">G57*O57</f>
        <v>0</v>
      </c>
      <c r="Q57" s="35"/>
      <c r="Z57" s="32">
        <f t="shared" ref="Z57:Z79" si="5">ROUND(IF(AQ57="5",BJ57,0),2)</f>
        <v>0</v>
      </c>
      <c r="AB57" s="32">
        <f t="shared" ref="AB57:AB79" si="6">ROUND(IF(AQ57="1",BH57,0),2)</f>
        <v>0</v>
      </c>
      <c r="AC57" s="32">
        <f t="shared" ref="AC57:AC79" si="7">ROUND(IF(AQ57="1",BI57,0),2)</f>
        <v>0</v>
      </c>
      <c r="AD57" s="32">
        <f t="shared" ref="AD57:AD79" si="8">ROUND(IF(AQ57="7",BH57,0),2)</f>
        <v>0</v>
      </c>
      <c r="AE57" s="32">
        <f t="shared" ref="AE57:AE79" si="9">ROUND(IF(AQ57="7",BI57,0),2)</f>
        <v>0</v>
      </c>
      <c r="AF57" s="32">
        <f t="shared" ref="AF57:AF79" si="10">ROUND(IF(AQ57="2",BH57,0),2)</f>
        <v>0</v>
      </c>
      <c r="AG57" s="32">
        <f t="shared" ref="AG57:AG79" si="11">ROUND(IF(AQ57="2",BI57,0),2)</f>
        <v>0</v>
      </c>
      <c r="AH57" s="32">
        <f t="shared" ref="AH57:AH79" si="12">ROUND(IF(AQ57="0",BJ57,0),2)</f>
        <v>0</v>
      </c>
      <c r="AI57" s="12" t="s">
        <v>54</v>
      </c>
      <c r="AJ57" s="32">
        <f t="shared" ref="AJ57:AJ79" si="13">IF(AN57=0,L57,0)</f>
        <v>0</v>
      </c>
      <c r="AK57" s="32">
        <f t="shared" ref="AK57:AK79" si="14">IF(AN57=12,L57,0)</f>
        <v>0</v>
      </c>
      <c r="AL57" s="32">
        <f t="shared" ref="AL57:AL79" si="15">IF(AN57=21,L57,0)</f>
        <v>0</v>
      </c>
      <c r="AN57" s="32">
        <v>21</v>
      </c>
      <c r="AO57" s="32">
        <f>H57*0.452919305</f>
        <v>0</v>
      </c>
      <c r="AP57" s="32">
        <f>H57*(1-0.452919305)</f>
        <v>0</v>
      </c>
      <c r="AQ57" s="36" t="s">
        <v>87</v>
      </c>
      <c r="AV57" s="32">
        <f t="shared" ref="AV57:AV79" si="16">ROUND(AW57+AX57,2)</f>
        <v>0</v>
      </c>
      <c r="AW57" s="32">
        <f t="shared" ref="AW57:AW79" si="17">ROUND(G57*AO57,2)</f>
        <v>0</v>
      </c>
      <c r="AX57" s="32">
        <f t="shared" ref="AX57:AX79" si="18">ROUND(G57*AP57,2)</f>
        <v>0</v>
      </c>
      <c r="AY57" s="36" t="s">
        <v>144</v>
      </c>
      <c r="AZ57" s="36" t="s">
        <v>145</v>
      </c>
      <c r="BA57" s="12" t="s">
        <v>63</v>
      </c>
      <c r="BC57" s="32">
        <f t="shared" ref="BC57:BC79" si="19">AW57+AX57</f>
        <v>0</v>
      </c>
      <c r="BD57" s="32">
        <f t="shared" ref="BD57:BD79" si="20">H57/(100-BE57)*100</f>
        <v>0</v>
      </c>
      <c r="BE57" s="32">
        <v>0</v>
      </c>
      <c r="BF57" s="32">
        <f t="shared" ref="BF57:BF79" si="21">P57</f>
        <v>0</v>
      </c>
      <c r="BH57" s="32">
        <f t="shared" ref="BH57:BH79" si="22">G57*AO57</f>
        <v>0</v>
      </c>
      <c r="BI57" s="32">
        <f t="shared" ref="BI57:BI79" si="23">G57*AP57</f>
        <v>0</v>
      </c>
      <c r="BJ57" s="32">
        <f t="shared" ref="BJ57:BJ79" si="24">G57*H57</f>
        <v>0</v>
      </c>
      <c r="BK57" s="32"/>
      <c r="BL57" s="32">
        <v>721</v>
      </c>
      <c r="BW57" s="32">
        <f t="shared" ref="BW57:BW79" si="25">I57</f>
        <v>21</v>
      </c>
      <c r="BX57" s="4" t="s">
        <v>155</v>
      </c>
    </row>
    <row r="58" spans="1:76" x14ac:dyDescent="0.25">
      <c r="A58" s="2" t="s">
        <v>156</v>
      </c>
      <c r="B58" s="3" t="s">
        <v>54</v>
      </c>
      <c r="C58" s="3" t="s">
        <v>157</v>
      </c>
      <c r="D58" s="95" t="s">
        <v>158</v>
      </c>
      <c r="E58" s="96"/>
      <c r="F58" s="3" t="s">
        <v>60</v>
      </c>
      <c r="G58" s="32">
        <v>30</v>
      </c>
      <c r="H58" s="89">
        <v>0</v>
      </c>
      <c r="I58" s="33">
        <v>21</v>
      </c>
      <c r="J58" s="32">
        <f t="shared" si="0"/>
        <v>0</v>
      </c>
      <c r="K58" s="32">
        <f t="shared" si="1"/>
        <v>0</v>
      </c>
      <c r="L58" s="32">
        <f t="shared" si="2"/>
        <v>0</v>
      </c>
      <c r="M58" s="32">
        <f t="shared" si="3"/>
        <v>0</v>
      </c>
      <c r="N58" s="34">
        <f>IF(L285=0,0,L58/L285)</f>
        <v>0</v>
      </c>
      <c r="O58" s="32">
        <v>0</v>
      </c>
      <c r="P58" s="32">
        <f t="shared" si="4"/>
        <v>0</v>
      </c>
      <c r="Q58" s="35"/>
      <c r="Z58" s="32">
        <f t="shared" si="5"/>
        <v>0</v>
      </c>
      <c r="AB58" s="32">
        <f t="shared" si="6"/>
        <v>0</v>
      </c>
      <c r="AC58" s="32">
        <f t="shared" si="7"/>
        <v>0</v>
      </c>
      <c r="AD58" s="32">
        <f t="shared" si="8"/>
        <v>0</v>
      </c>
      <c r="AE58" s="32">
        <f t="shared" si="9"/>
        <v>0</v>
      </c>
      <c r="AF58" s="32">
        <f t="shared" si="10"/>
        <v>0</v>
      </c>
      <c r="AG58" s="32">
        <f t="shared" si="11"/>
        <v>0</v>
      </c>
      <c r="AH58" s="32">
        <f t="shared" si="12"/>
        <v>0</v>
      </c>
      <c r="AI58" s="12" t="s">
        <v>54</v>
      </c>
      <c r="AJ58" s="32">
        <f t="shared" si="13"/>
        <v>0</v>
      </c>
      <c r="AK58" s="32">
        <f t="shared" si="14"/>
        <v>0</v>
      </c>
      <c r="AL58" s="32">
        <f t="shared" si="15"/>
        <v>0</v>
      </c>
      <c r="AN58" s="32">
        <v>21</v>
      </c>
      <c r="AO58" s="32">
        <f>H58*0.452919305</f>
        <v>0</v>
      </c>
      <c r="AP58" s="32">
        <f>H58*(1-0.452919305)</f>
        <v>0</v>
      </c>
      <c r="AQ58" s="36" t="s">
        <v>87</v>
      </c>
      <c r="AV58" s="32">
        <f t="shared" si="16"/>
        <v>0</v>
      </c>
      <c r="AW58" s="32">
        <f t="shared" si="17"/>
        <v>0</v>
      </c>
      <c r="AX58" s="32">
        <f t="shared" si="18"/>
        <v>0</v>
      </c>
      <c r="AY58" s="36" t="s">
        <v>144</v>
      </c>
      <c r="AZ58" s="36" t="s">
        <v>145</v>
      </c>
      <c r="BA58" s="12" t="s">
        <v>63</v>
      </c>
      <c r="BC58" s="32">
        <f t="shared" si="19"/>
        <v>0</v>
      </c>
      <c r="BD58" s="32">
        <f t="shared" si="20"/>
        <v>0</v>
      </c>
      <c r="BE58" s="32">
        <v>0</v>
      </c>
      <c r="BF58" s="32">
        <f t="shared" si="21"/>
        <v>0</v>
      </c>
      <c r="BH58" s="32">
        <f t="shared" si="22"/>
        <v>0</v>
      </c>
      <c r="BI58" s="32">
        <f t="shared" si="23"/>
        <v>0</v>
      </c>
      <c r="BJ58" s="32">
        <f t="shared" si="24"/>
        <v>0</v>
      </c>
      <c r="BK58" s="32"/>
      <c r="BL58" s="32">
        <v>721</v>
      </c>
      <c r="BW58" s="32">
        <f t="shared" si="25"/>
        <v>21</v>
      </c>
      <c r="BX58" s="4" t="s">
        <v>158</v>
      </c>
    </row>
    <row r="59" spans="1:76" x14ac:dyDescent="0.25">
      <c r="A59" s="2" t="s">
        <v>159</v>
      </c>
      <c r="B59" s="3" t="s">
        <v>54</v>
      </c>
      <c r="C59" s="3" t="s">
        <v>160</v>
      </c>
      <c r="D59" s="95" t="s">
        <v>161</v>
      </c>
      <c r="E59" s="96"/>
      <c r="F59" s="3" t="s">
        <v>60</v>
      </c>
      <c r="G59" s="32">
        <v>4</v>
      </c>
      <c r="H59" s="89">
        <v>0</v>
      </c>
      <c r="I59" s="33">
        <v>21</v>
      </c>
      <c r="J59" s="32">
        <f t="shared" si="0"/>
        <v>0</v>
      </c>
      <c r="K59" s="32">
        <f t="shared" si="1"/>
        <v>0</v>
      </c>
      <c r="L59" s="32">
        <f t="shared" si="2"/>
        <v>0</v>
      </c>
      <c r="M59" s="32">
        <f t="shared" si="3"/>
        <v>0</v>
      </c>
      <c r="N59" s="34">
        <f>IF(L285=0,0,L59/L285)</f>
        <v>0</v>
      </c>
      <c r="O59" s="32">
        <v>0</v>
      </c>
      <c r="P59" s="32">
        <f t="shared" si="4"/>
        <v>0</v>
      </c>
      <c r="Q59" s="35"/>
      <c r="Z59" s="32">
        <f t="shared" si="5"/>
        <v>0</v>
      </c>
      <c r="AB59" s="32">
        <f t="shared" si="6"/>
        <v>0</v>
      </c>
      <c r="AC59" s="32">
        <f t="shared" si="7"/>
        <v>0</v>
      </c>
      <c r="AD59" s="32">
        <f t="shared" si="8"/>
        <v>0</v>
      </c>
      <c r="AE59" s="32">
        <f t="shared" si="9"/>
        <v>0</v>
      </c>
      <c r="AF59" s="32">
        <f t="shared" si="10"/>
        <v>0</v>
      </c>
      <c r="AG59" s="32">
        <f t="shared" si="11"/>
        <v>0</v>
      </c>
      <c r="AH59" s="32">
        <f t="shared" si="12"/>
        <v>0</v>
      </c>
      <c r="AI59" s="12" t="s">
        <v>54</v>
      </c>
      <c r="AJ59" s="32">
        <f t="shared" si="13"/>
        <v>0</v>
      </c>
      <c r="AK59" s="32">
        <f t="shared" si="14"/>
        <v>0</v>
      </c>
      <c r="AL59" s="32">
        <f t="shared" si="15"/>
        <v>0</v>
      </c>
      <c r="AN59" s="32">
        <v>21</v>
      </c>
      <c r="AO59" s="32">
        <f>H59*0.488874284</f>
        <v>0</v>
      </c>
      <c r="AP59" s="32">
        <f>H59*(1-0.488874284)</f>
        <v>0</v>
      </c>
      <c r="AQ59" s="36" t="s">
        <v>87</v>
      </c>
      <c r="AV59" s="32">
        <f t="shared" si="16"/>
        <v>0</v>
      </c>
      <c r="AW59" s="32">
        <f t="shared" si="17"/>
        <v>0</v>
      </c>
      <c r="AX59" s="32">
        <f t="shared" si="18"/>
        <v>0</v>
      </c>
      <c r="AY59" s="36" t="s">
        <v>144</v>
      </c>
      <c r="AZ59" s="36" t="s">
        <v>145</v>
      </c>
      <c r="BA59" s="12" t="s">
        <v>63</v>
      </c>
      <c r="BC59" s="32">
        <f t="shared" si="19"/>
        <v>0</v>
      </c>
      <c r="BD59" s="32">
        <f t="shared" si="20"/>
        <v>0</v>
      </c>
      <c r="BE59" s="32">
        <v>0</v>
      </c>
      <c r="BF59" s="32">
        <f t="shared" si="21"/>
        <v>0</v>
      </c>
      <c r="BH59" s="32">
        <f t="shared" si="22"/>
        <v>0</v>
      </c>
      <c r="BI59" s="32">
        <f t="shared" si="23"/>
        <v>0</v>
      </c>
      <c r="BJ59" s="32">
        <f t="shared" si="24"/>
        <v>0</v>
      </c>
      <c r="BK59" s="32"/>
      <c r="BL59" s="32">
        <v>721</v>
      </c>
      <c r="BW59" s="32">
        <f t="shared" si="25"/>
        <v>21</v>
      </c>
      <c r="BX59" s="4" t="s">
        <v>161</v>
      </c>
    </row>
    <row r="60" spans="1:76" x14ac:dyDescent="0.25">
      <c r="A60" s="2" t="s">
        <v>162</v>
      </c>
      <c r="B60" s="3" t="s">
        <v>54</v>
      </c>
      <c r="C60" s="3" t="s">
        <v>163</v>
      </c>
      <c r="D60" s="95" t="s">
        <v>164</v>
      </c>
      <c r="E60" s="96"/>
      <c r="F60" s="3" t="s">
        <v>60</v>
      </c>
      <c r="G60" s="32">
        <v>1</v>
      </c>
      <c r="H60" s="89">
        <v>0</v>
      </c>
      <c r="I60" s="33">
        <v>21</v>
      </c>
      <c r="J60" s="32">
        <f t="shared" si="0"/>
        <v>0</v>
      </c>
      <c r="K60" s="32">
        <f t="shared" si="1"/>
        <v>0</v>
      </c>
      <c r="L60" s="32">
        <f t="shared" si="2"/>
        <v>0</v>
      </c>
      <c r="M60" s="32">
        <f t="shared" si="3"/>
        <v>0</v>
      </c>
      <c r="N60" s="34">
        <f>IF(L285=0,0,L60/L285)</f>
        <v>0</v>
      </c>
      <c r="O60" s="32">
        <v>0</v>
      </c>
      <c r="P60" s="32">
        <f t="shared" si="4"/>
        <v>0</v>
      </c>
      <c r="Q60" s="35"/>
      <c r="Z60" s="32">
        <f t="shared" si="5"/>
        <v>0</v>
      </c>
      <c r="AB60" s="32">
        <f t="shared" si="6"/>
        <v>0</v>
      </c>
      <c r="AC60" s="32">
        <f t="shared" si="7"/>
        <v>0</v>
      </c>
      <c r="AD60" s="32">
        <f t="shared" si="8"/>
        <v>0</v>
      </c>
      <c r="AE60" s="32">
        <f t="shared" si="9"/>
        <v>0</v>
      </c>
      <c r="AF60" s="32">
        <f t="shared" si="10"/>
        <v>0</v>
      </c>
      <c r="AG60" s="32">
        <f t="shared" si="11"/>
        <v>0</v>
      </c>
      <c r="AH60" s="32">
        <f t="shared" si="12"/>
        <v>0</v>
      </c>
      <c r="AI60" s="12" t="s">
        <v>54</v>
      </c>
      <c r="AJ60" s="32">
        <f t="shared" si="13"/>
        <v>0</v>
      </c>
      <c r="AK60" s="32">
        <f t="shared" si="14"/>
        <v>0</v>
      </c>
      <c r="AL60" s="32">
        <f t="shared" si="15"/>
        <v>0</v>
      </c>
      <c r="AN60" s="32">
        <v>21</v>
      </c>
      <c r="AO60" s="32">
        <f>H60*0.505090909</f>
        <v>0</v>
      </c>
      <c r="AP60" s="32">
        <f>H60*(1-0.505090909)</f>
        <v>0</v>
      </c>
      <c r="AQ60" s="36" t="s">
        <v>87</v>
      </c>
      <c r="AV60" s="32">
        <f t="shared" si="16"/>
        <v>0</v>
      </c>
      <c r="AW60" s="32">
        <f t="shared" si="17"/>
        <v>0</v>
      </c>
      <c r="AX60" s="32">
        <f t="shared" si="18"/>
        <v>0</v>
      </c>
      <c r="AY60" s="36" t="s">
        <v>144</v>
      </c>
      <c r="AZ60" s="36" t="s">
        <v>145</v>
      </c>
      <c r="BA60" s="12" t="s">
        <v>63</v>
      </c>
      <c r="BC60" s="32">
        <f t="shared" si="19"/>
        <v>0</v>
      </c>
      <c r="BD60" s="32">
        <f t="shared" si="20"/>
        <v>0</v>
      </c>
      <c r="BE60" s="32">
        <v>0</v>
      </c>
      <c r="BF60" s="32">
        <f t="shared" si="21"/>
        <v>0</v>
      </c>
      <c r="BH60" s="32">
        <f t="shared" si="22"/>
        <v>0</v>
      </c>
      <c r="BI60" s="32">
        <f t="shared" si="23"/>
        <v>0</v>
      </c>
      <c r="BJ60" s="32">
        <f t="shared" si="24"/>
        <v>0</v>
      </c>
      <c r="BK60" s="32"/>
      <c r="BL60" s="32">
        <v>721</v>
      </c>
      <c r="BW60" s="32">
        <f t="shared" si="25"/>
        <v>21</v>
      </c>
      <c r="BX60" s="4" t="s">
        <v>164</v>
      </c>
    </row>
    <row r="61" spans="1:76" x14ac:dyDescent="0.25">
      <c r="A61" s="2" t="s">
        <v>165</v>
      </c>
      <c r="B61" s="3" t="s">
        <v>54</v>
      </c>
      <c r="C61" s="3" t="s">
        <v>166</v>
      </c>
      <c r="D61" s="95" t="s">
        <v>167</v>
      </c>
      <c r="E61" s="96"/>
      <c r="F61" s="3" t="s">
        <v>60</v>
      </c>
      <c r="G61" s="32">
        <v>2</v>
      </c>
      <c r="H61" s="89">
        <v>0</v>
      </c>
      <c r="I61" s="33">
        <v>21</v>
      </c>
      <c r="J61" s="32">
        <f t="shared" si="0"/>
        <v>0</v>
      </c>
      <c r="K61" s="32">
        <f t="shared" si="1"/>
        <v>0</v>
      </c>
      <c r="L61" s="32">
        <f t="shared" si="2"/>
        <v>0</v>
      </c>
      <c r="M61" s="32">
        <f t="shared" si="3"/>
        <v>0</v>
      </c>
      <c r="N61" s="34">
        <f>IF(L285=0,0,L61/L285)</f>
        <v>0</v>
      </c>
      <c r="O61" s="32">
        <v>0</v>
      </c>
      <c r="P61" s="32">
        <f t="shared" si="4"/>
        <v>0</v>
      </c>
      <c r="Q61" s="35"/>
      <c r="Z61" s="32">
        <f t="shared" si="5"/>
        <v>0</v>
      </c>
      <c r="AB61" s="32">
        <f t="shared" si="6"/>
        <v>0</v>
      </c>
      <c r="AC61" s="32">
        <f t="shared" si="7"/>
        <v>0</v>
      </c>
      <c r="AD61" s="32">
        <f t="shared" si="8"/>
        <v>0</v>
      </c>
      <c r="AE61" s="32">
        <f t="shared" si="9"/>
        <v>0</v>
      </c>
      <c r="AF61" s="32">
        <f t="shared" si="10"/>
        <v>0</v>
      </c>
      <c r="AG61" s="32">
        <f t="shared" si="11"/>
        <v>0</v>
      </c>
      <c r="AH61" s="32">
        <f t="shared" si="12"/>
        <v>0</v>
      </c>
      <c r="AI61" s="12" t="s">
        <v>54</v>
      </c>
      <c r="AJ61" s="32">
        <f t="shared" si="13"/>
        <v>0</v>
      </c>
      <c r="AK61" s="32">
        <f t="shared" si="14"/>
        <v>0</v>
      </c>
      <c r="AL61" s="32">
        <f t="shared" si="15"/>
        <v>0</v>
      </c>
      <c r="AN61" s="32">
        <v>21</v>
      </c>
      <c r="AO61" s="32">
        <f>H61*0.537389531</f>
        <v>0</v>
      </c>
      <c r="AP61" s="32">
        <f>H61*(1-0.537389531)</f>
        <v>0</v>
      </c>
      <c r="AQ61" s="36" t="s">
        <v>87</v>
      </c>
      <c r="AV61" s="32">
        <f t="shared" si="16"/>
        <v>0</v>
      </c>
      <c r="AW61" s="32">
        <f t="shared" si="17"/>
        <v>0</v>
      </c>
      <c r="AX61" s="32">
        <f t="shared" si="18"/>
        <v>0</v>
      </c>
      <c r="AY61" s="36" t="s">
        <v>144</v>
      </c>
      <c r="AZ61" s="36" t="s">
        <v>145</v>
      </c>
      <c r="BA61" s="12" t="s">
        <v>63</v>
      </c>
      <c r="BC61" s="32">
        <f t="shared" si="19"/>
        <v>0</v>
      </c>
      <c r="BD61" s="32">
        <f t="shared" si="20"/>
        <v>0</v>
      </c>
      <c r="BE61" s="32">
        <v>0</v>
      </c>
      <c r="BF61" s="32">
        <f t="shared" si="21"/>
        <v>0</v>
      </c>
      <c r="BH61" s="32">
        <f t="shared" si="22"/>
        <v>0</v>
      </c>
      <c r="BI61" s="32">
        <f t="shared" si="23"/>
        <v>0</v>
      </c>
      <c r="BJ61" s="32">
        <f t="shared" si="24"/>
        <v>0</v>
      </c>
      <c r="BK61" s="32"/>
      <c r="BL61" s="32">
        <v>721</v>
      </c>
      <c r="BW61" s="32">
        <f t="shared" si="25"/>
        <v>21</v>
      </c>
      <c r="BX61" s="4" t="s">
        <v>167</v>
      </c>
    </row>
    <row r="62" spans="1:76" x14ac:dyDescent="0.25">
      <c r="A62" s="2" t="s">
        <v>168</v>
      </c>
      <c r="B62" s="3" t="s">
        <v>54</v>
      </c>
      <c r="C62" s="3" t="s">
        <v>169</v>
      </c>
      <c r="D62" s="95" t="s">
        <v>167</v>
      </c>
      <c r="E62" s="96"/>
      <c r="F62" s="3" t="s">
        <v>60</v>
      </c>
      <c r="G62" s="32">
        <v>5</v>
      </c>
      <c r="H62" s="89">
        <v>0</v>
      </c>
      <c r="I62" s="33">
        <v>21</v>
      </c>
      <c r="J62" s="32">
        <f t="shared" si="0"/>
        <v>0</v>
      </c>
      <c r="K62" s="32">
        <f t="shared" si="1"/>
        <v>0</v>
      </c>
      <c r="L62" s="32">
        <f t="shared" si="2"/>
        <v>0</v>
      </c>
      <c r="M62" s="32">
        <f t="shared" si="3"/>
        <v>0</v>
      </c>
      <c r="N62" s="34">
        <f>IF(L285=0,0,L62/L285)</f>
        <v>0</v>
      </c>
      <c r="O62" s="32">
        <v>0</v>
      </c>
      <c r="P62" s="32">
        <f t="shared" si="4"/>
        <v>0</v>
      </c>
      <c r="Q62" s="35"/>
      <c r="Z62" s="32">
        <f t="shared" si="5"/>
        <v>0</v>
      </c>
      <c r="AB62" s="32">
        <f t="shared" si="6"/>
        <v>0</v>
      </c>
      <c r="AC62" s="32">
        <f t="shared" si="7"/>
        <v>0</v>
      </c>
      <c r="AD62" s="32">
        <f t="shared" si="8"/>
        <v>0</v>
      </c>
      <c r="AE62" s="32">
        <f t="shared" si="9"/>
        <v>0</v>
      </c>
      <c r="AF62" s="32">
        <f t="shared" si="10"/>
        <v>0</v>
      </c>
      <c r="AG62" s="32">
        <f t="shared" si="11"/>
        <v>0</v>
      </c>
      <c r="AH62" s="32">
        <f t="shared" si="12"/>
        <v>0</v>
      </c>
      <c r="AI62" s="12" t="s">
        <v>54</v>
      </c>
      <c r="AJ62" s="32">
        <f t="shared" si="13"/>
        <v>0</v>
      </c>
      <c r="AK62" s="32">
        <f t="shared" si="14"/>
        <v>0</v>
      </c>
      <c r="AL62" s="32">
        <f t="shared" si="15"/>
        <v>0</v>
      </c>
      <c r="AN62" s="32">
        <v>21</v>
      </c>
      <c r="AO62" s="32">
        <f>H62*0.537389531</f>
        <v>0</v>
      </c>
      <c r="AP62" s="32">
        <f>H62*(1-0.537389531)</f>
        <v>0</v>
      </c>
      <c r="AQ62" s="36" t="s">
        <v>87</v>
      </c>
      <c r="AV62" s="32">
        <f t="shared" si="16"/>
        <v>0</v>
      </c>
      <c r="AW62" s="32">
        <f t="shared" si="17"/>
        <v>0</v>
      </c>
      <c r="AX62" s="32">
        <f t="shared" si="18"/>
        <v>0</v>
      </c>
      <c r="AY62" s="36" t="s">
        <v>144</v>
      </c>
      <c r="AZ62" s="36" t="s">
        <v>145</v>
      </c>
      <c r="BA62" s="12" t="s">
        <v>63</v>
      </c>
      <c r="BC62" s="32">
        <f t="shared" si="19"/>
        <v>0</v>
      </c>
      <c r="BD62" s="32">
        <f t="shared" si="20"/>
        <v>0</v>
      </c>
      <c r="BE62" s="32">
        <v>0</v>
      </c>
      <c r="BF62" s="32">
        <f t="shared" si="21"/>
        <v>0</v>
      </c>
      <c r="BH62" s="32">
        <f t="shared" si="22"/>
        <v>0</v>
      </c>
      <c r="BI62" s="32">
        <f t="shared" si="23"/>
        <v>0</v>
      </c>
      <c r="BJ62" s="32">
        <f t="shared" si="24"/>
        <v>0</v>
      </c>
      <c r="BK62" s="32"/>
      <c r="BL62" s="32">
        <v>721</v>
      </c>
      <c r="BW62" s="32">
        <f t="shared" si="25"/>
        <v>21</v>
      </c>
      <c r="BX62" s="4" t="s">
        <v>167</v>
      </c>
    </row>
    <row r="63" spans="1:76" x14ac:dyDescent="0.25">
      <c r="A63" s="2" t="s">
        <v>170</v>
      </c>
      <c r="B63" s="3" t="s">
        <v>54</v>
      </c>
      <c r="C63" s="3" t="s">
        <v>169</v>
      </c>
      <c r="D63" s="95" t="s">
        <v>171</v>
      </c>
      <c r="E63" s="96"/>
      <c r="F63" s="3" t="s">
        <v>60</v>
      </c>
      <c r="G63" s="32">
        <v>10</v>
      </c>
      <c r="H63" s="89">
        <v>0</v>
      </c>
      <c r="I63" s="33">
        <v>21</v>
      </c>
      <c r="J63" s="32">
        <f t="shared" si="0"/>
        <v>0</v>
      </c>
      <c r="K63" s="32">
        <f t="shared" si="1"/>
        <v>0</v>
      </c>
      <c r="L63" s="32">
        <f t="shared" si="2"/>
        <v>0</v>
      </c>
      <c r="M63" s="32">
        <f t="shared" si="3"/>
        <v>0</v>
      </c>
      <c r="N63" s="34">
        <f>IF(L285=0,0,L63/L285)</f>
        <v>0</v>
      </c>
      <c r="O63" s="32">
        <v>0</v>
      </c>
      <c r="P63" s="32">
        <f t="shared" si="4"/>
        <v>0</v>
      </c>
      <c r="Q63" s="35"/>
      <c r="Z63" s="32">
        <f t="shared" si="5"/>
        <v>0</v>
      </c>
      <c r="AB63" s="32">
        <f t="shared" si="6"/>
        <v>0</v>
      </c>
      <c r="AC63" s="32">
        <f t="shared" si="7"/>
        <v>0</v>
      </c>
      <c r="AD63" s="32">
        <f t="shared" si="8"/>
        <v>0</v>
      </c>
      <c r="AE63" s="32">
        <f t="shared" si="9"/>
        <v>0</v>
      </c>
      <c r="AF63" s="32">
        <f t="shared" si="10"/>
        <v>0</v>
      </c>
      <c r="AG63" s="32">
        <f t="shared" si="11"/>
        <v>0</v>
      </c>
      <c r="AH63" s="32">
        <f t="shared" si="12"/>
        <v>0</v>
      </c>
      <c r="AI63" s="12" t="s">
        <v>54</v>
      </c>
      <c r="AJ63" s="32">
        <f t="shared" si="13"/>
        <v>0</v>
      </c>
      <c r="AK63" s="32">
        <f t="shared" si="14"/>
        <v>0</v>
      </c>
      <c r="AL63" s="32">
        <f t="shared" si="15"/>
        <v>0</v>
      </c>
      <c r="AN63" s="32">
        <v>21</v>
      </c>
      <c r="AO63" s="32">
        <f>H63*0.569269721</f>
        <v>0</v>
      </c>
      <c r="AP63" s="32">
        <f>H63*(1-0.569269721)</f>
        <v>0</v>
      </c>
      <c r="AQ63" s="36" t="s">
        <v>87</v>
      </c>
      <c r="AV63" s="32">
        <f t="shared" si="16"/>
        <v>0</v>
      </c>
      <c r="AW63" s="32">
        <f t="shared" si="17"/>
        <v>0</v>
      </c>
      <c r="AX63" s="32">
        <f t="shared" si="18"/>
        <v>0</v>
      </c>
      <c r="AY63" s="36" t="s">
        <v>144</v>
      </c>
      <c r="AZ63" s="36" t="s">
        <v>145</v>
      </c>
      <c r="BA63" s="12" t="s">
        <v>63</v>
      </c>
      <c r="BC63" s="32">
        <f t="shared" si="19"/>
        <v>0</v>
      </c>
      <c r="BD63" s="32">
        <f t="shared" si="20"/>
        <v>0</v>
      </c>
      <c r="BE63" s="32">
        <v>0</v>
      </c>
      <c r="BF63" s="32">
        <f t="shared" si="21"/>
        <v>0</v>
      </c>
      <c r="BH63" s="32">
        <f t="shared" si="22"/>
        <v>0</v>
      </c>
      <c r="BI63" s="32">
        <f t="shared" si="23"/>
        <v>0</v>
      </c>
      <c r="BJ63" s="32">
        <f t="shared" si="24"/>
        <v>0</v>
      </c>
      <c r="BK63" s="32"/>
      <c r="BL63" s="32">
        <v>721</v>
      </c>
      <c r="BW63" s="32">
        <f t="shared" si="25"/>
        <v>21</v>
      </c>
      <c r="BX63" s="4" t="s">
        <v>171</v>
      </c>
    </row>
    <row r="64" spans="1:76" x14ac:dyDescent="0.25">
      <c r="A64" s="2" t="s">
        <v>172</v>
      </c>
      <c r="B64" s="3" t="s">
        <v>54</v>
      </c>
      <c r="C64" s="3" t="s">
        <v>173</v>
      </c>
      <c r="D64" s="95" t="s">
        <v>174</v>
      </c>
      <c r="E64" s="96"/>
      <c r="F64" s="3" t="s">
        <v>60</v>
      </c>
      <c r="G64" s="32">
        <v>10</v>
      </c>
      <c r="H64" s="89">
        <v>0</v>
      </c>
      <c r="I64" s="33">
        <v>21</v>
      </c>
      <c r="J64" s="32">
        <f t="shared" si="0"/>
        <v>0</v>
      </c>
      <c r="K64" s="32">
        <f t="shared" si="1"/>
        <v>0</v>
      </c>
      <c r="L64" s="32">
        <f t="shared" si="2"/>
        <v>0</v>
      </c>
      <c r="M64" s="32">
        <f t="shared" si="3"/>
        <v>0</v>
      </c>
      <c r="N64" s="34">
        <f>IF(L285=0,0,L64/L285)</f>
        <v>0</v>
      </c>
      <c r="O64" s="32">
        <v>0</v>
      </c>
      <c r="P64" s="32">
        <f t="shared" si="4"/>
        <v>0</v>
      </c>
      <c r="Q64" s="35"/>
      <c r="Z64" s="32">
        <f t="shared" si="5"/>
        <v>0</v>
      </c>
      <c r="AB64" s="32">
        <f t="shared" si="6"/>
        <v>0</v>
      </c>
      <c r="AC64" s="32">
        <f t="shared" si="7"/>
        <v>0</v>
      </c>
      <c r="AD64" s="32">
        <f t="shared" si="8"/>
        <v>0</v>
      </c>
      <c r="AE64" s="32">
        <f t="shared" si="9"/>
        <v>0</v>
      </c>
      <c r="AF64" s="32">
        <f t="shared" si="10"/>
        <v>0</v>
      </c>
      <c r="AG64" s="32">
        <f t="shared" si="11"/>
        <v>0</v>
      </c>
      <c r="AH64" s="32">
        <f t="shared" si="12"/>
        <v>0</v>
      </c>
      <c r="AI64" s="12" t="s">
        <v>54</v>
      </c>
      <c r="AJ64" s="32">
        <f t="shared" si="13"/>
        <v>0</v>
      </c>
      <c r="AK64" s="32">
        <f t="shared" si="14"/>
        <v>0</v>
      </c>
      <c r="AL64" s="32">
        <f t="shared" si="15"/>
        <v>0</v>
      </c>
      <c r="AN64" s="32">
        <v>21</v>
      </c>
      <c r="AO64" s="32">
        <f>H64*0.598643468</f>
        <v>0</v>
      </c>
      <c r="AP64" s="32">
        <f>H64*(1-0.598643468)</f>
        <v>0</v>
      </c>
      <c r="AQ64" s="36" t="s">
        <v>87</v>
      </c>
      <c r="AV64" s="32">
        <f t="shared" si="16"/>
        <v>0</v>
      </c>
      <c r="AW64" s="32">
        <f t="shared" si="17"/>
        <v>0</v>
      </c>
      <c r="AX64" s="32">
        <f t="shared" si="18"/>
        <v>0</v>
      </c>
      <c r="AY64" s="36" t="s">
        <v>144</v>
      </c>
      <c r="AZ64" s="36" t="s">
        <v>145</v>
      </c>
      <c r="BA64" s="12" t="s">
        <v>63</v>
      </c>
      <c r="BC64" s="32">
        <f t="shared" si="19"/>
        <v>0</v>
      </c>
      <c r="BD64" s="32">
        <f t="shared" si="20"/>
        <v>0</v>
      </c>
      <c r="BE64" s="32">
        <v>0</v>
      </c>
      <c r="BF64" s="32">
        <f t="shared" si="21"/>
        <v>0</v>
      </c>
      <c r="BH64" s="32">
        <f t="shared" si="22"/>
        <v>0</v>
      </c>
      <c r="BI64" s="32">
        <f t="shared" si="23"/>
        <v>0</v>
      </c>
      <c r="BJ64" s="32">
        <f t="shared" si="24"/>
        <v>0</v>
      </c>
      <c r="BK64" s="32"/>
      <c r="BL64" s="32">
        <v>721</v>
      </c>
      <c r="BW64" s="32">
        <f t="shared" si="25"/>
        <v>21</v>
      </c>
      <c r="BX64" s="4" t="s">
        <v>174</v>
      </c>
    </row>
    <row r="65" spans="1:76" x14ac:dyDescent="0.25">
      <c r="A65" s="2" t="s">
        <v>175</v>
      </c>
      <c r="B65" s="3" t="s">
        <v>54</v>
      </c>
      <c r="C65" s="3" t="s">
        <v>176</v>
      </c>
      <c r="D65" s="95" t="s">
        <v>177</v>
      </c>
      <c r="E65" s="96"/>
      <c r="F65" s="3" t="s">
        <v>60</v>
      </c>
      <c r="G65" s="32">
        <v>22</v>
      </c>
      <c r="H65" s="89">
        <v>0</v>
      </c>
      <c r="I65" s="33">
        <v>21</v>
      </c>
      <c r="J65" s="32">
        <f t="shared" si="0"/>
        <v>0</v>
      </c>
      <c r="K65" s="32">
        <f t="shared" si="1"/>
        <v>0</v>
      </c>
      <c r="L65" s="32">
        <f t="shared" si="2"/>
        <v>0</v>
      </c>
      <c r="M65" s="32">
        <f t="shared" si="3"/>
        <v>0</v>
      </c>
      <c r="N65" s="34">
        <f>IF(L285=0,0,L65/L285)</f>
        <v>0</v>
      </c>
      <c r="O65" s="32">
        <v>0</v>
      </c>
      <c r="P65" s="32">
        <f t="shared" si="4"/>
        <v>0</v>
      </c>
      <c r="Q65" s="35"/>
      <c r="Z65" s="32">
        <f t="shared" si="5"/>
        <v>0</v>
      </c>
      <c r="AB65" s="32">
        <f t="shared" si="6"/>
        <v>0</v>
      </c>
      <c r="AC65" s="32">
        <f t="shared" si="7"/>
        <v>0</v>
      </c>
      <c r="AD65" s="32">
        <f t="shared" si="8"/>
        <v>0</v>
      </c>
      <c r="AE65" s="32">
        <f t="shared" si="9"/>
        <v>0</v>
      </c>
      <c r="AF65" s="32">
        <f t="shared" si="10"/>
        <v>0</v>
      </c>
      <c r="AG65" s="32">
        <f t="shared" si="11"/>
        <v>0</v>
      </c>
      <c r="AH65" s="32">
        <f t="shared" si="12"/>
        <v>0</v>
      </c>
      <c r="AI65" s="12" t="s">
        <v>54</v>
      </c>
      <c r="AJ65" s="32">
        <f t="shared" si="13"/>
        <v>0</v>
      </c>
      <c r="AK65" s="32">
        <f t="shared" si="14"/>
        <v>0</v>
      </c>
      <c r="AL65" s="32">
        <f t="shared" si="15"/>
        <v>0</v>
      </c>
      <c r="AN65" s="32">
        <v>21</v>
      </c>
      <c r="AO65" s="32">
        <f>H65*0.50959373</f>
        <v>0</v>
      </c>
      <c r="AP65" s="32">
        <f>H65*(1-0.50959373)</f>
        <v>0</v>
      </c>
      <c r="AQ65" s="36" t="s">
        <v>87</v>
      </c>
      <c r="AV65" s="32">
        <f t="shared" si="16"/>
        <v>0</v>
      </c>
      <c r="AW65" s="32">
        <f t="shared" si="17"/>
        <v>0</v>
      </c>
      <c r="AX65" s="32">
        <f t="shared" si="18"/>
        <v>0</v>
      </c>
      <c r="AY65" s="36" t="s">
        <v>144</v>
      </c>
      <c r="AZ65" s="36" t="s">
        <v>145</v>
      </c>
      <c r="BA65" s="12" t="s">
        <v>63</v>
      </c>
      <c r="BC65" s="32">
        <f t="shared" si="19"/>
        <v>0</v>
      </c>
      <c r="BD65" s="32">
        <f t="shared" si="20"/>
        <v>0</v>
      </c>
      <c r="BE65" s="32">
        <v>0</v>
      </c>
      <c r="BF65" s="32">
        <f t="shared" si="21"/>
        <v>0</v>
      </c>
      <c r="BH65" s="32">
        <f t="shared" si="22"/>
        <v>0</v>
      </c>
      <c r="BI65" s="32">
        <f t="shared" si="23"/>
        <v>0</v>
      </c>
      <c r="BJ65" s="32">
        <f t="shared" si="24"/>
        <v>0</v>
      </c>
      <c r="BK65" s="32"/>
      <c r="BL65" s="32">
        <v>721</v>
      </c>
      <c r="BW65" s="32">
        <f t="shared" si="25"/>
        <v>21</v>
      </c>
      <c r="BX65" s="4" t="s">
        <v>177</v>
      </c>
    </row>
    <row r="66" spans="1:76" x14ac:dyDescent="0.25">
      <c r="A66" s="2" t="s">
        <v>178</v>
      </c>
      <c r="B66" s="3" t="s">
        <v>54</v>
      </c>
      <c r="C66" s="3" t="s">
        <v>179</v>
      </c>
      <c r="D66" s="95" t="s">
        <v>180</v>
      </c>
      <c r="E66" s="96"/>
      <c r="F66" s="3" t="s">
        <v>60</v>
      </c>
      <c r="G66" s="32">
        <v>2</v>
      </c>
      <c r="H66" s="89">
        <v>0</v>
      </c>
      <c r="I66" s="33">
        <v>21</v>
      </c>
      <c r="J66" s="32">
        <f t="shared" si="0"/>
        <v>0</v>
      </c>
      <c r="K66" s="32">
        <f t="shared" si="1"/>
        <v>0</v>
      </c>
      <c r="L66" s="32">
        <f t="shared" si="2"/>
        <v>0</v>
      </c>
      <c r="M66" s="32">
        <f t="shared" si="3"/>
        <v>0</v>
      </c>
      <c r="N66" s="34">
        <f>IF(L285=0,0,L66/L285)</f>
        <v>0</v>
      </c>
      <c r="O66" s="32">
        <v>0</v>
      </c>
      <c r="P66" s="32">
        <f t="shared" si="4"/>
        <v>0</v>
      </c>
      <c r="Q66" s="35"/>
      <c r="Z66" s="32">
        <f t="shared" si="5"/>
        <v>0</v>
      </c>
      <c r="AB66" s="32">
        <f t="shared" si="6"/>
        <v>0</v>
      </c>
      <c r="AC66" s="32">
        <f t="shared" si="7"/>
        <v>0</v>
      </c>
      <c r="AD66" s="32">
        <f t="shared" si="8"/>
        <v>0</v>
      </c>
      <c r="AE66" s="32">
        <f t="shared" si="9"/>
        <v>0</v>
      </c>
      <c r="AF66" s="32">
        <f t="shared" si="10"/>
        <v>0</v>
      </c>
      <c r="AG66" s="32">
        <f t="shared" si="11"/>
        <v>0</v>
      </c>
      <c r="AH66" s="32">
        <f t="shared" si="12"/>
        <v>0</v>
      </c>
      <c r="AI66" s="12" t="s">
        <v>54</v>
      </c>
      <c r="AJ66" s="32">
        <f t="shared" si="13"/>
        <v>0</v>
      </c>
      <c r="AK66" s="32">
        <f t="shared" si="14"/>
        <v>0</v>
      </c>
      <c r="AL66" s="32">
        <f t="shared" si="15"/>
        <v>0</v>
      </c>
      <c r="AN66" s="32">
        <v>21</v>
      </c>
      <c r="AO66" s="32">
        <f>H66*0.570459208</f>
        <v>0</v>
      </c>
      <c r="AP66" s="32">
        <f>H66*(1-0.570459208)</f>
        <v>0</v>
      </c>
      <c r="AQ66" s="36" t="s">
        <v>87</v>
      </c>
      <c r="AV66" s="32">
        <f t="shared" si="16"/>
        <v>0</v>
      </c>
      <c r="AW66" s="32">
        <f t="shared" si="17"/>
        <v>0</v>
      </c>
      <c r="AX66" s="32">
        <f t="shared" si="18"/>
        <v>0</v>
      </c>
      <c r="AY66" s="36" t="s">
        <v>144</v>
      </c>
      <c r="AZ66" s="36" t="s">
        <v>145</v>
      </c>
      <c r="BA66" s="12" t="s">
        <v>63</v>
      </c>
      <c r="BC66" s="32">
        <f t="shared" si="19"/>
        <v>0</v>
      </c>
      <c r="BD66" s="32">
        <f t="shared" si="20"/>
        <v>0</v>
      </c>
      <c r="BE66" s="32">
        <v>0</v>
      </c>
      <c r="BF66" s="32">
        <f t="shared" si="21"/>
        <v>0</v>
      </c>
      <c r="BH66" s="32">
        <f t="shared" si="22"/>
        <v>0</v>
      </c>
      <c r="BI66" s="32">
        <f t="shared" si="23"/>
        <v>0</v>
      </c>
      <c r="BJ66" s="32">
        <f t="shared" si="24"/>
        <v>0</v>
      </c>
      <c r="BK66" s="32"/>
      <c r="BL66" s="32">
        <v>721</v>
      </c>
      <c r="BW66" s="32">
        <f t="shared" si="25"/>
        <v>21</v>
      </c>
      <c r="BX66" s="4" t="s">
        <v>180</v>
      </c>
    </row>
    <row r="67" spans="1:76" x14ac:dyDescent="0.25">
      <c r="A67" s="2" t="s">
        <v>181</v>
      </c>
      <c r="B67" s="3" t="s">
        <v>54</v>
      </c>
      <c r="C67" s="3" t="s">
        <v>182</v>
      </c>
      <c r="D67" s="95" t="s">
        <v>183</v>
      </c>
      <c r="E67" s="96"/>
      <c r="F67" s="3" t="s">
        <v>60</v>
      </c>
      <c r="G67" s="32">
        <v>1</v>
      </c>
      <c r="H67" s="89">
        <v>0</v>
      </c>
      <c r="I67" s="33">
        <v>21</v>
      </c>
      <c r="J67" s="32">
        <f t="shared" si="0"/>
        <v>0</v>
      </c>
      <c r="K67" s="32">
        <f t="shared" si="1"/>
        <v>0</v>
      </c>
      <c r="L67" s="32">
        <f t="shared" si="2"/>
        <v>0</v>
      </c>
      <c r="M67" s="32">
        <f t="shared" si="3"/>
        <v>0</v>
      </c>
      <c r="N67" s="34">
        <f>IF(L285=0,0,L67/L285)</f>
        <v>0</v>
      </c>
      <c r="O67" s="32">
        <v>0</v>
      </c>
      <c r="P67" s="32">
        <f t="shared" si="4"/>
        <v>0</v>
      </c>
      <c r="Q67" s="35"/>
      <c r="Z67" s="32">
        <f t="shared" si="5"/>
        <v>0</v>
      </c>
      <c r="AB67" s="32">
        <f t="shared" si="6"/>
        <v>0</v>
      </c>
      <c r="AC67" s="32">
        <f t="shared" si="7"/>
        <v>0</v>
      </c>
      <c r="AD67" s="32">
        <f t="shared" si="8"/>
        <v>0</v>
      </c>
      <c r="AE67" s="32">
        <f t="shared" si="9"/>
        <v>0</v>
      </c>
      <c r="AF67" s="32">
        <f t="shared" si="10"/>
        <v>0</v>
      </c>
      <c r="AG67" s="32">
        <f t="shared" si="11"/>
        <v>0</v>
      </c>
      <c r="AH67" s="32">
        <f t="shared" si="12"/>
        <v>0</v>
      </c>
      <c r="AI67" s="12" t="s">
        <v>54</v>
      </c>
      <c r="AJ67" s="32">
        <f t="shared" si="13"/>
        <v>0</v>
      </c>
      <c r="AK67" s="32">
        <f t="shared" si="14"/>
        <v>0</v>
      </c>
      <c r="AL67" s="32">
        <f t="shared" si="15"/>
        <v>0</v>
      </c>
      <c r="AN67" s="32">
        <v>21</v>
      </c>
      <c r="AO67" s="32">
        <f>H67*0.570459208</f>
        <v>0</v>
      </c>
      <c r="AP67" s="32">
        <f>H67*(1-0.570459208)</f>
        <v>0</v>
      </c>
      <c r="AQ67" s="36" t="s">
        <v>87</v>
      </c>
      <c r="AV67" s="32">
        <f t="shared" si="16"/>
        <v>0</v>
      </c>
      <c r="AW67" s="32">
        <f t="shared" si="17"/>
        <v>0</v>
      </c>
      <c r="AX67" s="32">
        <f t="shared" si="18"/>
        <v>0</v>
      </c>
      <c r="AY67" s="36" t="s">
        <v>144</v>
      </c>
      <c r="AZ67" s="36" t="s">
        <v>145</v>
      </c>
      <c r="BA67" s="12" t="s">
        <v>63</v>
      </c>
      <c r="BC67" s="32">
        <f t="shared" si="19"/>
        <v>0</v>
      </c>
      <c r="BD67" s="32">
        <f t="shared" si="20"/>
        <v>0</v>
      </c>
      <c r="BE67" s="32">
        <v>0</v>
      </c>
      <c r="BF67" s="32">
        <f t="shared" si="21"/>
        <v>0</v>
      </c>
      <c r="BH67" s="32">
        <f t="shared" si="22"/>
        <v>0</v>
      </c>
      <c r="BI67" s="32">
        <f t="shared" si="23"/>
        <v>0</v>
      </c>
      <c r="BJ67" s="32">
        <f t="shared" si="24"/>
        <v>0</v>
      </c>
      <c r="BK67" s="32"/>
      <c r="BL67" s="32">
        <v>721</v>
      </c>
      <c r="BW67" s="32">
        <f t="shared" si="25"/>
        <v>21</v>
      </c>
      <c r="BX67" s="4" t="s">
        <v>183</v>
      </c>
    </row>
    <row r="68" spans="1:76" x14ac:dyDescent="0.25">
      <c r="A68" s="2" t="s">
        <v>184</v>
      </c>
      <c r="B68" s="3" t="s">
        <v>54</v>
      </c>
      <c r="C68" s="3" t="s">
        <v>185</v>
      </c>
      <c r="D68" s="95" t="s">
        <v>186</v>
      </c>
      <c r="E68" s="96"/>
      <c r="F68" s="3" t="s">
        <v>60</v>
      </c>
      <c r="G68" s="32">
        <v>1</v>
      </c>
      <c r="H68" s="89">
        <v>0</v>
      </c>
      <c r="I68" s="33">
        <v>21</v>
      </c>
      <c r="J68" s="32">
        <f t="shared" si="0"/>
        <v>0</v>
      </c>
      <c r="K68" s="32">
        <f t="shared" si="1"/>
        <v>0</v>
      </c>
      <c r="L68" s="32">
        <f t="shared" si="2"/>
        <v>0</v>
      </c>
      <c r="M68" s="32">
        <f t="shared" si="3"/>
        <v>0</v>
      </c>
      <c r="N68" s="34">
        <f>IF(L285=0,0,L68/L285)</f>
        <v>0</v>
      </c>
      <c r="O68" s="32">
        <v>0</v>
      </c>
      <c r="P68" s="32">
        <f t="shared" si="4"/>
        <v>0</v>
      </c>
      <c r="Q68" s="35"/>
      <c r="Z68" s="32">
        <f t="shared" si="5"/>
        <v>0</v>
      </c>
      <c r="AB68" s="32">
        <f t="shared" si="6"/>
        <v>0</v>
      </c>
      <c r="AC68" s="32">
        <f t="shared" si="7"/>
        <v>0</v>
      </c>
      <c r="AD68" s="32">
        <f t="shared" si="8"/>
        <v>0</v>
      </c>
      <c r="AE68" s="32">
        <f t="shared" si="9"/>
        <v>0</v>
      </c>
      <c r="AF68" s="32">
        <f t="shared" si="10"/>
        <v>0</v>
      </c>
      <c r="AG68" s="32">
        <f t="shared" si="11"/>
        <v>0</v>
      </c>
      <c r="AH68" s="32">
        <f t="shared" si="12"/>
        <v>0</v>
      </c>
      <c r="AI68" s="12" t="s">
        <v>54</v>
      </c>
      <c r="AJ68" s="32">
        <f t="shared" si="13"/>
        <v>0</v>
      </c>
      <c r="AK68" s="32">
        <f t="shared" si="14"/>
        <v>0</v>
      </c>
      <c r="AL68" s="32">
        <f t="shared" si="15"/>
        <v>0</v>
      </c>
      <c r="AN68" s="32">
        <v>21</v>
      </c>
      <c r="AO68" s="32">
        <f>H68*0.625944757</f>
        <v>0</v>
      </c>
      <c r="AP68" s="32">
        <f>H68*(1-0.625944757)</f>
        <v>0</v>
      </c>
      <c r="AQ68" s="36" t="s">
        <v>87</v>
      </c>
      <c r="AV68" s="32">
        <f t="shared" si="16"/>
        <v>0</v>
      </c>
      <c r="AW68" s="32">
        <f t="shared" si="17"/>
        <v>0</v>
      </c>
      <c r="AX68" s="32">
        <f t="shared" si="18"/>
        <v>0</v>
      </c>
      <c r="AY68" s="36" t="s">
        <v>144</v>
      </c>
      <c r="AZ68" s="36" t="s">
        <v>145</v>
      </c>
      <c r="BA68" s="12" t="s">
        <v>63</v>
      </c>
      <c r="BC68" s="32">
        <f t="shared" si="19"/>
        <v>0</v>
      </c>
      <c r="BD68" s="32">
        <f t="shared" si="20"/>
        <v>0</v>
      </c>
      <c r="BE68" s="32">
        <v>0</v>
      </c>
      <c r="BF68" s="32">
        <f t="shared" si="21"/>
        <v>0</v>
      </c>
      <c r="BH68" s="32">
        <f t="shared" si="22"/>
        <v>0</v>
      </c>
      <c r="BI68" s="32">
        <f t="shared" si="23"/>
        <v>0</v>
      </c>
      <c r="BJ68" s="32">
        <f t="shared" si="24"/>
        <v>0</v>
      </c>
      <c r="BK68" s="32"/>
      <c r="BL68" s="32">
        <v>721</v>
      </c>
      <c r="BW68" s="32">
        <f t="shared" si="25"/>
        <v>21</v>
      </c>
      <c r="BX68" s="4" t="s">
        <v>186</v>
      </c>
    </row>
    <row r="69" spans="1:76" x14ac:dyDescent="0.25">
      <c r="A69" s="2" t="s">
        <v>70</v>
      </c>
      <c r="B69" s="3" t="s">
        <v>54</v>
      </c>
      <c r="C69" s="3" t="s">
        <v>187</v>
      </c>
      <c r="D69" s="95" t="s">
        <v>188</v>
      </c>
      <c r="E69" s="96"/>
      <c r="F69" s="3" t="s">
        <v>60</v>
      </c>
      <c r="G69" s="32">
        <v>1</v>
      </c>
      <c r="H69" s="89">
        <v>0</v>
      </c>
      <c r="I69" s="33">
        <v>21</v>
      </c>
      <c r="J69" s="32">
        <f t="shared" si="0"/>
        <v>0</v>
      </c>
      <c r="K69" s="32">
        <f t="shared" si="1"/>
        <v>0</v>
      </c>
      <c r="L69" s="32">
        <f t="shared" si="2"/>
        <v>0</v>
      </c>
      <c r="M69" s="32">
        <f t="shared" si="3"/>
        <v>0</v>
      </c>
      <c r="N69" s="34">
        <f>IF(L285=0,0,L69/L285)</f>
        <v>0</v>
      </c>
      <c r="O69" s="32">
        <v>0</v>
      </c>
      <c r="P69" s="32">
        <f t="shared" si="4"/>
        <v>0</v>
      </c>
      <c r="Q69" s="35"/>
      <c r="Z69" s="32">
        <f t="shared" si="5"/>
        <v>0</v>
      </c>
      <c r="AB69" s="32">
        <f t="shared" si="6"/>
        <v>0</v>
      </c>
      <c r="AC69" s="32">
        <f t="shared" si="7"/>
        <v>0</v>
      </c>
      <c r="AD69" s="32">
        <f t="shared" si="8"/>
        <v>0</v>
      </c>
      <c r="AE69" s="32">
        <f t="shared" si="9"/>
        <v>0</v>
      </c>
      <c r="AF69" s="32">
        <f t="shared" si="10"/>
        <v>0</v>
      </c>
      <c r="AG69" s="32">
        <f t="shared" si="11"/>
        <v>0</v>
      </c>
      <c r="AH69" s="32">
        <f t="shared" si="12"/>
        <v>0</v>
      </c>
      <c r="AI69" s="12" t="s">
        <v>54</v>
      </c>
      <c r="AJ69" s="32">
        <f t="shared" si="13"/>
        <v>0</v>
      </c>
      <c r="AK69" s="32">
        <f t="shared" si="14"/>
        <v>0</v>
      </c>
      <c r="AL69" s="32">
        <f t="shared" si="15"/>
        <v>0</v>
      </c>
      <c r="AN69" s="32">
        <v>21</v>
      </c>
      <c r="AO69" s="32">
        <f>H69*0.679274184</f>
        <v>0</v>
      </c>
      <c r="AP69" s="32">
        <f>H69*(1-0.679274184)</f>
        <v>0</v>
      </c>
      <c r="AQ69" s="36" t="s">
        <v>87</v>
      </c>
      <c r="AV69" s="32">
        <f t="shared" si="16"/>
        <v>0</v>
      </c>
      <c r="AW69" s="32">
        <f t="shared" si="17"/>
        <v>0</v>
      </c>
      <c r="AX69" s="32">
        <f t="shared" si="18"/>
        <v>0</v>
      </c>
      <c r="AY69" s="36" t="s">
        <v>144</v>
      </c>
      <c r="AZ69" s="36" t="s">
        <v>145</v>
      </c>
      <c r="BA69" s="12" t="s">
        <v>63</v>
      </c>
      <c r="BC69" s="32">
        <f t="shared" si="19"/>
        <v>0</v>
      </c>
      <c r="BD69" s="32">
        <f t="shared" si="20"/>
        <v>0</v>
      </c>
      <c r="BE69" s="32">
        <v>0</v>
      </c>
      <c r="BF69" s="32">
        <f t="shared" si="21"/>
        <v>0</v>
      </c>
      <c r="BH69" s="32">
        <f t="shared" si="22"/>
        <v>0</v>
      </c>
      <c r="BI69" s="32">
        <f t="shared" si="23"/>
        <v>0</v>
      </c>
      <c r="BJ69" s="32">
        <f t="shared" si="24"/>
        <v>0</v>
      </c>
      <c r="BK69" s="32"/>
      <c r="BL69" s="32">
        <v>721</v>
      </c>
      <c r="BW69" s="32">
        <f t="shared" si="25"/>
        <v>21</v>
      </c>
      <c r="BX69" s="4" t="s">
        <v>188</v>
      </c>
    </row>
    <row r="70" spans="1:76" x14ac:dyDescent="0.25">
      <c r="A70" s="2" t="s">
        <v>189</v>
      </c>
      <c r="B70" s="3" t="s">
        <v>54</v>
      </c>
      <c r="C70" s="3" t="s">
        <v>190</v>
      </c>
      <c r="D70" s="95" t="s">
        <v>191</v>
      </c>
      <c r="E70" s="96"/>
      <c r="F70" s="3" t="s">
        <v>60</v>
      </c>
      <c r="G70" s="32">
        <v>1</v>
      </c>
      <c r="H70" s="89">
        <v>0</v>
      </c>
      <c r="I70" s="33">
        <v>21</v>
      </c>
      <c r="J70" s="32">
        <f t="shared" si="0"/>
        <v>0</v>
      </c>
      <c r="K70" s="32">
        <f t="shared" si="1"/>
        <v>0</v>
      </c>
      <c r="L70" s="32">
        <f t="shared" si="2"/>
        <v>0</v>
      </c>
      <c r="M70" s="32">
        <f t="shared" si="3"/>
        <v>0</v>
      </c>
      <c r="N70" s="34">
        <f>IF(L285=0,0,L70/L285)</f>
        <v>0</v>
      </c>
      <c r="O70" s="32">
        <v>0</v>
      </c>
      <c r="P70" s="32">
        <f t="shared" si="4"/>
        <v>0</v>
      </c>
      <c r="Q70" s="35"/>
      <c r="Z70" s="32">
        <f t="shared" si="5"/>
        <v>0</v>
      </c>
      <c r="AB70" s="32">
        <f t="shared" si="6"/>
        <v>0</v>
      </c>
      <c r="AC70" s="32">
        <f t="shared" si="7"/>
        <v>0</v>
      </c>
      <c r="AD70" s="32">
        <f t="shared" si="8"/>
        <v>0</v>
      </c>
      <c r="AE70" s="32">
        <f t="shared" si="9"/>
        <v>0</v>
      </c>
      <c r="AF70" s="32">
        <f t="shared" si="10"/>
        <v>0</v>
      </c>
      <c r="AG70" s="32">
        <f t="shared" si="11"/>
        <v>0</v>
      </c>
      <c r="AH70" s="32">
        <f t="shared" si="12"/>
        <v>0</v>
      </c>
      <c r="AI70" s="12" t="s">
        <v>54</v>
      </c>
      <c r="AJ70" s="32">
        <f t="shared" si="13"/>
        <v>0</v>
      </c>
      <c r="AK70" s="32">
        <f t="shared" si="14"/>
        <v>0</v>
      </c>
      <c r="AL70" s="32">
        <f t="shared" si="15"/>
        <v>0</v>
      </c>
      <c r="AN70" s="32">
        <v>21</v>
      </c>
      <c r="AO70" s="32">
        <f>H70*0.679274184</f>
        <v>0</v>
      </c>
      <c r="AP70" s="32">
        <f>H70*(1-0.679274184)</f>
        <v>0</v>
      </c>
      <c r="AQ70" s="36" t="s">
        <v>87</v>
      </c>
      <c r="AV70" s="32">
        <f t="shared" si="16"/>
        <v>0</v>
      </c>
      <c r="AW70" s="32">
        <f t="shared" si="17"/>
        <v>0</v>
      </c>
      <c r="AX70" s="32">
        <f t="shared" si="18"/>
        <v>0</v>
      </c>
      <c r="AY70" s="36" t="s">
        <v>144</v>
      </c>
      <c r="AZ70" s="36" t="s">
        <v>145</v>
      </c>
      <c r="BA70" s="12" t="s">
        <v>63</v>
      </c>
      <c r="BC70" s="32">
        <f t="shared" si="19"/>
        <v>0</v>
      </c>
      <c r="BD70" s="32">
        <f t="shared" si="20"/>
        <v>0</v>
      </c>
      <c r="BE70" s="32">
        <v>0</v>
      </c>
      <c r="BF70" s="32">
        <f t="shared" si="21"/>
        <v>0</v>
      </c>
      <c r="BH70" s="32">
        <f t="shared" si="22"/>
        <v>0</v>
      </c>
      <c r="BI70" s="32">
        <f t="shared" si="23"/>
        <v>0</v>
      </c>
      <c r="BJ70" s="32">
        <f t="shared" si="24"/>
        <v>0</v>
      </c>
      <c r="BK70" s="32"/>
      <c r="BL70" s="32">
        <v>721</v>
      </c>
      <c r="BW70" s="32">
        <f t="shared" si="25"/>
        <v>21</v>
      </c>
      <c r="BX70" s="4" t="s">
        <v>191</v>
      </c>
    </row>
    <row r="71" spans="1:76" x14ac:dyDescent="0.25">
      <c r="A71" s="2" t="s">
        <v>192</v>
      </c>
      <c r="B71" s="3" t="s">
        <v>54</v>
      </c>
      <c r="C71" s="3" t="s">
        <v>193</v>
      </c>
      <c r="D71" s="95" t="s">
        <v>194</v>
      </c>
      <c r="E71" s="96"/>
      <c r="F71" s="3" t="s">
        <v>60</v>
      </c>
      <c r="G71" s="32">
        <v>20</v>
      </c>
      <c r="H71" s="89">
        <v>0</v>
      </c>
      <c r="I71" s="33">
        <v>21</v>
      </c>
      <c r="J71" s="32">
        <f t="shared" si="0"/>
        <v>0</v>
      </c>
      <c r="K71" s="32">
        <f t="shared" si="1"/>
        <v>0</v>
      </c>
      <c r="L71" s="32">
        <f t="shared" si="2"/>
        <v>0</v>
      </c>
      <c r="M71" s="32">
        <f t="shared" si="3"/>
        <v>0</v>
      </c>
      <c r="N71" s="34">
        <f>IF(L285=0,0,L71/L285)</f>
        <v>0</v>
      </c>
      <c r="O71" s="32">
        <v>0</v>
      </c>
      <c r="P71" s="32">
        <f t="shared" si="4"/>
        <v>0</v>
      </c>
      <c r="Q71" s="35"/>
      <c r="Z71" s="32">
        <f t="shared" si="5"/>
        <v>0</v>
      </c>
      <c r="AB71" s="32">
        <f t="shared" si="6"/>
        <v>0</v>
      </c>
      <c r="AC71" s="32">
        <f t="shared" si="7"/>
        <v>0</v>
      </c>
      <c r="AD71" s="32">
        <f t="shared" si="8"/>
        <v>0</v>
      </c>
      <c r="AE71" s="32">
        <f t="shared" si="9"/>
        <v>0</v>
      </c>
      <c r="AF71" s="32">
        <f t="shared" si="10"/>
        <v>0</v>
      </c>
      <c r="AG71" s="32">
        <f t="shared" si="11"/>
        <v>0</v>
      </c>
      <c r="AH71" s="32">
        <f t="shared" si="12"/>
        <v>0</v>
      </c>
      <c r="AI71" s="12" t="s">
        <v>54</v>
      </c>
      <c r="AJ71" s="32">
        <f t="shared" si="13"/>
        <v>0</v>
      </c>
      <c r="AK71" s="32">
        <f t="shared" si="14"/>
        <v>0</v>
      </c>
      <c r="AL71" s="32">
        <f t="shared" si="15"/>
        <v>0</v>
      </c>
      <c r="AN71" s="32">
        <v>21</v>
      </c>
      <c r="AO71" s="32">
        <f>H71*0.701845665</f>
        <v>0</v>
      </c>
      <c r="AP71" s="32">
        <f>H71*(1-0.701845665)</f>
        <v>0</v>
      </c>
      <c r="AQ71" s="36" t="s">
        <v>87</v>
      </c>
      <c r="AV71" s="32">
        <f t="shared" si="16"/>
        <v>0</v>
      </c>
      <c r="AW71" s="32">
        <f t="shared" si="17"/>
        <v>0</v>
      </c>
      <c r="AX71" s="32">
        <f t="shared" si="18"/>
        <v>0</v>
      </c>
      <c r="AY71" s="36" t="s">
        <v>144</v>
      </c>
      <c r="AZ71" s="36" t="s">
        <v>145</v>
      </c>
      <c r="BA71" s="12" t="s">
        <v>63</v>
      </c>
      <c r="BC71" s="32">
        <f t="shared" si="19"/>
        <v>0</v>
      </c>
      <c r="BD71" s="32">
        <f t="shared" si="20"/>
        <v>0</v>
      </c>
      <c r="BE71" s="32">
        <v>0</v>
      </c>
      <c r="BF71" s="32">
        <f t="shared" si="21"/>
        <v>0</v>
      </c>
      <c r="BH71" s="32">
        <f t="shared" si="22"/>
        <v>0</v>
      </c>
      <c r="BI71" s="32">
        <f t="shared" si="23"/>
        <v>0</v>
      </c>
      <c r="BJ71" s="32">
        <f t="shared" si="24"/>
        <v>0</v>
      </c>
      <c r="BK71" s="32"/>
      <c r="BL71" s="32">
        <v>721</v>
      </c>
      <c r="BW71" s="32">
        <f t="shared" si="25"/>
        <v>21</v>
      </c>
      <c r="BX71" s="4" t="s">
        <v>194</v>
      </c>
    </row>
    <row r="72" spans="1:76" x14ac:dyDescent="0.25">
      <c r="A72" s="2" t="s">
        <v>195</v>
      </c>
      <c r="B72" s="3" t="s">
        <v>54</v>
      </c>
      <c r="C72" s="3" t="s">
        <v>196</v>
      </c>
      <c r="D72" s="95" t="s">
        <v>197</v>
      </c>
      <c r="E72" s="96"/>
      <c r="F72" s="3" t="s">
        <v>60</v>
      </c>
      <c r="G72" s="32">
        <v>11</v>
      </c>
      <c r="H72" s="89">
        <v>0</v>
      </c>
      <c r="I72" s="33">
        <v>21</v>
      </c>
      <c r="J72" s="32">
        <f t="shared" si="0"/>
        <v>0</v>
      </c>
      <c r="K72" s="32">
        <f t="shared" si="1"/>
        <v>0</v>
      </c>
      <c r="L72" s="32">
        <f t="shared" si="2"/>
        <v>0</v>
      </c>
      <c r="M72" s="32">
        <f t="shared" si="3"/>
        <v>0</v>
      </c>
      <c r="N72" s="34">
        <f>IF(L285=0,0,L72/L285)</f>
        <v>0</v>
      </c>
      <c r="O72" s="32">
        <v>0</v>
      </c>
      <c r="P72" s="32">
        <f t="shared" si="4"/>
        <v>0</v>
      </c>
      <c r="Q72" s="35"/>
      <c r="Z72" s="32">
        <f t="shared" si="5"/>
        <v>0</v>
      </c>
      <c r="AB72" s="32">
        <f t="shared" si="6"/>
        <v>0</v>
      </c>
      <c r="AC72" s="32">
        <f t="shared" si="7"/>
        <v>0</v>
      </c>
      <c r="AD72" s="32">
        <f t="shared" si="8"/>
        <v>0</v>
      </c>
      <c r="AE72" s="32">
        <f t="shared" si="9"/>
        <v>0</v>
      </c>
      <c r="AF72" s="32">
        <f t="shared" si="10"/>
        <v>0</v>
      </c>
      <c r="AG72" s="32">
        <f t="shared" si="11"/>
        <v>0</v>
      </c>
      <c r="AH72" s="32">
        <f t="shared" si="12"/>
        <v>0</v>
      </c>
      <c r="AI72" s="12" t="s">
        <v>54</v>
      </c>
      <c r="AJ72" s="32">
        <f t="shared" si="13"/>
        <v>0</v>
      </c>
      <c r="AK72" s="32">
        <f t="shared" si="14"/>
        <v>0</v>
      </c>
      <c r="AL72" s="32">
        <f t="shared" si="15"/>
        <v>0</v>
      </c>
      <c r="AN72" s="32">
        <v>21</v>
      </c>
      <c r="AO72" s="32">
        <f>H72*0.701845665</f>
        <v>0</v>
      </c>
      <c r="AP72" s="32">
        <f>H72*(1-0.701845665)</f>
        <v>0</v>
      </c>
      <c r="AQ72" s="36" t="s">
        <v>87</v>
      </c>
      <c r="AV72" s="32">
        <f t="shared" si="16"/>
        <v>0</v>
      </c>
      <c r="AW72" s="32">
        <f t="shared" si="17"/>
        <v>0</v>
      </c>
      <c r="AX72" s="32">
        <f t="shared" si="18"/>
        <v>0</v>
      </c>
      <c r="AY72" s="36" t="s">
        <v>144</v>
      </c>
      <c r="AZ72" s="36" t="s">
        <v>145</v>
      </c>
      <c r="BA72" s="12" t="s">
        <v>63</v>
      </c>
      <c r="BC72" s="32">
        <f t="shared" si="19"/>
        <v>0</v>
      </c>
      <c r="BD72" s="32">
        <f t="shared" si="20"/>
        <v>0</v>
      </c>
      <c r="BE72" s="32">
        <v>0</v>
      </c>
      <c r="BF72" s="32">
        <f t="shared" si="21"/>
        <v>0</v>
      </c>
      <c r="BH72" s="32">
        <f t="shared" si="22"/>
        <v>0</v>
      </c>
      <c r="BI72" s="32">
        <f t="shared" si="23"/>
        <v>0</v>
      </c>
      <c r="BJ72" s="32">
        <f t="shared" si="24"/>
        <v>0</v>
      </c>
      <c r="BK72" s="32"/>
      <c r="BL72" s="32">
        <v>721</v>
      </c>
      <c r="BW72" s="32">
        <f t="shared" si="25"/>
        <v>21</v>
      </c>
      <c r="BX72" s="4" t="s">
        <v>197</v>
      </c>
    </row>
    <row r="73" spans="1:76" x14ac:dyDescent="0.25">
      <c r="A73" s="2" t="s">
        <v>198</v>
      </c>
      <c r="B73" s="3" t="s">
        <v>54</v>
      </c>
      <c r="C73" s="3" t="s">
        <v>199</v>
      </c>
      <c r="D73" s="95" t="s">
        <v>200</v>
      </c>
      <c r="E73" s="96"/>
      <c r="F73" s="3" t="s">
        <v>60</v>
      </c>
      <c r="G73" s="32">
        <v>2</v>
      </c>
      <c r="H73" s="89">
        <v>0</v>
      </c>
      <c r="I73" s="33">
        <v>21</v>
      </c>
      <c r="J73" s="32">
        <f t="shared" si="0"/>
        <v>0</v>
      </c>
      <c r="K73" s="32">
        <f t="shared" si="1"/>
        <v>0</v>
      </c>
      <c r="L73" s="32">
        <f t="shared" si="2"/>
        <v>0</v>
      </c>
      <c r="M73" s="32">
        <f t="shared" si="3"/>
        <v>0</v>
      </c>
      <c r="N73" s="34">
        <f>IF(L285=0,0,L73/L285)</f>
        <v>0</v>
      </c>
      <c r="O73" s="32">
        <v>0</v>
      </c>
      <c r="P73" s="32">
        <f t="shared" si="4"/>
        <v>0</v>
      </c>
      <c r="Q73" s="35"/>
      <c r="Z73" s="32">
        <f t="shared" si="5"/>
        <v>0</v>
      </c>
      <c r="AB73" s="32">
        <f t="shared" si="6"/>
        <v>0</v>
      </c>
      <c r="AC73" s="32">
        <f t="shared" si="7"/>
        <v>0</v>
      </c>
      <c r="AD73" s="32">
        <f t="shared" si="8"/>
        <v>0</v>
      </c>
      <c r="AE73" s="32">
        <f t="shared" si="9"/>
        <v>0</v>
      </c>
      <c r="AF73" s="32">
        <f t="shared" si="10"/>
        <v>0</v>
      </c>
      <c r="AG73" s="32">
        <f t="shared" si="11"/>
        <v>0</v>
      </c>
      <c r="AH73" s="32">
        <f t="shared" si="12"/>
        <v>0</v>
      </c>
      <c r="AI73" s="12" t="s">
        <v>54</v>
      </c>
      <c r="AJ73" s="32">
        <f t="shared" si="13"/>
        <v>0</v>
      </c>
      <c r="AK73" s="32">
        <f t="shared" si="14"/>
        <v>0</v>
      </c>
      <c r="AL73" s="32">
        <f t="shared" si="15"/>
        <v>0</v>
      </c>
      <c r="AN73" s="32">
        <v>21</v>
      </c>
      <c r="AO73" s="32">
        <f>H73*0.468956867</f>
        <v>0</v>
      </c>
      <c r="AP73" s="32">
        <f>H73*(1-0.468956867)</f>
        <v>0</v>
      </c>
      <c r="AQ73" s="36" t="s">
        <v>87</v>
      </c>
      <c r="AV73" s="32">
        <f t="shared" si="16"/>
        <v>0</v>
      </c>
      <c r="AW73" s="32">
        <f t="shared" si="17"/>
        <v>0</v>
      </c>
      <c r="AX73" s="32">
        <f t="shared" si="18"/>
        <v>0</v>
      </c>
      <c r="AY73" s="36" t="s">
        <v>144</v>
      </c>
      <c r="AZ73" s="36" t="s">
        <v>145</v>
      </c>
      <c r="BA73" s="12" t="s">
        <v>63</v>
      </c>
      <c r="BC73" s="32">
        <f t="shared" si="19"/>
        <v>0</v>
      </c>
      <c r="BD73" s="32">
        <f t="shared" si="20"/>
        <v>0</v>
      </c>
      <c r="BE73" s="32">
        <v>0</v>
      </c>
      <c r="BF73" s="32">
        <f t="shared" si="21"/>
        <v>0</v>
      </c>
      <c r="BH73" s="32">
        <f t="shared" si="22"/>
        <v>0</v>
      </c>
      <c r="BI73" s="32">
        <f t="shared" si="23"/>
        <v>0</v>
      </c>
      <c r="BJ73" s="32">
        <f t="shared" si="24"/>
        <v>0</v>
      </c>
      <c r="BK73" s="32"/>
      <c r="BL73" s="32">
        <v>721</v>
      </c>
      <c r="BW73" s="32">
        <f t="shared" si="25"/>
        <v>21</v>
      </c>
      <c r="BX73" s="4" t="s">
        <v>200</v>
      </c>
    </row>
    <row r="74" spans="1:76" x14ac:dyDescent="0.25">
      <c r="A74" s="2" t="s">
        <v>201</v>
      </c>
      <c r="B74" s="3" t="s">
        <v>54</v>
      </c>
      <c r="C74" s="3" t="s">
        <v>202</v>
      </c>
      <c r="D74" s="95" t="s">
        <v>203</v>
      </c>
      <c r="E74" s="96"/>
      <c r="F74" s="3" t="s">
        <v>60</v>
      </c>
      <c r="G74" s="32">
        <v>3</v>
      </c>
      <c r="H74" s="89">
        <v>0</v>
      </c>
      <c r="I74" s="33">
        <v>21</v>
      </c>
      <c r="J74" s="32">
        <f t="shared" si="0"/>
        <v>0</v>
      </c>
      <c r="K74" s="32">
        <f t="shared" si="1"/>
        <v>0</v>
      </c>
      <c r="L74" s="32">
        <f t="shared" si="2"/>
        <v>0</v>
      </c>
      <c r="M74" s="32">
        <f t="shared" si="3"/>
        <v>0</v>
      </c>
      <c r="N74" s="34">
        <f>IF(L285=0,0,L74/L285)</f>
        <v>0</v>
      </c>
      <c r="O74" s="32">
        <v>0</v>
      </c>
      <c r="P74" s="32">
        <f t="shared" si="4"/>
        <v>0</v>
      </c>
      <c r="Q74" s="35"/>
      <c r="Z74" s="32">
        <f t="shared" si="5"/>
        <v>0</v>
      </c>
      <c r="AB74" s="32">
        <f t="shared" si="6"/>
        <v>0</v>
      </c>
      <c r="AC74" s="32">
        <f t="shared" si="7"/>
        <v>0</v>
      </c>
      <c r="AD74" s="32">
        <f t="shared" si="8"/>
        <v>0</v>
      </c>
      <c r="AE74" s="32">
        <f t="shared" si="9"/>
        <v>0</v>
      </c>
      <c r="AF74" s="32">
        <f t="shared" si="10"/>
        <v>0</v>
      </c>
      <c r="AG74" s="32">
        <f t="shared" si="11"/>
        <v>0</v>
      </c>
      <c r="AH74" s="32">
        <f t="shared" si="12"/>
        <v>0</v>
      </c>
      <c r="AI74" s="12" t="s">
        <v>54</v>
      </c>
      <c r="AJ74" s="32">
        <f t="shared" si="13"/>
        <v>0</v>
      </c>
      <c r="AK74" s="32">
        <f t="shared" si="14"/>
        <v>0</v>
      </c>
      <c r="AL74" s="32">
        <f t="shared" si="15"/>
        <v>0</v>
      </c>
      <c r="AN74" s="32">
        <v>21</v>
      </c>
      <c r="AO74" s="32">
        <f>H74*0.614536442</f>
        <v>0</v>
      </c>
      <c r="AP74" s="32">
        <f>H74*(1-0.614536442)</f>
        <v>0</v>
      </c>
      <c r="AQ74" s="36" t="s">
        <v>87</v>
      </c>
      <c r="AV74" s="32">
        <f t="shared" si="16"/>
        <v>0</v>
      </c>
      <c r="AW74" s="32">
        <f t="shared" si="17"/>
        <v>0</v>
      </c>
      <c r="AX74" s="32">
        <f t="shared" si="18"/>
        <v>0</v>
      </c>
      <c r="AY74" s="36" t="s">
        <v>144</v>
      </c>
      <c r="AZ74" s="36" t="s">
        <v>145</v>
      </c>
      <c r="BA74" s="12" t="s">
        <v>63</v>
      </c>
      <c r="BC74" s="32">
        <f t="shared" si="19"/>
        <v>0</v>
      </c>
      <c r="BD74" s="32">
        <f t="shared" si="20"/>
        <v>0</v>
      </c>
      <c r="BE74" s="32">
        <v>0</v>
      </c>
      <c r="BF74" s="32">
        <f t="shared" si="21"/>
        <v>0</v>
      </c>
      <c r="BH74" s="32">
        <f t="shared" si="22"/>
        <v>0</v>
      </c>
      <c r="BI74" s="32">
        <f t="shared" si="23"/>
        <v>0</v>
      </c>
      <c r="BJ74" s="32">
        <f t="shared" si="24"/>
        <v>0</v>
      </c>
      <c r="BK74" s="32"/>
      <c r="BL74" s="32">
        <v>721</v>
      </c>
      <c r="BW74" s="32">
        <f t="shared" si="25"/>
        <v>21</v>
      </c>
      <c r="BX74" s="4" t="s">
        <v>203</v>
      </c>
    </row>
    <row r="75" spans="1:76" x14ac:dyDescent="0.25">
      <c r="A75" s="2" t="s">
        <v>204</v>
      </c>
      <c r="B75" s="3" t="s">
        <v>54</v>
      </c>
      <c r="C75" s="3" t="s">
        <v>205</v>
      </c>
      <c r="D75" s="95" t="s">
        <v>206</v>
      </c>
      <c r="E75" s="96"/>
      <c r="F75" s="3" t="s">
        <v>60</v>
      </c>
      <c r="G75" s="32">
        <v>3</v>
      </c>
      <c r="H75" s="89">
        <v>0</v>
      </c>
      <c r="I75" s="33">
        <v>21</v>
      </c>
      <c r="J75" s="32">
        <f t="shared" si="0"/>
        <v>0</v>
      </c>
      <c r="K75" s="32">
        <f t="shared" si="1"/>
        <v>0</v>
      </c>
      <c r="L75" s="32">
        <f t="shared" si="2"/>
        <v>0</v>
      </c>
      <c r="M75" s="32">
        <f t="shared" si="3"/>
        <v>0</v>
      </c>
      <c r="N75" s="34">
        <f>IF(L285=0,0,L75/L285)</f>
        <v>0</v>
      </c>
      <c r="O75" s="32">
        <v>0</v>
      </c>
      <c r="P75" s="32">
        <f t="shared" si="4"/>
        <v>0</v>
      </c>
      <c r="Q75" s="35"/>
      <c r="Z75" s="32">
        <f t="shared" si="5"/>
        <v>0</v>
      </c>
      <c r="AB75" s="32">
        <f t="shared" si="6"/>
        <v>0</v>
      </c>
      <c r="AC75" s="32">
        <f t="shared" si="7"/>
        <v>0</v>
      </c>
      <c r="AD75" s="32">
        <f t="shared" si="8"/>
        <v>0</v>
      </c>
      <c r="AE75" s="32">
        <f t="shared" si="9"/>
        <v>0</v>
      </c>
      <c r="AF75" s="32">
        <f t="shared" si="10"/>
        <v>0</v>
      </c>
      <c r="AG75" s="32">
        <f t="shared" si="11"/>
        <v>0</v>
      </c>
      <c r="AH75" s="32">
        <f t="shared" si="12"/>
        <v>0</v>
      </c>
      <c r="AI75" s="12" t="s">
        <v>54</v>
      </c>
      <c r="AJ75" s="32">
        <f t="shared" si="13"/>
        <v>0</v>
      </c>
      <c r="AK75" s="32">
        <f t="shared" si="14"/>
        <v>0</v>
      </c>
      <c r="AL75" s="32">
        <f t="shared" si="15"/>
        <v>0</v>
      </c>
      <c r="AN75" s="32">
        <v>21</v>
      </c>
      <c r="AO75" s="32">
        <f>H75*0.614536442</f>
        <v>0</v>
      </c>
      <c r="AP75" s="32">
        <f>H75*(1-0.614536442)</f>
        <v>0</v>
      </c>
      <c r="AQ75" s="36" t="s">
        <v>87</v>
      </c>
      <c r="AV75" s="32">
        <f t="shared" si="16"/>
        <v>0</v>
      </c>
      <c r="AW75" s="32">
        <f t="shared" si="17"/>
        <v>0</v>
      </c>
      <c r="AX75" s="32">
        <f t="shared" si="18"/>
        <v>0</v>
      </c>
      <c r="AY75" s="36" t="s">
        <v>144</v>
      </c>
      <c r="AZ75" s="36" t="s">
        <v>145</v>
      </c>
      <c r="BA75" s="12" t="s">
        <v>63</v>
      </c>
      <c r="BC75" s="32">
        <f t="shared" si="19"/>
        <v>0</v>
      </c>
      <c r="BD75" s="32">
        <f t="shared" si="20"/>
        <v>0</v>
      </c>
      <c r="BE75" s="32">
        <v>0</v>
      </c>
      <c r="BF75" s="32">
        <f t="shared" si="21"/>
        <v>0</v>
      </c>
      <c r="BH75" s="32">
        <f t="shared" si="22"/>
        <v>0</v>
      </c>
      <c r="BI75" s="32">
        <f t="shared" si="23"/>
        <v>0</v>
      </c>
      <c r="BJ75" s="32">
        <f t="shared" si="24"/>
        <v>0</v>
      </c>
      <c r="BK75" s="32"/>
      <c r="BL75" s="32">
        <v>721</v>
      </c>
      <c r="BW75" s="32">
        <f t="shared" si="25"/>
        <v>21</v>
      </c>
      <c r="BX75" s="4" t="s">
        <v>206</v>
      </c>
    </row>
    <row r="76" spans="1:76" x14ac:dyDescent="0.25">
      <c r="A76" s="2" t="s">
        <v>207</v>
      </c>
      <c r="B76" s="3" t="s">
        <v>54</v>
      </c>
      <c r="C76" s="3" t="s">
        <v>208</v>
      </c>
      <c r="D76" s="95" t="s">
        <v>209</v>
      </c>
      <c r="E76" s="96"/>
      <c r="F76" s="3" t="s">
        <v>60</v>
      </c>
      <c r="G76" s="32">
        <v>1</v>
      </c>
      <c r="H76" s="89">
        <v>0</v>
      </c>
      <c r="I76" s="33">
        <v>21</v>
      </c>
      <c r="J76" s="32">
        <f t="shared" si="0"/>
        <v>0</v>
      </c>
      <c r="K76" s="32">
        <f t="shared" si="1"/>
        <v>0</v>
      </c>
      <c r="L76" s="32">
        <f t="shared" si="2"/>
        <v>0</v>
      </c>
      <c r="M76" s="32">
        <f t="shared" si="3"/>
        <v>0</v>
      </c>
      <c r="N76" s="34">
        <f>IF(L285=0,0,L76/L285)</f>
        <v>0</v>
      </c>
      <c r="O76" s="32">
        <v>5.0000000000000001E-3</v>
      </c>
      <c r="P76" s="32">
        <f t="shared" si="4"/>
        <v>5.0000000000000001E-3</v>
      </c>
      <c r="Q76" s="35"/>
      <c r="Z76" s="32">
        <f t="shared" si="5"/>
        <v>0</v>
      </c>
      <c r="AB76" s="32">
        <f t="shared" si="6"/>
        <v>0</v>
      </c>
      <c r="AC76" s="32">
        <f t="shared" si="7"/>
        <v>0</v>
      </c>
      <c r="AD76" s="32">
        <f t="shared" si="8"/>
        <v>0</v>
      </c>
      <c r="AE76" s="32">
        <f t="shared" si="9"/>
        <v>0</v>
      </c>
      <c r="AF76" s="32">
        <f t="shared" si="10"/>
        <v>0</v>
      </c>
      <c r="AG76" s="32">
        <f t="shared" si="11"/>
        <v>0</v>
      </c>
      <c r="AH76" s="32">
        <f t="shared" si="12"/>
        <v>0</v>
      </c>
      <c r="AI76" s="12" t="s">
        <v>54</v>
      </c>
      <c r="AJ76" s="32">
        <f t="shared" si="13"/>
        <v>0</v>
      </c>
      <c r="AK76" s="32">
        <f t="shared" si="14"/>
        <v>0</v>
      </c>
      <c r="AL76" s="32">
        <f t="shared" si="15"/>
        <v>0</v>
      </c>
      <c r="AN76" s="32">
        <v>21</v>
      </c>
      <c r="AO76" s="32">
        <f>H76*0.96077027</f>
        <v>0</v>
      </c>
      <c r="AP76" s="32">
        <f>H76*(1-0.96077027)</f>
        <v>0</v>
      </c>
      <c r="AQ76" s="36" t="s">
        <v>87</v>
      </c>
      <c r="AV76" s="32">
        <f t="shared" si="16"/>
        <v>0</v>
      </c>
      <c r="AW76" s="32">
        <f t="shared" si="17"/>
        <v>0</v>
      </c>
      <c r="AX76" s="32">
        <f t="shared" si="18"/>
        <v>0</v>
      </c>
      <c r="AY76" s="36" t="s">
        <v>144</v>
      </c>
      <c r="AZ76" s="36" t="s">
        <v>145</v>
      </c>
      <c r="BA76" s="12" t="s">
        <v>63</v>
      </c>
      <c r="BC76" s="32">
        <f t="shared" si="19"/>
        <v>0</v>
      </c>
      <c r="BD76" s="32">
        <f t="shared" si="20"/>
        <v>0</v>
      </c>
      <c r="BE76" s="32">
        <v>0</v>
      </c>
      <c r="BF76" s="32">
        <f t="shared" si="21"/>
        <v>5.0000000000000001E-3</v>
      </c>
      <c r="BH76" s="32">
        <f t="shared" si="22"/>
        <v>0</v>
      </c>
      <c r="BI76" s="32">
        <f t="shared" si="23"/>
        <v>0</v>
      </c>
      <c r="BJ76" s="32">
        <f t="shared" si="24"/>
        <v>0</v>
      </c>
      <c r="BK76" s="32"/>
      <c r="BL76" s="32">
        <v>721</v>
      </c>
      <c r="BW76" s="32">
        <f t="shared" si="25"/>
        <v>21</v>
      </c>
      <c r="BX76" s="4" t="s">
        <v>209</v>
      </c>
    </row>
    <row r="77" spans="1:76" x14ac:dyDescent="0.25">
      <c r="A77" s="2" t="s">
        <v>210</v>
      </c>
      <c r="B77" s="3" t="s">
        <v>54</v>
      </c>
      <c r="C77" s="3" t="s">
        <v>211</v>
      </c>
      <c r="D77" s="95" t="s">
        <v>212</v>
      </c>
      <c r="E77" s="96"/>
      <c r="F77" s="3" t="s">
        <v>60</v>
      </c>
      <c r="G77" s="32">
        <v>1</v>
      </c>
      <c r="H77" s="89">
        <v>0</v>
      </c>
      <c r="I77" s="33">
        <v>21</v>
      </c>
      <c r="J77" s="32">
        <f t="shared" si="0"/>
        <v>0</v>
      </c>
      <c r="K77" s="32">
        <f t="shared" si="1"/>
        <v>0</v>
      </c>
      <c r="L77" s="32">
        <f t="shared" si="2"/>
        <v>0</v>
      </c>
      <c r="M77" s="32">
        <f t="shared" si="3"/>
        <v>0</v>
      </c>
      <c r="N77" s="34">
        <f>IF(L285=0,0,L77/L285)</f>
        <v>0</v>
      </c>
      <c r="O77" s="32">
        <v>2.3000000000000001E-4</v>
      </c>
      <c r="P77" s="32">
        <f t="shared" si="4"/>
        <v>2.3000000000000001E-4</v>
      </c>
      <c r="Q77" s="35"/>
      <c r="Z77" s="32">
        <f t="shared" si="5"/>
        <v>0</v>
      </c>
      <c r="AB77" s="32">
        <f t="shared" si="6"/>
        <v>0</v>
      </c>
      <c r="AC77" s="32">
        <f t="shared" si="7"/>
        <v>0</v>
      </c>
      <c r="AD77" s="32">
        <f t="shared" si="8"/>
        <v>0</v>
      </c>
      <c r="AE77" s="32">
        <f t="shared" si="9"/>
        <v>0</v>
      </c>
      <c r="AF77" s="32">
        <f t="shared" si="10"/>
        <v>0</v>
      </c>
      <c r="AG77" s="32">
        <f t="shared" si="11"/>
        <v>0</v>
      </c>
      <c r="AH77" s="32">
        <f t="shared" si="12"/>
        <v>0</v>
      </c>
      <c r="AI77" s="12" t="s">
        <v>54</v>
      </c>
      <c r="AJ77" s="32">
        <f t="shared" si="13"/>
        <v>0</v>
      </c>
      <c r="AK77" s="32">
        <f t="shared" si="14"/>
        <v>0</v>
      </c>
      <c r="AL77" s="32">
        <f t="shared" si="15"/>
        <v>0</v>
      </c>
      <c r="AN77" s="32">
        <v>21</v>
      </c>
      <c r="AO77" s="32">
        <f>H77*0.811287671</f>
        <v>0</v>
      </c>
      <c r="AP77" s="32">
        <f>H77*(1-0.811287671)</f>
        <v>0</v>
      </c>
      <c r="AQ77" s="36" t="s">
        <v>87</v>
      </c>
      <c r="AV77" s="32">
        <f t="shared" si="16"/>
        <v>0</v>
      </c>
      <c r="AW77" s="32">
        <f t="shared" si="17"/>
        <v>0</v>
      </c>
      <c r="AX77" s="32">
        <f t="shared" si="18"/>
        <v>0</v>
      </c>
      <c r="AY77" s="36" t="s">
        <v>144</v>
      </c>
      <c r="AZ77" s="36" t="s">
        <v>145</v>
      </c>
      <c r="BA77" s="12" t="s">
        <v>63</v>
      </c>
      <c r="BC77" s="32">
        <f t="shared" si="19"/>
        <v>0</v>
      </c>
      <c r="BD77" s="32">
        <f t="shared" si="20"/>
        <v>0</v>
      </c>
      <c r="BE77" s="32">
        <v>0</v>
      </c>
      <c r="BF77" s="32">
        <f t="shared" si="21"/>
        <v>2.3000000000000001E-4</v>
      </c>
      <c r="BH77" s="32">
        <f t="shared" si="22"/>
        <v>0</v>
      </c>
      <c r="BI77" s="32">
        <f t="shared" si="23"/>
        <v>0</v>
      </c>
      <c r="BJ77" s="32">
        <f t="shared" si="24"/>
        <v>0</v>
      </c>
      <c r="BK77" s="32"/>
      <c r="BL77" s="32">
        <v>721</v>
      </c>
      <c r="BW77" s="32">
        <f t="shared" si="25"/>
        <v>21</v>
      </c>
      <c r="BX77" s="4" t="s">
        <v>212</v>
      </c>
    </row>
    <row r="78" spans="1:76" x14ac:dyDescent="0.25">
      <c r="A78" s="2" t="s">
        <v>213</v>
      </c>
      <c r="B78" s="3" t="s">
        <v>54</v>
      </c>
      <c r="C78" s="3" t="s">
        <v>214</v>
      </c>
      <c r="D78" s="95" t="s">
        <v>215</v>
      </c>
      <c r="E78" s="96"/>
      <c r="F78" s="3" t="s">
        <v>60</v>
      </c>
      <c r="G78" s="32">
        <v>6</v>
      </c>
      <c r="H78" s="89">
        <v>0</v>
      </c>
      <c r="I78" s="33">
        <v>21</v>
      </c>
      <c r="J78" s="32">
        <f t="shared" si="0"/>
        <v>0</v>
      </c>
      <c r="K78" s="32">
        <f t="shared" si="1"/>
        <v>0</v>
      </c>
      <c r="L78" s="32">
        <f t="shared" si="2"/>
        <v>0</v>
      </c>
      <c r="M78" s="32">
        <f t="shared" si="3"/>
        <v>0</v>
      </c>
      <c r="N78" s="34">
        <f>IF(L285=0,0,L78/L285)</f>
        <v>0</v>
      </c>
      <c r="O78" s="32">
        <v>5.5000000000000003E-4</v>
      </c>
      <c r="P78" s="32">
        <f t="shared" si="4"/>
        <v>3.3E-3</v>
      </c>
      <c r="Q78" s="35"/>
      <c r="Z78" s="32">
        <f t="shared" si="5"/>
        <v>0</v>
      </c>
      <c r="AB78" s="32">
        <f t="shared" si="6"/>
        <v>0</v>
      </c>
      <c r="AC78" s="32">
        <f t="shared" si="7"/>
        <v>0</v>
      </c>
      <c r="AD78" s="32">
        <f t="shared" si="8"/>
        <v>0</v>
      </c>
      <c r="AE78" s="32">
        <f t="shared" si="9"/>
        <v>0</v>
      </c>
      <c r="AF78" s="32">
        <f t="shared" si="10"/>
        <v>0</v>
      </c>
      <c r="AG78" s="32">
        <f t="shared" si="11"/>
        <v>0</v>
      </c>
      <c r="AH78" s="32">
        <f t="shared" si="12"/>
        <v>0</v>
      </c>
      <c r="AI78" s="12" t="s">
        <v>54</v>
      </c>
      <c r="AJ78" s="32">
        <f t="shared" si="13"/>
        <v>0</v>
      </c>
      <c r="AK78" s="32">
        <f t="shared" si="14"/>
        <v>0</v>
      </c>
      <c r="AL78" s="32">
        <f t="shared" si="15"/>
        <v>0</v>
      </c>
      <c r="AN78" s="32">
        <v>21</v>
      </c>
      <c r="AO78" s="32">
        <f>H78*0.807489678</f>
        <v>0</v>
      </c>
      <c r="AP78" s="32">
        <f>H78*(1-0.807489678)</f>
        <v>0</v>
      </c>
      <c r="AQ78" s="36" t="s">
        <v>87</v>
      </c>
      <c r="AV78" s="32">
        <f t="shared" si="16"/>
        <v>0</v>
      </c>
      <c r="AW78" s="32">
        <f t="shared" si="17"/>
        <v>0</v>
      </c>
      <c r="AX78" s="32">
        <f t="shared" si="18"/>
        <v>0</v>
      </c>
      <c r="AY78" s="36" t="s">
        <v>144</v>
      </c>
      <c r="AZ78" s="36" t="s">
        <v>145</v>
      </c>
      <c r="BA78" s="12" t="s">
        <v>63</v>
      </c>
      <c r="BC78" s="32">
        <f t="shared" si="19"/>
        <v>0</v>
      </c>
      <c r="BD78" s="32">
        <f t="shared" si="20"/>
        <v>0</v>
      </c>
      <c r="BE78" s="32">
        <v>0</v>
      </c>
      <c r="BF78" s="32">
        <f t="shared" si="21"/>
        <v>3.3E-3</v>
      </c>
      <c r="BH78" s="32">
        <f t="shared" si="22"/>
        <v>0</v>
      </c>
      <c r="BI78" s="32">
        <f t="shared" si="23"/>
        <v>0</v>
      </c>
      <c r="BJ78" s="32">
        <f t="shared" si="24"/>
        <v>0</v>
      </c>
      <c r="BK78" s="32"/>
      <c r="BL78" s="32">
        <v>721</v>
      </c>
      <c r="BW78" s="32">
        <f t="shared" si="25"/>
        <v>21</v>
      </c>
      <c r="BX78" s="4" t="s">
        <v>215</v>
      </c>
    </row>
    <row r="79" spans="1:76" x14ac:dyDescent="0.25">
      <c r="A79" s="2" t="s">
        <v>216</v>
      </c>
      <c r="B79" s="3" t="s">
        <v>54</v>
      </c>
      <c r="C79" s="3" t="s">
        <v>217</v>
      </c>
      <c r="D79" s="95" t="s">
        <v>218</v>
      </c>
      <c r="E79" s="96"/>
      <c r="F79" s="3" t="s">
        <v>60</v>
      </c>
      <c r="G79" s="32">
        <v>3</v>
      </c>
      <c r="H79" s="89">
        <v>0</v>
      </c>
      <c r="I79" s="33">
        <v>21</v>
      </c>
      <c r="J79" s="32">
        <f t="shared" si="0"/>
        <v>0</v>
      </c>
      <c r="K79" s="32">
        <f t="shared" si="1"/>
        <v>0</v>
      </c>
      <c r="L79" s="32">
        <f t="shared" si="2"/>
        <v>0</v>
      </c>
      <c r="M79" s="32">
        <f t="shared" si="3"/>
        <v>0</v>
      </c>
      <c r="N79" s="34">
        <f>IF(L285=0,0,L79/L285)</f>
        <v>0</v>
      </c>
      <c r="O79" s="32">
        <v>2.7E-4</v>
      </c>
      <c r="P79" s="32">
        <f t="shared" si="4"/>
        <v>8.0999999999999996E-4</v>
      </c>
      <c r="Q79" s="35"/>
      <c r="Z79" s="32">
        <f t="shared" si="5"/>
        <v>0</v>
      </c>
      <c r="AB79" s="32">
        <f t="shared" si="6"/>
        <v>0</v>
      </c>
      <c r="AC79" s="32">
        <f t="shared" si="7"/>
        <v>0</v>
      </c>
      <c r="AD79" s="32">
        <f t="shared" si="8"/>
        <v>0</v>
      </c>
      <c r="AE79" s="32">
        <f t="shared" si="9"/>
        <v>0</v>
      </c>
      <c r="AF79" s="32">
        <f t="shared" si="10"/>
        <v>0</v>
      </c>
      <c r="AG79" s="32">
        <f t="shared" si="11"/>
        <v>0</v>
      </c>
      <c r="AH79" s="32">
        <f t="shared" si="12"/>
        <v>0</v>
      </c>
      <c r="AI79" s="12" t="s">
        <v>54</v>
      </c>
      <c r="AJ79" s="32">
        <f t="shared" si="13"/>
        <v>0</v>
      </c>
      <c r="AK79" s="32">
        <f t="shared" si="14"/>
        <v>0</v>
      </c>
      <c r="AL79" s="32">
        <f t="shared" si="15"/>
        <v>0</v>
      </c>
      <c r="AN79" s="32">
        <v>21</v>
      </c>
      <c r="AO79" s="32">
        <f>H79*0.509368683</f>
        <v>0</v>
      </c>
      <c r="AP79" s="32">
        <f>H79*(1-0.509368683)</f>
        <v>0</v>
      </c>
      <c r="AQ79" s="36" t="s">
        <v>87</v>
      </c>
      <c r="AV79" s="32">
        <f t="shared" si="16"/>
        <v>0</v>
      </c>
      <c r="AW79" s="32">
        <f t="shared" si="17"/>
        <v>0</v>
      </c>
      <c r="AX79" s="32">
        <f t="shared" si="18"/>
        <v>0</v>
      </c>
      <c r="AY79" s="36" t="s">
        <v>144</v>
      </c>
      <c r="AZ79" s="36" t="s">
        <v>145</v>
      </c>
      <c r="BA79" s="12" t="s">
        <v>63</v>
      </c>
      <c r="BC79" s="32">
        <f t="shared" si="19"/>
        <v>0</v>
      </c>
      <c r="BD79" s="32">
        <f t="shared" si="20"/>
        <v>0</v>
      </c>
      <c r="BE79" s="32">
        <v>0</v>
      </c>
      <c r="BF79" s="32">
        <f t="shared" si="21"/>
        <v>8.0999999999999996E-4</v>
      </c>
      <c r="BH79" s="32">
        <f t="shared" si="22"/>
        <v>0</v>
      </c>
      <c r="BI79" s="32">
        <f t="shared" si="23"/>
        <v>0</v>
      </c>
      <c r="BJ79" s="32">
        <f t="shared" si="24"/>
        <v>0</v>
      </c>
      <c r="BK79" s="32"/>
      <c r="BL79" s="32">
        <v>721</v>
      </c>
      <c r="BW79" s="32">
        <f t="shared" si="25"/>
        <v>21</v>
      </c>
      <c r="BX79" s="4" t="s">
        <v>218</v>
      </c>
    </row>
    <row r="80" spans="1:76" ht="13.5" customHeight="1" x14ac:dyDescent="0.25">
      <c r="A80" s="37"/>
      <c r="C80" s="38"/>
      <c r="D80" s="100" t="s">
        <v>219</v>
      </c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9"/>
    </row>
    <row r="81" spans="1:76" x14ac:dyDescent="0.25">
      <c r="A81" s="2" t="s">
        <v>220</v>
      </c>
      <c r="B81" s="3" t="s">
        <v>54</v>
      </c>
      <c r="C81" s="3" t="s">
        <v>221</v>
      </c>
      <c r="D81" s="95" t="s">
        <v>222</v>
      </c>
      <c r="E81" s="96"/>
      <c r="F81" s="3" t="s">
        <v>60</v>
      </c>
      <c r="G81" s="32">
        <v>4</v>
      </c>
      <c r="H81" s="89">
        <v>0</v>
      </c>
      <c r="I81" s="33">
        <v>21</v>
      </c>
      <c r="J81" s="32">
        <f>ROUND(G81*AO81,2)</f>
        <v>0</v>
      </c>
      <c r="K81" s="32">
        <f>ROUND(G81*AP81,2)</f>
        <v>0</v>
      </c>
      <c r="L81" s="32">
        <f>ROUND(G81*H81,2)</f>
        <v>0</v>
      </c>
      <c r="M81" s="32">
        <f>L81*(1+BW81/100)</f>
        <v>0</v>
      </c>
      <c r="N81" s="34">
        <f>IF(L285=0,0,L81/L285)</f>
        <v>0</v>
      </c>
      <c r="O81" s="32">
        <v>1.0000000000000001E-5</v>
      </c>
      <c r="P81" s="32">
        <f>G81*O81</f>
        <v>4.0000000000000003E-5</v>
      </c>
      <c r="Q81" s="35"/>
      <c r="Z81" s="32">
        <f>ROUND(IF(AQ81="5",BJ81,0),2)</f>
        <v>0</v>
      </c>
      <c r="AB81" s="32">
        <f>ROUND(IF(AQ81="1",BH81,0),2)</f>
        <v>0</v>
      </c>
      <c r="AC81" s="32">
        <f>ROUND(IF(AQ81="1",BI81,0),2)</f>
        <v>0</v>
      </c>
      <c r="AD81" s="32">
        <f>ROUND(IF(AQ81="7",BH81,0),2)</f>
        <v>0</v>
      </c>
      <c r="AE81" s="32">
        <f>ROUND(IF(AQ81="7",BI81,0),2)</f>
        <v>0</v>
      </c>
      <c r="AF81" s="32">
        <f>ROUND(IF(AQ81="2",BH81,0),2)</f>
        <v>0</v>
      </c>
      <c r="AG81" s="32">
        <f>ROUND(IF(AQ81="2",BI81,0),2)</f>
        <v>0</v>
      </c>
      <c r="AH81" s="32">
        <f>ROUND(IF(AQ81="0",BJ81,0),2)</f>
        <v>0</v>
      </c>
      <c r="AI81" s="12" t="s">
        <v>54</v>
      </c>
      <c r="AJ81" s="32">
        <f>IF(AN81=0,L81,0)</f>
        <v>0</v>
      </c>
      <c r="AK81" s="32">
        <f>IF(AN81=12,L81,0)</f>
        <v>0</v>
      </c>
      <c r="AL81" s="32">
        <f>IF(AN81=21,L81,0)</f>
        <v>0</v>
      </c>
      <c r="AN81" s="32">
        <v>21</v>
      </c>
      <c r="AO81" s="32">
        <f>H81*0.706056338</f>
        <v>0</v>
      </c>
      <c r="AP81" s="32">
        <f>H81*(1-0.706056338)</f>
        <v>0</v>
      </c>
      <c r="AQ81" s="36" t="s">
        <v>87</v>
      </c>
      <c r="AV81" s="32">
        <f>ROUND(AW81+AX81,2)</f>
        <v>0</v>
      </c>
      <c r="AW81" s="32">
        <f>ROUND(G81*AO81,2)</f>
        <v>0</v>
      </c>
      <c r="AX81" s="32">
        <f>ROUND(G81*AP81,2)</f>
        <v>0</v>
      </c>
      <c r="AY81" s="36" t="s">
        <v>144</v>
      </c>
      <c r="AZ81" s="36" t="s">
        <v>145</v>
      </c>
      <c r="BA81" s="12" t="s">
        <v>63</v>
      </c>
      <c r="BC81" s="32">
        <f>AW81+AX81</f>
        <v>0</v>
      </c>
      <c r="BD81" s="32">
        <f>H81/(100-BE81)*100</f>
        <v>0</v>
      </c>
      <c r="BE81" s="32">
        <v>0</v>
      </c>
      <c r="BF81" s="32">
        <f>P81</f>
        <v>4.0000000000000003E-5</v>
      </c>
      <c r="BH81" s="32">
        <f>G81*AO81</f>
        <v>0</v>
      </c>
      <c r="BI81" s="32">
        <f>G81*AP81</f>
        <v>0</v>
      </c>
      <c r="BJ81" s="32">
        <f>G81*H81</f>
        <v>0</v>
      </c>
      <c r="BK81" s="32"/>
      <c r="BL81" s="32">
        <v>721</v>
      </c>
      <c r="BW81" s="32">
        <f>I81</f>
        <v>21</v>
      </c>
      <c r="BX81" s="4" t="s">
        <v>222</v>
      </c>
    </row>
    <row r="82" spans="1:76" ht="13.5" customHeight="1" x14ac:dyDescent="0.25">
      <c r="A82" s="37"/>
      <c r="C82" s="38"/>
      <c r="D82" s="100" t="s">
        <v>223</v>
      </c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9"/>
    </row>
    <row r="83" spans="1:76" x14ac:dyDescent="0.25">
      <c r="A83" s="2" t="s">
        <v>224</v>
      </c>
      <c r="B83" s="3" t="s">
        <v>54</v>
      </c>
      <c r="C83" s="3" t="s">
        <v>225</v>
      </c>
      <c r="D83" s="95" t="s">
        <v>226</v>
      </c>
      <c r="E83" s="96"/>
      <c r="F83" s="3" t="s">
        <v>60</v>
      </c>
      <c r="G83" s="32">
        <v>6</v>
      </c>
      <c r="H83" s="89">
        <v>0</v>
      </c>
      <c r="I83" s="33">
        <v>21</v>
      </c>
      <c r="J83" s="32">
        <f>ROUND(G83*AO83,2)</f>
        <v>0</v>
      </c>
      <c r="K83" s="32">
        <f>ROUND(G83*AP83,2)</f>
        <v>0</v>
      </c>
      <c r="L83" s="32">
        <f>ROUND(G83*H83,2)</f>
        <v>0</v>
      </c>
      <c r="M83" s="32">
        <f>L83*(1+BW83/100)</f>
        <v>0</v>
      </c>
      <c r="N83" s="34">
        <f>IF(L285=0,0,L83/L285)</f>
        <v>0</v>
      </c>
      <c r="O83" s="32">
        <v>1.0000000000000001E-5</v>
      </c>
      <c r="P83" s="32">
        <f>G83*O83</f>
        <v>6.0000000000000008E-5</v>
      </c>
      <c r="Q83" s="35"/>
      <c r="Z83" s="32">
        <f>ROUND(IF(AQ83="5",BJ83,0),2)</f>
        <v>0</v>
      </c>
      <c r="AB83" s="32">
        <f>ROUND(IF(AQ83="1",BH83,0),2)</f>
        <v>0</v>
      </c>
      <c r="AC83" s="32">
        <f>ROUND(IF(AQ83="1",BI83,0),2)</f>
        <v>0</v>
      </c>
      <c r="AD83" s="32">
        <f>ROUND(IF(AQ83="7",BH83,0),2)</f>
        <v>0</v>
      </c>
      <c r="AE83" s="32">
        <f>ROUND(IF(AQ83="7",BI83,0),2)</f>
        <v>0</v>
      </c>
      <c r="AF83" s="32">
        <f>ROUND(IF(AQ83="2",BH83,0),2)</f>
        <v>0</v>
      </c>
      <c r="AG83" s="32">
        <f>ROUND(IF(AQ83="2",BI83,0),2)</f>
        <v>0</v>
      </c>
      <c r="AH83" s="32">
        <f>ROUND(IF(AQ83="0",BJ83,0),2)</f>
        <v>0</v>
      </c>
      <c r="AI83" s="12" t="s">
        <v>54</v>
      </c>
      <c r="AJ83" s="32">
        <f>IF(AN83=0,L83,0)</f>
        <v>0</v>
      </c>
      <c r="AK83" s="32">
        <f>IF(AN83=12,L83,0)</f>
        <v>0</v>
      </c>
      <c r="AL83" s="32">
        <f>IF(AN83=21,L83,0)</f>
        <v>0</v>
      </c>
      <c r="AN83" s="32">
        <v>21</v>
      </c>
      <c r="AO83" s="32">
        <f>H83*0.706063348</f>
        <v>0</v>
      </c>
      <c r="AP83" s="32">
        <f>H83*(1-0.706063348)</f>
        <v>0</v>
      </c>
      <c r="AQ83" s="36" t="s">
        <v>87</v>
      </c>
      <c r="AV83" s="32">
        <f>ROUND(AW83+AX83,2)</f>
        <v>0</v>
      </c>
      <c r="AW83" s="32">
        <f>ROUND(G83*AO83,2)</f>
        <v>0</v>
      </c>
      <c r="AX83" s="32">
        <f>ROUND(G83*AP83,2)</f>
        <v>0</v>
      </c>
      <c r="AY83" s="36" t="s">
        <v>144</v>
      </c>
      <c r="AZ83" s="36" t="s">
        <v>145</v>
      </c>
      <c r="BA83" s="12" t="s">
        <v>63</v>
      </c>
      <c r="BC83" s="32">
        <f>AW83+AX83</f>
        <v>0</v>
      </c>
      <c r="BD83" s="32">
        <f>H83/(100-BE83)*100</f>
        <v>0</v>
      </c>
      <c r="BE83" s="32">
        <v>0</v>
      </c>
      <c r="BF83" s="32">
        <f>P83</f>
        <v>6.0000000000000008E-5</v>
      </c>
      <c r="BH83" s="32">
        <f>G83*AO83</f>
        <v>0</v>
      </c>
      <c r="BI83" s="32">
        <f>G83*AP83</f>
        <v>0</v>
      </c>
      <c r="BJ83" s="32">
        <f>G83*H83</f>
        <v>0</v>
      </c>
      <c r="BK83" s="32"/>
      <c r="BL83" s="32">
        <v>721</v>
      </c>
      <c r="BW83" s="32">
        <f>I83</f>
        <v>21</v>
      </c>
      <c r="BX83" s="4" t="s">
        <v>226</v>
      </c>
    </row>
    <row r="84" spans="1:76" ht="13.5" customHeight="1" x14ac:dyDescent="0.25">
      <c r="A84" s="37"/>
      <c r="C84" s="38"/>
      <c r="D84" s="100" t="s">
        <v>223</v>
      </c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9"/>
    </row>
    <row r="85" spans="1:76" x14ac:dyDescent="0.25">
      <c r="A85" s="2" t="s">
        <v>227</v>
      </c>
      <c r="B85" s="3" t="s">
        <v>54</v>
      </c>
      <c r="C85" s="3" t="s">
        <v>228</v>
      </c>
      <c r="D85" s="95" t="s">
        <v>229</v>
      </c>
      <c r="E85" s="96"/>
      <c r="F85" s="3" t="s">
        <v>60</v>
      </c>
      <c r="G85" s="32">
        <v>10</v>
      </c>
      <c r="H85" s="89">
        <v>0</v>
      </c>
      <c r="I85" s="33">
        <v>21</v>
      </c>
      <c r="J85" s="32">
        <f>ROUND(G85*AO85,2)</f>
        <v>0</v>
      </c>
      <c r="K85" s="32">
        <f>ROUND(G85*AP85,2)</f>
        <v>0</v>
      </c>
      <c r="L85" s="32">
        <f>ROUND(G85*H85,2)</f>
        <v>0</v>
      </c>
      <c r="M85" s="32">
        <f>L85*(1+BW85/100)</f>
        <v>0</v>
      </c>
      <c r="N85" s="34">
        <f>IF(L285=0,0,L85/L285)</f>
        <v>0</v>
      </c>
      <c r="O85" s="32">
        <v>1.0000000000000001E-5</v>
      </c>
      <c r="P85" s="32">
        <f>G85*O85</f>
        <v>1E-4</v>
      </c>
      <c r="Q85" s="35"/>
      <c r="Z85" s="32">
        <f>ROUND(IF(AQ85="5",BJ85,0),2)</f>
        <v>0</v>
      </c>
      <c r="AB85" s="32">
        <f>ROUND(IF(AQ85="1",BH85,0),2)</f>
        <v>0</v>
      </c>
      <c r="AC85" s="32">
        <f>ROUND(IF(AQ85="1",BI85,0),2)</f>
        <v>0</v>
      </c>
      <c r="AD85" s="32">
        <f>ROUND(IF(AQ85="7",BH85,0),2)</f>
        <v>0</v>
      </c>
      <c r="AE85" s="32">
        <f>ROUND(IF(AQ85="7",BI85,0),2)</f>
        <v>0</v>
      </c>
      <c r="AF85" s="32">
        <f>ROUND(IF(AQ85="2",BH85,0),2)</f>
        <v>0</v>
      </c>
      <c r="AG85" s="32">
        <f>ROUND(IF(AQ85="2",BI85,0),2)</f>
        <v>0</v>
      </c>
      <c r="AH85" s="32">
        <f>ROUND(IF(AQ85="0",BJ85,0),2)</f>
        <v>0</v>
      </c>
      <c r="AI85" s="12" t="s">
        <v>54</v>
      </c>
      <c r="AJ85" s="32">
        <f>IF(AN85=0,L85,0)</f>
        <v>0</v>
      </c>
      <c r="AK85" s="32">
        <f>IF(AN85=12,L85,0)</f>
        <v>0</v>
      </c>
      <c r="AL85" s="32">
        <f>IF(AN85=21,L85,0)</f>
        <v>0</v>
      </c>
      <c r="AN85" s="32">
        <v>21</v>
      </c>
      <c r="AO85" s="32">
        <f>H85*0.751261372</f>
        <v>0</v>
      </c>
      <c r="AP85" s="32">
        <f>H85*(1-0.751261372)</f>
        <v>0</v>
      </c>
      <c r="AQ85" s="36" t="s">
        <v>87</v>
      </c>
      <c r="AV85" s="32">
        <f>ROUND(AW85+AX85,2)</f>
        <v>0</v>
      </c>
      <c r="AW85" s="32">
        <f>ROUND(G85*AO85,2)</f>
        <v>0</v>
      </c>
      <c r="AX85" s="32">
        <f>ROUND(G85*AP85,2)</f>
        <v>0</v>
      </c>
      <c r="AY85" s="36" t="s">
        <v>144</v>
      </c>
      <c r="AZ85" s="36" t="s">
        <v>145</v>
      </c>
      <c r="BA85" s="12" t="s">
        <v>63</v>
      </c>
      <c r="BC85" s="32">
        <f>AW85+AX85</f>
        <v>0</v>
      </c>
      <c r="BD85" s="32">
        <f>H85/(100-BE85)*100</f>
        <v>0</v>
      </c>
      <c r="BE85" s="32">
        <v>0</v>
      </c>
      <c r="BF85" s="32">
        <f>P85</f>
        <v>1E-4</v>
      </c>
      <c r="BH85" s="32">
        <f>G85*AO85</f>
        <v>0</v>
      </c>
      <c r="BI85" s="32">
        <f>G85*AP85</f>
        <v>0</v>
      </c>
      <c r="BJ85" s="32">
        <f>G85*H85</f>
        <v>0</v>
      </c>
      <c r="BK85" s="32"/>
      <c r="BL85" s="32">
        <v>721</v>
      </c>
      <c r="BW85" s="32">
        <f>I85</f>
        <v>21</v>
      </c>
      <c r="BX85" s="4" t="s">
        <v>229</v>
      </c>
    </row>
    <row r="86" spans="1:76" ht="13.5" customHeight="1" x14ac:dyDescent="0.25">
      <c r="A86" s="37"/>
      <c r="C86" s="38"/>
      <c r="D86" s="100" t="s">
        <v>223</v>
      </c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9"/>
    </row>
    <row r="87" spans="1:76" x14ac:dyDescent="0.25">
      <c r="A87" s="2" t="s">
        <v>230</v>
      </c>
      <c r="B87" s="3" t="s">
        <v>54</v>
      </c>
      <c r="C87" s="3" t="s">
        <v>231</v>
      </c>
      <c r="D87" s="95" t="s">
        <v>232</v>
      </c>
      <c r="E87" s="96"/>
      <c r="F87" s="3" t="s">
        <v>60</v>
      </c>
      <c r="G87" s="32">
        <v>5</v>
      </c>
      <c r="H87" s="89">
        <v>0</v>
      </c>
      <c r="I87" s="33">
        <v>21</v>
      </c>
      <c r="J87" s="32">
        <f>ROUND(G87*AO87,2)</f>
        <v>0</v>
      </c>
      <c r="K87" s="32">
        <f>ROUND(G87*AP87,2)</f>
        <v>0</v>
      </c>
      <c r="L87" s="32">
        <f>ROUND(G87*H87,2)</f>
        <v>0</v>
      </c>
      <c r="M87" s="32">
        <f>L87*(1+BW87/100)</f>
        <v>0</v>
      </c>
      <c r="N87" s="34">
        <f>IF(L285=0,0,L87/L285)</f>
        <v>0</v>
      </c>
      <c r="O87" s="32">
        <v>3.8000000000000002E-4</v>
      </c>
      <c r="P87" s="32">
        <f>G87*O87</f>
        <v>1.9000000000000002E-3</v>
      </c>
      <c r="Q87" s="35"/>
      <c r="Z87" s="32">
        <f>ROUND(IF(AQ87="5",BJ87,0),2)</f>
        <v>0</v>
      </c>
      <c r="AB87" s="32">
        <f>ROUND(IF(AQ87="1",BH87,0),2)</f>
        <v>0</v>
      </c>
      <c r="AC87" s="32">
        <f>ROUND(IF(AQ87="1",BI87,0),2)</f>
        <v>0</v>
      </c>
      <c r="AD87" s="32">
        <f>ROUND(IF(AQ87="7",BH87,0),2)</f>
        <v>0</v>
      </c>
      <c r="AE87" s="32">
        <f>ROUND(IF(AQ87="7",BI87,0),2)</f>
        <v>0</v>
      </c>
      <c r="AF87" s="32">
        <f>ROUND(IF(AQ87="2",BH87,0),2)</f>
        <v>0</v>
      </c>
      <c r="AG87" s="32">
        <f>ROUND(IF(AQ87="2",BI87,0),2)</f>
        <v>0</v>
      </c>
      <c r="AH87" s="32">
        <f>ROUND(IF(AQ87="0",BJ87,0),2)</f>
        <v>0</v>
      </c>
      <c r="AI87" s="12" t="s">
        <v>54</v>
      </c>
      <c r="AJ87" s="32">
        <f>IF(AN87=0,L87,0)</f>
        <v>0</v>
      </c>
      <c r="AK87" s="32">
        <f>IF(AN87=12,L87,0)</f>
        <v>0</v>
      </c>
      <c r="AL87" s="32">
        <f>IF(AN87=21,L87,0)</f>
        <v>0</v>
      </c>
      <c r="AN87" s="32">
        <v>21</v>
      </c>
      <c r="AO87" s="32">
        <f>H87*1</f>
        <v>0</v>
      </c>
      <c r="AP87" s="32">
        <f>H87*(1-1)</f>
        <v>0</v>
      </c>
      <c r="AQ87" s="36" t="s">
        <v>87</v>
      </c>
      <c r="AV87" s="32">
        <f>ROUND(AW87+AX87,2)</f>
        <v>0</v>
      </c>
      <c r="AW87" s="32">
        <f>ROUND(G87*AO87,2)</f>
        <v>0</v>
      </c>
      <c r="AX87" s="32">
        <f>ROUND(G87*AP87,2)</f>
        <v>0</v>
      </c>
      <c r="AY87" s="36" t="s">
        <v>144</v>
      </c>
      <c r="AZ87" s="36" t="s">
        <v>145</v>
      </c>
      <c r="BA87" s="12" t="s">
        <v>63</v>
      </c>
      <c r="BC87" s="32">
        <f>AW87+AX87</f>
        <v>0</v>
      </c>
      <c r="BD87" s="32">
        <f>H87/(100-BE87)*100</f>
        <v>0</v>
      </c>
      <c r="BE87" s="32">
        <v>0</v>
      </c>
      <c r="BF87" s="32">
        <f>P87</f>
        <v>1.9000000000000002E-3</v>
      </c>
      <c r="BH87" s="32">
        <f>G87*AO87</f>
        <v>0</v>
      </c>
      <c r="BI87" s="32">
        <f>G87*AP87</f>
        <v>0</v>
      </c>
      <c r="BJ87" s="32">
        <f>G87*H87</f>
        <v>0</v>
      </c>
      <c r="BK87" s="32"/>
      <c r="BL87" s="32">
        <v>721</v>
      </c>
      <c r="BW87" s="32">
        <f>I87</f>
        <v>21</v>
      </c>
      <c r="BX87" s="4" t="s">
        <v>232</v>
      </c>
    </row>
    <row r="88" spans="1:76" x14ac:dyDescent="0.25">
      <c r="A88" s="2" t="s">
        <v>233</v>
      </c>
      <c r="B88" s="3" t="s">
        <v>54</v>
      </c>
      <c r="C88" s="3" t="s">
        <v>234</v>
      </c>
      <c r="D88" s="95" t="s">
        <v>235</v>
      </c>
      <c r="E88" s="96"/>
      <c r="F88" s="3" t="s">
        <v>60</v>
      </c>
      <c r="G88" s="32">
        <v>5</v>
      </c>
      <c r="H88" s="89">
        <v>0</v>
      </c>
      <c r="I88" s="33">
        <v>21</v>
      </c>
      <c r="J88" s="32">
        <f>ROUND(G88*AO88,2)</f>
        <v>0</v>
      </c>
      <c r="K88" s="32">
        <f>ROUND(G88*AP88,2)</f>
        <v>0</v>
      </c>
      <c r="L88" s="32">
        <f>ROUND(G88*H88,2)</f>
        <v>0</v>
      </c>
      <c r="M88" s="32">
        <f>L88*(1+BW88/100)</f>
        <v>0</v>
      </c>
      <c r="N88" s="34">
        <f>IF(L285=0,0,L88/L285)</f>
        <v>0</v>
      </c>
      <c r="O88" s="32">
        <v>8.0000000000000007E-5</v>
      </c>
      <c r="P88" s="32">
        <f>G88*O88</f>
        <v>4.0000000000000002E-4</v>
      </c>
      <c r="Q88" s="35"/>
      <c r="Z88" s="32">
        <f>ROUND(IF(AQ88="5",BJ88,0),2)</f>
        <v>0</v>
      </c>
      <c r="AB88" s="32">
        <f>ROUND(IF(AQ88="1",BH88,0),2)</f>
        <v>0</v>
      </c>
      <c r="AC88" s="32">
        <f>ROUND(IF(AQ88="1",BI88,0),2)</f>
        <v>0</v>
      </c>
      <c r="AD88" s="32">
        <f>ROUND(IF(AQ88="7",BH88,0),2)</f>
        <v>0</v>
      </c>
      <c r="AE88" s="32">
        <f>ROUND(IF(AQ88="7",BI88,0),2)</f>
        <v>0</v>
      </c>
      <c r="AF88" s="32">
        <f>ROUND(IF(AQ88="2",BH88,0),2)</f>
        <v>0</v>
      </c>
      <c r="AG88" s="32">
        <f>ROUND(IF(AQ88="2",BI88,0),2)</f>
        <v>0</v>
      </c>
      <c r="AH88" s="32">
        <f>ROUND(IF(AQ88="0",BJ88,0),2)</f>
        <v>0</v>
      </c>
      <c r="AI88" s="12" t="s">
        <v>54</v>
      </c>
      <c r="AJ88" s="32">
        <f>IF(AN88=0,L88,0)</f>
        <v>0</v>
      </c>
      <c r="AK88" s="32">
        <f>IF(AN88=12,L88,0)</f>
        <v>0</v>
      </c>
      <c r="AL88" s="32">
        <f>IF(AN88=21,L88,0)</f>
        <v>0</v>
      </c>
      <c r="AN88" s="32">
        <v>21</v>
      </c>
      <c r="AO88" s="32">
        <f>H88*1</f>
        <v>0</v>
      </c>
      <c r="AP88" s="32">
        <f>H88*(1-1)</f>
        <v>0</v>
      </c>
      <c r="AQ88" s="36" t="s">
        <v>87</v>
      </c>
      <c r="AV88" s="32">
        <f>ROUND(AW88+AX88,2)</f>
        <v>0</v>
      </c>
      <c r="AW88" s="32">
        <f>ROUND(G88*AO88,2)</f>
        <v>0</v>
      </c>
      <c r="AX88" s="32">
        <f>ROUND(G88*AP88,2)</f>
        <v>0</v>
      </c>
      <c r="AY88" s="36" t="s">
        <v>144</v>
      </c>
      <c r="AZ88" s="36" t="s">
        <v>145</v>
      </c>
      <c r="BA88" s="12" t="s">
        <v>63</v>
      </c>
      <c r="BC88" s="32">
        <f>AW88+AX88</f>
        <v>0</v>
      </c>
      <c r="BD88" s="32">
        <f>H88/(100-BE88)*100</f>
        <v>0</v>
      </c>
      <c r="BE88" s="32">
        <v>0</v>
      </c>
      <c r="BF88" s="32">
        <f>P88</f>
        <v>4.0000000000000002E-4</v>
      </c>
      <c r="BH88" s="32">
        <f>G88*AO88</f>
        <v>0</v>
      </c>
      <c r="BI88" s="32">
        <f>G88*AP88</f>
        <v>0</v>
      </c>
      <c r="BJ88" s="32">
        <f>G88*H88</f>
        <v>0</v>
      </c>
      <c r="BK88" s="32"/>
      <c r="BL88" s="32">
        <v>721</v>
      </c>
      <c r="BW88" s="32">
        <f>I88</f>
        <v>21</v>
      </c>
      <c r="BX88" s="4" t="s">
        <v>235</v>
      </c>
    </row>
    <row r="89" spans="1:76" x14ac:dyDescent="0.25">
      <c r="A89" s="2" t="s">
        <v>236</v>
      </c>
      <c r="B89" s="3" t="s">
        <v>54</v>
      </c>
      <c r="C89" s="3" t="s">
        <v>237</v>
      </c>
      <c r="D89" s="95" t="s">
        <v>238</v>
      </c>
      <c r="E89" s="96"/>
      <c r="F89" s="3" t="s">
        <v>239</v>
      </c>
      <c r="G89" s="32">
        <v>1</v>
      </c>
      <c r="H89" s="89">
        <v>0</v>
      </c>
      <c r="I89" s="33">
        <v>21</v>
      </c>
      <c r="J89" s="32">
        <f>ROUND(G89*AO89,2)</f>
        <v>0</v>
      </c>
      <c r="K89" s="32">
        <f>ROUND(G89*AP89,2)</f>
        <v>0</v>
      </c>
      <c r="L89" s="32">
        <f>ROUND(G89*H89,2)</f>
        <v>0</v>
      </c>
      <c r="M89" s="32">
        <f>L89*(1+BW89/100)</f>
        <v>0</v>
      </c>
      <c r="N89" s="34">
        <f>IF(L285=0,0,L89/L285)</f>
        <v>0</v>
      </c>
      <c r="O89" s="32">
        <v>0</v>
      </c>
      <c r="P89" s="32">
        <f>G89*O89</f>
        <v>0</v>
      </c>
      <c r="Q89" s="35" t="s">
        <v>54</v>
      </c>
      <c r="Z89" s="32">
        <f>ROUND(IF(AQ89="5",BJ89,0),2)</f>
        <v>0</v>
      </c>
      <c r="AB89" s="32">
        <f>ROUND(IF(AQ89="1",BH89,0),2)</f>
        <v>0</v>
      </c>
      <c r="AC89" s="32">
        <f>ROUND(IF(AQ89="1",BI89,0),2)</f>
        <v>0</v>
      </c>
      <c r="AD89" s="32">
        <f>ROUND(IF(AQ89="7",BH89,0),2)</f>
        <v>0</v>
      </c>
      <c r="AE89" s="32">
        <f>ROUND(IF(AQ89="7",BI89,0),2)</f>
        <v>0</v>
      </c>
      <c r="AF89" s="32">
        <f>ROUND(IF(AQ89="2",BH89,0),2)</f>
        <v>0</v>
      </c>
      <c r="AG89" s="32">
        <f>ROUND(IF(AQ89="2",BI89,0),2)</f>
        <v>0</v>
      </c>
      <c r="AH89" s="32">
        <f>ROUND(IF(AQ89="0",BJ89,0),2)</f>
        <v>0</v>
      </c>
      <c r="AI89" s="12" t="s">
        <v>54</v>
      </c>
      <c r="AJ89" s="32">
        <f>IF(AN89=0,L89,0)</f>
        <v>0</v>
      </c>
      <c r="AK89" s="32">
        <f>IF(AN89=12,L89,0)</f>
        <v>0</v>
      </c>
      <c r="AL89" s="32">
        <f>IF(AN89=21,L89,0)</f>
        <v>0</v>
      </c>
      <c r="AN89" s="32">
        <v>21</v>
      </c>
      <c r="AO89" s="32">
        <f>H89*0.651988327</f>
        <v>0</v>
      </c>
      <c r="AP89" s="32">
        <f>H89*(1-0.651988327)</f>
        <v>0</v>
      </c>
      <c r="AQ89" s="36" t="s">
        <v>79</v>
      </c>
      <c r="AV89" s="32">
        <f>ROUND(AW89+AX89,2)</f>
        <v>0</v>
      </c>
      <c r="AW89" s="32">
        <f>ROUND(G89*AO89,2)</f>
        <v>0</v>
      </c>
      <c r="AX89" s="32">
        <f>ROUND(G89*AP89,2)</f>
        <v>0</v>
      </c>
      <c r="AY89" s="36" t="s">
        <v>144</v>
      </c>
      <c r="AZ89" s="36" t="s">
        <v>145</v>
      </c>
      <c r="BA89" s="12" t="s">
        <v>63</v>
      </c>
      <c r="BC89" s="32">
        <f>AW89+AX89</f>
        <v>0</v>
      </c>
      <c r="BD89" s="32">
        <f>H89/(100-BE89)*100</f>
        <v>0</v>
      </c>
      <c r="BE89" s="32">
        <v>0</v>
      </c>
      <c r="BF89" s="32">
        <f>P89</f>
        <v>0</v>
      </c>
      <c r="BH89" s="32">
        <f>G89*AO89</f>
        <v>0</v>
      </c>
      <c r="BI89" s="32">
        <f>G89*AP89</f>
        <v>0</v>
      </c>
      <c r="BJ89" s="32">
        <f>G89*H89</f>
        <v>0</v>
      </c>
      <c r="BK89" s="32"/>
      <c r="BL89" s="32">
        <v>721</v>
      </c>
      <c r="BW89" s="32">
        <f>I89</f>
        <v>21</v>
      </c>
      <c r="BX89" s="4" t="s">
        <v>238</v>
      </c>
    </row>
    <row r="90" spans="1:76" x14ac:dyDescent="0.25">
      <c r="A90" s="2" t="s">
        <v>240</v>
      </c>
      <c r="B90" s="3" t="s">
        <v>54</v>
      </c>
      <c r="C90" s="3" t="s">
        <v>237</v>
      </c>
      <c r="D90" s="95" t="s">
        <v>241</v>
      </c>
      <c r="E90" s="96"/>
      <c r="F90" s="3" t="s">
        <v>239</v>
      </c>
      <c r="G90" s="32">
        <v>1</v>
      </c>
      <c r="H90" s="89">
        <v>0</v>
      </c>
      <c r="I90" s="33">
        <v>21</v>
      </c>
      <c r="J90" s="32">
        <f>ROUND(G90*AO90,2)</f>
        <v>0</v>
      </c>
      <c r="K90" s="32">
        <f>ROUND(G90*AP90,2)</f>
        <v>0</v>
      </c>
      <c r="L90" s="32">
        <f>ROUND(G90*H90,2)</f>
        <v>0</v>
      </c>
      <c r="M90" s="32">
        <f>L90*(1+BW90/100)</f>
        <v>0</v>
      </c>
      <c r="N90" s="34">
        <f>IF(L285=0,0,L90/L285)</f>
        <v>0</v>
      </c>
      <c r="O90" s="32">
        <v>1.8000000000000001E-4</v>
      </c>
      <c r="P90" s="32">
        <f>G90*O90</f>
        <v>1.8000000000000001E-4</v>
      </c>
      <c r="Q90" s="35"/>
      <c r="Z90" s="32">
        <f>ROUND(IF(AQ90="5",BJ90,0),2)</f>
        <v>0</v>
      </c>
      <c r="AB90" s="32">
        <f>ROUND(IF(AQ90="1",BH90,0),2)</f>
        <v>0</v>
      </c>
      <c r="AC90" s="32">
        <f>ROUND(IF(AQ90="1",BI90,0),2)</f>
        <v>0</v>
      </c>
      <c r="AD90" s="32">
        <f>ROUND(IF(AQ90="7",BH90,0),2)</f>
        <v>0</v>
      </c>
      <c r="AE90" s="32">
        <f>ROUND(IF(AQ90="7",BI90,0),2)</f>
        <v>0</v>
      </c>
      <c r="AF90" s="32">
        <f>ROUND(IF(AQ90="2",BH90,0),2)</f>
        <v>0</v>
      </c>
      <c r="AG90" s="32">
        <f>ROUND(IF(AQ90="2",BI90,0),2)</f>
        <v>0</v>
      </c>
      <c r="AH90" s="32">
        <f>ROUND(IF(AQ90="0",BJ90,0),2)</f>
        <v>0</v>
      </c>
      <c r="AI90" s="12" t="s">
        <v>54</v>
      </c>
      <c r="AJ90" s="32">
        <f>IF(AN90=0,L90,0)</f>
        <v>0</v>
      </c>
      <c r="AK90" s="32">
        <f>IF(AN90=12,L90,0)</f>
        <v>0</v>
      </c>
      <c r="AL90" s="32">
        <f>IF(AN90=21,L90,0)</f>
        <v>0</v>
      </c>
      <c r="AN90" s="32">
        <v>21</v>
      </c>
      <c r="AO90" s="32">
        <f>H90*0</f>
        <v>0</v>
      </c>
      <c r="AP90" s="32">
        <f>H90*(1-0)</f>
        <v>0</v>
      </c>
      <c r="AQ90" s="36" t="s">
        <v>87</v>
      </c>
      <c r="AV90" s="32">
        <f>ROUND(AW90+AX90,2)</f>
        <v>0</v>
      </c>
      <c r="AW90" s="32">
        <f>ROUND(G90*AO90,2)</f>
        <v>0</v>
      </c>
      <c r="AX90" s="32">
        <f>ROUND(G90*AP90,2)</f>
        <v>0</v>
      </c>
      <c r="AY90" s="36" t="s">
        <v>144</v>
      </c>
      <c r="AZ90" s="36" t="s">
        <v>145</v>
      </c>
      <c r="BA90" s="12" t="s">
        <v>63</v>
      </c>
      <c r="BC90" s="32">
        <f>AW90+AX90</f>
        <v>0</v>
      </c>
      <c r="BD90" s="32">
        <f>H90/(100-BE90)*100</f>
        <v>0</v>
      </c>
      <c r="BE90" s="32">
        <v>0</v>
      </c>
      <c r="BF90" s="32">
        <f>P90</f>
        <v>1.8000000000000001E-4</v>
      </c>
      <c r="BH90" s="32">
        <f>G90*AO90</f>
        <v>0</v>
      </c>
      <c r="BI90" s="32">
        <f>G90*AP90</f>
        <v>0</v>
      </c>
      <c r="BJ90" s="32">
        <f>G90*H90</f>
        <v>0</v>
      </c>
      <c r="BK90" s="32"/>
      <c r="BL90" s="32">
        <v>721</v>
      </c>
      <c r="BW90" s="32">
        <f>I90</f>
        <v>21</v>
      </c>
      <c r="BX90" s="4" t="s">
        <v>241</v>
      </c>
    </row>
    <row r="91" spans="1:76" x14ac:dyDescent="0.25">
      <c r="A91" s="2" t="s">
        <v>242</v>
      </c>
      <c r="B91" s="3" t="s">
        <v>54</v>
      </c>
      <c r="C91" s="3" t="s">
        <v>243</v>
      </c>
      <c r="D91" s="95" t="s">
        <v>244</v>
      </c>
      <c r="E91" s="96"/>
      <c r="F91" s="3" t="s">
        <v>245</v>
      </c>
      <c r="G91" s="32">
        <v>20</v>
      </c>
      <c r="H91" s="89">
        <v>0</v>
      </c>
      <c r="I91" s="33">
        <v>21</v>
      </c>
      <c r="J91" s="32">
        <f>ROUND(G91*AO91,2)</f>
        <v>0</v>
      </c>
      <c r="K91" s="32">
        <f>ROUND(G91*AP91,2)</f>
        <v>0</v>
      </c>
      <c r="L91" s="32">
        <f>ROUND(G91*H91,2)</f>
        <v>0</v>
      </c>
      <c r="M91" s="32">
        <f>L91*(1+BW91/100)</f>
        <v>0</v>
      </c>
      <c r="N91" s="34">
        <f>IF(L285=0,0,L91/L285)</f>
        <v>0</v>
      </c>
      <c r="O91" s="32">
        <v>0</v>
      </c>
      <c r="P91" s="32">
        <f>G91*O91</f>
        <v>0</v>
      </c>
      <c r="Q91" s="35" t="s">
        <v>61</v>
      </c>
      <c r="Z91" s="32">
        <f>ROUND(IF(AQ91="5",BJ91,0),2)</f>
        <v>0</v>
      </c>
      <c r="AB91" s="32">
        <f>ROUND(IF(AQ91="1",BH91,0),2)</f>
        <v>0</v>
      </c>
      <c r="AC91" s="32">
        <f>ROUND(IF(AQ91="1",BI91,0),2)</f>
        <v>0</v>
      </c>
      <c r="AD91" s="32">
        <f>ROUND(IF(AQ91="7",BH91,0),2)</f>
        <v>0</v>
      </c>
      <c r="AE91" s="32">
        <f>ROUND(IF(AQ91="7",BI91,0),2)</f>
        <v>0</v>
      </c>
      <c r="AF91" s="32">
        <f>ROUND(IF(AQ91="2",BH91,0),2)</f>
        <v>0</v>
      </c>
      <c r="AG91" s="32">
        <f>ROUND(IF(AQ91="2",BI91,0),2)</f>
        <v>0</v>
      </c>
      <c r="AH91" s="32">
        <f>ROUND(IF(AQ91="0",BJ91,0),2)</f>
        <v>0</v>
      </c>
      <c r="AI91" s="12" t="s">
        <v>54</v>
      </c>
      <c r="AJ91" s="32">
        <f>IF(AN91=0,L91,0)</f>
        <v>0</v>
      </c>
      <c r="AK91" s="32">
        <f>IF(AN91=12,L91,0)</f>
        <v>0</v>
      </c>
      <c r="AL91" s="32">
        <f>IF(AN91=21,L91,0)</f>
        <v>0</v>
      </c>
      <c r="AN91" s="32">
        <v>21</v>
      </c>
      <c r="AO91" s="32">
        <f>H91*0.27173913</f>
        <v>0</v>
      </c>
      <c r="AP91" s="32">
        <f>H91*(1-0.27173913)</f>
        <v>0</v>
      </c>
      <c r="AQ91" s="36" t="s">
        <v>87</v>
      </c>
      <c r="AV91" s="32">
        <f>ROUND(AW91+AX91,2)</f>
        <v>0</v>
      </c>
      <c r="AW91" s="32">
        <f>ROUND(G91*AO91,2)</f>
        <v>0</v>
      </c>
      <c r="AX91" s="32">
        <f>ROUND(G91*AP91,2)</f>
        <v>0</v>
      </c>
      <c r="AY91" s="36" t="s">
        <v>144</v>
      </c>
      <c r="AZ91" s="36" t="s">
        <v>145</v>
      </c>
      <c r="BA91" s="12" t="s">
        <v>63</v>
      </c>
      <c r="BC91" s="32">
        <f>AW91+AX91</f>
        <v>0</v>
      </c>
      <c r="BD91" s="32">
        <f>H91/(100-BE91)*100</f>
        <v>0</v>
      </c>
      <c r="BE91" s="32">
        <v>0</v>
      </c>
      <c r="BF91" s="32">
        <f>P91</f>
        <v>0</v>
      </c>
      <c r="BH91" s="32">
        <f>G91*AO91</f>
        <v>0</v>
      </c>
      <c r="BI91" s="32">
        <f>G91*AP91</f>
        <v>0</v>
      </c>
      <c r="BJ91" s="32">
        <f>G91*H91</f>
        <v>0</v>
      </c>
      <c r="BK91" s="32"/>
      <c r="BL91" s="32">
        <v>721</v>
      </c>
      <c r="BW91" s="32">
        <f>I91</f>
        <v>21</v>
      </c>
      <c r="BX91" s="4" t="s">
        <v>244</v>
      </c>
    </row>
    <row r="92" spans="1:76" ht="13.5" customHeight="1" x14ac:dyDescent="0.25">
      <c r="A92" s="37"/>
      <c r="C92" s="38"/>
      <c r="D92" s="100" t="s">
        <v>246</v>
      </c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9"/>
    </row>
    <row r="93" spans="1:76" x14ac:dyDescent="0.25">
      <c r="A93" s="2" t="s">
        <v>247</v>
      </c>
      <c r="B93" s="3" t="s">
        <v>54</v>
      </c>
      <c r="C93" s="3" t="s">
        <v>237</v>
      </c>
      <c r="D93" s="95" t="s">
        <v>248</v>
      </c>
      <c r="E93" s="96"/>
      <c r="F93" s="3" t="s">
        <v>239</v>
      </c>
      <c r="G93" s="32">
        <v>1</v>
      </c>
      <c r="H93" s="89">
        <v>0</v>
      </c>
      <c r="I93" s="33">
        <v>21</v>
      </c>
      <c r="J93" s="32">
        <f>ROUND(G93*AO93,2)</f>
        <v>0</v>
      </c>
      <c r="K93" s="32">
        <f>ROUND(G93*AP93,2)</f>
        <v>0</v>
      </c>
      <c r="L93" s="32">
        <f>ROUND(G93*H93,2)</f>
        <v>0</v>
      </c>
      <c r="M93" s="32">
        <f>L93*(1+BW93/100)</f>
        <v>0</v>
      </c>
      <c r="N93" s="34">
        <f>IF(L285=0,0,L93/L285)</f>
        <v>0</v>
      </c>
      <c r="O93" s="32">
        <v>0</v>
      </c>
      <c r="P93" s="32">
        <f>G93*O93</f>
        <v>0</v>
      </c>
      <c r="Q93" s="35"/>
      <c r="Z93" s="32">
        <f>ROUND(IF(AQ93="5",BJ93,0),2)</f>
        <v>0</v>
      </c>
      <c r="AB93" s="32">
        <f>ROUND(IF(AQ93="1",BH93,0),2)</f>
        <v>0</v>
      </c>
      <c r="AC93" s="32">
        <f>ROUND(IF(AQ93="1",BI93,0),2)</f>
        <v>0</v>
      </c>
      <c r="AD93" s="32">
        <f>ROUND(IF(AQ93="7",BH93,0),2)</f>
        <v>0</v>
      </c>
      <c r="AE93" s="32">
        <f>ROUND(IF(AQ93="7",BI93,0),2)</f>
        <v>0</v>
      </c>
      <c r="AF93" s="32">
        <f>ROUND(IF(AQ93="2",BH93,0),2)</f>
        <v>0</v>
      </c>
      <c r="AG93" s="32">
        <f>ROUND(IF(AQ93="2",BI93,0),2)</f>
        <v>0</v>
      </c>
      <c r="AH93" s="32">
        <f>ROUND(IF(AQ93="0",BJ93,0),2)</f>
        <v>0</v>
      </c>
      <c r="AI93" s="12" t="s">
        <v>54</v>
      </c>
      <c r="AJ93" s="32">
        <f>IF(AN93=0,L93,0)</f>
        <v>0</v>
      </c>
      <c r="AK93" s="32">
        <f>IF(AN93=12,L93,0)</f>
        <v>0</v>
      </c>
      <c r="AL93" s="32">
        <f>IF(AN93=21,L93,0)</f>
        <v>0</v>
      </c>
      <c r="AN93" s="32">
        <v>21</v>
      </c>
      <c r="AO93" s="32">
        <f>H93*0</f>
        <v>0</v>
      </c>
      <c r="AP93" s="32">
        <f>H93*(1-0)</f>
        <v>0</v>
      </c>
      <c r="AQ93" s="36" t="s">
        <v>87</v>
      </c>
      <c r="AV93" s="32">
        <f>ROUND(AW93+AX93,2)</f>
        <v>0</v>
      </c>
      <c r="AW93" s="32">
        <f>ROUND(G93*AO93,2)</f>
        <v>0</v>
      </c>
      <c r="AX93" s="32">
        <f>ROUND(G93*AP93,2)</f>
        <v>0</v>
      </c>
      <c r="AY93" s="36" t="s">
        <v>144</v>
      </c>
      <c r="AZ93" s="36" t="s">
        <v>145</v>
      </c>
      <c r="BA93" s="12" t="s">
        <v>63</v>
      </c>
      <c r="BC93" s="32">
        <f>AW93+AX93</f>
        <v>0</v>
      </c>
      <c r="BD93" s="32">
        <f>H93/(100-BE93)*100</f>
        <v>0</v>
      </c>
      <c r="BE93" s="32">
        <v>0</v>
      </c>
      <c r="BF93" s="32">
        <f>P93</f>
        <v>0</v>
      </c>
      <c r="BH93" s="32">
        <f>G93*AO93</f>
        <v>0</v>
      </c>
      <c r="BI93" s="32">
        <f>G93*AP93</f>
        <v>0</v>
      </c>
      <c r="BJ93" s="32">
        <f>G93*H93</f>
        <v>0</v>
      </c>
      <c r="BK93" s="32"/>
      <c r="BL93" s="32">
        <v>721</v>
      </c>
      <c r="BW93" s="32">
        <f>I93</f>
        <v>21</v>
      </c>
      <c r="BX93" s="4" t="s">
        <v>248</v>
      </c>
    </row>
    <row r="94" spans="1:76" ht="13.5" customHeight="1" x14ac:dyDescent="0.25">
      <c r="A94" s="37"/>
      <c r="C94" s="38"/>
      <c r="D94" s="100" t="s">
        <v>249</v>
      </c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9"/>
    </row>
    <row r="95" spans="1:76" x14ac:dyDescent="0.25">
      <c r="A95" s="2" t="s">
        <v>250</v>
      </c>
      <c r="B95" s="3" t="s">
        <v>54</v>
      </c>
      <c r="C95" s="3" t="s">
        <v>251</v>
      </c>
      <c r="D95" s="95" t="s">
        <v>252</v>
      </c>
      <c r="E95" s="96"/>
      <c r="F95" s="3" t="s">
        <v>239</v>
      </c>
      <c r="G95" s="32">
        <v>1</v>
      </c>
      <c r="H95" s="89">
        <v>0</v>
      </c>
      <c r="I95" s="33">
        <v>21</v>
      </c>
      <c r="J95" s="32">
        <f>ROUND(G95*AO95,2)</f>
        <v>0</v>
      </c>
      <c r="K95" s="32">
        <f>ROUND(G95*AP95,2)</f>
        <v>0</v>
      </c>
      <c r="L95" s="32">
        <f>ROUND(G95*H95,2)</f>
        <v>0</v>
      </c>
      <c r="M95" s="32">
        <f>L95*(1+BW95/100)</f>
        <v>0</v>
      </c>
      <c r="N95" s="34">
        <f>IF(L285=0,0,L95/L285)</f>
        <v>0</v>
      </c>
      <c r="O95" s="32">
        <v>0</v>
      </c>
      <c r="P95" s="32">
        <f>G95*O95</f>
        <v>0</v>
      </c>
      <c r="Q95" s="35"/>
      <c r="Z95" s="32">
        <f>ROUND(IF(AQ95="5",BJ95,0),2)</f>
        <v>0</v>
      </c>
      <c r="AB95" s="32">
        <f>ROUND(IF(AQ95="1",BH95,0),2)</f>
        <v>0</v>
      </c>
      <c r="AC95" s="32">
        <f>ROUND(IF(AQ95="1",BI95,0),2)</f>
        <v>0</v>
      </c>
      <c r="AD95" s="32">
        <f>ROUND(IF(AQ95="7",BH95,0),2)</f>
        <v>0</v>
      </c>
      <c r="AE95" s="32">
        <f>ROUND(IF(AQ95="7",BI95,0),2)</f>
        <v>0</v>
      </c>
      <c r="AF95" s="32">
        <f>ROUND(IF(AQ95="2",BH95,0),2)</f>
        <v>0</v>
      </c>
      <c r="AG95" s="32">
        <f>ROUND(IF(AQ95="2",BI95,0),2)</f>
        <v>0</v>
      </c>
      <c r="AH95" s="32">
        <f>ROUND(IF(AQ95="0",BJ95,0),2)</f>
        <v>0</v>
      </c>
      <c r="AI95" s="12" t="s">
        <v>54</v>
      </c>
      <c r="AJ95" s="32">
        <f>IF(AN95=0,L95,0)</f>
        <v>0</v>
      </c>
      <c r="AK95" s="32">
        <f>IF(AN95=12,L95,0)</f>
        <v>0</v>
      </c>
      <c r="AL95" s="32">
        <f>IF(AN95=21,L95,0)</f>
        <v>0</v>
      </c>
      <c r="AN95" s="32">
        <v>21</v>
      </c>
      <c r="AO95" s="32">
        <f>H95*0</f>
        <v>0</v>
      </c>
      <c r="AP95" s="32">
        <f>H95*(1-0)</f>
        <v>0</v>
      </c>
      <c r="AQ95" s="36" t="s">
        <v>79</v>
      </c>
      <c r="AV95" s="32">
        <f>ROUND(AW95+AX95,2)</f>
        <v>0</v>
      </c>
      <c r="AW95" s="32">
        <f>ROUND(G95*AO95,2)</f>
        <v>0</v>
      </c>
      <c r="AX95" s="32">
        <f>ROUND(G95*AP95,2)</f>
        <v>0</v>
      </c>
      <c r="AY95" s="36" t="s">
        <v>144</v>
      </c>
      <c r="AZ95" s="36" t="s">
        <v>145</v>
      </c>
      <c r="BA95" s="12" t="s">
        <v>63</v>
      </c>
      <c r="BC95" s="32">
        <f>AW95+AX95</f>
        <v>0</v>
      </c>
      <c r="BD95" s="32">
        <f>H95/(100-BE95)*100</f>
        <v>0</v>
      </c>
      <c r="BE95" s="32">
        <v>0</v>
      </c>
      <c r="BF95" s="32">
        <f>P95</f>
        <v>0</v>
      </c>
      <c r="BH95" s="32">
        <f>G95*AO95</f>
        <v>0</v>
      </c>
      <c r="BI95" s="32">
        <f>G95*AP95</f>
        <v>0</v>
      </c>
      <c r="BJ95" s="32">
        <f>G95*H95</f>
        <v>0</v>
      </c>
      <c r="BK95" s="32"/>
      <c r="BL95" s="32">
        <v>721</v>
      </c>
      <c r="BW95" s="32">
        <f>I95</f>
        <v>21</v>
      </c>
      <c r="BX95" s="4" t="s">
        <v>252</v>
      </c>
    </row>
    <row r="96" spans="1:76" x14ac:dyDescent="0.25">
      <c r="A96" s="40" t="s">
        <v>54</v>
      </c>
      <c r="B96" s="41" t="s">
        <v>54</v>
      </c>
      <c r="C96" s="41" t="s">
        <v>253</v>
      </c>
      <c r="D96" s="101" t="s">
        <v>254</v>
      </c>
      <c r="E96" s="102"/>
      <c r="F96" s="42" t="s">
        <v>7</v>
      </c>
      <c r="G96" s="42" t="s">
        <v>7</v>
      </c>
      <c r="H96" s="42" t="s">
        <v>7</v>
      </c>
      <c r="I96" s="42" t="s">
        <v>7</v>
      </c>
      <c r="J96" s="1">
        <f>SUM(J97:J138)</f>
        <v>0</v>
      </c>
      <c r="K96" s="1">
        <f>SUM(K97:K138)</f>
        <v>0</v>
      </c>
      <c r="L96" s="1">
        <f>SUM(L97:L138)</f>
        <v>0</v>
      </c>
      <c r="M96" s="1">
        <f>SUM(M97:M138)</f>
        <v>0</v>
      </c>
      <c r="N96" s="43">
        <f>IF(L285=0,0,L96/L285)</f>
        <v>0</v>
      </c>
      <c r="O96" s="12" t="s">
        <v>54</v>
      </c>
      <c r="P96" s="1">
        <f>SUM(P97:P138)</f>
        <v>0.280918</v>
      </c>
      <c r="Q96" s="44" t="s">
        <v>54</v>
      </c>
      <c r="AI96" s="12" t="s">
        <v>54</v>
      </c>
      <c r="AS96" s="1">
        <f>SUM(AJ97:AJ138)</f>
        <v>0</v>
      </c>
      <c r="AT96" s="1">
        <f>SUM(AK97:AK138)</f>
        <v>0</v>
      </c>
      <c r="AU96" s="1">
        <f>SUM(AL97:AL138)</f>
        <v>0</v>
      </c>
    </row>
    <row r="97" spans="1:76" ht="25.5" customHeight="1" x14ac:dyDescent="0.25">
      <c r="A97" s="2" t="s">
        <v>255</v>
      </c>
      <c r="B97" s="3" t="s">
        <v>54</v>
      </c>
      <c r="C97" s="3" t="s">
        <v>256</v>
      </c>
      <c r="D97" s="95" t="s">
        <v>257</v>
      </c>
      <c r="E97" s="95"/>
      <c r="F97" s="3" t="s">
        <v>143</v>
      </c>
      <c r="G97" s="32">
        <v>107.5</v>
      </c>
      <c r="H97" s="89">
        <v>0</v>
      </c>
      <c r="I97" s="33">
        <v>21</v>
      </c>
      <c r="J97" s="32">
        <f>ROUND(G97*AO97,2)</f>
        <v>0</v>
      </c>
      <c r="K97" s="32">
        <f>ROUND(G97*AP97,2)</f>
        <v>0</v>
      </c>
      <c r="L97" s="32">
        <f>ROUND(G97*H97,2)</f>
        <v>0</v>
      </c>
      <c r="M97" s="32">
        <f>L97*(1+BW97/100)</f>
        <v>0</v>
      </c>
      <c r="N97" s="34">
        <f>IF(L285=0,0,L97/L285)</f>
        <v>0</v>
      </c>
      <c r="O97" s="32">
        <v>4.6000000000000001E-4</v>
      </c>
      <c r="P97" s="32">
        <f>G97*O97</f>
        <v>4.9450000000000001E-2</v>
      </c>
      <c r="Q97" s="35" t="s">
        <v>61</v>
      </c>
      <c r="Z97" s="32">
        <f>ROUND(IF(AQ97="5",BJ97,0),2)</f>
        <v>0</v>
      </c>
      <c r="AB97" s="32">
        <f>ROUND(IF(AQ97="1",BH97,0),2)</f>
        <v>0</v>
      </c>
      <c r="AC97" s="32">
        <f>ROUND(IF(AQ97="1",BI97,0),2)</f>
        <v>0</v>
      </c>
      <c r="AD97" s="32">
        <f>ROUND(IF(AQ97="7",BH97,0),2)</f>
        <v>0</v>
      </c>
      <c r="AE97" s="32">
        <f>ROUND(IF(AQ97="7",BI97,0),2)</f>
        <v>0</v>
      </c>
      <c r="AF97" s="32">
        <f>ROUND(IF(AQ97="2",BH97,0),2)</f>
        <v>0</v>
      </c>
      <c r="AG97" s="32">
        <f>ROUND(IF(AQ97="2",BI97,0),2)</f>
        <v>0</v>
      </c>
      <c r="AH97" s="32">
        <f>ROUND(IF(AQ97="0",BJ97,0),2)</f>
        <v>0</v>
      </c>
      <c r="AI97" s="12" t="s">
        <v>54</v>
      </c>
      <c r="AJ97" s="32">
        <f>IF(AN97=0,L97,0)</f>
        <v>0</v>
      </c>
      <c r="AK97" s="32">
        <f>IF(AN97=12,L97,0)</f>
        <v>0</v>
      </c>
      <c r="AL97" s="32">
        <f>IF(AN97=21,L97,0)</f>
        <v>0</v>
      </c>
      <c r="AN97" s="32">
        <v>21</v>
      </c>
      <c r="AO97" s="32">
        <f>H97*0.243590651</f>
        <v>0</v>
      </c>
      <c r="AP97" s="32">
        <f>H97*(1-0.243590651)</f>
        <v>0</v>
      </c>
      <c r="AQ97" s="36" t="s">
        <v>87</v>
      </c>
      <c r="AV97" s="32">
        <f>ROUND(AW97+AX97,2)</f>
        <v>0</v>
      </c>
      <c r="AW97" s="32">
        <f>ROUND(G97*AO97,2)</f>
        <v>0</v>
      </c>
      <c r="AX97" s="32">
        <f>ROUND(G97*AP97,2)</f>
        <v>0</v>
      </c>
      <c r="AY97" s="36" t="s">
        <v>258</v>
      </c>
      <c r="AZ97" s="36" t="s">
        <v>145</v>
      </c>
      <c r="BA97" s="12" t="s">
        <v>63</v>
      </c>
      <c r="BC97" s="32">
        <f>AW97+AX97</f>
        <v>0</v>
      </c>
      <c r="BD97" s="32">
        <f>H97/(100-BE97)*100</f>
        <v>0</v>
      </c>
      <c r="BE97" s="32">
        <v>0</v>
      </c>
      <c r="BF97" s="32">
        <f>P97</f>
        <v>4.9450000000000001E-2</v>
      </c>
      <c r="BH97" s="32">
        <f>G97*AO97</f>
        <v>0</v>
      </c>
      <c r="BI97" s="32">
        <f>G97*AP97</f>
        <v>0</v>
      </c>
      <c r="BJ97" s="32">
        <f>G97*H97</f>
        <v>0</v>
      </c>
      <c r="BK97" s="32"/>
      <c r="BL97" s="32">
        <v>722</v>
      </c>
      <c r="BW97" s="32">
        <f>I97</f>
        <v>21</v>
      </c>
      <c r="BX97" s="4" t="s">
        <v>257</v>
      </c>
    </row>
    <row r="98" spans="1:76" ht="13.5" customHeight="1" x14ac:dyDescent="0.25">
      <c r="A98" s="37"/>
      <c r="C98" s="38"/>
      <c r="D98" s="100" t="s">
        <v>259</v>
      </c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9"/>
    </row>
    <row r="99" spans="1:76" ht="25.5" customHeight="1" x14ac:dyDescent="0.25">
      <c r="A99" s="2" t="s">
        <v>260</v>
      </c>
      <c r="B99" s="3" t="s">
        <v>54</v>
      </c>
      <c r="C99" s="3" t="s">
        <v>261</v>
      </c>
      <c r="D99" s="95" t="s">
        <v>262</v>
      </c>
      <c r="E99" s="95"/>
      <c r="F99" s="3" t="s">
        <v>143</v>
      </c>
      <c r="G99" s="32">
        <v>78.599999999999994</v>
      </c>
      <c r="H99" s="89">
        <v>0</v>
      </c>
      <c r="I99" s="33">
        <v>21</v>
      </c>
      <c r="J99" s="32">
        <f>ROUND(G99*AO99,2)</f>
        <v>0</v>
      </c>
      <c r="K99" s="32">
        <f>ROUND(G99*AP99,2)</f>
        <v>0</v>
      </c>
      <c r="L99" s="32">
        <f>ROUND(G99*H99,2)</f>
        <v>0</v>
      </c>
      <c r="M99" s="32">
        <f>L99*(1+BW99/100)</f>
        <v>0</v>
      </c>
      <c r="N99" s="34">
        <f>IF(L285=0,0,L99/L285)</f>
        <v>0</v>
      </c>
      <c r="O99" s="32">
        <v>5.8E-4</v>
      </c>
      <c r="P99" s="32">
        <f>G99*O99</f>
        <v>4.5587999999999997E-2</v>
      </c>
      <c r="Q99" s="35" t="s">
        <v>61</v>
      </c>
      <c r="Z99" s="32">
        <f>ROUND(IF(AQ99="5",BJ99,0),2)</f>
        <v>0</v>
      </c>
      <c r="AB99" s="32">
        <f>ROUND(IF(AQ99="1",BH99,0),2)</f>
        <v>0</v>
      </c>
      <c r="AC99" s="32">
        <f>ROUND(IF(AQ99="1",BI99,0),2)</f>
        <v>0</v>
      </c>
      <c r="AD99" s="32">
        <f>ROUND(IF(AQ99="7",BH99,0),2)</f>
        <v>0</v>
      </c>
      <c r="AE99" s="32">
        <f>ROUND(IF(AQ99="7",BI99,0),2)</f>
        <v>0</v>
      </c>
      <c r="AF99" s="32">
        <f>ROUND(IF(AQ99="2",BH99,0),2)</f>
        <v>0</v>
      </c>
      <c r="AG99" s="32">
        <f>ROUND(IF(AQ99="2",BI99,0),2)</f>
        <v>0</v>
      </c>
      <c r="AH99" s="32">
        <f>ROUND(IF(AQ99="0",BJ99,0),2)</f>
        <v>0</v>
      </c>
      <c r="AI99" s="12" t="s">
        <v>54</v>
      </c>
      <c r="AJ99" s="32">
        <f>IF(AN99=0,L99,0)</f>
        <v>0</v>
      </c>
      <c r="AK99" s="32">
        <f>IF(AN99=12,L99,0)</f>
        <v>0</v>
      </c>
      <c r="AL99" s="32">
        <f>IF(AN99=21,L99,0)</f>
        <v>0</v>
      </c>
      <c r="AN99" s="32">
        <v>21</v>
      </c>
      <c r="AO99" s="32">
        <f>H99*0.290667459</f>
        <v>0</v>
      </c>
      <c r="AP99" s="32">
        <f>H99*(1-0.290667459)</f>
        <v>0</v>
      </c>
      <c r="AQ99" s="36" t="s">
        <v>87</v>
      </c>
      <c r="AV99" s="32">
        <f>ROUND(AW99+AX99,2)</f>
        <v>0</v>
      </c>
      <c r="AW99" s="32">
        <f>ROUND(G99*AO99,2)</f>
        <v>0</v>
      </c>
      <c r="AX99" s="32">
        <f>ROUND(G99*AP99,2)</f>
        <v>0</v>
      </c>
      <c r="AY99" s="36" t="s">
        <v>258</v>
      </c>
      <c r="AZ99" s="36" t="s">
        <v>145</v>
      </c>
      <c r="BA99" s="12" t="s">
        <v>63</v>
      </c>
      <c r="BC99" s="32">
        <f>AW99+AX99</f>
        <v>0</v>
      </c>
      <c r="BD99" s="32">
        <f>H99/(100-BE99)*100</f>
        <v>0</v>
      </c>
      <c r="BE99" s="32">
        <v>0</v>
      </c>
      <c r="BF99" s="32">
        <f>P99</f>
        <v>4.5587999999999997E-2</v>
      </c>
      <c r="BH99" s="32">
        <f>G99*AO99</f>
        <v>0</v>
      </c>
      <c r="BI99" s="32">
        <f>G99*AP99</f>
        <v>0</v>
      </c>
      <c r="BJ99" s="32">
        <f>G99*H99</f>
        <v>0</v>
      </c>
      <c r="BK99" s="32"/>
      <c r="BL99" s="32">
        <v>722</v>
      </c>
      <c r="BW99" s="32">
        <f>I99</f>
        <v>21</v>
      </c>
      <c r="BX99" s="4" t="s">
        <v>262</v>
      </c>
    </row>
    <row r="100" spans="1:76" ht="13.5" customHeight="1" x14ac:dyDescent="0.25">
      <c r="A100" s="37"/>
      <c r="C100" s="38"/>
      <c r="D100" s="100" t="s">
        <v>259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9"/>
    </row>
    <row r="101" spans="1:76" ht="25.5" customHeight="1" x14ac:dyDescent="0.25">
      <c r="A101" s="2" t="s">
        <v>263</v>
      </c>
      <c r="B101" s="3" t="s">
        <v>54</v>
      </c>
      <c r="C101" s="3" t="s">
        <v>264</v>
      </c>
      <c r="D101" s="95" t="s">
        <v>265</v>
      </c>
      <c r="E101" s="96"/>
      <c r="F101" s="3" t="s">
        <v>143</v>
      </c>
      <c r="G101" s="32">
        <v>15.2</v>
      </c>
      <c r="H101" s="89">
        <v>0</v>
      </c>
      <c r="I101" s="33">
        <v>21</v>
      </c>
      <c r="J101" s="32">
        <f>ROUND(G101*AO101,2)</f>
        <v>0</v>
      </c>
      <c r="K101" s="32">
        <f>ROUND(G101*AP101,2)</f>
        <v>0</v>
      </c>
      <c r="L101" s="32">
        <f>ROUND(G101*H101,2)</f>
        <v>0</v>
      </c>
      <c r="M101" s="32">
        <f>L101*(1+BW101/100)</f>
        <v>0</v>
      </c>
      <c r="N101" s="34">
        <f>IF(L285=0,0,L101/L285)</f>
        <v>0</v>
      </c>
      <c r="O101" s="32">
        <v>7.6999999999999996E-4</v>
      </c>
      <c r="P101" s="32">
        <f>G101*O101</f>
        <v>1.1703999999999999E-2</v>
      </c>
      <c r="Q101" s="35" t="s">
        <v>61</v>
      </c>
      <c r="Z101" s="32">
        <f>ROUND(IF(AQ101="5",BJ101,0),2)</f>
        <v>0</v>
      </c>
      <c r="AB101" s="32">
        <f>ROUND(IF(AQ101="1",BH101,0),2)</f>
        <v>0</v>
      </c>
      <c r="AC101" s="32">
        <f>ROUND(IF(AQ101="1",BI101,0),2)</f>
        <v>0</v>
      </c>
      <c r="AD101" s="32">
        <f>ROUND(IF(AQ101="7",BH101,0),2)</f>
        <v>0</v>
      </c>
      <c r="AE101" s="32">
        <f>ROUND(IF(AQ101="7",BI101,0),2)</f>
        <v>0</v>
      </c>
      <c r="AF101" s="32">
        <f>ROUND(IF(AQ101="2",BH101,0),2)</f>
        <v>0</v>
      </c>
      <c r="AG101" s="32">
        <f>ROUND(IF(AQ101="2",BI101,0),2)</f>
        <v>0</v>
      </c>
      <c r="AH101" s="32">
        <f>ROUND(IF(AQ101="0",BJ101,0),2)</f>
        <v>0</v>
      </c>
      <c r="AI101" s="12" t="s">
        <v>54</v>
      </c>
      <c r="AJ101" s="32">
        <f>IF(AN101=0,L101,0)</f>
        <v>0</v>
      </c>
      <c r="AK101" s="32">
        <f>IF(AN101=12,L101,0)</f>
        <v>0</v>
      </c>
      <c r="AL101" s="32">
        <f>IF(AN101=21,L101,0)</f>
        <v>0</v>
      </c>
      <c r="AN101" s="32">
        <v>21</v>
      </c>
      <c r="AO101" s="32">
        <f>H101*0.350943396</f>
        <v>0</v>
      </c>
      <c r="AP101" s="32">
        <f>H101*(1-0.350943396)</f>
        <v>0</v>
      </c>
      <c r="AQ101" s="36" t="s">
        <v>87</v>
      </c>
      <c r="AV101" s="32">
        <f>ROUND(AW101+AX101,2)</f>
        <v>0</v>
      </c>
      <c r="AW101" s="32">
        <f>ROUND(G101*AO101,2)</f>
        <v>0</v>
      </c>
      <c r="AX101" s="32">
        <f>ROUND(G101*AP101,2)</f>
        <v>0</v>
      </c>
      <c r="AY101" s="36" t="s">
        <v>258</v>
      </c>
      <c r="AZ101" s="36" t="s">
        <v>145</v>
      </c>
      <c r="BA101" s="12" t="s">
        <v>63</v>
      </c>
      <c r="BC101" s="32">
        <f>AW101+AX101</f>
        <v>0</v>
      </c>
      <c r="BD101" s="32">
        <f>H101/(100-BE101)*100</f>
        <v>0</v>
      </c>
      <c r="BE101" s="32">
        <v>0</v>
      </c>
      <c r="BF101" s="32">
        <f>P101</f>
        <v>1.1703999999999999E-2</v>
      </c>
      <c r="BH101" s="32">
        <f>G101*AO101</f>
        <v>0</v>
      </c>
      <c r="BI101" s="32">
        <f>G101*AP101</f>
        <v>0</v>
      </c>
      <c r="BJ101" s="32">
        <f>G101*H101</f>
        <v>0</v>
      </c>
      <c r="BK101" s="32"/>
      <c r="BL101" s="32">
        <v>722</v>
      </c>
      <c r="BW101" s="32">
        <f>I101</f>
        <v>21</v>
      </c>
      <c r="BX101" s="4" t="s">
        <v>265</v>
      </c>
    </row>
    <row r="102" spans="1:76" ht="25.5" customHeight="1" x14ac:dyDescent="0.25">
      <c r="A102" s="2" t="s">
        <v>266</v>
      </c>
      <c r="B102" s="3" t="s">
        <v>54</v>
      </c>
      <c r="C102" s="3" t="s">
        <v>256</v>
      </c>
      <c r="D102" s="95" t="s">
        <v>267</v>
      </c>
      <c r="E102" s="96"/>
      <c r="F102" s="3" t="s">
        <v>143</v>
      </c>
      <c r="G102" s="32">
        <v>167.5</v>
      </c>
      <c r="H102" s="89">
        <v>0</v>
      </c>
      <c r="I102" s="33">
        <v>21</v>
      </c>
      <c r="J102" s="32">
        <f>ROUND(G102*AO102,2)</f>
        <v>0</v>
      </c>
      <c r="K102" s="32">
        <f>ROUND(G102*AP102,2)</f>
        <v>0</v>
      </c>
      <c r="L102" s="32">
        <f>ROUND(G102*H102,2)</f>
        <v>0</v>
      </c>
      <c r="M102" s="32">
        <f>L102*(1+BW102/100)</f>
        <v>0</v>
      </c>
      <c r="N102" s="34">
        <f>IF(L285=0,0,L102/L285)</f>
        <v>0</v>
      </c>
      <c r="O102" s="32">
        <v>4.6000000000000001E-4</v>
      </c>
      <c r="P102" s="32">
        <f>G102*O102</f>
        <v>7.7050000000000007E-2</v>
      </c>
      <c r="Q102" s="35" t="s">
        <v>61</v>
      </c>
      <c r="Z102" s="32">
        <f>ROUND(IF(AQ102="5",BJ102,0),2)</f>
        <v>0</v>
      </c>
      <c r="AB102" s="32">
        <f>ROUND(IF(AQ102="1",BH102,0),2)</f>
        <v>0</v>
      </c>
      <c r="AC102" s="32">
        <f>ROUND(IF(AQ102="1",BI102,0),2)</f>
        <v>0</v>
      </c>
      <c r="AD102" s="32">
        <f>ROUND(IF(AQ102="7",BH102,0),2)</f>
        <v>0</v>
      </c>
      <c r="AE102" s="32">
        <f>ROUND(IF(AQ102="7",BI102,0),2)</f>
        <v>0</v>
      </c>
      <c r="AF102" s="32">
        <f>ROUND(IF(AQ102="2",BH102,0),2)</f>
        <v>0</v>
      </c>
      <c r="AG102" s="32">
        <f>ROUND(IF(AQ102="2",BI102,0),2)</f>
        <v>0</v>
      </c>
      <c r="AH102" s="32">
        <f>ROUND(IF(AQ102="0",BJ102,0),2)</f>
        <v>0</v>
      </c>
      <c r="AI102" s="12" t="s">
        <v>54</v>
      </c>
      <c r="AJ102" s="32">
        <f>IF(AN102=0,L102,0)</f>
        <v>0</v>
      </c>
      <c r="AK102" s="32">
        <f>IF(AN102=12,L102,0)</f>
        <v>0</v>
      </c>
      <c r="AL102" s="32">
        <f>IF(AN102=21,L102,0)</f>
        <v>0</v>
      </c>
      <c r="AN102" s="32">
        <v>21</v>
      </c>
      <c r="AO102" s="32">
        <f>H102*0.243590661</f>
        <v>0</v>
      </c>
      <c r="AP102" s="32">
        <f>H102*(1-0.243590661)</f>
        <v>0</v>
      </c>
      <c r="AQ102" s="36" t="s">
        <v>87</v>
      </c>
      <c r="AV102" s="32">
        <f>ROUND(AW102+AX102,2)</f>
        <v>0</v>
      </c>
      <c r="AW102" s="32">
        <f>ROUND(G102*AO102,2)</f>
        <v>0</v>
      </c>
      <c r="AX102" s="32">
        <f>ROUND(G102*AP102,2)</f>
        <v>0</v>
      </c>
      <c r="AY102" s="36" t="s">
        <v>258</v>
      </c>
      <c r="AZ102" s="36" t="s">
        <v>145</v>
      </c>
      <c r="BA102" s="12" t="s">
        <v>63</v>
      </c>
      <c r="BC102" s="32">
        <f>AW102+AX102</f>
        <v>0</v>
      </c>
      <c r="BD102" s="32">
        <f>H102/(100-BE102)*100</f>
        <v>0</v>
      </c>
      <c r="BE102" s="32">
        <v>0</v>
      </c>
      <c r="BF102" s="32">
        <f>P102</f>
        <v>7.7050000000000007E-2</v>
      </c>
      <c r="BH102" s="32">
        <f>G102*AO102</f>
        <v>0</v>
      </c>
      <c r="BI102" s="32">
        <f>G102*AP102</f>
        <v>0</v>
      </c>
      <c r="BJ102" s="32">
        <f>G102*H102</f>
        <v>0</v>
      </c>
      <c r="BK102" s="32"/>
      <c r="BL102" s="32">
        <v>722</v>
      </c>
      <c r="BW102" s="32">
        <f>I102</f>
        <v>21</v>
      </c>
      <c r="BX102" s="4" t="s">
        <v>267</v>
      </c>
    </row>
    <row r="103" spans="1:76" ht="13.5" customHeight="1" x14ac:dyDescent="0.25">
      <c r="A103" s="37"/>
      <c r="C103" s="38"/>
      <c r="D103" s="100" t="s">
        <v>259</v>
      </c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9"/>
    </row>
    <row r="104" spans="1:76" ht="25.5" customHeight="1" x14ac:dyDescent="0.25">
      <c r="A104" s="2" t="s">
        <v>268</v>
      </c>
      <c r="B104" s="3" t="s">
        <v>54</v>
      </c>
      <c r="C104" s="3" t="s">
        <v>261</v>
      </c>
      <c r="D104" s="95" t="s">
        <v>269</v>
      </c>
      <c r="E104" s="96"/>
      <c r="F104" s="3" t="s">
        <v>143</v>
      </c>
      <c r="G104" s="32">
        <v>33.4</v>
      </c>
      <c r="H104" s="89">
        <v>0</v>
      </c>
      <c r="I104" s="33">
        <v>21</v>
      </c>
      <c r="J104" s="32">
        <f>ROUND(G104*AO104,2)</f>
        <v>0</v>
      </c>
      <c r="K104" s="32">
        <f>ROUND(G104*AP104,2)</f>
        <v>0</v>
      </c>
      <c r="L104" s="32">
        <f>ROUND(G104*H104,2)</f>
        <v>0</v>
      </c>
      <c r="M104" s="32">
        <f>L104*(1+BW104/100)</f>
        <v>0</v>
      </c>
      <c r="N104" s="34">
        <f>IF(L285=0,0,L104/L285)</f>
        <v>0</v>
      </c>
      <c r="O104" s="32">
        <v>5.8E-4</v>
      </c>
      <c r="P104" s="32">
        <f>G104*O104</f>
        <v>1.9372E-2</v>
      </c>
      <c r="Q104" s="35" t="s">
        <v>61</v>
      </c>
      <c r="Z104" s="32">
        <f>ROUND(IF(AQ104="5",BJ104,0),2)</f>
        <v>0</v>
      </c>
      <c r="AB104" s="32">
        <f>ROUND(IF(AQ104="1",BH104,0),2)</f>
        <v>0</v>
      </c>
      <c r="AC104" s="32">
        <f>ROUND(IF(AQ104="1",BI104,0),2)</f>
        <v>0</v>
      </c>
      <c r="AD104" s="32">
        <f>ROUND(IF(AQ104="7",BH104,0),2)</f>
        <v>0</v>
      </c>
      <c r="AE104" s="32">
        <f>ROUND(IF(AQ104="7",BI104,0),2)</f>
        <v>0</v>
      </c>
      <c r="AF104" s="32">
        <f>ROUND(IF(AQ104="2",BH104,0),2)</f>
        <v>0</v>
      </c>
      <c r="AG104" s="32">
        <f>ROUND(IF(AQ104="2",BI104,0),2)</f>
        <v>0</v>
      </c>
      <c r="AH104" s="32">
        <f>ROUND(IF(AQ104="0",BJ104,0),2)</f>
        <v>0</v>
      </c>
      <c r="AI104" s="12" t="s">
        <v>54</v>
      </c>
      <c r="AJ104" s="32">
        <f>IF(AN104=0,L104,0)</f>
        <v>0</v>
      </c>
      <c r="AK104" s="32">
        <f>IF(AN104=12,L104,0)</f>
        <v>0</v>
      </c>
      <c r="AL104" s="32">
        <f>IF(AN104=21,L104,0)</f>
        <v>0</v>
      </c>
      <c r="AN104" s="32">
        <v>21</v>
      </c>
      <c r="AO104" s="32">
        <f>H104*0.290667554</f>
        <v>0</v>
      </c>
      <c r="AP104" s="32">
        <f>H104*(1-0.290667554)</f>
        <v>0</v>
      </c>
      <c r="AQ104" s="36" t="s">
        <v>87</v>
      </c>
      <c r="AV104" s="32">
        <f>ROUND(AW104+AX104,2)</f>
        <v>0</v>
      </c>
      <c r="AW104" s="32">
        <f>ROUND(G104*AO104,2)</f>
        <v>0</v>
      </c>
      <c r="AX104" s="32">
        <f>ROUND(G104*AP104,2)</f>
        <v>0</v>
      </c>
      <c r="AY104" s="36" t="s">
        <v>258</v>
      </c>
      <c r="AZ104" s="36" t="s">
        <v>145</v>
      </c>
      <c r="BA104" s="12" t="s">
        <v>63</v>
      </c>
      <c r="BC104" s="32">
        <f>AW104+AX104</f>
        <v>0</v>
      </c>
      <c r="BD104" s="32">
        <f>H104/(100-BE104)*100</f>
        <v>0</v>
      </c>
      <c r="BE104" s="32">
        <v>0</v>
      </c>
      <c r="BF104" s="32">
        <f>P104</f>
        <v>1.9372E-2</v>
      </c>
      <c r="BH104" s="32">
        <f>G104*AO104</f>
        <v>0</v>
      </c>
      <c r="BI104" s="32">
        <f>G104*AP104</f>
        <v>0</v>
      </c>
      <c r="BJ104" s="32">
        <f>G104*H104</f>
        <v>0</v>
      </c>
      <c r="BK104" s="32"/>
      <c r="BL104" s="32">
        <v>722</v>
      </c>
      <c r="BW104" s="32">
        <f>I104</f>
        <v>21</v>
      </c>
      <c r="BX104" s="4" t="s">
        <v>269</v>
      </c>
    </row>
    <row r="105" spans="1:76" ht="13.5" customHeight="1" x14ac:dyDescent="0.25">
      <c r="A105" s="37"/>
      <c r="C105" s="38"/>
      <c r="D105" s="100" t="s">
        <v>259</v>
      </c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9"/>
    </row>
    <row r="106" spans="1:76" ht="25.5" customHeight="1" x14ac:dyDescent="0.25">
      <c r="A106" s="2" t="s">
        <v>270</v>
      </c>
      <c r="B106" s="3" t="s">
        <v>54</v>
      </c>
      <c r="C106" s="3" t="s">
        <v>264</v>
      </c>
      <c r="D106" s="95" t="s">
        <v>271</v>
      </c>
      <c r="E106" s="96"/>
      <c r="F106" s="3" t="s">
        <v>143</v>
      </c>
      <c r="G106" s="32">
        <v>15.2</v>
      </c>
      <c r="H106" s="89">
        <v>0</v>
      </c>
      <c r="I106" s="33">
        <v>21</v>
      </c>
      <c r="J106" s="32">
        <f>ROUND(G106*AO106,2)</f>
        <v>0</v>
      </c>
      <c r="K106" s="32">
        <f>ROUND(G106*AP106,2)</f>
        <v>0</v>
      </c>
      <c r="L106" s="32">
        <f>ROUND(G106*H106,2)</f>
        <v>0</v>
      </c>
      <c r="M106" s="32">
        <f>L106*(1+BW106/100)</f>
        <v>0</v>
      </c>
      <c r="N106" s="34">
        <f>IF(L285=0,0,L106/L285)</f>
        <v>0</v>
      </c>
      <c r="O106" s="32">
        <v>7.6999999999999996E-4</v>
      </c>
      <c r="P106" s="32">
        <f>G106*O106</f>
        <v>1.1703999999999999E-2</v>
      </c>
      <c r="Q106" s="35" t="s">
        <v>61</v>
      </c>
      <c r="Z106" s="32">
        <f>ROUND(IF(AQ106="5",BJ106,0),2)</f>
        <v>0</v>
      </c>
      <c r="AB106" s="32">
        <f>ROUND(IF(AQ106="1",BH106,0),2)</f>
        <v>0</v>
      </c>
      <c r="AC106" s="32">
        <f>ROUND(IF(AQ106="1",BI106,0),2)</f>
        <v>0</v>
      </c>
      <c r="AD106" s="32">
        <f>ROUND(IF(AQ106="7",BH106,0),2)</f>
        <v>0</v>
      </c>
      <c r="AE106" s="32">
        <f>ROUND(IF(AQ106="7",BI106,0),2)</f>
        <v>0</v>
      </c>
      <c r="AF106" s="32">
        <f>ROUND(IF(AQ106="2",BH106,0),2)</f>
        <v>0</v>
      </c>
      <c r="AG106" s="32">
        <f>ROUND(IF(AQ106="2",BI106,0),2)</f>
        <v>0</v>
      </c>
      <c r="AH106" s="32">
        <f>ROUND(IF(AQ106="0",BJ106,0),2)</f>
        <v>0</v>
      </c>
      <c r="AI106" s="12" t="s">
        <v>54</v>
      </c>
      <c r="AJ106" s="32">
        <f>IF(AN106=0,L106,0)</f>
        <v>0</v>
      </c>
      <c r="AK106" s="32">
        <f>IF(AN106=12,L106,0)</f>
        <v>0</v>
      </c>
      <c r="AL106" s="32">
        <f>IF(AN106=21,L106,0)</f>
        <v>0</v>
      </c>
      <c r="AN106" s="32">
        <v>21</v>
      </c>
      <c r="AO106" s="32">
        <f>H106*0.350943396</f>
        <v>0</v>
      </c>
      <c r="AP106" s="32">
        <f>H106*(1-0.350943396)</f>
        <v>0</v>
      </c>
      <c r="AQ106" s="36" t="s">
        <v>87</v>
      </c>
      <c r="AV106" s="32">
        <f>ROUND(AW106+AX106,2)</f>
        <v>0</v>
      </c>
      <c r="AW106" s="32">
        <f>ROUND(G106*AO106,2)</f>
        <v>0</v>
      </c>
      <c r="AX106" s="32">
        <f>ROUND(G106*AP106,2)</f>
        <v>0</v>
      </c>
      <c r="AY106" s="36" t="s">
        <v>258</v>
      </c>
      <c r="AZ106" s="36" t="s">
        <v>145</v>
      </c>
      <c r="BA106" s="12" t="s">
        <v>63</v>
      </c>
      <c r="BC106" s="32">
        <f>AW106+AX106</f>
        <v>0</v>
      </c>
      <c r="BD106" s="32">
        <f>H106/(100-BE106)*100</f>
        <v>0</v>
      </c>
      <c r="BE106" s="32">
        <v>0</v>
      </c>
      <c r="BF106" s="32">
        <f>P106</f>
        <v>1.1703999999999999E-2</v>
      </c>
      <c r="BH106" s="32">
        <f>G106*AO106</f>
        <v>0</v>
      </c>
      <c r="BI106" s="32">
        <f>G106*AP106</f>
        <v>0</v>
      </c>
      <c r="BJ106" s="32">
        <f>G106*H106</f>
        <v>0</v>
      </c>
      <c r="BK106" s="32"/>
      <c r="BL106" s="32">
        <v>722</v>
      </c>
      <c r="BW106" s="32">
        <f>I106</f>
        <v>21</v>
      </c>
      <c r="BX106" s="4" t="s">
        <v>271</v>
      </c>
    </row>
    <row r="107" spans="1:76" x14ac:dyDescent="0.25">
      <c r="A107" s="2" t="s">
        <v>107</v>
      </c>
      <c r="B107" s="3" t="s">
        <v>54</v>
      </c>
      <c r="C107" s="3" t="s">
        <v>272</v>
      </c>
      <c r="D107" s="95" t="s">
        <v>273</v>
      </c>
      <c r="E107" s="96"/>
      <c r="F107" s="3" t="s">
        <v>143</v>
      </c>
      <c r="G107" s="32">
        <v>110</v>
      </c>
      <c r="H107" s="89">
        <v>0</v>
      </c>
      <c r="I107" s="33">
        <v>21</v>
      </c>
      <c r="J107" s="32">
        <f>ROUND(G107*AO107,2)</f>
        <v>0</v>
      </c>
      <c r="K107" s="32">
        <f>ROUND(G107*AP107,2)</f>
        <v>0</v>
      </c>
      <c r="L107" s="32">
        <f>ROUND(G107*H107,2)</f>
        <v>0</v>
      </c>
      <c r="M107" s="32">
        <f>L107*(1+BW107/100)</f>
        <v>0</v>
      </c>
      <c r="N107" s="34">
        <f>IF(L285=0,0,L107/L285)</f>
        <v>0</v>
      </c>
      <c r="O107" s="32">
        <v>2.0000000000000002E-5</v>
      </c>
      <c r="P107" s="32">
        <f>G107*O107</f>
        <v>2.2000000000000001E-3</v>
      </c>
      <c r="Q107" s="35" t="s">
        <v>61</v>
      </c>
      <c r="Z107" s="32">
        <f>ROUND(IF(AQ107="5",BJ107,0),2)</f>
        <v>0</v>
      </c>
      <c r="AB107" s="32">
        <f>ROUND(IF(AQ107="1",BH107,0),2)</f>
        <v>0</v>
      </c>
      <c r="AC107" s="32">
        <f>ROUND(IF(AQ107="1",BI107,0),2)</f>
        <v>0</v>
      </c>
      <c r="AD107" s="32">
        <f>ROUND(IF(AQ107="7",BH107,0),2)</f>
        <v>0</v>
      </c>
      <c r="AE107" s="32">
        <f>ROUND(IF(AQ107="7",BI107,0),2)</f>
        <v>0</v>
      </c>
      <c r="AF107" s="32">
        <f>ROUND(IF(AQ107="2",BH107,0),2)</f>
        <v>0</v>
      </c>
      <c r="AG107" s="32">
        <f>ROUND(IF(AQ107="2",BI107,0),2)</f>
        <v>0</v>
      </c>
      <c r="AH107" s="32">
        <f>ROUND(IF(AQ107="0",BJ107,0),2)</f>
        <v>0</v>
      </c>
      <c r="AI107" s="12" t="s">
        <v>54</v>
      </c>
      <c r="AJ107" s="32">
        <f>IF(AN107=0,L107,0)</f>
        <v>0</v>
      </c>
      <c r="AK107" s="32">
        <f>IF(AN107=12,L107,0)</f>
        <v>0</v>
      </c>
      <c r="AL107" s="32">
        <f>IF(AN107=21,L107,0)</f>
        <v>0</v>
      </c>
      <c r="AN107" s="32">
        <v>21</v>
      </c>
      <c r="AO107" s="32">
        <f>H107*0.230682632</f>
        <v>0</v>
      </c>
      <c r="AP107" s="32">
        <f>H107*(1-0.230682632)</f>
        <v>0</v>
      </c>
      <c r="AQ107" s="36" t="s">
        <v>87</v>
      </c>
      <c r="AV107" s="32">
        <f>ROUND(AW107+AX107,2)</f>
        <v>0</v>
      </c>
      <c r="AW107" s="32">
        <f>ROUND(G107*AO107,2)</f>
        <v>0</v>
      </c>
      <c r="AX107" s="32">
        <f>ROUND(G107*AP107,2)</f>
        <v>0</v>
      </c>
      <c r="AY107" s="36" t="s">
        <v>258</v>
      </c>
      <c r="AZ107" s="36" t="s">
        <v>145</v>
      </c>
      <c r="BA107" s="12" t="s">
        <v>63</v>
      </c>
      <c r="BC107" s="32">
        <f>AW107+AX107</f>
        <v>0</v>
      </c>
      <c r="BD107" s="32">
        <f>H107/(100-BE107)*100</f>
        <v>0</v>
      </c>
      <c r="BE107" s="32">
        <v>0</v>
      </c>
      <c r="BF107" s="32">
        <f>P107</f>
        <v>2.2000000000000001E-3</v>
      </c>
      <c r="BH107" s="32">
        <f>G107*AO107</f>
        <v>0</v>
      </c>
      <c r="BI107" s="32">
        <f>G107*AP107</f>
        <v>0</v>
      </c>
      <c r="BJ107" s="32">
        <f>G107*H107</f>
        <v>0</v>
      </c>
      <c r="BK107" s="32"/>
      <c r="BL107" s="32">
        <v>722</v>
      </c>
      <c r="BW107" s="32">
        <f>I107</f>
        <v>21</v>
      </c>
      <c r="BX107" s="4" t="s">
        <v>273</v>
      </c>
    </row>
    <row r="108" spans="1:76" ht="13.5" customHeight="1" x14ac:dyDescent="0.25">
      <c r="A108" s="37"/>
      <c r="C108" s="38"/>
      <c r="D108" s="100" t="s">
        <v>274</v>
      </c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9"/>
    </row>
    <row r="109" spans="1:76" x14ac:dyDescent="0.25">
      <c r="A109" s="2" t="s">
        <v>275</v>
      </c>
      <c r="B109" s="3" t="s">
        <v>54</v>
      </c>
      <c r="C109" s="3" t="s">
        <v>276</v>
      </c>
      <c r="D109" s="95" t="s">
        <v>277</v>
      </c>
      <c r="E109" s="96"/>
      <c r="F109" s="3" t="s">
        <v>143</v>
      </c>
      <c r="G109" s="32">
        <v>80</v>
      </c>
      <c r="H109" s="89">
        <v>0</v>
      </c>
      <c r="I109" s="33">
        <v>21</v>
      </c>
      <c r="J109" s="32">
        <f>ROUND(G109*AO109,2)</f>
        <v>0</v>
      </c>
      <c r="K109" s="32">
        <f>ROUND(G109*AP109,2)</f>
        <v>0</v>
      </c>
      <c r="L109" s="32">
        <f>ROUND(G109*H109,2)</f>
        <v>0</v>
      </c>
      <c r="M109" s="32">
        <f>L109*(1+BW109/100)</f>
        <v>0</v>
      </c>
      <c r="N109" s="34">
        <f>IF(L285=0,0,L109/L285)</f>
        <v>0</v>
      </c>
      <c r="O109" s="32">
        <v>6.0000000000000002E-5</v>
      </c>
      <c r="P109" s="32">
        <f>G109*O109</f>
        <v>4.8000000000000004E-3</v>
      </c>
      <c r="Q109" s="35" t="s">
        <v>61</v>
      </c>
      <c r="Z109" s="32">
        <f>ROUND(IF(AQ109="5",BJ109,0),2)</f>
        <v>0</v>
      </c>
      <c r="AB109" s="32">
        <f>ROUND(IF(AQ109="1",BH109,0),2)</f>
        <v>0</v>
      </c>
      <c r="AC109" s="32">
        <f>ROUND(IF(AQ109="1",BI109,0),2)</f>
        <v>0</v>
      </c>
      <c r="AD109" s="32">
        <f>ROUND(IF(AQ109="7",BH109,0),2)</f>
        <v>0</v>
      </c>
      <c r="AE109" s="32">
        <f>ROUND(IF(AQ109="7",BI109,0),2)</f>
        <v>0</v>
      </c>
      <c r="AF109" s="32">
        <f>ROUND(IF(AQ109="2",BH109,0),2)</f>
        <v>0</v>
      </c>
      <c r="AG109" s="32">
        <f>ROUND(IF(AQ109="2",BI109,0),2)</f>
        <v>0</v>
      </c>
      <c r="AH109" s="32">
        <f>ROUND(IF(AQ109="0",BJ109,0),2)</f>
        <v>0</v>
      </c>
      <c r="AI109" s="12" t="s">
        <v>54</v>
      </c>
      <c r="AJ109" s="32">
        <f>IF(AN109=0,L109,0)</f>
        <v>0</v>
      </c>
      <c r="AK109" s="32">
        <f>IF(AN109=12,L109,0)</f>
        <v>0</v>
      </c>
      <c r="AL109" s="32">
        <f>IF(AN109=21,L109,0)</f>
        <v>0</v>
      </c>
      <c r="AN109" s="32">
        <v>21</v>
      </c>
      <c r="AO109" s="32">
        <f>H109*0.244039835</f>
        <v>0</v>
      </c>
      <c r="AP109" s="32">
        <f>H109*(1-0.244039835)</f>
        <v>0</v>
      </c>
      <c r="AQ109" s="36" t="s">
        <v>87</v>
      </c>
      <c r="AV109" s="32">
        <f>ROUND(AW109+AX109,2)</f>
        <v>0</v>
      </c>
      <c r="AW109" s="32">
        <f>ROUND(G109*AO109,2)</f>
        <v>0</v>
      </c>
      <c r="AX109" s="32">
        <f>ROUND(G109*AP109,2)</f>
        <v>0</v>
      </c>
      <c r="AY109" s="36" t="s">
        <v>258</v>
      </c>
      <c r="AZ109" s="36" t="s">
        <v>145</v>
      </c>
      <c r="BA109" s="12" t="s">
        <v>63</v>
      </c>
      <c r="BC109" s="32">
        <f>AW109+AX109</f>
        <v>0</v>
      </c>
      <c r="BD109" s="32">
        <f>H109/(100-BE109)*100</f>
        <v>0</v>
      </c>
      <c r="BE109" s="32">
        <v>0</v>
      </c>
      <c r="BF109" s="32">
        <f>P109</f>
        <v>4.8000000000000004E-3</v>
      </c>
      <c r="BH109" s="32">
        <f>G109*AO109</f>
        <v>0</v>
      </c>
      <c r="BI109" s="32">
        <f>G109*AP109</f>
        <v>0</v>
      </c>
      <c r="BJ109" s="32">
        <f>G109*H109</f>
        <v>0</v>
      </c>
      <c r="BK109" s="32"/>
      <c r="BL109" s="32">
        <v>722</v>
      </c>
      <c r="BW109" s="32">
        <f>I109</f>
        <v>21</v>
      </c>
      <c r="BX109" s="4" t="s">
        <v>277</v>
      </c>
    </row>
    <row r="110" spans="1:76" ht="13.5" customHeight="1" x14ac:dyDescent="0.25">
      <c r="A110" s="37"/>
      <c r="C110" s="38"/>
      <c r="D110" s="100" t="s">
        <v>274</v>
      </c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9"/>
    </row>
    <row r="111" spans="1:76" x14ac:dyDescent="0.25">
      <c r="A111" s="2" t="s">
        <v>129</v>
      </c>
      <c r="B111" s="3" t="s">
        <v>54</v>
      </c>
      <c r="C111" s="3" t="s">
        <v>278</v>
      </c>
      <c r="D111" s="95" t="s">
        <v>279</v>
      </c>
      <c r="E111" s="96"/>
      <c r="F111" s="3" t="s">
        <v>143</v>
      </c>
      <c r="G111" s="32">
        <v>16</v>
      </c>
      <c r="H111" s="89">
        <v>0</v>
      </c>
      <c r="I111" s="33">
        <v>21</v>
      </c>
      <c r="J111" s="32">
        <f>ROUND(G111*AO111,2)</f>
        <v>0</v>
      </c>
      <c r="K111" s="32">
        <f>ROUND(G111*AP111,2)</f>
        <v>0</v>
      </c>
      <c r="L111" s="32">
        <f>ROUND(G111*H111,2)</f>
        <v>0</v>
      </c>
      <c r="M111" s="32">
        <f>L111*(1+BW111/100)</f>
        <v>0</v>
      </c>
      <c r="N111" s="34">
        <f>IF(L285=0,0,L111/L285)</f>
        <v>0</v>
      </c>
      <c r="O111" s="32">
        <v>6.0000000000000002E-5</v>
      </c>
      <c r="P111" s="32">
        <f>G111*O111</f>
        <v>9.6000000000000002E-4</v>
      </c>
      <c r="Q111" s="35" t="s">
        <v>61</v>
      </c>
      <c r="Z111" s="32">
        <f>ROUND(IF(AQ111="5",BJ111,0),2)</f>
        <v>0</v>
      </c>
      <c r="AB111" s="32">
        <f>ROUND(IF(AQ111="1",BH111,0),2)</f>
        <v>0</v>
      </c>
      <c r="AC111" s="32">
        <f>ROUND(IF(AQ111="1",BI111,0),2)</f>
        <v>0</v>
      </c>
      <c r="AD111" s="32">
        <f>ROUND(IF(AQ111="7",BH111,0),2)</f>
        <v>0</v>
      </c>
      <c r="AE111" s="32">
        <f>ROUND(IF(AQ111="7",BI111,0),2)</f>
        <v>0</v>
      </c>
      <c r="AF111" s="32">
        <f>ROUND(IF(AQ111="2",BH111,0),2)</f>
        <v>0</v>
      </c>
      <c r="AG111" s="32">
        <f>ROUND(IF(AQ111="2",BI111,0),2)</f>
        <v>0</v>
      </c>
      <c r="AH111" s="32">
        <f>ROUND(IF(AQ111="0",BJ111,0),2)</f>
        <v>0</v>
      </c>
      <c r="AI111" s="12" t="s">
        <v>54</v>
      </c>
      <c r="AJ111" s="32">
        <f>IF(AN111=0,L111,0)</f>
        <v>0</v>
      </c>
      <c r="AK111" s="32">
        <f>IF(AN111=12,L111,0)</f>
        <v>0</v>
      </c>
      <c r="AL111" s="32">
        <f>IF(AN111=21,L111,0)</f>
        <v>0</v>
      </c>
      <c r="AN111" s="32">
        <v>21</v>
      </c>
      <c r="AO111" s="32">
        <f>H111*0.242374429</f>
        <v>0</v>
      </c>
      <c r="AP111" s="32">
        <f>H111*(1-0.242374429)</f>
        <v>0</v>
      </c>
      <c r="AQ111" s="36" t="s">
        <v>87</v>
      </c>
      <c r="AV111" s="32">
        <f>ROUND(AW111+AX111,2)</f>
        <v>0</v>
      </c>
      <c r="AW111" s="32">
        <f>ROUND(G111*AO111,2)</f>
        <v>0</v>
      </c>
      <c r="AX111" s="32">
        <f>ROUND(G111*AP111,2)</f>
        <v>0</v>
      </c>
      <c r="AY111" s="36" t="s">
        <v>258</v>
      </c>
      <c r="AZ111" s="36" t="s">
        <v>145</v>
      </c>
      <c r="BA111" s="12" t="s">
        <v>63</v>
      </c>
      <c r="BC111" s="32">
        <f>AW111+AX111</f>
        <v>0</v>
      </c>
      <c r="BD111" s="32">
        <f>H111/(100-BE111)*100</f>
        <v>0</v>
      </c>
      <c r="BE111" s="32">
        <v>0</v>
      </c>
      <c r="BF111" s="32">
        <f>P111</f>
        <v>9.6000000000000002E-4</v>
      </c>
      <c r="BH111" s="32">
        <f>G111*AO111</f>
        <v>0</v>
      </c>
      <c r="BI111" s="32">
        <f>G111*AP111</f>
        <v>0</v>
      </c>
      <c r="BJ111" s="32">
        <f>G111*H111</f>
        <v>0</v>
      </c>
      <c r="BK111" s="32"/>
      <c r="BL111" s="32">
        <v>722</v>
      </c>
      <c r="BW111" s="32">
        <f>I111</f>
        <v>21</v>
      </c>
      <c r="BX111" s="4" t="s">
        <v>279</v>
      </c>
    </row>
    <row r="112" spans="1:76" ht="13.5" customHeight="1" x14ac:dyDescent="0.25">
      <c r="A112" s="37"/>
      <c r="C112" s="38"/>
      <c r="D112" s="100" t="s">
        <v>274</v>
      </c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9"/>
    </row>
    <row r="113" spans="1:76" x14ac:dyDescent="0.25">
      <c r="A113" s="2" t="s">
        <v>280</v>
      </c>
      <c r="B113" s="3" t="s">
        <v>54</v>
      </c>
      <c r="C113" s="3" t="s">
        <v>281</v>
      </c>
      <c r="D113" s="95" t="s">
        <v>282</v>
      </c>
      <c r="E113" s="96"/>
      <c r="F113" s="3" t="s">
        <v>143</v>
      </c>
      <c r="G113" s="32">
        <v>170</v>
      </c>
      <c r="H113" s="89">
        <v>0</v>
      </c>
      <c r="I113" s="33">
        <v>21</v>
      </c>
      <c r="J113" s="32">
        <f>ROUND(G113*AO113,2)</f>
        <v>0</v>
      </c>
      <c r="K113" s="32">
        <f>ROUND(G113*AP113,2)</f>
        <v>0</v>
      </c>
      <c r="L113" s="32">
        <f>ROUND(G113*H113,2)</f>
        <v>0</v>
      </c>
      <c r="M113" s="32">
        <f>L113*(1+BW113/100)</f>
        <v>0</v>
      </c>
      <c r="N113" s="34">
        <f>IF(L285=0,0,L113/L285)</f>
        <v>0</v>
      </c>
      <c r="O113" s="32">
        <v>3.0000000000000001E-5</v>
      </c>
      <c r="P113" s="32">
        <f>G113*O113</f>
        <v>5.1000000000000004E-3</v>
      </c>
      <c r="Q113" s="35" t="s">
        <v>61</v>
      </c>
      <c r="Z113" s="32">
        <f>ROUND(IF(AQ113="5",BJ113,0),2)</f>
        <v>0</v>
      </c>
      <c r="AB113" s="32">
        <f>ROUND(IF(AQ113="1",BH113,0),2)</f>
        <v>0</v>
      </c>
      <c r="AC113" s="32">
        <f>ROUND(IF(AQ113="1",BI113,0),2)</f>
        <v>0</v>
      </c>
      <c r="AD113" s="32">
        <f>ROUND(IF(AQ113="7",BH113,0),2)</f>
        <v>0</v>
      </c>
      <c r="AE113" s="32">
        <f>ROUND(IF(AQ113="7",BI113,0),2)</f>
        <v>0</v>
      </c>
      <c r="AF113" s="32">
        <f>ROUND(IF(AQ113="2",BH113,0),2)</f>
        <v>0</v>
      </c>
      <c r="AG113" s="32">
        <f>ROUND(IF(AQ113="2",BI113,0),2)</f>
        <v>0</v>
      </c>
      <c r="AH113" s="32">
        <f>ROUND(IF(AQ113="0",BJ113,0),2)</f>
        <v>0</v>
      </c>
      <c r="AI113" s="12" t="s">
        <v>54</v>
      </c>
      <c r="AJ113" s="32">
        <f>IF(AN113=0,L113,0)</f>
        <v>0</v>
      </c>
      <c r="AK113" s="32">
        <f>IF(AN113=12,L113,0)</f>
        <v>0</v>
      </c>
      <c r="AL113" s="32">
        <f>IF(AN113=21,L113,0)</f>
        <v>0</v>
      </c>
      <c r="AN113" s="32">
        <v>21</v>
      </c>
      <c r="AO113" s="32">
        <f>H113*0.509247762</f>
        <v>0</v>
      </c>
      <c r="AP113" s="32">
        <f>H113*(1-0.509247762)</f>
        <v>0</v>
      </c>
      <c r="AQ113" s="36" t="s">
        <v>87</v>
      </c>
      <c r="AV113" s="32">
        <f>ROUND(AW113+AX113,2)</f>
        <v>0</v>
      </c>
      <c r="AW113" s="32">
        <f>ROUND(G113*AO113,2)</f>
        <v>0</v>
      </c>
      <c r="AX113" s="32">
        <f>ROUND(G113*AP113,2)</f>
        <v>0</v>
      </c>
      <c r="AY113" s="36" t="s">
        <v>258</v>
      </c>
      <c r="AZ113" s="36" t="s">
        <v>145</v>
      </c>
      <c r="BA113" s="12" t="s">
        <v>63</v>
      </c>
      <c r="BC113" s="32">
        <f>AW113+AX113</f>
        <v>0</v>
      </c>
      <c r="BD113" s="32">
        <f>H113/(100-BE113)*100</f>
        <v>0</v>
      </c>
      <c r="BE113" s="32">
        <v>0</v>
      </c>
      <c r="BF113" s="32">
        <f>P113</f>
        <v>5.1000000000000004E-3</v>
      </c>
      <c r="BH113" s="32">
        <f>G113*AO113</f>
        <v>0</v>
      </c>
      <c r="BI113" s="32">
        <f>G113*AP113</f>
        <v>0</v>
      </c>
      <c r="BJ113" s="32">
        <f>G113*H113</f>
        <v>0</v>
      </c>
      <c r="BK113" s="32"/>
      <c r="BL113" s="32">
        <v>722</v>
      </c>
      <c r="BW113" s="32">
        <f>I113</f>
        <v>21</v>
      </c>
      <c r="BX113" s="4" t="s">
        <v>282</v>
      </c>
    </row>
    <row r="114" spans="1:76" ht="13.5" customHeight="1" x14ac:dyDescent="0.25">
      <c r="A114" s="37"/>
      <c r="C114" s="38"/>
      <c r="D114" s="100" t="s">
        <v>283</v>
      </c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9"/>
    </row>
    <row r="115" spans="1:76" x14ac:dyDescent="0.25">
      <c r="A115" s="2" t="s">
        <v>284</v>
      </c>
      <c r="B115" s="3" t="s">
        <v>54</v>
      </c>
      <c r="C115" s="3" t="s">
        <v>285</v>
      </c>
      <c r="D115" s="95" t="s">
        <v>286</v>
      </c>
      <c r="E115" s="96"/>
      <c r="F115" s="3" t="s">
        <v>143</v>
      </c>
      <c r="G115" s="32">
        <v>34</v>
      </c>
      <c r="H115" s="89">
        <v>0</v>
      </c>
      <c r="I115" s="33">
        <v>21</v>
      </c>
      <c r="J115" s="32">
        <f>ROUND(G115*AO115,2)</f>
        <v>0</v>
      </c>
      <c r="K115" s="32">
        <f>ROUND(G115*AP115,2)</f>
        <v>0</v>
      </c>
      <c r="L115" s="32">
        <f>ROUND(G115*H115,2)</f>
        <v>0</v>
      </c>
      <c r="M115" s="32">
        <f>L115*(1+BW115/100)</f>
        <v>0</v>
      </c>
      <c r="N115" s="34">
        <f>IF(L285=0,0,L115/L285)</f>
        <v>0</v>
      </c>
      <c r="O115" s="32">
        <v>4.0000000000000003E-5</v>
      </c>
      <c r="P115" s="32">
        <f>G115*O115</f>
        <v>1.3600000000000001E-3</v>
      </c>
      <c r="Q115" s="35" t="s">
        <v>61</v>
      </c>
      <c r="Z115" s="32">
        <f>ROUND(IF(AQ115="5",BJ115,0),2)</f>
        <v>0</v>
      </c>
      <c r="AB115" s="32">
        <f>ROUND(IF(AQ115="1",BH115,0),2)</f>
        <v>0</v>
      </c>
      <c r="AC115" s="32">
        <f>ROUND(IF(AQ115="1",BI115,0),2)</f>
        <v>0</v>
      </c>
      <c r="AD115" s="32">
        <f>ROUND(IF(AQ115="7",BH115,0),2)</f>
        <v>0</v>
      </c>
      <c r="AE115" s="32">
        <f>ROUND(IF(AQ115="7",BI115,0),2)</f>
        <v>0</v>
      </c>
      <c r="AF115" s="32">
        <f>ROUND(IF(AQ115="2",BH115,0),2)</f>
        <v>0</v>
      </c>
      <c r="AG115" s="32">
        <f>ROUND(IF(AQ115="2",BI115,0),2)</f>
        <v>0</v>
      </c>
      <c r="AH115" s="32">
        <f>ROUND(IF(AQ115="0",BJ115,0),2)</f>
        <v>0</v>
      </c>
      <c r="AI115" s="12" t="s">
        <v>54</v>
      </c>
      <c r="AJ115" s="32">
        <f>IF(AN115=0,L115,0)</f>
        <v>0</v>
      </c>
      <c r="AK115" s="32">
        <f>IF(AN115=12,L115,0)</f>
        <v>0</v>
      </c>
      <c r="AL115" s="32">
        <f>IF(AN115=21,L115,0)</f>
        <v>0</v>
      </c>
      <c r="AN115" s="32">
        <v>21</v>
      </c>
      <c r="AO115" s="32">
        <f>H115*0.40878671</f>
        <v>0</v>
      </c>
      <c r="AP115" s="32">
        <f>H115*(1-0.40878671)</f>
        <v>0</v>
      </c>
      <c r="AQ115" s="36" t="s">
        <v>87</v>
      </c>
      <c r="AV115" s="32">
        <f>ROUND(AW115+AX115,2)</f>
        <v>0</v>
      </c>
      <c r="AW115" s="32">
        <f>ROUND(G115*AO115,2)</f>
        <v>0</v>
      </c>
      <c r="AX115" s="32">
        <f>ROUND(G115*AP115,2)</f>
        <v>0</v>
      </c>
      <c r="AY115" s="36" t="s">
        <v>258</v>
      </c>
      <c r="AZ115" s="36" t="s">
        <v>145</v>
      </c>
      <c r="BA115" s="12" t="s">
        <v>63</v>
      </c>
      <c r="BC115" s="32">
        <f>AW115+AX115</f>
        <v>0</v>
      </c>
      <c r="BD115" s="32">
        <f>H115/(100-BE115)*100</f>
        <v>0</v>
      </c>
      <c r="BE115" s="32">
        <v>0</v>
      </c>
      <c r="BF115" s="32">
        <f>P115</f>
        <v>1.3600000000000001E-3</v>
      </c>
      <c r="BH115" s="32">
        <f>G115*AO115</f>
        <v>0</v>
      </c>
      <c r="BI115" s="32">
        <f>G115*AP115</f>
        <v>0</v>
      </c>
      <c r="BJ115" s="32">
        <f>G115*H115</f>
        <v>0</v>
      </c>
      <c r="BK115" s="32"/>
      <c r="BL115" s="32">
        <v>722</v>
      </c>
      <c r="BW115" s="32">
        <f>I115</f>
        <v>21</v>
      </c>
      <c r="BX115" s="4" t="s">
        <v>286</v>
      </c>
    </row>
    <row r="116" spans="1:76" ht="13.5" customHeight="1" x14ac:dyDescent="0.25">
      <c r="A116" s="37"/>
      <c r="C116" s="38"/>
      <c r="D116" s="100" t="s">
        <v>283</v>
      </c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9"/>
    </row>
    <row r="117" spans="1:76" x14ac:dyDescent="0.25">
      <c r="A117" s="2" t="s">
        <v>287</v>
      </c>
      <c r="B117" s="3" t="s">
        <v>54</v>
      </c>
      <c r="C117" s="3" t="s">
        <v>288</v>
      </c>
      <c r="D117" s="95" t="s">
        <v>289</v>
      </c>
      <c r="E117" s="96"/>
      <c r="F117" s="3" t="s">
        <v>143</v>
      </c>
      <c r="G117" s="32">
        <v>16</v>
      </c>
      <c r="H117" s="89">
        <v>0</v>
      </c>
      <c r="I117" s="33">
        <v>21</v>
      </c>
      <c r="J117" s="32">
        <f>ROUND(G117*AO117,2)</f>
        <v>0</v>
      </c>
      <c r="K117" s="32">
        <f>ROUND(G117*AP117,2)</f>
        <v>0</v>
      </c>
      <c r="L117" s="32">
        <f>ROUND(G117*H117,2)</f>
        <v>0</v>
      </c>
      <c r="M117" s="32">
        <f>L117*(1+BW117/100)</f>
        <v>0</v>
      </c>
      <c r="N117" s="34">
        <f>IF(L285=0,0,L117/L285)</f>
        <v>0</v>
      </c>
      <c r="O117" s="32">
        <v>6.0000000000000002E-5</v>
      </c>
      <c r="P117" s="32">
        <f>G117*O117</f>
        <v>9.6000000000000002E-4</v>
      </c>
      <c r="Q117" s="35" t="s">
        <v>61</v>
      </c>
      <c r="Z117" s="32">
        <f>ROUND(IF(AQ117="5",BJ117,0),2)</f>
        <v>0</v>
      </c>
      <c r="AB117" s="32">
        <f>ROUND(IF(AQ117="1",BH117,0),2)</f>
        <v>0</v>
      </c>
      <c r="AC117" s="32">
        <f>ROUND(IF(AQ117="1",BI117,0),2)</f>
        <v>0</v>
      </c>
      <c r="AD117" s="32">
        <f>ROUND(IF(AQ117="7",BH117,0),2)</f>
        <v>0</v>
      </c>
      <c r="AE117" s="32">
        <f>ROUND(IF(AQ117="7",BI117,0),2)</f>
        <v>0</v>
      </c>
      <c r="AF117" s="32">
        <f>ROUND(IF(AQ117="2",BH117,0),2)</f>
        <v>0</v>
      </c>
      <c r="AG117" s="32">
        <f>ROUND(IF(AQ117="2",BI117,0),2)</f>
        <v>0</v>
      </c>
      <c r="AH117" s="32">
        <f>ROUND(IF(AQ117="0",BJ117,0),2)</f>
        <v>0</v>
      </c>
      <c r="AI117" s="12" t="s">
        <v>54</v>
      </c>
      <c r="AJ117" s="32">
        <f>IF(AN117=0,L117,0)</f>
        <v>0</v>
      </c>
      <c r="AK117" s="32">
        <f>IF(AN117=12,L117,0)</f>
        <v>0</v>
      </c>
      <c r="AL117" s="32">
        <f>IF(AN117=21,L117,0)</f>
        <v>0</v>
      </c>
      <c r="AN117" s="32">
        <v>21</v>
      </c>
      <c r="AO117" s="32">
        <f>H117*0.441554054</f>
        <v>0</v>
      </c>
      <c r="AP117" s="32">
        <f>H117*(1-0.441554054)</f>
        <v>0</v>
      </c>
      <c r="AQ117" s="36" t="s">
        <v>87</v>
      </c>
      <c r="AV117" s="32">
        <f>ROUND(AW117+AX117,2)</f>
        <v>0</v>
      </c>
      <c r="AW117" s="32">
        <f>ROUND(G117*AO117,2)</f>
        <v>0</v>
      </c>
      <c r="AX117" s="32">
        <f>ROUND(G117*AP117,2)</f>
        <v>0</v>
      </c>
      <c r="AY117" s="36" t="s">
        <v>258</v>
      </c>
      <c r="AZ117" s="36" t="s">
        <v>145</v>
      </c>
      <c r="BA117" s="12" t="s">
        <v>63</v>
      </c>
      <c r="BC117" s="32">
        <f>AW117+AX117</f>
        <v>0</v>
      </c>
      <c r="BD117" s="32">
        <f>H117/(100-BE117)*100</f>
        <v>0</v>
      </c>
      <c r="BE117" s="32">
        <v>0</v>
      </c>
      <c r="BF117" s="32">
        <f>P117</f>
        <v>9.6000000000000002E-4</v>
      </c>
      <c r="BH117" s="32">
        <f>G117*AO117</f>
        <v>0</v>
      </c>
      <c r="BI117" s="32">
        <f>G117*AP117</f>
        <v>0</v>
      </c>
      <c r="BJ117" s="32">
        <f>G117*H117</f>
        <v>0</v>
      </c>
      <c r="BK117" s="32"/>
      <c r="BL117" s="32">
        <v>722</v>
      </c>
      <c r="BW117" s="32">
        <f>I117</f>
        <v>21</v>
      </c>
      <c r="BX117" s="4" t="s">
        <v>289</v>
      </c>
    </row>
    <row r="118" spans="1:76" ht="13.5" customHeight="1" x14ac:dyDescent="0.25">
      <c r="A118" s="37"/>
      <c r="C118" s="38"/>
      <c r="D118" s="100" t="s">
        <v>283</v>
      </c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9"/>
    </row>
    <row r="119" spans="1:76" x14ac:dyDescent="0.25">
      <c r="A119" s="2" t="s">
        <v>290</v>
      </c>
      <c r="B119" s="3" t="s">
        <v>54</v>
      </c>
      <c r="C119" s="3" t="s">
        <v>291</v>
      </c>
      <c r="D119" s="95" t="s">
        <v>292</v>
      </c>
      <c r="E119" s="96"/>
      <c r="F119" s="3" t="s">
        <v>143</v>
      </c>
      <c r="G119" s="32">
        <v>50</v>
      </c>
      <c r="H119" s="89">
        <v>0</v>
      </c>
      <c r="I119" s="33">
        <v>21</v>
      </c>
      <c r="J119" s="32">
        <f t="shared" ref="J119:J125" si="26">ROUND(G119*AO119,2)</f>
        <v>0</v>
      </c>
      <c r="K119" s="32">
        <f t="shared" ref="K119:K125" si="27">ROUND(G119*AP119,2)</f>
        <v>0</v>
      </c>
      <c r="L119" s="32">
        <f t="shared" ref="L119:L125" si="28">ROUND(G119*H119,2)</f>
        <v>0</v>
      </c>
      <c r="M119" s="32">
        <f t="shared" ref="M119:M125" si="29">L119*(1+BW119/100)</f>
        <v>0</v>
      </c>
      <c r="N119" s="34">
        <f>IF(L285=0,0,L119/L285)</f>
        <v>0</v>
      </c>
      <c r="O119" s="32">
        <v>0</v>
      </c>
      <c r="P119" s="32">
        <f t="shared" ref="P119:P125" si="30">G119*O119</f>
        <v>0</v>
      </c>
      <c r="Q119" s="35" t="s">
        <v>54</v>
      </c>
      <c r="Z119" s="32">
        <f t="shared" ref="Z119:Z125" si="31">ROUND(IF(AQ119="5",BJ119,0),2)</f>
        <v>0</v>
      </c>
      <c r="AB119" s="32">
        <f t="shared" ref="AB119:AB125" si="32">ROUND(IF(AQ119="1",BH119,0),2)</f>
        <v>0</v>
      </c>
      <c r="AC119" s="32">
        <f t="shared" ref="AC119:AC125" si="33">ROUND(IF(AQ119="1",BI119,0),2)</f>
        <v>0</v>
      </c>
      <c r="AD119" s="32">
        <f t="shared" ref="AD119:AD125" si="34">ROUND(IF(AQ119="7",BH119,0),2)</f>
        <v>0</v>
      </c>
      <c r="AE119" s="32">
        <f t="shared" ref="AE119:AE125" si="35">ROUND(IF(AQ119="7",BI119,0),2)</f>
        <v>0</v>
      </c>
      <c r="AF119" s="32">
        <f t="shared" ref="AF119:AF125" si="36">ROUND(IF(AQ119="2",BH119,0),2)</f>
        <v>0</v>
      </c>
      <c r="AG119" s="32">
        <f t="shared" ref="AG119:AG125" si="37">ROUND(IF(AQ119="2",BI119,0),2)</f>
        <v>0</v>
      </c>
      <c r="AH119" s="32">
        <f t="shared" ref="AH119:AH125" si="38">ROUND(IF(AQ119="0",BJ119,0),2)</f>
        <v>0</v>
      </c>
      <c r="AI119" s="12" t="s">
        <v>54</v>
      </c>
      <c r="AJ119" s="32">
        <f t="shared" ref="AJ119:AJ125" si="39">IF(AN119=0,L119,0)</f>
        <v>0</v>
      </c>
      <c r="AK119" s="32">
        <f t="shared" ref="AK119:AK125" si="40">IF(AN119=12,L119,0)</f>
        <v>0</v>
      </c>
      <c r="AL119" s="32">
        <f t="shared" ref="AL119:AL125" si="41">IF(AN119=21,L119,0)</f>
        <v>0</v>
      </c>
      <c r="AN119" s="32">
        <v>21</v>
      </c>
      <c r="AO119" s="32">
        <f>H119*0.541984733</f>
        <v>0</v>
      </c>
      <c r="AP119" s="32">
        <f>H119*(1-0.541984733)</f>
        <v>0</v>
      </c>
      <c r="AQ119" s="36" t="s">
        <v>79</v>
      </c>
      <c r="AV119" s="32">
        <f t="shared" ref="AV119:AV125" si="42">ROUND(AW119+AX119,2)</f>
        <v>0</v>
      </c>
      <c r="AW119" s="32">
        <f t="shared" ref="AW119:AW125" si="43">ROUND(G119*AO119,2)</f>
        <v>0</v>
      </c>
      <c r="AX119" s="32">
        <f t="shared" ref="AX119:AX125" si="44">ROUND(G119*AP119,2)</f>
        <v>0</v>
      </c>
      <c r="AY119" s="36" t="s">
        <v>258</v>
      </c>
      <c r="AZ119" s="36" t="s">
        <v>145</v>
      </c>
      <c r="BA119" s="12" t="s">
        <v>63</v>
      </c>
      <c r="BC119" s="32">
        <f t="shared" ref="BC119:BC125" si="45">AW119+AX119</f>
        <v>0</v>
      </c>
      <c r="BD119" s="32">
        <f t="shared" ref="BD119:BD125" si="46">H119/(100-BE119)*100</f>
        <v>0</v>
      </c>
      <c r="BE119" s="32">
        <v>0</v>
      </c>
      <c r="BF119" s="32">
        <f t="shared" ref="BF119:BF125" si="47">P119</f>
        <v>0</v>
      </c>
      <c r="BH119" s="32">
        <f t="shared" ref="BH119:BH125" si="48">G119*AO119</f>
        <v>0</v>
      </c>
      <c r="BI119" s="32">
        <f t="shared" ref="BI119:BI125" si="49">G119*AP119</f>
        <v>0</v>
      </c>
      <c r="BJ119" s="32">
        <f t="shared" ref="BJ119:BJ125" si="50">G119*H119</f>
        <v>0</v>
      </c>
      <c r="BK119" s="32"/>
      <c r="BL119" s="32">
        <v>722</v>
      </c>
      <c r="BW119" s="32">
        <f t="shared" ref="BW119:BW125" si="51">I119</f>
        <v>21</v>
      </c>
      <c r="BX119" s="4" t="s">
        <v>292</v>
      </c>
    </row>
    <row r="120" spans="1:76" x14ac:dyDescent="0.25">
      <c r="A120" s="2" t="s">
        <v>293</v>
      </c>
      <c r="B120" s="3" t="s">
        <v>54</v>
      </c>
      <c r="C120" s="3" t="s">
        <v>291</v>
      </c>
      <c r="D120" s="95" t="s">
        <v>294</v>
      </c>
      <c r="E120" s="96"/>
      <c r="F120" s="3" t="s">
        <v>143</v>
      </c>
      <c r="G120" s="32">
        <v>20</v>
      </c>
      <c r="H120" s="89">
        <v>0</v>
      </c>
      <c r="I120" s="33">
        <v>21</v>
      </c>
      <c r="J120" s="32">
        <f t="shared" si="26"/>
        <v>0</v>
      </c>
      <c r="K120" s="32">
        <f t="shared" si="27"/>
        <v>0</v>
      </c>
      <c r="L120" s="32">
        <f t="shared" si="28"/>
        <v>0</v>
      </c>
      <c r="M120" s="32">
        <f t="shared" si="29"/>
        <v>0</v>
      </c>
      <c r="N120" s="34">
        <f>IF(L285=0,0,L120/L285)</f>
        <v>0</v>
      </c>
      <c r="O120" s="32">
        <v>0</v>
      </c>
      <c r="P120" s="32">
        <f t="shared" si="30"/>
        <v>0</v>
      </c>
      <c r="Q120" s="35"/>
      <c r="Z120" s="32">
        <f t="shared" si="31"/>
        <v>0</v>
      </c>
      <c r="AB120" s="32">
        <f t="shared" si="32"/>
        <v>0</v>
      </c>
      <c r="AC120" s="32">
        <f t="shared" si="33"/>
        <v>0</v>
      </c>
      <c r="AD120" s="32">
        <f t="shared" si="34"/>
        <v>0</v>
      </c>
      <c r="AE120" s="32">
        <f t="shared" si="35"/>
        <v>0</v>
      </c>
      <c r="AF120" s="32">
        <f t="shared" si="36"/>
        <v>0</v>
      </c>
      <c r="AG120" s="32">
        <f t="shared" si="37"/>
        <v>0</v>
      </c>
      <c r="AH120" s="32">
        <f t="shared" si="38"/>
        <v>0</v>
      </c>
      <c r="AI120" s="12" t="s">
        <v>54</v>
      </c>
      <c r="AJ120" s="32">
        <f t="shared" si="39"/>
        <v>0</v>
      </c>
      <c r="AK120" s="32">
        <f t="shared" si="40"/>
        <v>0</v>
      </c>
      <c r="AL120" s="32">
        <f t="shared" si="41"/>
        <v>0</v>
      </c>
      <c r="AN120" s="32">
        <v>21</v>
      </c>
      <c r="AO120" s="32">
        <f>H120*0.616204691</f>
        <v>0</v>
      </c>
      <c r="AP120" s="32">
        <f>H120*(1-0.616204691)</f>
        <v>0</v>
      </c>
      <c r="AQ120" s="36" t="s">
        <v>79</v>
      </c>
      <c r="AV120" s="32">
        <f t="shared" si="42"/>
        <v>0</v>
      </c>
      <c r="AW120" s="32">
        <f t="shared" si="43"/>
        <v>0</v>
      </c>
      <c r="AX120" s="32">
        <f t="shared" si="44"/>
        <v>0</v>
      </c>
      <c r="AY120" s="36" t="s">
        <v>258</v>
      </c>
      <c r="AZ120" s="36" t="s">
        <v>145</v>
      </c>
      <c r="BA120" s="12" t="s">
        <v>63</v>
      </c>
      <c r="BC120" s="32">
        <f t="shared" si="45"/>
        <v>0</v>
      </c>
      <c r="BD120" s="32">
        <f t="shared" si="46"/>
        <v>0</v>
      </c>
      <c r="BE120" s="32">
        <v>0</v>
      </c>
      <c r="BF120" s="32">
        <f t="shared" si="47"/>
        <v>0</v>
      </c>
      <c r="BH120" s="32">
        <f t="shared" si="48"/>
        <v>0</v>
      </c>
      <c r="BI120" s="32">
        <f t="shared" si="49"/>
        <v>0</v>
      </c>
      <c r="BJ120" s="32">
        <f t="shared" si="50"/>
        <v>0</v>
      </c>
      <c r="BK120" s="32"/>
      <c r="BL120" s="32">
        <v>722</v>
      </c>
      <c r="BW120" s="32">
        <f t="shared" si="51"/>
        <v>21</v>
      </c>
      <c r="BX120" s="4" t="s">
        <v>294</v>
      </c>
    </row>
    <row r="121" spans="1:76" x14ac:dyDescent="0.25">
      <c r="A121" s="2" t="s">
        <v>295</v>
      </c>
      <c r="B121" s="3" t="s">
        <v>54</v>
      </c>
      <c r="C121" s="3" t="s">
        <v>291</v>
      </c>
      <c r="D121" s="95" t="s">
        <v>296</v>
      </c>
      <c r="E121" s="96"/>
      <c r="F121" s="3" t="s">
        <v>143</v>
      </c>
      <c r="G121" s="32">
        <v>20</v>
      </c>
      <c r="H121" s="89">
        <v>0</v>
      </c>
      <c r="I121" s="33">
        <v>21</v>
      </c>
      <c r="J121" s="32">
        <f t="shared" si="26"/>
        <v>0</v>
      </c>
      <c r="K121" s="32">
        <f t="shared" si="27"/>
        <v>0</v>
      </c>
      <c r="L121" s="32">
        <f t="shared" si="28"/>
        <v>0</v>
      </c>
      <c r="M121" s="32">
        <f t="shared" si="29"/>
        <v>0</v>
      </c>
      <c r="N121" s="34">
        <f>IF(L285=0,0,L121/L285)</f>
        <v>0</v>
      </c>
      <c r="O121" s="32">
        <v>0</v>
      </c>
      <c r="P121" s="32">
        <f t="shared" si="30"/>
        <v>0</v>
      </c>
      <c r="Q121" s="35"/>
      <c r="Z121" s="32">
        <f t="shared" si="31"/>
        <v>0</v>
      </c>
      <c r="AB121" s="32">
        <f t="shared" si="32"/>
        <v>0</v>
      </c>
      <c r="AC121" s="32">
        <f t="shared" si="33"/>
        <v>0</v>
      </c>
      <c r="AD121" s="32">
        <f t="shared" si="34"/>
        <v>0</v>
      </c>
      <c r="AE121" s="32">
        <f t="shared" si="35"/>
        <v>0</v>
      </c>
      <c r="AF121" s="32">
        <f t="shared" si="36"/>
        <v>0</v>
      </c>
      <c r="AG121" s="32">
        <f t="shared" si="37"/>
        <v>0</v>
      </c>
      <c r="AH121" s="32">
        <f t="shared" si="38"/>
        <v>0</v>
      </c>
      <c r="AI121" s="12" t="s">
        <v>54</v>
      </c>
      <c r="AJ121" s="32">
        <f t="shared" si="39"/>
        <v>0</v>
      </c>
      <c r="AK121" s="32">
        <f t="shared" si="40"/>
        <v>0</v>
      </c>
      <c r="AL121" s="32">
        <f t="shared" si="41"/>
        <v>0</v>
      </c>
      <c r="AN121" s="32">
        <v>21</v>
      </c>
      <c r="AO121" s="32">
        <f>H121*0.660377358</f>
        <v>0</v>
      </c>
      <c r="AP121" s="32">
        <f>H121*(1-0.660377358)</f>
        <v>0</v>
      </c>
      <c r="AQ121" s="36" t="s">
        <v>79</v>
      </c>
      <c r="AV121" s="32">
        <f t="shared" si="42"/>
        <v>0</v>
      </c>
      <c r="AW121" s="32">
        <f t="shared" si="43"/>
        <v>0</v>
      </c>
      <c r="AX121" s="32">
        <f t="shared" si="44"/>
        <v>0</v>
      </c>
      <c r="AY121" s="36" t="s">
        <v>258</v>
      </c>
      <c r="AZ121" s="36" t="s">
        <v>145</v>
      </c>
      <c r="BA121" s="12" t="s">
        <v>63</v>
      </c>
      <c r="BC121" s="32">
        <f t="shared" si="45"/>
        <v>0</v>
      </c>
      <c r="BD121" s="32">
        <f t="shared" si="46"/>
        <v>0</v>
      </c>
      <c r="BE121" s="32">
        <v>0</v>
      </c>
      <c r="BF121" s="32">
        <f t="shared" si="47"/>
        <v>0</v>
      </c>
      <c r="BH121" s="32">
        <f t="shared" si="48"/>
        <v>0</v>
      </c>
      <c r="BI121" s="32">
        <f t="shared" si="49"/>
        <v>0</v>
      </c>
      <c r="BJ121" s="32">
        <f t="shared" si="50"/>
        <v>0</v>
      </c>
      <c r="BK121" s="32"/>
      <c r="BL121" s="32">
        <v>722</v>
      </c>
      <c r="BW121" s="32">
        <f t="shared" si="51"/>
        <v>21</v>
      </c>
      <c r="BX121" s="4" t="s">
        <v>296</v>
      </c>
    </row>
    <row r="122" spans="1:76" ht="25.5" customHeight="1" x14ac:dyDescent="0.25">
      <c r="A122" s="2" t="s">
        <v>297</v>
      </c>
      <c r="B122" s="3" t="s">
        <v>54</v>
      </c>
      <c r="C122" s="3" t="s">
        <v>298</v>
      </c>
      <c r="D122" s="95" t="s">
        <v>299</v>
      </c>
      <c r="E122" s="96"/>
      <c r="F122" s="3" t="s">
        <v>60</v>
      </c>
      <c r="G122" s="32">
        <v>30</v>
      </c>
      <c r="H122" s="89">
        <v>0</v>
      </c>
      <c r="I122" s="33">
        <v>21</v>
      </c>
      <c r="J122" s="32">
        <f t="shared" si="26"/>
        <v>0</v>
      </c>
      <c r="K122" s="32">
        <f t="shared" si="27"/>
        <v>0</v>
      </c>
      <c r="L122" s="32">
        <f t="shared" si="28"/>
        <v>0</v>
      </c>
      <c r="M122" s="32">
        <f t="shared" si="29"/>
        <v>0</v>
      </c>
      <c r="N122" s="34">
        <f>IF(L285=0,0,L122/L285)</f>
        <v>0</v>
      </c>
      <c r="O122" s="32">
        <v>2.9999999999999997E-4</v>
      </c>
      <c r="P122" s="32">
        <f t="shared" si="30"/>
        <v>8.9999999999999993E-3</v>
      </c>
      <c r="Q122" s="35" t="s">
        <v>61</v>
      </c>
      <c r="Z122" s="32">
        <f t="shared" si="31"/>
        <v>0</v>
      </c>
      <c r="AB122" s="32">
        <f t="shared" si="32"/>
        <v>0</v>
      </c>
      <c r="AC122" s="32">
        <f t="shared" si="33"/>
        <v>0</v>
      </c>
      <c r="AD122" s="32">
        <f t="shared" si="34"/>
        <v>0</v>
      </c>
      <c r="AE122" s="32">
        <f t="shared" si="35"/>
        <v>0</v>
      </c>
      <c r="AF122" s="32">
        <f t="shared" si="36"/>
        <v>0</v>
      </c>
      <c r="AG122" s="32">
        <f t="shared" si="37"/>
        <v>0</v>
      </c>
      <c r="AH122" s="32">
        <f t="shared" si="38"/>
        <v>0</v>
      </c>
      <c r="AI122" s="12" t="s">
        <v>54</v>
      </c>
      <c r="AJ122" s="32">
        <f t="shared" si="39"/>
        <v>0</v>
      </c>
      <c r="AK122" s="32">
        <f t="shared" si="40"/>
        <v>0</v>
      </c>
      <c r="AL122" s="32">
        <f t="shared" si="41"/>
        <v>0</v>
      </c>
      <c r="AN122" s="32">
        <v>21</v>
      </c>
      <c r="AO122" s="32">
        <f>H122*0.109650489</f>
        <v>0</v>
      </c>
      <c r="AP122" s="32">
        <f>H122*(1-0.109650489)</f>
        <v>0</v>
      </c>
      <c r="AQ122" s="36" t="s">
        <v>87</v>
      </c>
      <c r="AV122" s="32">
        <f t="shared" si="42"/>
        <v>0</v>
      </c>
      <c r="AW122" s="32">
        <f t="shared" si="43"/>
        <v>0</v>
      </c>
      <c r="AX122" s="32">
        <f t="shared" si="44"/>
        <v>0</v>
      </c>
      <c r="AY122" s="36" t="s">
        <v>258</v>
      </c>
      <c r="AZ122" s="36" t="s">
        <v>145</v>
      </c>
      <c r="BA122" s="12" t="s">
        <v>63</v>
      </c>
      <c r="BC122" s="32">
        <f t="shared" si="45"/>
        <v>0</v>
      </c>
      <c r="BD122" s="32">
        <f t="shared" si="46"/>
        <v>0</v>
      </c>
      <c r="BE122" s="32">
        <v>0</v>
      </c>
      <c r="BF122" s="32">
        <f t="shared" si="47"/>
        <v>8.9999999999999993E-3</v>
      </c>
      <c r="BH122" s="32">
        <f t="shared" si="48"/>
        <v>0</v>
      </c>
      <c r="BI122" s="32">
        <f t="shared" si="49"/>
        <v>0</v>
      </c>
      <c r="BJ122" s="32">
        <f t="shared" si="50"/>
        <v>0</v>
      </c>
      <c r="BK122" s="32"/>
      <c r="BL122" s="32">
        <v>722</v>
      </c>
      <c r="BW122" s="32">
        <f t="shared" si="51"/>
        <v>21</v>
      </c>
      <c r="BX122" s="4" t="s">
        <v>299</v>
      </c>
    </row>
    <row r="123" spans="1:76" ht="25.5" customHeight="1" x14ac:dyDescent="0.25">
      <c r="A123" s="2" t="s">
        <v>300</v>
      </c>
      <c r="B123" s="3" t="s">
        <v>54</v>
      </c>
      <c r="C123" s="3" t="s">
        <v>301</v>
      </c>
      <c r="D123" s="95" t="s">
        <v>302</v>
      </c>
      <c r="E123" s="96"/>
      <c r="F123" s="3" t="s">
        <v>60</v>
      </c>
      <c r="G123" s="32">
        <v>10</v>
      </c>
      <c r="H123" s="89">
        <v>0</v>
      </c>
      <c r="I123" s="33">
        <v>21</v>
      </c>
      <c r="J123" s="32">
        <f t="shared" si="26"/>
        <v>0</v>
      </c>
      <c r="K123" s="32">
        <f t="shared" si="27"/>
        <v>0</v>
      </c>
      <c r="L123" s="32">
        <f t="shared" si="28"/>
        <v>0</v>
      </c>
      <c r="M123" s="32">
        <f t="shared" si="29"/>
        <v>0</v>
      </c>
      <c r="N123" s="34">
        <f>IF(L285=0,0,L123/L285)</f>
        <v>0</v>
      </c>
      <c r="O123" s="32">
        <v>2.9999999999999997E-4</v>
      </c>
      <c r="P123" s="32">
        <f t="shared" si="30"/>
        <v>2.9999999999999996E-3</v>
      </c>
      <c r="Q123" s="35" t="s">
        <v>61</v>
      </c>
      <c r="Z123" s="32">
        <f t="shared" si="31"/>
        <v>0</v>
      </c>
      <c r="AB123" s="32">
        <f t="shared" si="32"/>
        <v>0</v>
      </c>
      <c r="AC123" s="32">
        <f t="shared" si="33"/>
        <v>0</v>
      </c>
      <c r="AD123" s="32">
        <f t="shared" si="34"/>
        <v>0</v>
      </c>
      <c r="AE123" s="32">
        <f t="shared" si="35"/>
        <v>0</v>
      </c>
      <c r="AF123" s="32">
        <f t="shared" si="36"/>
        <v>0</v>
      </c>
      <c r="AG123" s="32">
        <f t="shared" si="37"/>
        <v>0</v>
      </c>
      <c r="AH123" s="32">
        <f t="shared" si="38"/>
        <v>0</v>
      </c>
      <c r="AI123" s="12" t="s">
        <v>54</v>
      </c>
      <c r="AJ123" s="32">
        <f t="shared" si="39"/>
        <v>0</v>
      </c>
      <c r="AK123" s="32">
        <f t="shared" si="40"/>
        <v>0</v>
      </c>
      <c r="AL123" s="32">
        <f t="shared" si="41"/>
        <v>0</v>
      </c>
      <c r="AN123" s="32">
        <v>21</v>
      </c>
      <c r="AO123" s="32">
        <f>H123*0.111111111</f>
        <v>0</v>
      </c>
      <c r="AP123" s="32">
        <f>H123*(1-0.111111111)</f>
        <v>0</v>
      </c>
      <c r="AQ123" s="36" t="s">
        <v>87</v>
      </c>
      <c r="AV123" s="32">
        <f t="shared" si="42"/>
        <v>0</v>
      </c>
      <c r="AW123" s="32">
        <f t="shared" si="43"/>
        <v>0</v>
      </c>
      <c r="AX123" s="32">
        <f t="shared" si="44"/>
        <v>0</v>
      </c>
      <c r="AY123" s="36" t="s">
        <v>258</v>
      </c>
      <c r="AZ123" s="36" t="s">
        <v>145</v>
      </c>
      <c r="BA123" s="12" t="s">
        <v>63</v>
      </c>
      <c r="BC123" s="32">
        <f t="shared" si="45"/>
        <v>0</v>
      </c>
      <c r="BD123" s="32">
        <f t="shared" si="46"/>
        <v>0</v>
      </c>
      <c r="BE123" s="32">
        <v>0</v>
      </c>
      <c r="BF123" s="32">
        <f t="shared" si="47"/>
        <v>2.9999999999999996E-3</v>
      </c>
      <c r="BH123" s="32">
        <f t="shared" si="48"/>
        <v>0</v>
      </c>
      <c r="BI123" s="32">
        <f t="shared" si="49"/>
        <v>0</v>
      </c>
      <c r="BJ123" s="32">
        <f t="shared" si="50"/>
        <v>0</v>
      </c>
      <c r="BK123" s="32"/>
      <c r="BL123" s="32">
        <v>722</v>
      </c>
      <c r="BW123" s="32">
        <f t="shared" si="51"/>
        <v>21</v>
      </c>
      <c r="BX123" s="4" t="s">
        <v>302</v>
      </c>
    </row>
    <row r="124" spans="1:76" ht="25.5" customHeight="1" x14ac:dyDescent="0.25">
      <c r="A124" s="2" t="s">
        <v>303</v>
      </c>
      <c r="B124" s="3" t="s">
        <v>54</v>
      </c>
      <c r="C124" s="3" t="s">
        <v>301</v>
      </c>
      <c r="D124" s="95" t="s">
        <v>304</v>
      </c>
      <c r="E124" s="96"/>
      <c r="F124" s="3" t="s">
        <v>60</v>
      </c>
      <c r="G124" s="32">
        <v>10</v>
      </c>
      <c r="H124" s="89">
        <v>0</v>
      </c>
      <c r="I124" s="33">
        <v>21</v>
      </c>
      <c r="J124" s="32">
        <f t="shared" si="26"/>
        <v>0</v>
      </c>
      <c r="K124" s="32">
        <f t="shared" si="27"/>
        <v>0</v>
      </c>
      <c r="L124" s="32">
        <f t="shared" si="28"/>
        <v>0</v>
      </c>
      <c r="M124" s="32">
        <f t="shared" si="29"/>
        <v>0</v>
      </c>
      <c r="N124" s="34">
        <f>IF(L285=0,0,L124/L285)</f>
        <v>0</v>
      </c>
      <c r="O124" s="32">
        <v>2.9999999999999997E-4</v>
      </c>
      <c r="P124" s="32">
        <f t="shared" si="30"/>
        <v>2.9999999999999996E-3</v>
      </c>
      <c r="Q124" s="35" t="s">
        <v>61</v>
      </c>
      <c r="Z124" s="32">
        <f t="shared" si="31"/>
        <v>0</v>
      </c>
      <c r="AB124" s="32">
        <f t="shared" si="32"/>
        <v>0</v>
      </c>
      <c r="AC124" s="32">
        <f t="shared" si="33"/>
        <v>0</v>
      </c>
      <c r="AD124" s="32">
        <f t="shared" si="34"/>
        <v>0</v>
      </c>
      <c r="AE124" s="32">
        <f t="shared" si="35"/>
        <v>0</v>
      </c>
      <c r="AF124" s="32">
        <f t="shared" si="36"/>
        <v>0</v>
      </c>
      <c r="AG124" s="32">
        <f t="shared" si="37"/>
        <v>0</v>
      </c>
      <c r="AH124" s="32">
        <f t="shared" si="38"/>
        <v>0</v>
      </c>
      <c r="AI124" s="12" t="s">
        <v>54</v>
      </c>
      <c r="AJ124" s="32">
        <f t="shared" si="39"/>
        <v>0</v>
      </c>
      <c r="AK124" s="32">
        <f t="shared" si="40"/>
        <v>0</v>
      </c>
      <c r="AL124" s="32">
        <f t="shared" si="41"/>
        <v>0</v>
      </c>
      <c r="AN124" s="32">
        <v>21</v>
      </c>
      <c r="AO124" s="32">
        <f>H124*0.111111111</f>
        <v>0</v>
      </c>
      <c r="AP124" s="32">
        <f>H124*(1-0.111111111)</f>
        <v>0</v>
      </c>
      <c r="AQ124" s="36" t="s">
        <v>87</v>
      </c>
      <c r="AV124" s="32">
        <f t="shared" si="42"/>
        <v>0</v>
      </c>
      <c r="AW124" s="32">
        <f t="shared" si="43"/>
        <v>0</v>
      </c>
      <c r="AX124" s="32">
        <f t="shared" si="44"/>
        <v>0</v>
      </c>
      <c r="AY124" s="36" t="s">
        <v>258</v>
      </c>
      <c r="AZ124" s="36" t="s">
        <v>145</v>
      </c>
      <c r="BA124" s="12" t="s">
        <v>63</v>
      </c>
      <c r="BC124" s="32">
        <f t="shared" si="45"/>
        <v>0</v>
      </c>
      <c r="BD124" s="32">
        <f t="shared" si="46"/>
        <v>0</v>
      </c>
      <c r="BE124" s="32">
        <v>0</v>
      </c>
      <c r="BF124" s="32">
        <f t="shared" si="47"/>
        <v>2.9999999999999996E-3</v>
      </c>
      <c r="BH124" s="32">
        <f t="shared" si="48"/>
        <v>0</v>
      </c>
      <c r="BI124" s="32">
        <f t="shared" si="49"/>
        <v>0</v>
      </c>
      <c r="BJ124" s="32">
        <f t="shared" si="50"/>
        <v>0</v>
      </c>
      <c r="BK124" s="32"/>
      <c r="BL124" s="32">
        <v>722</v>
      </c>
      <c r="BW124" s="32">
        <f t="shared" si="51"/>
        <v>21</v>
      </c>
      <c r="BX124" s="4" t="s">
        <v>304</v>
      </c>
    </row>
    <row r="125" spans="1:76" x14ac:dyDescent="0.25">
      <c r="A125" s="2" t="s">
        <v>305</v>
      </c>
      <c r="B125" s="3" t="s">
        <v>54</v>
      </c>
      <c r="C125" s="3" t="s">
        <v>306</v>
      </c>
      <c r="D125" s="95" t="s">
        <v>307</v>
      </c>
      <c r="E125" s="96"/>
      <c r="F125" s="3" t="s">
        <v>60</v>
      </c>
      <c r="G125" s="32">
        <v>2</v>
      </c>
      <c r="H125" s="89">
        <v>0</v>
      </c>
      <c r="I125" s="33">
        <v>21</v>
      </c>
      <c r="J125" s="32">
        <f t="shared" si="26"/>
        <v>0</v>
      </c>
      <c r="K125" s="32">
        <f t="shared" si="27"/>
        <v>0</v>
      </c>
      <c r="L125" s="32">
        <f t="shared" si="28"/>
        <v>0</v>
      </c>
      <c r="M125" s="32">
        <f t="shared" si="29"/>
        <v>0</v>
      </c>
      <c r="N125" s="34">
        <f>IF(L285=0,0,L125/L285)</f>
        <v>0</v>
      </c>
      <c r="O125" s="32">
        <v>1.7000000000000001E-4</v>
      </c>
      <c r="P125" s="32">
        <f t="shared" si="30"/>
        <v>3.4000000000000002E-4</v>
      </c>
      <c r="Q125" s="35" t="s">
        <v>61</v>
      </c>
      <c r="Z125" s="32">
        <f t="shared" si="31"/>
        <v>0</v>
      </c>
      <c r="AB125" s="32">
        <f t="shared" si="32"/>
        <v>0</v>
      </c>
      <c r="AC125" s="32">
        <f t="shared" si="33"/>
        <v>0</v>
      </c>
      <c r="AD125" s="32">
        <f t="shared" si="34"/>
        <v>0</v>
      </c>
      <c r="AE125" s="32">
        <f t="shared" si="35"/>
        <v>0</v>
      </c>
      <c r="AF125" s="32">
        <f t="shared" si="36"/>
        <v>0</v>
      </c>
      <c r="AG125" s="32">
        <f t="shared" si="37"/>
        <v>0</v>
      </c>
      <c r="AH125" s="32">
        <f t="shared" si="38"/>
        <v>0</v>
      </c>
      <c r="AI125" s="12" t="s">
        <v>54</v>
      </c>
      <c r="AJ125" s="32">
        <f t="shared" si="39"/>
        <v>0</v>
      </c>
      <c r="AK125" s="32">
        <f t="shared" si="40"/>
        <v>0</v>
      </c>
      <c r="AL125" s="32">
        <f t="shared" si="41"/>
        <v>0</v>
      </c>
      <c r="AN125" s="32">
        <v>21</v>
      </c>
      <c r="AO125" s="32">
        <f>H125*0.789769332</f>
        <v>0</v>
      </c>
      <c r="AP125" s="32">
        <f>H125*(1-0.789769332)</f>
        <v>0</v>
      </c>
      <c r="AQ125" s="36" t="s">
        <v>87</v>
      </c>
      <c r="AV125" s="32">
        <f t="shared" si="42"/>
        <v>0</v>
      </c>
      <c r="AW125" s="32">
        <f t="shared" si="43"/>
        <v>0</v>
      </c>
      <c r="AX125" s="32">
        <f t="shared" si="44"/>
        <v>0</v>
      </c>
      <c r="AY125" s="36" t="s">
        <v>258</v>
      </c>
      <c r="AZ125" s="36" t="s">
        <v>145</v>
      </c>
      <c r="BA125" s="12" t="s">
        <v>63</v>
      </c>
      <c r="BC125" s="32">
        <f t="shared" si="45"/>
        <v>0</v>
      </c>
      <c r="BD125" s="32">
        <f t="shared" si="46"/>
        <v>0</v>
      </c>
      <c r="BE125" s="32">
        <v>0</v>
      </c>
      <c r="BF125" s="32">
        <f t="shared" si="47"/>
        <v>3.4000000000000002E-4</v>
      </c>
      <c r="BH125" s="32">
        <f t="shared" si="48"/>
        <v>0</v>
      </c>
      <c r="BI125" s="32">
        <f t="shared" si="49"/>
        <v>0</v>
      </c>
      <c r="BJ125" s="32">
        <f t="shared" si="50"/>
        <v>0</v>
      </c>
      <c r="BK125" s="32"/>
      <c r="BL125" s="32">
        <v>722</v>
      </c>
      <c r="BW125" s="32">
        <f t="shared" si="51"/>
        <v>21</v>
      </c>
      <c r="BX125" s="4" t="s">
        <v>307</v>
      </c>
    </row>
    <row r="126" spans="1:76" x14ac:dyDescent="0.25">
      <c r="A126" s="2" t="s">
        <v>308</v>
      </c>
      <c r="B126" s="3" t="s">
        <v>54</v>
      </c>
      <c r="C126" s="3" t="s">
        <v>309</v>
      </c>
      <c r="D126" s="95" t="s">
        <v>310</v>
      </c>
      <c r="E126" s="96"/>
      <c r="F126" s="3" t="s">
        <v>60</v>
      </c>
      <c r="G126" s="32">
        <v>4</v>
      </c>
      <c r="H126" s="89">
        <v>0</v>
      </c>
      <c r="I126" s="33">
        <v>21</v>
      </c>
      <c r="J126" s="32">
        <f>ROUND(G126*AO126,2)</f>
        <v>0</v>
      </c>
      <c r="K126" s="32">
        <f>ROUND(G126*AP126,2)</f>
        <v>0</v>
      </c>
      <c r="L126" s="32">
        <f>ROUND(G126*H126,2)</f>
        <v>0</v>
      </c>
      <c r="M126" s="32">
        <f>L126*(1+BW126/100)</f>
        <v>0</v>
      </c>
      <c r="N126" s="34">
        <f>IF(L285=0,0,L126/L285)</f>
        <v>0</v>
      </c>
      <c r="O126" s="32">
        <v>3.2000000000000003E-4</v>
      </c>
      <c r="P126" s="32">
        <f>G126*O126</f>
        <v>1.2800000000000001E-3</v>
      </c>
      <c r="Q126" s="35" t="s">
        <v>61</v>
      </c>
      <c r="Z126" s="32">
        <f>ROUND(IF(AQ126="5",BJ126,0),2)</f>
        <v>0</v>
      </c>
      <c r="AB126" s="32">
        <f>ROUND(IF(AQ126="1",BH126,0),2)</f>
        <v>0</v>
      </c>
      <c r="AC126" s="32">
        <f>ROUND(IF(AQ126="1",BI126,0),2)</f>
        <v>0</v>
      </c>
      <c r="AD126" s="32">
        <f>ROUND(IF(AQ126="7",BH126,0),2)</f>
        <v>0</v>
      </c>
      <c r="AE126" s="32">
        <f>ROUND(IF(AQ126="7",BI126,0),2)</f>
        <v>0</v>
      </c>
      <c r="AF126" s="32">
        <f>ROUND(IF(AQ126="2",BH126,0),2)</f>
        <v>0</v>
      </c>
      <c r="AG126" s="32">
        <f>ROUND(IF(AQ126="2",BI126,0),2)</f>
        <v>0</v>
      </c>
      <c r="AH126" s="32">
        <f>ROUND(IF(AQ126="0",BJ126,0),2)</f>
        <v>0</v>
      </c>
      <c r="AI126" s="12" t="s">
        <v>54</v>
      </c>
      <c r="AJ126" s="32">
        <f>IF(AN126=0,L126,0)</f>
        <v>0</v>
      </c>
      <c r="AK126" s="32">
        <f>IF(AN126=12,L126,0)</f>
        <v>0</v>
      </c>
      <c r="AL126" s="32">
        <f>IF(AN126=21,L126,0)</f>
        <v>0</v>
      </c>
      <c r="AN126" s="32">
        <v>21</v>
      </c>
      <c r="AO126" s="32">
        <f>H126*0.710200803</f>
        <v>0</v>
      </c>
      <c r="AP126" s="32">
        <f>H126*(1-0.710200803)</f>
        <v>0</v>
      </c>
      <c r="AQ126" s="36" t="s">
        <v>87</v>
      </c>
      <c r="AV126" s="32">
        <f>ROUND(AW126+AX126,2)</f>
        <v>0</v>
      </c>
      <c r="AW126" s="32">
        <f>ROUND(G126*AO126,2)</f>
        <v>0</v>
      </c>
      <c r="AX126" s="32">
        <f>ROUND(G126*AP126,2)</f>
        <v>0</v>
      </c>
      <c r="AY126" s="36" t="s">
        <v>258</v>
      </c>
      <c r="AZ126" s="36" t="s">
        <v>145</v>
      </c>
      <c r="BA126" s="12" t="s">
        <v>63</v>
      </c>
      <c r="BC126" s="32">
        <f>AW126+AX126</f>
        <v>0</v>
      </c>
      <c r="BD126" s="32">
        <f>H126/(100-BE126)*100</f>
        <v>0</v>
      </c>
      <c r="BE126" s="32">
        <v>0</v>
      </c>
      <c r="BF126" s="32">
        <f>P126</f>
        <v>1.2800000000000001E-3</v>
      </c>
      <c r="BH126" s="32">
        <f>G126*AO126</f>
        <v>0</v>
      </c>
      <c r="BI126" s="32">
        <f>G126*AP126</f>
        <v>0</v>
      </c>
      <c r="BJ126" s="32">
        <f>G126*H126</f>
        <v>0</v>
      </c>
      <c r="BK126" s="32"/>
      <c r="BL126" s="32">
        <v>722</v>
      </c>
      <c r="BW126" s="32">
        <f>I126</f>
        <v>21</v>
      </c>
      <c r="BX126" s="4" t="s">
        <v>310</v>
      </c>
    </row>
    <row r="127" spans="1:76" x14ac:dyDescent="0.25">
      <c r="A127" s="2" t="s">
        <v>311</v>
      </c>
      <c r="B127" s="3" t="s">
        <v>54</v>
      </c>
      <c r="C127" s="3" t="s">
        <v>306</v>
      </c>
      <c r="D127" s="95" t="s">
        <v>312</v>
      </c>
      <c r="E127" s="96"/>
      <c r="F127" s="3" t="s">
        <v>60</v>
      </c>
      <c r="G127" s="32">
        <v>6</v>
      </c>
      <c r="H127" s="89">
        <v>0</v>
      </c>
      <c r="I127" s="33">
        <v>21</v>
      </c>
      <c r="J127" s="32">
        <f>ROUND(G127*AO127,2)</f>
        <v>0</v>
      </c>
      <c r="K127" s="32">
        <f>ROUND(G127*AP127,2)</f>
        <v>0</v>
      </c>
      <c r="L127" s="32">
        <f>ROUND(G127*H127,2)</f>
        <v>0</v>
      </c>
      <c r="M127" s="32">
        <f>L127*(1+BW127/100)</f>
        <v>0</v>
      </c>
      <c r="N127" s="34">
        <f>IF(L285=0,0,L127/L285)</f>
        <v>0</v>
      </c>
      <c r="O127" s="32">
        <v>1.7000000000000001E-4</v>
      </c>
      <c r="P127" s="32">
        <f>G127*O127</f>
        <v>1.0200000000000001E-3</v>
      </c>
      <c r="Q127" s="35" t="s">
        <v>61</v>
      </c>
      <c r="Z127" s="32">
        <f>ROUND(IF(AQ127="5",BJ127,0),2)</f>
        <v>0</v>
      </c>
      <c r="AB127" s="32">
        <f>ROUND(IF(AQ127="1",BH127,0),2)</f>
        <v>0</v>
      </c>
      <c r="AC127" s="32">
        <f>ROUND(IF(AQ127="1",BI127,0),2)</f>
        <v>0</v>
      </c>
      <c r="AD127" s="32">
        <f>ROUND(IF(AQ127="7",BH127,0),2)</f>
        <v>0</v>
      </c>
      <c r="AE127" s="32">
        <f>ROUND(IF(AQ127="7",BI127,0),2)</f>
        <v>0</v>
      </c>
      <c r="AF127" s="32">
        <f>ROUND(IF(AQ127="2",BH127,0),2)</f>
        <v>0</v>
      </c>
      <c r="AG127" s="32">
        <f>ROUND(IF(AQ127="2",BI127,0),2)</f>
        <v>0</v>
      </c>
      <c r="AH127" s="32">
        <f>ROUND(IF(AQ127="0",BJ127,0),2)</f>
        <v>0</v>
      </c>
      <c r="AI127" s="12" t="s">
        <v>54</v>
      </c>
      <c r="AJ127" s="32">
        <f>IF(AN127=0,L127,0)</f>
        <v>0</v>
      </c>
      <c r="AK127" s="32">
        <f>IF(AN127=12,L127,0)</f>
        <v>0</v>
      </c>
      <c r="AL127" s="32">
        <f>IF(AN127=21,L127,0)</f>
        <v>0</v>
      </c>
      <c r="AN127" s="32">
        <v>21</v>
      </c>
      <c r="AO127" s="32">
        <f>H127*0.849662403</f>
        <v>0</v>
      </c>
      <c r="AP127" s="32">
        <f>H127*(1-0.849662403)</f>
        <v>0</v>
      </c>
      <c r="AQ127" s="36" t="s">
        <v>87</v>
      </c>
      <c r="AV127" s="32">
        <f>ROUND(AW127+AX127,2)</f>
        <v>0</v>
      </c>
      <c r="AW127" s="32">
        <f>ROUND(G127*AO127,2)</f>
        <v>0</v>
      </c>
      <c r="AX127" s="32">
        <f>ROUND(G127*AP127,2)</f>
        <v>0</v>
      </c>
      <c r="AY127" s="36" t="s">
        <v>258</v>
      </c>
      <c r="AZ127" s="36" t="s">
        <v>145</v>
      </c>
      <c r="BA127" s="12" t="s">
        <v>63</v>
      </c>
      <c r="BC127" s="32">
        <f>AW127+AX127</f>
        <v>0</v>
      </c>
      <c r="BD127" s="32">
        <f>H127/(100-BE127)*100</f>
        <v>0</v>
      </c>
      <c r="BE127" s="32">
        <v>0</v>
      </c>
      <c r="BF127" s="32">
        <f>P127</f>
        <v>1.0200000000000001E-3</v>
      </c>
      <c r="BH127" s="32">
        <f>G127*AO127</f>
        <v>0</v>
      </c>
      <c r="BI127" s="32">
        <f>G127*AP127</f>
        <v>0</v>
      </c>
      <c r="BJ127" s="32">
        <f>G127*H127</f>
        <v>0</v>
      </c>
      <c r="BK127" s="32"/>
      <c r="BL127" s="32">
        <v>722</v>
      </c>
      <c r="BW127" s="32">
        <f>I127</f>
        <v>21</v>
      </c>
      <c r="BX127" s="4" t="s">
        <v>312</v>
      </c>
    </row>
    <row r="128" spans="1:76" ht="25.5" customHeight="1" x14ac:dyDescent="0.25">
      <c r="A128" s="2" t="s">
        <v>313</v>
      </c>
      <c r="B128" s="3" t="s">
        <v>54</v>
      </c>
      <c r="C128" s="3" t="s">
        <v>314</v>
      </c>
      <c r="D128" s="95" t="s">
        <v>315</v>
      </c>
      <c r="E128" s="96"/>
      <c r="F128" s="3" t="s">
        <v>60</v>
      </c>
      <c r="G128" s="32">
        <v>4</v>
      </c>
      <c r="H128" s="89">
        <v>0</v>
      </c>
      <c r="I128" s="33">
        <v>21</v>
      </c>
      <c r="J128" s="32">
        <f>ROUND(G128*AO128,2)</f>
        <v>0</v>
      </c>
      <c r="K128" s="32">
        <f>ROUND(G128*AP128,2)</f>
        <v>0</v>
      </c>
      <c r="L128" s="32">
        <f>ROUND(G128*H128,2)</f>
        <v>0</v>
      </c>
      <c r="M128" s="32">
        <f>L128*(1+BW128/100)</f>
        <v>0</v>
      </c>
      <c r="N128" s="34">
        <f>IF(L285=0,0,L128/L285)</f>
        <v>0</v>
      </c>
      <c r="O128" s="32">
        <v>7.8799999999999999E-3</v>
      </c>
      <c r="P128" s="32">
        <f>G128*O128</f>
        <v>3.1519999999999999E-2</v>
      </c>
      <c r="Q128" s="35" t="s">
        <v>61</v>
      </c>
      <c r="Z128" s="32">
        <f>ROUND(IF(AQ128="5",BJ128,0),2)</f>
        <v>0</v>
      </c>
      <c r="AB128" s="32">
        <f>ROUND(IF(AQ128="1",BH128,0),2)</f>
        <v>0</v>
      </c>
      <c r="AC128" s="32">
        <f>ROUND(IF(AQ128="1",BI128,0),2)</f>
        <v>0</v>
      </c>
      <c r="AD128" s="32">
        <f>ROUND(IF(AQ128="7",BH128,0),2)</f>
        <v>0</v>
      </c>
      <c r="AE128" s="32">
        <f>ROUND(IF(AQ128="7",BI128,0),2)</f>
        <v>0</v>
      </c>
      <c r="AF128" s="32">
        <f>ROUND(IF(AQ128="2",BH128,0),2)</f>
        <v>0</v>
      </c>
      <c r="AG128" s="32">
        <f>ROUND(IF(AQ128="2",BI128,0),2)</f>
        <v>0</v>
      </c>
      <c r="AH128" s="32">
        <f>ROUND(IF(AQ128="0",BJ128,0),2)</f>
        <v>0</v>
      </c>
      <c r="AI128" s="12" t="s">
        <v>54</v>
      </c>
      <c r="AJ128" s="32">
        <f>IF(AN128=0,L128,0)</f>
        <v>0</v>
      </c>
      <c r="AK128" s="32">
        <f>IF(AN128=12,L128,0)</f>
        <v>0</v>
      </c>
      <c r="AL128" s="32">
        <f>IF(AN128=21,L128,0)</f>
        <v>0</v>
      </c>
      <c r="AN128" s="32">
        <v>21</v>
      </c>
      <c r="AO128" s="32">
        <f>H128*0.95894005</f>
        <v>0</v>
      </c>
      <c r="AP128" s="32">
        <f>H128*(1-0.95894005)</f>
        <v>0</v>
      </c>
      <c r="AQ128" s="36" t="s">
        <v>87</v>
      </c>
      <c r="AV128" s="32">
        <f>ROUND(AW128+AX128,2)</f>
        <v>0</v>
      </c>
      <c r="AW128" s="32">
        <f>ROUND(G128*AO128,2)</f>
        <v>0</v>
      </c>
      <c r="AX128" s="32">
        <f>ROUND(G128*AP128,2)</f>
        <v>0</v>
      </c>
      <c r="AY128" s="36" t="s">
        <v>258</v>
      </c>
      <c r="AZ128" s="36" t="s">
        <v>145</v>
      </c>
      <c r="BA128" s="12" t="s">
        <v>63</v>
      </c>
      <c r="BC128" s="32">
        <f>AW128+AX128</f>
        <v>0</v>
      </c>
      <c r="BD128" s="32">
        <f>H128/(100-BE128)*100</f>
        <v>0</v>
      </c>
      <c r="BE128" s="32">
        <v>0</v>
      </c>
      <c r="BF128" s="32">
        <f>P128</f>
        <v>3.1519999999999999E-2</v>
      </c>
      <c r="BH128" s="32">
        <f>G128*AO128</f>
        <v>0</v>
      </c>
      <c r="BI128" s="32">
        <f>G128*AP128</f>
        <v>0</v>
      </c>
      <c r="BJ128" s="32">
        <f>G128*H128</f>
        <v>0</v>
      </c>
      <c r="BK128" s="32"/>
      <c r="BL128" s="32">
        <v>722</v>
      </c>
      <c r="BW128" s="32">
        <f>I128</f>
        <v>21</v>
      </c>
      <c r="BX128" s="4" t="s">
        <v>315</v>
      </c>
    </row>
    <row r="129" spans="1:76" x14ac:dyDescent="0.25">
      <c r="A129" s="2" t="s">
        <v>316</v>
      </c>
      <c r="B129" s="3" t="s">
        <v>54</v>
      </c>
      <c r="C129" s="3" t="s">
        <v>317</v>
      </c>
      <c r="D129" s="95" t="s">
        <v>318</v>
      </c>
      <c r="E129" s="96"/>
      <c r="F129" s="3" t="s">
        <v>60</v>
      </c>
      <c r="G129" s="32">
        <v>12</v>
      </c>
      <c r="H129" s="89">
        <v>0</v>
      </c>
      <c r="I129" s="33">
        <v>21</v>
      </c>
      <c r="J129" s="32">
        <f>ROUND(G129*AO129,2)</f>
        <v>0</v>
      </c>
      <c r="K129" s="32">
        <f>ROUND(G129*AP129,2)</f>
        <v>0</v>
      </c>
      <c r="L129" s="32">
        <f>ROUND(G129*H129,2)</f>
        <v>0</v>
      </c>
      <c r="M129" s="32">
        <f>L129*(1+BW129/100)</f>
        <v>0</v>
      </c>
      <c r="N129" s="34">
        <f>IF(L285=0,0,L129/L285)</f>
        <v>0</v>
      </c>
      <c r="O129" s="32">
        <v>1.1E-4</v>
      </c>
      <c r="P129" s="32">
        <f>G129*O129</f>
        <v>1.32E-3</v>
      </c>
      <c r="Q129" s="35" t="s">
        <v>61</v>
      </c>
      <c r="Z129" s="32">
        <f>ROUND(IF(AQ129="5",BJ129,0),2)</f>
        <v>0</v>
      </c>
      <c r="AB129" s="32">
        <f>ROUND(IF(AQ129="1",BH129,0),2)</f>
        <v>0</v>
      </c>
      <c r="AC129" s="32">
        <f>ROUND(IF(AQ129="1",BI129,0),2)</f>
        <v>0</v>
      </c>
      <c r="AD129" s="32">
        <f>ROUND(IF(AQ129="7",BH129,0),2)</f>
        <v>0</v>
      </c>
      <c r="AE129" s="32">
        <f>ROUND(IF(AQ129="7",BI129,0),2)</f>
        <v>0</v>
      </c>
      <c r="AF129" s="32">
        <f>ROUND(IF(AQ129="2",BH129,0),2)</f>
        <v>0</v>
      </c>
      <c r="AG129" s="32">
        <f>ROUND(IF(AQ129="2",BI129,0),2)</f>
        <v>0</v>
      </c>
      <c r="AH129" s="32">
        <f>ROUND(IF(AQ129="0",BJ129,0),2)</f>
        <v>0</v>
      </c>
      <c r="AI129" s="12" t="s">
        <v>54</v>
      </c>
      <c r="AJ129" s="32">
        <f>IF(AN129=0,L129,0)</f>
        <v>0</v>
      </c>
      <c r="AK129" s="32">
        <f>IF(AN129=12,L129,0)</f>
        <v>0</v>
      </c>
      <c r="AL129" s="32">
        <f>IF(AN129=21,L129,0)</f>
        <v>0</v>
      </c>
      <c r="AN129" s="32">
        <v>21</v>
      </c>
      <c r="AO129" s="32">
        <f>H129*0.711933702</f>
        <v>0</v>
      </c>
      <c r="AP129" s="32">
        <f>H129*(1-0.711933702)</f>
        <v>0</v>
      </c>
      <c r="AQ129" s="36" t="s">
        <v>87</v>
      </c>
      <c r="AV129" s="32">
        <f>ROUND(AW129+AX129,2)</f>
        <v>0</v>
      </c>
      <c r="AW129" s="32">
        <f>ROUND(G129*AO129,2)</f>
        <v>0</v>
      </c>
      <c r="AX129" s="32">
        <f>ROUND(G129*AP129,2)</f>
        <v>0</v>
      </c>
      <c r="AY129" s="36" t="s">
        <v>258</v>
      </c>
      <c r="AZ129" s="36" t="s">
        <v>145</v>
      </c>
      <c r="BA129" s="12" t="s">
        <v>63</v>
      </c>
      <c r="BC129" s="32">
        <f>AW129+AX129</f>
        <v>0</v>
      </c>
      <c r="BD129" s="32">
        <f>H129/(100-BE129)*100</f>
        <v>0</v>
      </c>
      <c r="BE129" s="32">
        <v>0</v>
      </c>
      <c r="BF129" s="32">
        <f>P129</f>
        <v>1.32E-3</v>
      </c>
      <c r="BH129" s="32">
        <f>G129*AO129</f>
        <v>0</v>
      </c>
      <c r="BI129" s="32">
        <f>G129*AP129</f>
        <v>0</v>
      </c>
      <c r="BJ129" s="32">
        <f>G129*H129</f>
        <v>0</v>
      </c>
      <c r="BK129" s="32"/>
      <c r="BL129" s="32">
        <v>722</v>
      </c>
      <c r="BW129" s="32">
        <f>I129</f>
        <v>21</v>
      </c>
      <c r="BX129" s="4" t="s">
        <v>318</v>
      </c>
    </row>
    <row r="130" spans="1:76" x14ac:dyDescent="0.25">
      <c r="A130" s="2" t="s">
        <v>319</v>
      </c>
      <c r="B130" s="3" t="s">
        <v>54</v>
      </c>
      <c r="C130" s="3" t="s">
        <v>320</v>
      </c>
      <c r="D130" s="95" t="s">
        <v>321</v>
      </c>
      <c r="E130" s="96"/>
      <c r="F130" s="3" t="s">
        <v>239</v>
      </c>
      <c r="G130" s="32">
        <v>1</v>
      </c>
      <c r="H130" s="89">
        <v>0</v>
      </c>
      <c r="I130" s="33">
        <v>21</v>
      </c>
      <c r="J130" s="32">
        <f>ROUND(G130*AO130,2)</f>
        <v>0</v>
      </c>
      <c r="K130" s="32">
        <f>ROUND(G130*AP130,2)</f>
        <v>0</v>
      </c>
      <c r="L130" s="32">
        <f>ROUND(G130*H130,2)</f>
        <v>0</v>
      </c>
      <c r="M130" s="32">
        <f>L130*(1+BW130/100)</f>
        <v>0</v>
      </c>
      <c r="N130" s="34">
        <f>IF(L285=0,0,L130/L285)</f>
        <v>0</v>
      </c>
      <c r="O130" s="32">
        <v>0</v>
      </c>
      <c r="P130" s="32">
        <f>G130*O130</f>
        <v>0</v>
      </c>
      <c r="Q130" s="35" t="s">
        <v>54</v>
      </c>
      <c r="Z130" s="32">
        <f>ROUND(IF(AQ130="5",BJ130,0),2)</f>
        <v>0</v>
      </c>
      <c r="AB130" s="32">
        <f>ROUND(IF(AQ130="1",BH130,0),2)</f>
        <v>0</v>
      </c>
      <c r="AC130" s="32">
        <f>ROUND(IF(AQ130="1",BI130,0),2)</f>
        <v>0</v>
      </c>
      <c r="AD130" s="32">
        <f>ROUND(IF(AQ130="7",BH130,0),2)</f>
        <v>0</v>
      </c>
      <c r="AE130" s="32">
        <f>ROUND(IF(AQ130="7",BI130,0),2)</f>
        <v>0</v>
      </c>
      <c r="AF130" s="32">
        <f>ROUND(IF(AQ130="2",BH130,0),2)</f>
        <v>0</v>
      </c>
      <c r="AG130" s="32">
        <f>ROUND(IF(AQ130="2",BI130,0),2)</f>
        <v>0</v>
      </c>
      <c r="AH130" s="32">
        <f>ROUND(IF(AQ130="0",BJ130,0),2)</f>
        <v>0</v>
      </c>
      <c r="AI130" s="12" t="s">
        <v>54</v>
      </c>
      <c r="AJ130" s="32">
        <f>IF(AN130=0,L130,0)</f>
        <v>0</v>
      </c>
      <c r="AK130" s="32">
        <f>IF(AN130=12,L130,0)</f>
        <v>0</v>
      </c>
      <c r="AL130" s="32">
        <f>IF(AN130=21,L130,0)</f>
        <v>0</v>
      </c>
      <c r="AN130" s="32">
        <v>21</v>
      </c>
      <c r="AO130" s="32">
        <f>H130*0.783787097</f>
        <v>0</v>
      </c>
      <c r="AP130" s="32">
        <f>H130*(1-0.783787097)</f>
        <v>0</v>
      </c>
      <c r="AQ130" s="36" t="s">
        <v>79</v>
      </c>
      <c r="AV130" s="32">
        <f>ROUND(AW130+AX130,2)</f>
        <v>0</v>
      </c>
      <c r="AW130" s="32">
        <f>ROUND(G130*AO130,2)</f>
        <v>0</v>
      </c>
      <c r="AX130" s="32">
        <f>ROUND(G130*AP130,2)</f>
        <v>0</v>
      </c>
      <c r="AY130" s="36" t="s">
        <v>258</v>
      </c>
      <c r="AZ130" s="36" t="s">
        <v>145</v>
      </c>
      <c r="BA130" s="12" t="s">
        <v>63</v>
      </c>
      <c r="BC130" s="32">
        <f>AW130+AX130</f>
        <v>0</v>
      </c>
      <c r="BD130" s="32">
        <f>H130/(100-BE130)*100</f>
        <v>0</v>
      </c>
      <c r="BE130" s="32">
        <v>0</v>
      </c>
      <c r="BF130" s="32">
        <f>P130</f>
        <v>0</v>
      </c>
      <c r="BH130" s="32">
        <f>G130*AO130</f>
        <v>0</v>
      </c>
      <c r="BI130" s="32">
        <f>G130*AP130</f>
        <v>0</v>
      </c>
      <c r="BJ130" s="32">
        <f>G130*H130</f>
        <v>0</v>
      </c>
      <c r="BK130" s="32"/>
      <c r="BL130" s="32">
        <v>722</v>
      </c>
      <c r="BW130" s="32">
        <f>I130</f>
        <v>21</v>
      </c>
      <c r="BX130" s="4" t="s">
        <v>321</v>
      </c>
    </row>
    <row r="131" spans="1:76" ht="13.5" customHeight="1" x14ac:dyDescent="0.25">
      <c r="A131" s="37"/>
      <c r="C131" s="38"/>
      <c r="D131" s="100" t="s">
        <v>322</v>
      </c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9"/>
    </row>
    <row r="132" spans="1:76" x14ac:dyDescent="0.25">
      <c r="A132" s="2" t="s">
        <v>323</v>
      </c>
      <c r="B132" s="3" t="s">
        <v>54</v>
      </c>
      <c r="C132" s="3" t="s">
        <v>324</v>
      </c>
      <c r="D132" s="95" t="s">
        <v>325</v>
      </c>
      <c r="E132" s="96"/>
      <c r="F132" s="3" t="s">
        <v>239</v>
      </c>
      <c r="G132" s="32">
        <v>1</v>
      </c>
      <c r="H132" s="89">
        <v>0</v>
      </c>
      <c r="I132" s="33">
        <v>21</v>
      </c>
      <c r="J132" s="32">
        <f>ROUND(G132*AO132,2)</f>
        <v>0</v>
      </c>
      <c r="K132" s="32">
        <f>ROUND(G132*AP132,2)</f>
        <v>0</v>
      </c>
      <c r="L132" s="32">
        <f>ROUND(G132*H132,2)</f>
        <v>0</v>
      </c>
      <c r="M132" s="32">
        <f>L132*(1+BW132/100)</f>
        <v>0</v>
      </c>
      <c r="N132" s="34">
        <f>IF(L285=0,0,L132/L285)</f>
        <v>0</v>
      </c>
      <c r="O132" s="32">
        <v>1.0000000000000001E-5</v>
      </c>
      <c r="P132" s="32">
        <f>G132*O132</f>
        <v>1.0000000000000001E-5</v>
      </c>
      <c r="Q132" s="35" t="s">
        <v>61</v>
      </c>
      <c r="Z132" s="32">
        <f>ROUND(IF(AQ132="5",BJ132,0),2)</f>
        <v>0</v>
      </c>
      <c r="AB132" s="32">
        <f>ROUND(IF(AQ132="1",BH132,0),2)</f>
        <v>0</v>
      </c>
      <c r="AC132" s="32">
        <f>ROUND(IF(AQ132="1",BI132,0),2)</f>
        <v>0</v>
      </c>
      <c r="AD132" s="32">
        <f>ROUND(IF(AQ132="7",BH132,0),2)</f>
        <v>0</v>
      </c>
      <c r="AE132" s="32">
        <f>ROUND(IF(AQ132="7",BI132,0),2)</f>
        <v>0</v>
      </c>
      <c r="AF132" s="32">
        <f>ROUND(IF(AQ132="2",BH132,0),2)</f>
        <v>0</v>
      </c>
      <c r="AG132" s="32">
        <f>ROUND(IF(AQ132="2",BI132,0),2)</f>
        <v>0</v>
      </c>
      <c r="AH132" s="32">
        <f>ROUND(IF(AQ132="0",BJ132,0),2)</f>
        <v>0</v>
      </c>
      <c r="AI132" s="12" t="s">
        <v>54</v>
      </c>
      <c r="AJ132" s="32">
        <f>IF(AN132=0,L132,0)</f>
        <v>0</v>
      </c>
      <c r="AK132" s="32">
        <f>IF(AN132=12,L132,0)</f>
        <v>0</v>
      </c>
      <c r="AL132" s="32">
        <f>IF(AN132=21,L132,0)</f>
        <v>0</v>
      </c>
      <c r="AN132" s="32">
        <v>21</v>
      </c>
      <c r="AO132" s="32">
        <f>H132*0.051684455</f>
        <v>0</v>
      </c>
      <c r="AP132" s="32">
        <f>H132*(1-0.051684455)</f>
        <v>0</v>
      </c>
      <c r="AQ132" s="36" t="s">
        <v>87</v>
      </c>
      <c r="AV132" s="32">
        <f>ROUND(AW132+AX132,2)</f>
        <v>0</v>
      </c>
      <c r="AW132" s="32">
        <f>ROUND(G132*AO132,2)</f>
        <v>0</v>
      </c>
      <c r="AX132" s="32">
        <f>ROUND(G132*AP132,2)</f>
        <v>0</v>
      </c>
      <c r="AY132" s="36" t="s">
        <v>258</v>
      </c>
      <c r="AZ132" s="36" t="s">
        <v>145</v>
      </c>
      <c r="BA132" s="12" t="s">
        <v>63</v>
      </c>
      <c r="BC132" s="32">
        <f>AW132+AX132</f>
        <v>0</v>
      </c>
      <c r="BD132" s="32">
        <f>H132/(100-BE132)*100</f>
        <v>0</v>
      </c>
      <c r="BE132" s="32">
        <v>0</v>
      </c>
      <c r="BF132" s="32">
        <f>P132</f>
        <v>1.0000000000000001E-5</v>
      </c>
      <c r="BH132" s="32">
        <f>G132*AO132</f>
        <v>0</v>
      </c>
      <c r="BI132" s="32">
        <f>G132*AP132</f>
        <v>0</v>
      </c>
      <c r="BJ132" s="32">
        <f>G132*H132</f>
        <v>0</v>
      </c>
      <c r="BK132" s="32"/>
      <c r="BL132" s="32">
        <v>722</v>
      </c>
      <c r="BW132" s="32">
        <f>I132</f>
        <v>21</v>
      </c>
      <c r="BX132" s="4" t="s">
        <v>325</v>
      </c>
    </row>
    <row r="133" spans="1:76" x14ac:dyDescent="0.25">
      <c r="A133" s="2" t="s">
        <v>326</v>
      </c>
      <c r="B133" s="3" t="s">
        <v>54</v>
      </c>
      <c r="C133" s="3" t="s">
        <v>327</v>
      </c>
      <c r="D133" s="95" t="s">
        <v>328</v>
      </c>
      <c r="E133" s="96"/>
      <c r="F133" s="3" t="s">
        <v>239</v>
      </c>
      <c r="G133" s="32">
        <v>1</v>
      </c>
      <c r="H133" s="89">
        <v>0</v>
      </c>
      <c r="I133" s="33">
        <v>21</v>
      </c>
      <c r="J133" s="32">
        <f>ROUND(G133*AO133,2)</f>
        <v>0</v>
      </c>
      <c r="K133" s="32">
        <f>ROUND(G133*AP133,2)</f>
        <v>0</v>
      </c>
      <c r="L133" s="32">
        <f>ROUND(G133*H133,2)</f>
        <v>0</v>
      </c>
      <c r="M133" s="32">
        <f>L133*(1+BW133/100)</f>
        <v>0</v>
      </c>
      <c r="N133" s="34">
        <f>IF(L285=0,0,L133/L285)</f>
        <v>0</v>
      </c>
      <c r="O133" s="32">
        <v>1.8000000000000001E-4</v>
      </c>
      <c r="P133" s="32">
        <f>G133*O133</f>
        <v>1.8000000000000001E-4</v>
      </c>
      <c r="Q133" s="35" t="s">
        <v>61</v>
      </c>
      <c r="Z133" s="32">
        <f>ROUND(IF(AQ133="5",BJ133,0),2)</f>
        <v>0</v>
      </c>
      <c r="AB133" s="32">
        <f>ROUND(IF(AQ133="1",BH133,0),2)</f>
        <v>0</v>
      </c>
      <c r="AC133" s="32">
        <f>ROUND(IF(AQ133="1",BI133,0),2)</f>
        <v>0</v>
      </c>
      <c r="AD133" s="32">
        <f>ROUND(IF(AQ133="7",BH133,0),2)</f>
        <v>0</v>
      </c>
      <c r="AE133" s="32">
        <f>ROUND(IF(AQ133="7",BI133,0),2)</f>
        <v>0</v>
      </c>
      <c r="AF133" s="32">
        <f>ROUND(IF(AQ133="2",BH133,0),2)</f>
        <v>0</v>
      </c>
      <c r="AG133" s="32">
        <f>ROUND(IF(AQ133="2",BI133,0),2)</f>
        <v>0</v>
      </c>
      <c r="AH133" s="32">
        <f>ROUND(IF(AQ133="0",BJ133,0),2)</f>
        <v>0</v>
      </c>
      <c r="AI133" s="12" t="s">
        <v>54</v>
      </c>
      <c r="AJ133" s="32">
        <f>IF(AN133=0,L133,0)</f>
        <v>0</v>
      </c>
      <c r="AK133" s="32">
        <f>IF(AN133=12,L133,0)</f>
        <v>0</v>
      </c>
      <c r="AL133" s="32">
        <f>IF(AN133=21,L133,0)</f>
        <v>0</v>
      </c>
      <c r="AN133" s="32">
        <v>21</v>
      </c>
      <c r="AO133" s="32">
        <f>H133*0.222223529</f>
        <v>0</v>
      </c>
      <c r="AP133" s="32">
        <f>H133*(1-0.222223529)</f>
        <v>0</v>
      </c>
      <c r="AQ133" s="36" t="s">
        <v>87</v>
      </c>
      <c r="AV133" s="32">
        <f>ROUND(AW133+AX133,2)</f>
        <v>0</v>
      </c>
      <c r="AW133" s="32">
        <f>ROUND(G133*AO133,2)</f>
        <v>0</v>
      </c>
      <c r="AX133" s="32">
        <f>ROUND(G133*AP133,2)</f>
        <v>0</v>
      </c>
      <c r="AY133" s="36" t="s">
        <v>258</v>
      </c>
      <c r="AZ133" s="36" t="s">
        <v>145</v>
      </c>
      <c r="BA133" s="12" t="s">
        <v>63</v>
      </c>
      <c r="BC133" s="32">
        <f>AW133+AX133</f>
        <v>0</v>
      </c>
      <c r="BD133" s="32">
        <f>H133/(100-BE133)*100</f>
        <v>0</v>
      </c>
      <c r="BE133" s="32">
        <v>0</v>
      </c>
      <c r="BF133" s="32">
        <f>P133</f>
        <v>1.8000000000000001E-4</v>
      </c>
      <c r="BH133" s="32">
        <f>G133*AO133</f>
        <v>0</v>
      </c>
      <c r="BI133" s="32">
        <f>G133*AP133</f>
        <v>0</v>
      </c>
      <c r="BJ133" s="32">
        <f>G133*H133</f>
        <v>0</v>
      </c>
      <c r="BK133" s="32"/>
      <c r="BL133" s="32">
        <v>722</v>
      </c>
      <c r="BW133" s="32">
        <f>I133</f>
        <v>21</v>
      </c>
      <c r="BX133" s="4" t="s">
        <v>328</v>
      </c>
    </row>
    <row r="134" spans="1:76" x14ac:dyDescent="0.25">
      <c r="A134" s="2" t="s">
        <v>329</v>
      </c>
      <c r="B134" s="3" t="s">
        <v>54</v>
      </c>
      <c r="C134" s="3" t="s">
        <v>243</v>
      </c>
      <c r="D134" s="95" t="s">
        <v>244</v>
      </c>
      <c r="E134" s="96"/>
      <c r="F134" s="3" t="s">
        <v>245</v>
      </c>
      <c r="G134" s="32">
        <v>20</v>
      </c>
      <c r="H134" s="89">
        <v>0</v>
      </c>
      <c r="I134" s="33">
        <v>21</v>
      </c>
      <c r="J134" s="32">
        <f>ROUND(G134*AO134,2)</f>
        <v>0</v>
      </c>
      <c r="K134" s="32">
        <f>ROUND(G134*AP134,2)</f>
        <v>0</v>
      </c>
      <c r="L134" s="32">
        <f>ROUND(G134*H134,2)</f>
        <v>0</v>
      </c>
      <c r="M134" s="32">
        <f>L134*(1+BW134/100)</f>
        <v>0</v>
      </c>
      <c r="N134" s="34">
        <f>IF(L285=0,0,L134/L285)</f>
        <v>0</v>
      </c>
      <c r="O134" s="32">
        <v>0</v>
      </c>
      <c r="P134" s="32">
        <f>G134*O134</f>
        <v>0</v>
      </c>
      <c r="Q134" s="35" t="s">
        <v>61</v>
      </c>
      <c r="Z134" s="32">
        <f>ROUND(IF(AQ134="5",BJ134,0),2)</f>
        <v>0</v>
      </c>
      <c r="AB134" s="32">
        <f>ROUND(IF(AQ134="1",BH134,0),2)</f>
        <v>0</v>
      </c>
      <c r="AC134" s="32">
        <f>ROUND(IF(AQ134="1",BI134,0),2)</f>
        <v>0</v>
      </c>
      <c r="AD134" s="32">
        <f>ROUND(IF(AQ134="7",BH134,0),2)</f>
        <v>0</v>
      </c>
      <c r="AE134" s="32">
        <f>ROUND(IF(AQ134="7",BI134,0),2)</f>
        <v>0</v>
      </c>
      <c r="AF134" s="32">
        <f>ROUND(IF(AQ134="2",BH134,0),2)</f>
        <v>0</v>
      </c>
      <c r="AG134" s="32">
        <f>ROUND(IF(AQ134="2",BI134,0),2)</f>
        <v>0</v>
      </c>
      <c r="AH134" s="32">
        <f>ROUND(IF(AQ134="0",BJ134,0),2)</f>
        <v>0</v>
      </c>
      <c r="AI134" s="12" t="s">
        <v>54</v>
      </c>
      <c r="AJ134" s="32">
        <f>IF(AN134=0,L134,0)</f>
        <v>0</v>
      </c>
      <c r="AK134" s="32">
        <f>IF(AN134=12,L134,0)</f>
        <v>0</v>
      </c>
      <c r="AL134" s="32">
        <f>IF(AN134=21,L134,0)</f>
        <v>0</v>
      </c>
      <c r="AN134" s="32">
        <v>21</v>
      </c>
      <c r="AO134" s="32">
        <f>H134*0.27173913</f>
        <v>0</v>
      </c>
      <c r="AP134" s="32">
        <f>H134*(1-0.27173913)</f>
        <v>0</v>
      </c>
      <c r="AQ134" s="36" t="s">
        <v>87</v>
      </c>
      <c r="AV134" s="32">
        <f>ROUND(AW134+AX134,2)</f>
        <v>0</v>
      </c>
      <c r="AW134" s="32">
        <f>ROUND(G134*AO134,2)</f>
        <v>0</v>
      </c>
      <c r="AX134" s="32">
        <f>ROUND(G134*AP134,2)</f>
        <v>0</v>
      </c>
      <c r="AY134" s="36" t="s">
        <v>258</v>
      </c>
      <c r="AZ134" s="36" t="s">
        <v>145</v>
      </c>
      <c r="BA134" s="12" t="s">
        <v>63</v>
      </c>
      <c r="BC134" s="32">
        <f>AW134+AX134</f>
        <v>0</v>
      </c>
      <c r="BD134" s="32">
        <f>H134/(100-BE134)*100</f>
        <v>0</v>
      </c>
      <c r="BE134" s="32">
        <v>0</v>
      </c>
      <c r="BF134" s="32">
        <f>P134</f>
        <v>0</v>
      </c>
      <c r="BH134" s="32">
        <f>G134*AO134</f>
        <v>0</v>
      </c>
      <c r="BI134" s="32">
        <f>G134*AP134</f>
        <v>0</v>
      </c>
      <c r="BJ134" s="32">
        <f>G134*H134</f>
        <v>0</v>
      </c>
      <c r="BK134" s="32"/>
      <c r="BL134" s="32">
        <v>722</v>
      </c>
      <c r="BW134" s="32">
        <f>I134</f>
        <v>21</v>
      </c>
      <c r="BX134" s="4" t="s">
        <v>244</v>
      </c>
    </row>
    <row r="135" spans="1:76" ht="13.5" customHeight="1" x14ac:dyDescent="0.25">
      <c r="A135" s="37"/>
      <c r="C135" s="38"/>
      <c r="D135" s="100" t="s">
        <v>246</v>
      </c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9"/>
    </row>
    <row r="136" spans="1:76" x14ac:dyDescent="0.25">
      <c r="A136" s="2" t="s">
        <v>330</v>
      </c>
      <c r="B136" s="3" t="s">
        <v>54</v>
      </c>
      <c r="C136" s="3" t="s">
        <v>320</v>
      </c>
      <c r="D136" s="95" t="s">
        <v>331</v>
      </c>
      <c r="E136" s="96"/>
      <c r="F136" s="3" t="s">
        <v>239</v>
      </c>
      <c r="G136" s="32">
        <v>1</v>
      </c>
      <c r="H136" s="89">
        <v>0</v>
      </c>
      <c r="I136" s="33">
        <v>21</v>
      </c>
      <c r="J136" s="32">
        <f>ROUND(G136*AO136,2)</f>
        <v>0</v>
      </c>
      <c r="K136" s="32">
        <f>ROUND(G136*AP136,2)</f>
        <v>0</v>
      </c>
      <c r="L136" s="32">
        <f>ROUND(G136*H136,2)</f>
        <v>0</v>
      </c>
      <c r="M136" s="32">
        <f>L136*(1+BW136/100)</f>
        <v>0</v>
      </c>
      <c r="N136" s="34">
        <f>IF(L285=0,0,L136/L285)</f>
        <v>0</v>
      </c>
      <c r="O136" s="32">
        <v>0</v>
      </c>
      <c r="P136" s="32">
        <f>G136*O136</f>
        <v>0</v>
      </c>
      <c r="Q136" s="35"/>
      <c r="Z136" s="32">
        <f>ROUND(IF(AQ136="5",BJ136,0),2)</f>
        <v>0</v>
      </c>
      <c r="AB136" s="32">
        <f>ROUND(IF(AQ136="1",BH136,0),2)</f>
        <v>0</v>
      </c>
      <c r="AC136" s="32">
        <f>ROUND(IF(AQ136="1",BI136,0),2)</f>
        <v>0</v>
      </c>
      <c r="AD136" s="32">
        <f>ROUND(IF(AQ136="7",BH136,0),2)</f>
        <v>0</v>
      </c>
      <c r="AE136" s="32">
        <f>ROUND(IF(AQ136="7",BI136,0),2)</f>
        <v>0</v>
      </c>
      <c r="AF136" s="32">
        <f>ROUND(IF(AQ136="2",BH136,0),2)</f>
        <v>0</v>
      </c>
      <c r="AG136" s="32">
        <f>ROUND(IF(AQ136="2",BI136,0),2)</f>
        <v>0</v>
      </c>
      <c r="AH136" s="32">
        <f>ROUND(IF(AQ136="0",BJ136,0),2)</f>
        <v>0</v>
      </c>
      <c r="AI136" s="12" t="s">
        <v>54</v>
      </c>
      <c r="AJ136" s="32">
        <f>IF(AN136=0,L136,0)</f>
        <v>0</v>
      </c>
      <c r="AK136" s="32">
        <f>IF(AN136=12,L136,0)</f>
        <v>0</v>
      </c>
      <c r="AL136" s="32">
        <f>IF(AN136=21,L136,0)</f>
        <v>0</v>
      </c>
      <c r="AN136" s="32">
        <v>21</v>
      </c>
      <c r="AO136" s="32">
        <f>H136*0</f>
        <v>0</v>
      </c>
      <c r="AP136" s="32">
        <f>H136*(1-0)</f>
        <v>0</v>
      </c>
      <c r="AQ136" s="36" t="s">
        <v>87</v>
      </c>
      <c r="AV136" s="32">
        <f>ROUND(AW136+AX136,2)</f>
        <v>0</v>
      </c>
      <c r="AW136" s="32">
        <f>ROUND(G136*AO136,2)</f>
        <v>0</v>
      </c>
      <c r="AX136" s="32">
        <f>ROUND(G136*AP136,2)</f>
        <v>0</v>
      </c>
      <c r="AY136" s="36" t="s">
        <v>258</v>
      </c>
      <c r="AZ136" s="36" t="s">
        <v>145</v>
      </c>
      <c r="BA136" s="12" t="s">
        <v>63</v>
      </c>
      <c r="BC136" s="32">
        <f>AW136+AX136</f>
        <v>0</v>
      </c>
      <c r="BD136" s="32">
        <f>H136/(100-BE136)*100</f>
        <v>0</v>
      </c>
      <c r="BE136" s="32">
        <v>0</v>
      </c>
      <c r="BF136" s="32">
        <f>P136</f>
        <v>0</v>
      </c>
      <c r="BH136" s="32">
        <f>G136*AO136</f>
        <v>0</v>
      </c>
      <c r="BI136" s="32">
        <f>G136*AP136</f>
        <v>0</v>
      </c>
      <c r="BJ136" s="32">
        <f>G136*H136</f>
        <v>0</v>
      </c>
      <c r="BK136" s="32"/>
      <c r="BL136" s="32">
        <v>722</v>
      </c>
      <c r="BW136" s="32">
        <f>I136</f>
        <v>21</v>
      </c>
      <c r="BX136" s="4" t="s">
        <v>331</v>
      </c>
    </row>
    <row r="137" spans="1:76" ht="13.5" customHeight="1" x14ac:dyDescent="0.25">
      <c r="A137" s="37"/>
      <c r="C137" s="38"/>
      <c r="D137" s="100" t="s">
        <v>249</v>
      </c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9"/>
    </row>
    <row r="138" spans="1:76" x14ac:dyDescent="0.25">
      <c r="A138" s="2" t="s">
        <v>332</v>
      </c>
      <c r="B138" s="3" t="s">
        <v>54</v>
      </c>
      <c r="C138" s="3" t="s">
        <v>333</v>
      </c>
      <c r="D138" s="95" t="s">
        <v>334</v>
      </c>
      <c r="E138" s="96"/>
      <c r="F138" s="3" t="s">
        <v>239</v>
      </c>
      <c r="G138" s="32">
        <v>1</v>
      </c>
      <c r="H138" s="89">
        <v>0</v>
      </c>
      <c r="I138" s="33">
        <v>21</v>
      </c>
      <c r="J138" s="32">
        <f>ROUND(G138*AO138,2)</f>
        <v>0</v>
      </c>
      <c r="K138" s="32">
        <f>ROUND(G138*AP138,2)</f>
        <v>0</v>
      </c>
      <c r="L138" s="32">
        <f>ROUND(G138*H138,2)</f>
        <v>0</v>
      </c>
      <c r="M138" s="32">
        <f>L138*(1+BW138/100)</f>
        <v>0</v>
      </c>
      <c r="N138" s="34">
        <f>IF(L285=0,0,L138/L285)</f>
        <v>0</v>
      </c>
      <c r="O138" s="32">
        <v>0</v>
      </c>
      <c r="P138" s="32">
        <f>G138*O138</f>
        <v>0</v>
      </c>
      <c r="Q138" s="35" t="s">
        <v>61</v>
      </c>
      <c r="Z138" s="32">
        <f>ROUND(IF(AQ138="5",BJ138,0),2)</f>
        <v>0</v>
      </c>
      <c r="AB138" s="32">
        <f>ROUND(IF(AQ138="1",BH138,0),2)</f>
        <v>0</v>
      </c>
      <c r="AC138" s="32">
        <f>ROUND(IF(AQ138="1",BI138,0),2)</f>
        <v>0</v>
      </c>
      <c r="AD138" s="32">
        <f>ROUND(IF(AQ138="7",BH138,0),2)</f>
        <v>0</v>
      </c>
      <c r="AE138" s="32">
        <f>ROUND(IF(AQ138="7",BI138,0),2)</f>
        <v>0</v>
      </c>
      <c r="AF138" s="32">
        <f>ROUND(IF(AQ138="2",BH138,0),2)</f>
        <v>0</v>
      </c>
      <c r="AG138" s="32">
        <f>ROUND(IF(AQ138="2",BI138,0),2)</f>
        <v>0</v>
      </c>
      <c r="AH138" s="32">
        <f>ROUND(IF(AQ138="0",BJ138,0),2)</f>
        <v>0</v>
      </c>
      <c r="AI138" s="12" t="s">
        <v>54</v>
      </c>
      <c r="AJ138" s="32">
        <f>IF(AN138=0,L138,0)</f>
        <v>0</v>
      </c>
      <c r="AK138" s="32">
        <f>IF(AN138=12,L138,0)</f>
        <v>0</v>
      </c>
      <c r="AL138" s="32">
        <f>IF(AN138=21,L138,0)</f>
        <v>0</v>
      </c>
      <c r="AN138" s="32">
        <v>21</v>
      </c>
      <c r="AO138" s="32">
        <f>H138*0</f>
        <v>0</v>
      </c>
      <c r="AP138" s="32">
        <f>H138*(1-0)</f>
        <v>0</v>
      </c>
      <c r="AQ138" s="36" t="s">
        <v>79</v>
      </c>
      <c r="AV138" s="32">
        <f>ROUND(AW138+AX138,2)</f>
        <v>0</v>
      </c>
      <c r="AW138" s="32">
        <f>ROUND(G138*AO138,2)</f>
        <v>0</v>
      </c>
      <c r="AX138" s="32">
        <f>ROUND(G138*AP138,2)</f>
        <v>0</v>
      </c>
      <c r="AY138" s="36" t="s">
        <v>258</v>
      </c>
      <c r="AZ138" s="36" t="s">
        <v>145</v>
      </c>
      <c r="BA138" s="12" t="s">
        <v>63</v>
      </c>
      <c r="BC138" s="32">
        <f>AW138+AX138</f>
        <v>0</v>
      </c>
      <c r="BD138" s="32">
        <f>H138/(100-BE138)*100</f>
        <v>0</v>
      </c>
      <c r="BE138" s="32">
        <v>0</v>
      </c>
      <c r="BF138" s="32">
        <f>P138</f>
        <v>0</v>
      </c>
      <c r="BH138" s="32">
        <f>G138*AO138</f>
        <v>0</v>
      </c>
      <c r="BI138" s="32">
        <f>G138*AP138</f>
        <v>0</v>
      </c>
      <c r="BJ138" s="32">
        <f>G138*H138</f>
        <v>0</v>
      </c>
      <c r="BK138" s="32"/>
      <c r="BL138" s="32">
        <v>722</v>
      </c>
      <c r="BW138" s="32">
        <f>I138</f>
        <v>21</v>
      </c>
      <c r="BX138" s="4" t="s">
        <v>334</v>
      </c>
    </row>
    <row r="139" spans="1:76" x14ac:dyDescent="0.25">
      <c r="A139" s="40" t="s">
        <v>54</v>
      </c>
      <c r="B139" s="41" t="s">
        <v>54</v>
      </c>
      <c r="C139" s="41" t="s">
        <v>335</v>
      </c>
      <c r="D139" s="101" t="s">
        <v>336</v>
      </c>
      <c r="E139" s="102"/>
      <c r="F139" s="42" t="s">
        <v>7</v>
      </c>
      <c r="G139" s="42" t="s">
        <v>7</v>
      </c>
      <c r="H139" s="42" t="s">
        <v>7</v>
      </c>
      <c r="I139" s="42" t="s">
        <v>7</v>
      </c>
      <c r="J139" s="1">
        <f>SUM(J140:J179)</f>
        <v>0</v>
      </c>
      <c r="K139" s="1">
        <f>SUM(K140:K179)</f>
        <v>0</v>
      </c>
      <c r="L139" s="1">
        <f>SUM(L140:L179)</f>
        <v>0</v>
      </c>
      <c r="M139" s="1">
        <f>SUM(M140:M179)</f>
        <v>0</v>
      </c>
      <c r="N139" s="43">
        <f>IF(L285=0,0,L139/L285)</f>
        <v>0</v>
      </c>
      <c r="O139" s="12" t="s">
        <v>54</v>
      </c>
      <c r="P139" s="1">
        <f>SUM(P140:P179)</f>
        <v>2.0190799999999998</v>
      </c>
      <c r="Q139" s="44" t="s">
        <v>54</v>
      </c>
      <c r="AI139" s="12" t="s">
        <v>54</v>
      </c>
      <c r="AS139" s="1">
        <f>SUM(AJ140:AJ179)</f>
        <v>0</v>
      </c>
      <c r="AT139" s="1">
        <f>SUM(AK140:AK179)</f>
        <v>0</v>
      </c>
      <c r="AU139" s="1">
        <f>SUM(AL140:AL179)</f>
        <v>0</v>
      </c>
    </row>
    <row r="140" spans="1:76" x14ac:dyDescent="0.25">
      <c r="A140" s="2" t="s">
        <v>337</v>
      </c>
      <c r="B140" s="3" t="s">
        <v>54</v>
      </c>
      <c r="C140" s="3" t="s">
        <v>338</v>
      </c>
      <c r="D140" s="95" t="s">
        <v>339</v>
      </c>
      <c r="E140" s="96"/>
      <c r="F140" s="3" t="s">
        <v>239</v>
      </c>
      <c r="G140" s="32">
        <v>4</v>
      </c>
      <c r="H140" s="89">
        <v>0</v>
      </c>
      <c r="I140" s="33">
        <v>21</v>
      </c>
      <c r="J140" s="32">
        <f>ROUND(G140*AO140,2)</f>
        <v>0</v>
      </c>
      <c r="K140" s="32">
        <f>ROUND(G140*AP140,2)</f>
        <v>0</v>
      </c>
      <c r="L140" s="32">
        <f>ROUND(G140*H140,2)</f>
        <v>0</v>
      </c>
      <c r="M140" s="32">
        <f>L140*(1+BW140/100)</f>
        <v>0</v>
      </c>
      <c r="N140" s="34">
        <f>IF(L285=0,0,L140/L285)</f>
        <v>0</v>
      </c>
      <c r="O140" s="32">
        <v>1.7999999999999999E-2</v>
      </c>
      <c r="P140" s="32">
        <f>G140*O140</f>
        <v>7.1999999999999995E-2</v>
      </c>
      <c r="Q140" s="35" t="s">
        <v>61</v>
      </c>
      <c r="Z140" s="32">
        <f>ROUND(IF(AQ140="5",BJ140,0),2)</f>
        <v>0</v>
      </c>
      <c r="AB140" s="32">
        <f>ROUND(IF(AQ140="1",BH140,0),2)</f>
        <v>0</v>
      </c>
      <c r="AC140" s="32">
        <f>ROUND(IF(AQ140="1",BI140,0),2)</f>
        <v>0</v>
      </c>
      <c r="AD140" s="32">
        <f>ROUND(IF(AQ140="7",BH140,0),2)</f>
        <v>0</v>
      </c>
      <c r="AE140" s="32">
        <f>ROUND(IF(AQ140="7",BI140,0),2)</f>
        <v>0</v>
      </c>
      <c r="AF140" s="32">
        <f>ROUND(IF(AQ140="2",BH140,0),2)</f>
        <v>0</v>
      </c>
      <c r="AG140" s="32">
        <f>ROUND(IF(AQ140="2",BI140,0),2)</f>
        <v>0</v>
      </c>
      <c r="AH140" s="32">
        <f>ROUND(IF(AQ140="0",BJ140,0),2)</f>
        <v>0</v>
      </c>
      <c r="AI140" s="12" t="s">
        <v>54</v>
      </c>
      <c r="AJ140" s="32">
        <f>IF(AN140=0,L140,0)</f>
        <v>0</v>
      </c>
      <c r="AK140" s="32">
        <f>IF(AN140=12,L140,0)</f>
        <v>0</v>
      </c>
      <c r="AL140" s="32">
        <f>IF(AN140=21,L140,0)</f>
        <v>0</v>
      </c>
      <c r="AN140" s="32">
        <v>21</v>
      </c>
      <c r="AO140" s="32">
        <f>H140*0.833551519</f>
        <v>0</v>
      </c>
      <c r="AP140" s="32">
        <f>H140*(1-0.833551519)</f>
        <v>0</v>
      </c>
      <c r="AQ140" s="36" t="s">
        <v>87</v>
      </c>
      <c r="AV140" s="32">
        <f>ROUND(AW140+AX140,2)</f>
        <v>0</v>
      </c>
      <c r="AW140" s="32">
        <f>ROUND(G140*AO140,2)</f>
        <v>0</v>
      </c>
      <c r="AX140" s="32">
        <f>ROUND(G140*AP140,2)</f>
        <v>0</v>
      </c>
      <c r="AY140" s="36" t="s">
        <v>340</v>
      </c>
      <c r="AZ140" s="36" t="s">
        <v>145</v>
      </c>
      <c r="BA140" s="12" t="s">
        <v>63</v>
      </c>
      <c r="BC140" s="32">
        <f>AW140+AX140</f>
        <v>0</v>
      </c>
      <c r="BD140" s="32">
        <f>H140/(100-BE140)*100</f>
        <v>0</v>
      </c>
      <c r="BE140" s="32">
        <v>0</v>
      </c>
      <c r="BF140" s="32">
        <f>P140</f>
        <v>7.1999999999999995E-2</v>
      </c>
      <c r="BH140" s="32">
        <f>G140*AO140</f>
        <v>0</v>
      </c>
      <c r="BI140" s="32">
        <f>G140*AP140</f>
        <v>0</v>
      </c>
      <c r="BJ140" s="32">
        <f>G140*H140</f>
        <v>0</v>
      </c>
      <c r="BK140" s="32"/>
      <c r="BL140" s="32">
        <v>725</v>
      </c>
      <c r="BW140" s="32">
        <f>I140</f>
        <v>21</v>
      </c>
      <c r="BX140" s="4" t="s">
        <v>339</v>
      </c>
    </row>
    <row r="141" spans="1:76" x14ac:dyDescent="0.25">
      <c r="A141" s="2" t="s">
        <v>341</v>
      </c>
      <c r="B141" s="3" t="s">
        <v>54</v>
      </c>
      <c r="C141" s="3" t="s">
        <v>342</v>
      </c>
      <c r="D141" s="95" t="s">
        <v>343</v>
      </c>
      <c r="E141" s="96"/>
      <c r="F141" s="3" t="s">
        <v>239</v>
      </c>
      <c r="G141" s="32">
        <v>4</v>
      </c>
      <c r="H141" s="89">
        <v>0</v>
      </c>
      <c r="I141" s="33">
        <v>21</v>
      </c>
      <c r="J141" s="32">
        <f>ROUND(G141*AO141,2)</f>
        <v>0</v>
      </c>
      <c r="K141" s="32">
        <f>ROUND(G141*AP141,2)</f>
        <v>0</v>
      </c>
      <c r="L141" s="32">
        <f>ROUND(G141*H141,2)</f>
        <v>0</v>
      </c>
      <c r="M141" s="32">
        <f>L141*(1+BW141/100)</f>
        <v>0</v>
      </c>
      <c r="N141" s="34">
        <f>IF(L285=0,0,L141/L285)</f>
        <v>0</v>
      </c>
      <c r="O141" s="32">
        <v>1.6369999999999999E-2</v>
      </c>
      <c r="P141" s="32">
        <f>G141*O141</f>
        <v>6.5479999999999997E-2</v>
      </c>
      <c r="Q141" s="35" t="s">
        <v>61</v>
      </c>
      <c r="Z141" s="32">
        <f>ROUND(IF(AQ141="5",BJ141,0),2)</f>
        <v>0</v>
      </c>
      <c r="AB141" s="32">
        <f>ROUND(IF(AQ141="1",BH141,0),2)</f>
        <v>0</v>
      </c>
      <c r="AC141" s="32">
        <f>ROUND(IF(AQ141="1",BI141,0),2)</f>
        <v>0</v>
      </c>
      <c r="AD141" s="32">
        <f>ROUND(IF(AQ141="7",BH141,0),2)</f>
        <v>0</v>
      </c>
      <c r="AE141" s="32">
        <f>ROUND(IF(AQ141="7",BI141,0),2)</f>
        <v>0</v>
      </c>
      <c r="AF141" s="32">
        <f>ROUND(IF(AQ141="2",BH141,0),2)</f>
        <v>0</v>
      </c>
      <c r="AG141" s="32">
        <f>ROUND(IF(AQ141="2",BI141,0),2)</f>
        <v>0</v>
      </c>
      <c r="AH141" s="32">
        <f>ROUND(IF(AQ141="0",BJ141,0),2)</f>
        <v>0</v>
      </c>
      <c r="AI141" s="12" t="s">
        <v>54</v>
      </c>
      <c r="AJ141" s="32">
        <f>IF(AN141=0,L141,0)</f>
        <v>0</v>
      </c>
      <c r="AK141" s="32">
        <f>IF(AN141=12,L141,0)</f>
        <v>0</v>
      </c>
      <c r="AL141" s="32">
        <f>IF(AN141=21,L141,0)</f>
        <v>0</v>
      </c>
      <c r="AN141" s="32">
        <v>21</v>
      </c>
      <c r="AO141" s="32">
        <f>H141*0.847505131</f>
        <v>0</v>
      </c>
      <c r="AP141" s="32">
        <f>H141*(1-0.847505131)</f>
        <v>0</v>
      </c>
      <c r="AQ141" s="36" t="s">
        <v>87</v>
      </c>
      <c r="AV141" s="32">
        <f>ROUND(AW141+AX141,2)</f>
        <v>0</v>
      </c>
      <c r="AW141" s="32">
        <f>ROUND(G141*AO141,2)</f>
        <v>0</v>
      </c>
      <c r="AX141" s="32">
        <f>ROUND(G141*AP141,2)</f>
        <v>0</v>
      </c>
      <c r="AY141" s="36" t="s">
        <v>340</v>
      </c>
      <c r="AZ141" s="36" t="s">
        <v>145</v>
      </c>
      <c r="BA141" s="12" t="s">
        <v>63</v>
      </c>
      <c r="BC141" s="32">
        <f>AW141+AX141</f>
        <v>0</v>
      </c>
      <c r="BD141" s="32">
        <f>H141/(100-BE141)*100</f>
        <v>0</v>
      </c>
      <c r="BE141" s="32">
        <v>0</v>
      </c>
      <c r="BF141" s="32">
        <f>P141</f>
        <v>6.5479999999999997E-2</v>
      </c>
      <c r="BH141" s="32">
        <f>G141*AO141</f>
        <v>0</v>
      </c>
      <c r="BI141" s="32">
        <f>G141*AP141</f>
        <v>0</v>
      </c>
      <c r="BJ141" s="32">
        <f>G141*H141</f>
        <v>0</v>
      </c>
      <c r="BK141" s="32"/>
      <c r="BL141" s="32">
        <v>725</v>
      </c>
      <c r="BW141" s="32">
        <f>I141</f>
        <v>21</v>
      </c>
      <c r="BX141" s="4" t="s">
        <v>343</v>
      </c>
    </row>
    <row r="142" spans="1:76" ht="13.5" customHeight="1" x14ac:dyDescent="0.25">
      <c r="A142" s="37"/>
      <c r="C142" s="38"/>
      <c r="D142" s="100" t="s">
        <v>344</v>
      </c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9"/>
    </row>
    <row r="143" spans="1:76" x14ac:dyDescent="0.25">
      <c r="A143" s="2" t="s">
        <v>345</v>
      </c>
      <c r="B143" s="3" t="s">
        <v>54</v>
      </c>
      <c r="C143" s="3" t="s">
        <v>346</v>
      </c>
      <c r="D143" s="95" t="s">
        <v>347</v>
      </c>
      <c r="E143" s="96"/>
      <c r="F143" s="3" t="s">
        <v>60</v>
      </c>
      <c r="G143" s="32">
        <v>4</v>
      </c>
      <c r="H143" s="89">
        <v>0</v>
      </c>
      <c r="I143" s="33">
        <v>21</v>
      </c>
      <c r="J143" s="32">
        <f t="shared" ref="J143:J149" si="52">ROUND(G143*AO143,2)</f>
        <v>0</v>
      </c>
      <c r="K143" s="32">
        <f t="shared" ref="K143:K149" si="53">ROUND(G143*AP143,2)</f>
        <v>0</v>
      </c>
      <c r="L143" s="32">
        <f t="shared" ref="L143:L149" si="54">ROUND(G143*H143,2)</f>
        <v>0</v>
      </c>
      <c r="M143" s="32">
        <f t="shared" ref="M143:M149" si="55">L143*(1+BW143/100)</f>
        <v>0</v>
      </c>
      <c r="N143" s="34">
        <f>IF(L285=0,0,L143/L285)</f>
        <v>0</v>
      </c>
      <c r="O143" s="32">
        <v>2.5999999999999999E-3</v>
      </c>
      <c r="P143" s="32">
        <f t="shared" ref="P143:P149" si="56">G143*O143</f>
        <v>1.04E-2</v>
      </c>
      <c r="Q143" s="35" t="s">
        <v>61</v>
      </c>
      <c r="Z143" s="32">
        <f t="shared" ref="Z143:Z149" si="57">ROUND(IF(AQ143="5",BJ143,0),2)</f>
        <v>0</v>
      </c>
      <c r="AB143" s="32">
        <f t="shared" ref="AB143:AB149" si="58">ROUND(IF(AQ143="1",BH143,0),2)</f>
        <v>0</v>
      </c>
      <c r="AC143" s="32">
        <f t="shared" ref="AC143:AC149" si="59">ROUND(IF(AQ143="1",BI143,0),2)</f>
        <v>0</v>
      </c>
      <c r="AD143" s="32">
        <f t="shared" ref="AD143:AD149" si="60">ROUND(IF(AQ143="7",BH143,0),2)</f>
        <v>0</v>
      </c>
      <c r="AE143" s="32">
        <f t="shared" ref="AE143:AE149" si="61">ROUND(IF(AQ143="7",BI143,0),2)</f>
        <v>0</v>
      </c>
      <c r="AF143" s="32">
        <f t="shared" ref="AF143:AF149" si="62">ROUND(IF(AQ143="2",BH143,0),2)</f>
        <v>0</v>
      </c>
      <c r="AG143" s="32">
        <f t="shared" ref="AG143:AG149" si="63">ROUND(IF(AQ143="2",BI143,0),2)</f>
        <v>0</v>
      </c>
      <c r="AH143" s="32">
        <f t="shared" ref="AH143:AH149" si="64">ROUND(IF(AQ143="0",BJ143,0),2)</f>
        <v>0</v>
      </c>
      <c r="AI143" s="12" t="s">
        <v>54</v>
      </c>
      <c r="AJ143" s="32">
        <f t="shared" ref="AJ143:AJ149" si="65">IF(AN143=0,L143,0)</f>
        <v>0</v>
      </c>
      <c r="AK143" s="32">
        <f t="shared" ref="AK143:AK149" si="66">IF(AN143=12,L143,0)</f>
        <v>0</v>
      </c>
      <c r="AL143" s="32">
        <f t="shared" ref="AL143:AL149" si="67">IF(AN143=21,L143,0)</f>
        <v>0</v>
      </c>
      <c r="AN143" s="32">
        <v>21</v>
      </c>
      <c r="AO143" s="32">
        <f>H143*1</f>
        <v>0</v>
      </c>
      <c r="AP143" s="32">
        <f>H143*(1-1)</f>
        <v>0</v>
      </c>
      <c r="AQ143" s="36" t="s">
        <v>87</v>
      </c>
      <c r="AV143" s="32">
        <f t="shared" ref="AV143:AV149" si="68">ROUND(AW143+AX143,2)</f>
        <v>0</v>
      </c>
      <c r="AW143" s="32">
        <f t="shared" ref="AW143:AW149" si="69">ROUND(G143*AO143,2)</f>
        <v>0</v>
      </c>
      <c r="AX143" s="32">
        <f t="shared" ref="AX143:AX149" si="70">ROUND(G143*AP143,2)</f>
        <v>0</v>
      </c>
      <c r="AY143" s="36" t="s">
        <v>340</v>
      </c>
      <c r="AZ143" s="36" t="s">
        <v>145</v>
      </c>
      <c r="BA143" s="12" t="s">
        <v>63</v>
      </c>
      <c r="BC143" s="32">
        <f t="shared" ref="BC143:BC149" si="71">AW143+AX143</f>
        <v>0</v>
      </c>
      <c r="BD143" s="32">
        <f t="shared" ref="BD143:BD149" si="72">H143/(100-BE143)*100</f>
        <v>0</v>
      </c>
      <c r="BE143" s="32">
        <v>0</v>
      </c>
      <c r="BF143" s="32">
        <f t="shared" ref="BF143:BF149" si="73">P143</f>
        <v>1.04E-2</v>
      </c>
      <c r="BH143" s="32">
        <f t="shared" ref="BH143:BH149" si="74">G143*AO143</f>
        <v>0</v>
      </c>
      <c r="BI143" s="32">
        <f t="shared" ref="BI143:BI149" si="75">G143*AP143</f>
        <v>0</v>
      </c>
      <c r="BJ143" s="32">
        <f t="shared" ref="BJ143:BJ149" si="76">G143*H143</f>
        <v>0</v>
      </c>
      <c r="BK143" s="32"/>
      <c r="BL143" s="32">
        <v>725</v>
      </c>
      <c r="BW143" s="32">
        <f t="shared" ref="BW143:BW149" si="77">I143</f>
        <v>21</v>
      </c>
      <c r="BX143" s="4" t="s">
        <v>347</v>
      </c>
    </row>
    <row r="144" spans="1:76" x14ac:dyDescent="0.25">
      <c r="A144" s="2" t="s">
        <v>348</v>
      </c>
      <c r="B144" s="3" t="s">
        <v>54</v>
      </c>
      <c r="C144" s="3" t="s">
        <v>349</v>
      </c>
      <c r="D144" s="95" t="s">
        <v>350</v>
      </c>
      <c r="E144" s="96"/>
      <c r="F144" s="3" t="s">
        <v>60</v>
      </c>
      <c r="G144" s="32">
        <v>4</v>
      </c>
      <c r="H144" s="89">
        <v>0</v>
      </c>
      <c r="I144" s="33">
        <v>21</v>
      </c>
      <c r="J144" s="32">
        <f t="shared" si="52"/>
        <v>0</v>
      </c>
      <c r="K144" s="32">
        <f t="shared" si="53"/>
        <v>0</v>
      </c>
      <c r="L144" s="32">
        <f t="shared" si="54"/>
        <v>0</v>
      </c>
      <c r="M144" s="32">
        <f t="shared" si="55"/>
        <v>0</v>
      </c>
      <c r="N144" s="34">
        <f>IF(L285=0,0,L144/L285)</f>
        <v>0</v>
      </c>
      <c r="O144" s="32">
        <v>5.5999999999999995E-4</v>
      </c>
      <c r="P144" s="32">
        <f t="shared" si="56"/>
        <v>2.2399999999999998E-3</v>
      </c>
      <c r="Q144" s="35" t="s">
        <v>54</v>
      </c>
      <c r="Z144" s="32">
        <f t="shared" si="57"/>
        <v>0</v>
      </c>
      <c r="AB144" s="32">
        <f t="shared" si="58"/>
        <v>0</v>
      </c>
      <c r="AC144" s="32">
        <f t="shared" si="59"/>
        <v>0</v>
      </c>
      <c r="AD144" s="32">
        <f t="shared" si="60"/>
        <v>0</v>
      </c>
      <c r="AE144" s="32">
        <f t="shared" si="61"/>
        <v>0</v>
      </c>
      <c r="AF144" s="32">
        <f t="shared" si="62"/>
        <v>0</v>
      </c>
      <c r="AG144" s="32">
        <f t="shared" si="63"/>
        <v>0</v>
      </c>
      <c r="AH144" s="32">
        <f t="shared" si="64"/>
        <v>0</v>
      </c>
      <c r="AI144" s="12" t="s">
        <v>54</v>
      </c>
      <c r="AJ144" s="32">
        <f t="shared" si="65"/>
        <v>0</v>
      </c>
      <c r="AK144" s="32">
        <f t="shared" si="66"/>
        <v>0</v>
      </c>
      <c r="AL144" s="32">
        <f t="shared" si="67"/>
        <v>0</v>
      </c>
      <c r="AN144" s="32">
        <v>21</v>
      </c>
      <c r="AO144" s="32">
        <f>H144*0.847367927</f>
        <v>0</v>
      </c>
      <c r="AP144" s="32">
        <f>H144*(1-0.847367927)</f>
        <v>0</v>
      </c>
      <c r="AQ144" s="36" t="s">
        <v>87</v>
      </c>
      <c r="AV144" s="32">
        <f t="shared" si="68"/>
        <v>0</v>
      </c>
      <c r="AW144" s="32">
        <f t="shared" si="69"/>
        <v>0</v>
      </c>
      <c r="AX144" s="32">
        <f t="shared" si="70"/>
        <v>0</v>
      </c>
      <c r="AY144" s="36" t="s">
        <v>340</v>
      </c>
      <c r="AZ144" s="36" t="s">
        <v>145</v>
      </c>
      <c r="BA144" s="12" t="s">
        <v>63</v>
      </c>
      <c r="BC144" s="32">
        <f t="shared" si="71"/>
        <v>0</v>
      </c>
      <c r="BD144" s="32">
        <f t="shared" si="72"/>
        <v>0</v>
      </c>
      <c r="BE144" s="32">
        <v>0</v>
      </c>
      <c r="BF144" s="32">
        <f t="shared" si="73"/>
        <v>2.2399999999999998E-3</v>
      </c>
      <c r="BH144" s="32">
        <f t="shared" si="74"/>
        <v>0</v>
      </c>
      <c r="BI144" s="32">
        <f t="shared" si="75"/>
        <v>0</v>
      </c>
      <c r="BJ144" s="32">
        <f t="shared" si="76"/>
        <v>0</v>
      </c>
      <c r="BK144" s="32"/>
      <c r="BL144" s="32">
        <v>725</v>
      </c>
      <c r="BW144" s="32">
        <f t="shared" si="77"/>
        <v>21</v>
      </c>
      <c r="BX144" s="4" t="s">
        <v>350</v>
      </c>
    </row>
    <row r="145" spans="1:76" x14ac:dyDescent="0.25">
      <c r="A145" s="2" t="s">
        <v>351</v>
      </c>
      <c r="B145" s="3" t="s">
        <v>54</v>
      </c>
      <c r="C145" s="3" t="s">
        <v>352</v>
      </c>
      <c r="D145" s="95" t="s">
        <v>353</v>
      </c>
      <c r="E145" s="96"/>
      <c r="F145" s="3" t="s">
        <v>239</v>
      </c>
      <c r="G145" s="32">
        <v>20</v>
      </c>
      <c r="H145" s="89">
        <v>0</v>
      </c>
      <c r="I145" s="33">
        <v>21</v>
      </c>
      <c r="J145" s="32">
        <f t="shared" si="52"/>
        <v>0</v>
      </c>
      <c r="K145" s="32">
        <f t="shared" si="53"/>
        <v>0</v>
      </c>
      <c r="L145" s="32">
        <f t="shared" si="54"/>
        <v>0</v>
      </c>
      <c r="M145" s="32">
        <f t="shared" si="55"/>
        <v>0</v>
      </c>
      <c r="N145" s="34">
        <f>IF(L285=0,0,L145/L285)</f>
        <v>0</v>
      </c>
      <c r="O145" s="32">
        <v>2.5999999999999999E-2</v>
      </c>
      <c r="P145" s="32">
        <f t="shared" si="56"/>
        <v>0.52</v>
      </c>
      <c r="Q145" s="35" t="s">
        <v>61</v>
      </c>
      <c r="Z145" s="32">
        <f t="shared" si="57"/>
        <v>0</v>
      </c>
      <c r="AB145" s="32">
        <f t="shared" si="58"/>
        <v>0</v>
      </c>
      <c r="AC145" s="32">
        <f t="shared" si="59"/>
        <v>0</v>
      </c>
      <c r="AD145" s="32">
        <f t="shared" si="60"/>
        <v>0</v>
      </c>
      <c r="AE145" s="32">
        <f t="shared" si="61"/>
        <v>0</v>
      </c>
      <c r="AF145" s="32">
        <f t="shared" si="62"/>
        <v>0</v>
      </c>
      <c r="AG145" s="32">
        <f t="shared" si="63"/>
        <v>0</v>
      </c>
      <c r="AH145" s="32">
        <f t="shared" si="64"/>
        <v>0</v>
      </c>
      <c r="AI145" s="12" t="s">
        <v>54</v>
      </c>
      <c r="AJ145" s="32">
        <f t="shared" si="65"/>
        <v>0</v>
      </c>
      <c r="AK145" s="32">
        <f t="shared" si="66"/>
        <v>0</v>
      </c>
      <c r="AL145" s="32">
        <f t="shared" si="67"/>
        <v>0</v>
      </c>
      <c r="AN145" s="32">
        <v>21</v>
      </c>
      <c r="AO145" s="32">
        <f>H145*0.828968446</f>
        <v>0</v>
      </c>
      <c r="AP145" s="32">
        <f>H145*(1-0.828968446)</f>
        <v>0</v>
      </c>
      <c r="AQ145" s="36" t="s">
        <v>87</v>
      </c>
      <c r="AV145" s="32">
        <f t="shared" si="68"/>
        <v>0</v>
      </c>
      <c r="AW145" s="32">
        <f t="shared" si="69"/>
        <v>0</v>
      </c>
      <c r="AX145" s="32">
        <f t="shared" si="70"/>
        <v>0</v>
      </c>
      <c r="AY145" s="36" t="s">
        <v>340</v>
      </c>
      <c r="AZ145" s="36" t="s">
        <v>145</v>
      </c>
      <c r="BA145" s="12" t="s">
        <v>63</v>
      </c>
      <c r="BC145" s="32">
        <f t="shared" si="71"/>
        <v>0</v>
      </c>
      <c r="BD145" s="32">
        <f t="shared" si="72"/>
        <v>0</v>
      </c>
      <c r="BE145" s="32">
        <v>0</v>
      </c>
      <c r="BF145" s="32">
        <f t="shared" si="73"/>
        <v>0.52</v>
      </c>
      <c r="BH145" s="32">
        <f t="shared" si="74"/>
        <v>0</v>
      </c>
      <c r="BI145" s="32">
        <f t="shared" si="75"/>
        <v>0</v>
      </c>
      <c r="BJ145" s="32">
        <f t="shared" si="76"/>
        <v>0</v>
      </c>
      <c r="BK145" s="32"/>
      <c r="BL145" s="32">
        <v>725</v>
      </c>
      <c r="BW145" s="32">
        <f t="shared" si="77"/>
        <v>21</v>
      </c>
      <c r="BX145" s="4" t="s">
        <v>353</v>
      </c>
    </row>
    <row r="146" spans="1:76" x14ac:dyDescent="0.25">
      <c r="A146" s="2" t="s">
        <v>354</v>
      </c>
      <c r="B146" s="3" t="s">
        <v>54</v>
      </c>
      <c r="C146" s="3" t="s">
        <v>355</v>
      </c>
      <c r="D146" s="95" t="s">
        <v>356</v>
      </c>
      <c r="E146" s="96"/>
      <c r="F146" s="3" t="s">
        <v>239</v>
      </c>
      <c r="G146" s="32">
        <v>20</v>
      </c>
      <c r="H146" s="89">
        <v>0</v>
      </c>
      <c r="I146" s="33">
        <v>21</v>
      </c>
      <c r="J146" s="32">
        <f t="shared" si="52"/>
        <v>0</v>
      </c>
      <c r="K146" s="32">
        <f t="shared" si="53"/>
        <v>0</v>
      </c>
      <c r="L146" s="32">
        <f t="shared" si="54"/>
        <v>0</v>
      </c>
      <c r="M146" s="32">
        <f t="shared" si="55"/>
        <v>0</v>
      </c>
      <c r="N146" s="34">
        <f>IF(L285=0,0,L146/L285)</f>
        <v>0</v>
      </c>
      <c r="O146" s="32">
        <v>1.77E-2</v>
      </c>
      <c r="P146" s="32">
        <f t="shared" si="56"/>
        <v>0.35399999999999998</v>
      </c>
      <c r="Q146" s="35" t="s">
        <v>61</v>
      </c>
      <c r="Z146" s="32">
        <f t="shared" si="57"/>
        <v>0</v>
      </c>
      <c r="AB146" s="32">
        <f t="shared" si="58"/>
        <v>0</v>
      </c>
      <c r="AC146" s="32">
        <f t="shared" si="59"/>
        <v>0</v>
      </c>
      <c r="AD146" s="32">
        <f t="shared" si="60"/>
        <v>0</v>
      </c>
      <c r="AE146" s="32">
        <f t="shared" si="61"/>
        <v>0</v>
      </c>
      <c r="AF146" s="32">
        <f t="shared" si="62"/>
        <v>0</v>
      </c>
      <c r="AG146" s="32">
        <f t="shared" si="63"/>
        <v>0</v>
      </c>
      <c r="AH146" s="32">
        <f t="shared" si="64"/>
        <v>0</v>
      </c>
      <c r="AI146" s="12" t="s">
        <v>54</v>
      </c>
      <c r="AJ146" s="32">
        <f t="shared" si="65"/>
        <v>0</v>
      </c>
      <c r="AK146" s="32">
        <f t="shared" si="66"/>
        <v>0</v>
      </c>
      <c r="AL146" s="32">
        <f t="shared" si="67"/>
        <v>0</v>
      </c>
      <c r="AN146" s="32">
        <v>21</v>
      </c>
      <c r="AO146" s="32">
        <f>H146*0.880270367</f>
        <v>0</v>
      </c>
      <c r="AP146" s="32">
        <f>H146*(1-0.880270367)</f>
        <v>0</v>
      </c>
      <c r="AQ146" s="36" t="s">
        <v>87</v>
      </c>
      <c r="AV146" s="32">
        <f t="shared" si="68"/>
        <v>0</v>
      </c>
      <c r="AW146" s="32">
        <f t="shared" si="69"/>
        <v>0</v>
      </c>
      <c r="AX146" s="32">
        <f t="shared" si="70"/>
        <v>0</v>
      </c>
      <c r="AY146" s="36" t="s">
        <v>340</v>
      </c>
      <c r="AZ146" s="36" t="s">
        <v>145</v>
      </c>
      <c r="BA146" s="12" t="s">
        <v>63</v>
      </c>
      <c r="BC146" s="32">
        <f t="shared" si="71"/>
        <v>0</v>
      </c>
      <c r="BD146" s="32">
        <f t="shared" si="72"/>
        <v>0</v>
      </c>
      <c r="BE146" s="32">
        <v>0</v>
      </c>
      <c r="BF146" s="32">
        <f t="shared" si="73"/>
        <v>0.35399999999999998</v>
      </c>
      <c r="BH146" s="32">
        <f t="shared" si="74"/>
        <v>0</v>
      </c>
      <c r="BI146" s="32">
        <f t="shared" si="75"/>
        <v>0</v>
      </c>
      <c r="BJ146" s="32">
        <f t="shared" si="76"/>
        <v>0</v>
      </c>
      <c r="BK146" s="32"/>
      <c r="BL146" s="32">
        <v>725</v>
      </c>
      <c r="BW146" s="32">
        <f t="shared" si="77"/>
        <v>21</v>
      </c>
      <c r="BX146" s="4" t="s">
        <v>356</v>
      </c>
    </row>
    <row r="147" spans="1:76" x14ac:dyDescent="0.25">
      <c r="A147" s="2" t="s">
        <v>357</v>
      </c>
      <c r="B147" s="3" t="s">
        <v>54</v>
      </c>
      <c r="C147" s="3" t="s">
        <v>346</v>
      </c>
      <c r="D147" s="95" t="s">
        <v>358</v>
      </c>
      <c r="E147" s="96"/>
      <c r="F147" s="3" t="s">
        <v>60</v>
      </c>
      <c r="G147" s="32">
        <v>20</v>
      </c>
      <c r="H147" s="89">
        <v>0</v>
      </c>
      <c r="I147" s="33">
        <v>21</v>
      </c>
      <c r="J147" s="32">
        <f t="shared" si="52"/>
        <v>0</v>
      </c>
      <c r="K147" s="32">
        <f t="shared" si="53"/>
        <v>0</v>
      </c>
      <c r="L147" s="32">
        <f t="shared" si="54"/>
        <v>0</v>
      </c>
      <c r="M147" s="32">
        <f t="shared" si="55"/>
        <v>0</v>
      </c>
      <c r="N147" s="34">
        <f>IF(L285=0,0,L147/L285)</f>
        <v>0</v>
      </c>
      <c r="O147" s="32">
        <v>2.5999999999999999E-3</v>
      </c>
      <c r="P147" s="32">
        <f t="shared" si="56"/>
        <v>5.1999999999999998E-2</v>
      </c>
      <c r="Q147" s="35" t="s">
        <v>61</v>
      </c>
      <c r="Z147" s="32">
        <f t="shared" si="57"/>
        <v>0</v>
      </c>
      <c r="AB147" s="32">
        <f t="shared" si="58"/>
        <v>0</v>
      </c>
      <c r="AC147" s="32">
        <f t="shared" si="59"/>
        <v>0</v>
      </c>
      <c r="AD147" s="32">
        <f t="shared" si="60"/>
        <v>0</v>
      </c>
      <c r="AE147" s="32">
        <f t="shared" si="61"/>
        <v>0</v>
      </c>
      <c r="AF147" s="32">
        <f t="shared" si="62"/>
        <v>0</v>
      </c>
      <c r="AG147" s="32">
        <f t="shared" si="63"/>
        <v>0</v>
      </c>
      <c r="AH147" s="32">
        <f t="shared" si="64"/>
        <v>0</v>
      </c>
      <c r="AI147" s="12" t="s">
        <v>54</v>
      </c>
      <c r="AJ147" s="32">
        <f t="shared" si="65"/>
        <v>0</v>
      </c>
      <c r="AK147" s="32">
        <f t="shared" si="66"/>
        <v>0</v>
      </c>
      <c r="AL147" s="32">
        <f t="shared" si="67"/>
        <v>0</v>
      </c>
      <c r="AN147" s="32">
        <v>21</v>
      </c>
      <c r="AO147" s="32">
        <f>H147*1</f>
        <v>0</v>
      </c>
      <c r="AP147" s="32">
        <f>H147*(1-1)</f>
        <v>0</v>
      </c>
      <c r="AQ147" s="36" t="s">
        <v>87</v>
      </c>
      <c r="AV147" s="32">
        <f t="shared" si="68"/>
        <v>0</v>
      </c>
      <c r="AW147" s="32">
        <f t="shared" si="69"/>
        <v>0</v>
      </c>
      <c r="AX147" s="32">
        <f t="shared" si="70"/>
        <v>0</v>
      </c>
      <c r="AY147" s="36" t="s">
        <v>340</v>
      </c>
      <c r="AZ147" s="36" t="s">
        <v>145</v>
      </c>
      <c r="BA147" s="12" t="s">
        <v>63</v>
      </c>
      <c r="BC147" s="32">
        <f t="shared" si="71"/>
        <v>0</v>
      </c>
      <c r="BD147" s="32">
        <f t="shared" si="72"/>
        <v>0</v>
      </c>
      <c r="BE147" s="32">
        <v>0</v>
      </c>
      <c r="BF147" s="32">
        <f t="shared" si="73"/>
        <v>5.1999999999999998E-2</v>
      </c>
      <c r="BH147" s="32">
        <f t="shared" si="74"/>
        <v>0</v>
      </c>
      <c r="BI147" s="32">
        <f t="shared" si="75"/>
        <v>0</v>
      </c>
      <c r="BJ147" s="32">
        <f t="shared" si="76"/>
        <v>0</v>
      </c>
      <c r="BK147" s="32"/>
      <c r="BL147" s="32">
        <v>725</v>
      </c>
      <c r="BW147" s="32">
        <f t="shared" si="77"/>
        <v>21</v>
      </c>
      <c r="BX147" s="4" t="s">
        <v>358</v>
      </c>
    </row>
    <row r="148" spans="1:76" x14ac:dyDescent="0.25">
      <c r="A148" s="2" t="s">
        <v>359</v>
      </c>
      <c r="B148" s="3" t="s">
        <v>54</v>
      </c>
      <c r="C148" s="3" t="s">
        <v>349</v>
      </c>
      <c r="D148" s="95" t="s">
        <v>350</v>
      </c>
      <c r="E148" s="96"/>
      <c r="F148" s="3" t="s">
        <v>60</v>
      </c>
      <c r="G148" s="32">
        <v>20</v>
      </c>
      <c r="H148" s="89">
        <v>0</v>
      </c>
      <c r="I148" s="33">
        <v>21</v>
      </c>
      <c r="J148" s="32">
        <f t="shared" si="52"/>
        <v>0</v>
      </c>
      <c r="K148" s="32">
        <f t="shared" si="53"/>
        <v>0</v>
      </c>
      <c r="L148" s="32">
        <f t="shared" si="54"/>
        <v>0</v>
      </c>
      <c r="M148" s="32">
        <f t="shared" si="55"/>
        <v>0</v>
      </c>
      <c r="N148" s="34">
        <f>IF(L285=0,0,L148/L285)</f>
        <v>0</v>
      </c>
      <c r="O148" s="32">
        <v>5.5999999999999995E-4</v>
      </c>
      <c r="P148" s="32">
        <f t="shared" si="56"/>
        <v>1.1199999999999998E-2</v>
      </c>
      <c r="Q148" s="35" t="s">
        <v>54</v>
      </c>
      <c r="Z148" s="32">
        <f t="shared" si="57"/>
        <v>0</v>
      </c>
      <c r="AB148" s="32">
        <f t="shared" si="58"/>
        <v>0</v>
      </c>
      <c r="AC148" s="32">
        <f t="shared" si="59"/>
        <v>0</v>
      </c>
      <c r="AD148" s="32">
        <f t="shared" si="60"/>
        <v>0</v>
      </c>
      <c r="AE148" s="32">
        <f t="shared" si="61"/>
        <v>0</v>
      </c>
      <c r="AF148" s="32">
        <f t="shared" si="62"/>
        <v>0</v>
      </c>
      <c r="AG148" s="32">
        <f t="shared" si="63"/>
        <v>0</v>
      </c>
      <c r="AH148" s="32">
        <f t="shared" si="64"/>
        <v>0</v>
      </c>
      <c r="AI148" s="12" t="s">
        <v>54</v>
      </c>
      <c r="AJ148" s="32">
        <f t="shared" si="65"/>
        <v>0</v>
      </c>
      <c r="AK148" s="32">
        <f t="shared" si="66"/>
        <v>0</v>
      </c>
      <c r="AL148" s="32">
        <f t="shared" si="67"/>
        <v>0</v>
      </c>
      <c r="AN148" s="32">
        <v>21</v>
      </c>
      <c r="AO148" s="32">
        <f>H148*0.847367927</f>
        <v>0</v>
      </c>
      <c r="AP148" s="32">
        <f>H148*(1-0.847367927)</f>
        <v>0</v>
      </c>
      <c r="AQ148" s="36" t="s">
        <v>87</v>
      </c>
      <c r="AV148" s="32">
        <f t="shared" si="68"/>
        <v>0</v>
      </c>
      <c r="AW148" s="32">
        <f t="shared" si="69"/>
        <v>0</v>
      </c>
      <c r="AX148" s="32">
        <f t="shared" si="70"/>
        <v>0</v>
      </c>
      <c r="AY148" s="36" t="s">
        <v>340</v>
      </c>
      <c r="AZ148" s="36" t="s">
        <v>145</v>
      </c>
      <c r="BA148" s="12" t="s">
        <v>63</v>
      </c>
      <c r="BC148" s="32">
        <f t="shared" si="71"/>
        <v>0</v>
      </c>
      <c r="BD148" s="32">
        <f t="shared" si="72"/>
        <v>0</v>
      </c>
      <c r="BE148" s="32">
        <v>0</v>
      </c>
      <c r="BF148" s="32">
        <f t="shared" si="73"/>
        <v>1.1199999999999998E-2</v>
      </c>
      <c r="BH148" s="32">
        <f t="shared" si="74"/>
        <v>0</v>
      </c>
      <c r="BI148" s="32">
        <f t="shared" si="75"/>
        <v>0</v>
      </c>
      <c r="BJ148" s="32">
        <f t="shared" si="76"/>
        <v>0</v>
      </c>
      <c r="BK148" s="32"/>
      <c r="BL148" s="32">
        <v>725</v>
      </c>
      <c r="BW148" s="32">
        <f t="shared" si="77"/>
        <v>21</v>
      </c>
      <c r="BX148" s="4" t="s">
        <v>350</v>
      </c>
    </row>
    <row r="149" spans="1:76" x14ac:dyDescent="0.25">
      <c r="A149" s="2" t="s">
        <v>360</v>
      </c>
      <c r="B149" s="3" t="s">
        <v>54</v>
      </c>
      <c r="C149" s="3" t="s">
        <v>361</v>
      </c>
      <c r="D149" s="95" t="s">
        <v>362</v>
      </c>
      <c r="E149" s="96"/>
      <c r="F149" s="3" t="s">
        <v>239</v>
      </c>
      <c r="G149" s="32">
        <v>18</v>
      </c>
      <c r="H149" s="89">
        <v>0</v>
      </c>
      <c r="I149" s="33">
        <v>21</v>
      </c>
      <c r="J149" s="32">
        <f t="shared" si="52"/>
        <v>0</v>
      </c>
      <c r="K149" s="32">
        <f t="shared" si="53"/>
        <v>0</v>
      </c>
      <c r="L149" s="32">
        <f t="shared" si="54"/>
        <v>0</v>
      </c>
      <c r="M149" s="32">
        <f t="shared" si="55"/>
        <v>0</v>
      </c>
      <c r="N149" s="34">
        <f>IF(L285=0,0,L149/L285)</f>
        <v>0</v>
      </c>
      <c r="O149" s="32">
        <v>1.23E-2</v>
      </c>
      <c r="P149" s="32">
        <f t="shared" si="56"/>
        <v>0.22140000000000001</v>
      </c>
      <c r="Q149" s="35" t="s">
        <v>61</v>
      </c>
      <c r="Z149" s="32">
        <f t="shared" si="57"/>
        <v>0</v>
      </c>
      <c r="AB149" s="32">
        <f t="shared" si="58"/>
        <v>0</v>
      </c>
      <c r="AC149" s="32">
        <f t="shared" si="59"/>
        <v>0</v>
      </c>
      <c r="AD149" s="32">
        <f t="shared" si="60"/>
        <v>0</v>
      </c>
      <c r="AE149" s="32">
        <f t="shared" si="61"/>
        <v>0</v>
      </c>
      <c r="AF149" s="32">
        <f t="shared" si="62"/>
        <v>0</v>
      </c>
      <c r="AG149" s="32">
        <f t="shared" si="63"/>
        <v>0</v>
      </c>
      <c r="AH149" s="32">
        <f t="shared" si="64"/>
        <v>0</v>
      </c>
      <c r="AI149" s="12" t="s">
        <v>54</v>
      </c>
      <c r="AJ149" s="32">
        <f t="shared" si="65"/>
        <v>0</v>
      </c>
      <c r="AK149" s="32">
        <f t="shared" si="66"/>
        <v>0</v>
      </c>
      <c r="AL149" s="32">
        <f t="shared" si="67"/>
        <v>0</v>
      </c>
      <c r="AN149" s="32">
        <v>21</v>
      </c>
      <c r="AO149" s="32">
        <f>H149*0.604891352</f>
        <v>0</v>
      </c>
      <c r="AP149" s="32">
        <f>H149*(1-0.604891352)</f>
        <v>0</v>
      </c>
      <c r="AQ149" s="36" t="s">
        <v>87</v>
      </c>
      <c r="AV149" s="32">
        <f t="shared" si="68"/>
        <v>0</v>
      </c>
      <c r="AW149" s="32">
        <f t="shared" si="69"/>
        <v>0</v>
      </c>
      <c r="AX149" s="32">
        <f t="shared" si="70"/>
        <v>0</v>
      </c>
      <c r="AY149" s="36" t="s">
        <v>340</v>
      </c>
      <c r="AZ149" s="36" t="s">
        <v>145</v>
      </c>
      <c r="BA149" s="12" t="s">
        <v>63</v>
      </c>
      <c r="BC149" s="32">
        <f t="shared" si="71"/>
        <v>0</v>
      </c>
      <c r="BD149" s="32">
        <f t="shared" si="72"/>
        <v>0</v>
      </c>
      <c r="BE149" s="32">
        <v>0</v>
      </c>
      <c r="BF149" s="32">
        <f t="shared" si="73"/>
        <v>0.22140000000000001</v>
      </c>
      <c r="BH149" s="32">
        <f t="shared" si="74"/>
        <v>0</v>
      </c>
      <c r="BI149" s="32">
        <f t="shared" si="75"/>
        <v>0</v>
      </c>
      <c r="BJ149" s="32">
        <f t="shared" si="76"/>
        <v>0</v>
      </c>
      <c r="BK149" s="32"/>
      <c r="BL149" s="32">
        <v>725</v>
      </c>
      <c r="BW149" s="32">
        <f t="shared" si="77"/>
        <v>21</v>
      </c>
      <c r="BX149" s="4" t="s">
        <v>362</v>
      </c>
    </row>
    <row r="150" spans="1:76" x14ac:dyDescent="0.25">
      <c r="A150" s="37"/>
      <c r="C150" s="38"/>
      <c r="D150" s="100" t="s">
        <v>7</v>
      </c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9"/>
      <c r="BX150" s="39" t="s">
        <v>7</v>
      </c>
    </row>
    <row r="151" spans="1:76" x14ac:dyDescent="0.25">
      <c r="A151" s="2" t="s">
        <v>363</v>
      </c>
      <c r="B151" s="3" t="s">
        <v>54</v>
      </c>
      <c r="C151" s="3" t="s">
        <v>364</v>
      </c>
      <c r="D151" s="95" t="s">
        <v>365</v>
      </c>
      <c r="E151" s="96"/>
      <c r="F151" s="3" t="s">
        <v>366</v>
      </c>
      <c r="G151" s="32">
        <v>18</v>
      </c>
      <c r="H151" s="89">
        <v>0</v>
      </c>
      <c r="I151" s="33">
        <v>21</v>
      </c>
      <c r="J151" s="32">
        <f>ROUND(G151*AO151,2)</f>
        <v>0</v>
      </c>
      <c r="K151" s="32">
        <f>ROUND(G151*AP151,2)</f>
        <v>0</v>
      </c>
      <c r="L151" s="32">
        <f>ROUND(G151*H151,2)</f>
        <v>0</v>
      </c>
      <c r="M151" s="32">
        <f>L151*(1+BW151/100)</f>
        <v>0</v>
      </c>
      <c r="N151" s="34">
        <f>IF(L285=0,0,L151/L285)</f>
        <v>0</v>
      </c>
      <c r="O151" s="32">
        <v>3.8999999999999999E-4</v>
      </c>
      <c r="P151" s="32">
        <f>G151*O151</f>
        <v>7.0200000000000002E-3</v>
      </c>
      <c r="Q151" s="35" t="s">
        <v>54</v>
      </c>
      <c r="Z151" s="32">
        <f>ROUND(IF(AQ151="5",BJ151,0),2)</f>
        <v>0</v>
      </c>
      <c r="AB151" s="32">
        <f>ROUND(IF(AQ151="1",BH151,0),2)</f>
        <v>0</v>
      </c>
      <c r="AC151" s="32">
        <f>ROUND(IF(AQ151="1",BI151,0),2)</f>
        <v>0</v>
      </c>
      <c r="AD151" s="32">
        <f>ROUND(IF(AQ151="7",BH151,0),2)</f>
        <v>0</v>
      </c>
      <c r="AE151" s="32">
        <f>ROUND(IF(AQ151="7",BI151,0),2)</f>
        <v>0</v>
      </c>
      <c r="AF151" s="32">
        <f>ROUND(IF(AQ151="2",BH151,0),2)</f>
        <v>0</v>
      </c>
      <c r="AG151" s="32">
        <f>ROUND(IF(AQ151="2",BI151,0),2)</f>
        <v>0</v>
      </c>
      <c r="AH151" s="32">
        <f>ROUND(IF(AQ151="0",BJ151,0),2)</f>
        <v>0</v>
      </c>
      <c r="AI151" s="12" t="s">
        <v>54</v>
      </c>
      <c r="AJ151" s="32">
        <f>IF(AN151=0,L151,0)</f>
        <v>0</v>
      </c>
      <c r="AK151" s="32">
        <f>IF(AN151=12,L151,0)</f>
        <v>0</v>
      </c>
      <c r="AL151" s="32">
        <f>IF(AN151=21,L151,0)</f>
        <v>0</v>
      </c>
      <c r="AN151" s="32">
        <v>21</v>
      </c>
      <c r="AO151" s="32">
        <f>H151*0.581941545</f>
        <v>0</v>
      </c>
      <c r="AP151" s="32">
        <f>H151*(1-0.581941545)</f>
        <v>0</v>
      </c>
      <c r="AQ151" s="36" t="s">
        <v>87</v>
      </c>
      <c r="AV151" s="32">
        <f>ROUND(AW151+AX151,2)</f>
        <v>0</v>
      </c>
      <c r="AW151" s="32">
        <f>ROUND(G151*AO151,2)</f>
        <v>0</v>
      </c>
      <c r="AX151" s="32">
        <f>ROUND(G151*AP151,2)</f>
        <v>0</v>
      </c>
      <c r="AY151" s="36" t="s">
        <v>340</v>
      </c>
      <c r="AZ151" s="36" t="s">
        <v>145</v>
      </c>
      <c r="BA151" s="12" t="s">
        <v>63</v>
      </c>
      <c r="BC151" s="32">
        <f>AW151+AX151</f>
        <v>0</v>
      </c>
      <c r="BD151" s="32">
        <f>H151/(100-BE151)*100</f>
        <v>0</v>
      </c>
      <c r="BE151" s="32">
        <v>0</v>
      </c>
      <c r="BF151" s="32">
        <f>P151</f>
        <v>7.0200000000000002E-3</v>
      </c>
      <c r="BH151" s="32">
        <f>G151*AO151</f>
        <v>0</v>
      </c>
      <c r="BI151" s="32">
        <f>G151*AP151</f>
        <v>0</v>
      </c>
      <c r="BJ151" s="32">
        <f>G151*H151</f>
        <v>0</v>
      </c>
      <c r="BK151" s="32"/>
      <c r="BL151" s="32">
        <v>725</v>
      </c>
      <c r="BW151" s="32">
        <f>I151</f>
        <v>21</v>
      </c>
      <c r="BX151" s="4" t="s">
        <v>365</v>
      </c>
    </row>
    <row r="152" spans="1:76" x14ac:dyDescent="0.25">
      <c r="A152" s="2" t="s">
        <v>367</v>
      </c>
      <c r="B152" s="3" t="s">
        <v>54</v>
      </c>
      <c r="C152" s="3" t="s">
        <v>368</v>
      </c>
      <c r="D152" s="95" t="s">
        <v>369</v>
      </c>
      <c r="E152" s="96"/>
      <c r="F152" s="3" t="s">
        <v>60</v>
      </c>
      <c r="G152" s="32">
        <v>18</v>
      </c>
      <c r="H152" s="89">
        <v>0</v>
      </c>
      <c r="I152" s="33">
        <v>21</v>
      </c>
      <c r="J152" s="32">
        <f>ROUND(G152*AO152,2)</f>
        <v>0</v>
      </c>
      <c r="K152" s="32">
        <f>ROUND(G152*AP152,2)</f>
        <v>0</v>
      </c>
      <c r="L152" s="32">
        <f>ROUND(G152*H152,2)</f>
        <v>0</v>
      </c>
      <c r="M152" s="32">
        <f>L152*(1+BW152/100)</f>
        <v>0</v>
      </c>
      <c r="N152" s="34">
        <f>IF(L285=0,0,L152/L285)</f>
        <v>0</v>
      </c>
      <c r="O152" s="32">
        <v>0</v>
      </c>
      <c r="P152" s="32">
        <f>G152*O152</f>
        <v>0</v>
      </c>
      <c r="Q152" s="35" t="s">
        <v>61</v>
      </c>
      <c r="Z152" s="32">
        <f>ROUND(IF(AQ152="5",BJ152,0),2)</f>
        <v>0</v>
      </c>
      <c r="AB152" s="32">
        <f>ROUND(IF(AQ152="1",BH152,0),2)</f>
        <v>0</v>
      </c>
      <c r="AC152" s="32">
        <f>ROUND(IF(AQ152="1",BI152,0),2)</f>
        <v>0</v>
      </c>
      <c r="AD152" s="32">
        <f>ROUND(IF(AQ152="7",BH152,0),2)</f>
        <v>0</v>
      </c>
      <c r="AE152" s="32">
        <f>ROUND(IF(AQ152="7",BI152,0),2)</f>
        <v>0</v>
      </c>
      <c r="AF152" s="32">
        <f>ROUND(IF(AQ152="2",BH152,0),2)</f>
        <v>0</v>
      </c>
      <c r="AG152" s="32">
        <f>ROUND(IF(AQ152="2",BI152,0),2)</f>
        <v>0</v>
      </c>
      <c r="AH152" s="32">
        <f>ROUND(IF(AQ152="0",BJ152,0),2)</f>
        <v>0</v>
      </c>
      <c r="AI152" s="12" t="s">
        <v>54</v>
      </c>
      <c r="AJ152" s="32">
        <f>IF(AN152=0,L152,0)</f>
        <v>0</v>
      </c>
      <c r="AK152" s="32">
        <f>IF(AN152=12,L152,0)</f>
        <v>0</v>
      </c>
      <c r="AL152" s="32">
        <f>IF(AN152=21,L152,0)</f>
        <v>0</v>
      </c>
      <c r="AN152" s="32">
        <v>21</v>
      </c>
      <c r="AO152" s="32">
        <f>H152*0.83056338</f>
        <v>0</v>
      </c>
      <c r="AP152" s="32">
        <f>H152*(1-0.83056338)</f>
        <v>0</v>
      </c>
      <c r="AQ152" s="36" t="s">
        <v>87</v>
      </c>
      <c r="AV152" s="32">
        <f>ROUND(AW152+AX152,2)</f>
        <v>0</v>
      </c>
      <c r="AW152" s="32">
        <f>ROUND(G152*AO152,2)</f>
        <v>0</v>
      </c>
      <c r="AX152" s="32">
        <f>ROUND(G152*AP152,2)</f>
        <v>0</v>
      </c>
      <c r="AY152" s="36" t="s">
        <v>340</v>
      </c>
      <c r="AZ152" s="36" t="s">
        <v>145</v>
      </c>
      <c r="BA152" s="12" t="s">
        <v>63</v>
      </c>
      <c r="BC152" s="32">
        <f>AW152+AX152</f>
        <v>0</v>
      </c>
      <c r="BD152" s="32">
        <f>H152/(100-BE152)*100</f>
        <v>0</v>
      </c>
      <c r="BE152" s="32">
        <v>0</v>
      </c>
      <c r="BF152" s="32">
        <f>P152</f>
        <v>0</v>
      </c>
      <c r="BH152" s="32">
        <f>G152*AO152</f>
        <v>0</v>
      </c>
      <c r="BI152" s="32">
        <f>G152*AP152</f>
        <v>0</v>
      </c>
      <c r="BJ152" s="32">
        <f>G152*H152</f>
        <v>0</v>
      </c>
      <c r="BK152" s="32"/>
      <c r="BL152" s="32">
        <v>725</v>
      </c>
      <c r="BW152" s="32">
        <f>I152</f>
        <v>21</v>
      </c>
      <c r="BX152" s="4" t="s">
        <v>369</v>
      </c>
    </row>
    <row r="153" spans="1:76" x14ac:dyDescent="0.25">
      <c r="A153" s="2" t="s">
        <v>370</v>
      </c>
      <c r="B153" s="3" t="s">
        <v>54</v>
      </c>
      <c r="C153" s="3" t="s">
        <v>371</v>
      </c>
      <c r="D153" s="95" t="s">
        <v>372</v>
      </c>
      <c r="E153" s="96"/>
      <c r="F153" s="3" t="s">
        <v>239</v>
      </c>
      <c r="G153" s="32">
        <v>4</v>
      </c>
      <c r="H153" s="89">
        <v>0</v>
      </c>
      <c r="I153" s="33">
        <v>21</v>
      </c>
      <c r="J153" s="32">
        <f>ROUND(G153*AO153,2)</f>
        <v>0</v>
      </c>
      <c r="K153" s="32">
        <f>ROUND(G153*AP153,2)</f>
        <v>0</v>
      </c>
      <c r="L153" s="32">
        <f>ROUND(G153*H153,2)</f>
        <v>0</v>
      </c>
      <c r="M153" s="32">
        <f>L153*(1+BW153/100)</f>
        <v>0</v>
      </c>
      <c r="N153" s="34">
        <f>IF(L285=0,0,L153/L285)</f>
        <v>0</v>
      </c>
      <c r="O153" s="32">
        <v>1.401E-2</v>
      </c>
      <c r="P153" s="32">
        <f>G153*O153</f>
        <v>5.604E-2</v>
      </c>
      <c r="Q153" s="35" t="s">
        <v>61</v>
      </c>
      <c r="Z153" s="32">
        <f>ROUND(IF(AQ153="5",BJ153,0),2)</f>
        <v>0</v>
      </c>
      <c r="AB153" s="32">
        <f>ROUND(IF(AQ153="1",BH153,0),2)</f>
        <v>0</v>
      </c>
      <c r="AC153" s="32">
        <f>ROUND(IF(AQ153="1",BI153,0),2)</f>
        <v>0</v>
      </c>
      <c r="AD153" s="32">
        <f>ROUND(IF(AQ153="7",BH153,0),2)</f>
        <v>0</v>
      </c>
      <c r="AE153" s="32">
        <f>ROUND(IF(AQ153="7",BI153,0),2)</f>
        <v>0</v>
      </c>
      <c r="AF153" s="32">
        <f>ROUND(IF(AQ153="2",BH153,0),2)</f>
        <v>0</v>
      </c>
      <c r="AG153" s="32">
        <f>ROUND(IF(AQ153="2",BI153,0),2)</f>
        <v>0</v>
      </c>
      <c r="AH153" s="32">
        <f>ROUND(IF(AQ153="0",BJ153,0),2)</f>
        <v>0</v>
      </c>
      <c r="AI153" s="12" t="s">
        <v>54</v>
      </c>
      <c r="AJ153" s="32">
        <f>IF(AN153=0,L153,0)</f>
        <v>0</v>
      </c>
      <c r="AK153" s="32">
        <f>IF(AN153=12,L153,0)</f>
        <v>0</v>
      </c>
      <c r="AL153" s="32">
        <f>IF(AN153=21,L153,0)</f>
        <v>0</v>
      </c>
      <c r="AN153" s="32">
        <v>21</v>
      </c>
      <c r="AO153" s="32">
        <f>H153*0.625704261</f>
        <v>0</v>
      </c>
      <c r="AP153" s="32">
        <f>H153*(1-0.625704261)</f>
        <v>0</v>
      </c>
      <c r="AQ153" s="36" t="s">
        <v>87</v>
      </c>
      <c r="AV153" s="32">
        <f>ROUND(AW153+AX153,2)</f>
        <v>0</v>
      </c>
      <c r="AW153" s="32">
        <f>ROUND(G153*AO153,2)</f>
        <v>0</v>
      </c>
      <c r="AX153" s="32">
        <f>ROUND(G153*AP153,2)</f>
        <v>0</v>
      </c>
      <c r="AY153" s="36" t="s">
        <v>340</v>
      </c>
      <c r="AZ153" s="36" t="s">
        <v>145</v>
      </c>
      <c r="BA153" s="12" t="s">
        <v>63</v>
      </c>
      <c r="BC153" s="32">
        <f>AW153+AX153</f>
        <v>0</v>
      </c>
      <c r="BD153" s="32">
        <f>H153/(100-BE153)*100</f>
        <v>0</v>
      </c>
      <c r="BE153" s="32">
        <v>0</v>
      </c>
      <c r="BF153" s="32">
        <f>P153</f>
        <v>5.604E-2</v>
      </c>
      <c r="BH153" s="32">
        <f>G153*AO153</f>
        <v>0</v>
      </c>
      <c r="BI153" s="32">
        <f>G153*AP153</f>
        <v>0</v>
      </c>
      <c r="BJ153" s="32">
        <f>G153*H153</f>
        <v>0</v>
      </c>
      <c r="BK153" s="32"/>
      <c r="BL153" s="32">
        <v>725</v>
      </c>
      <c r="BW153" s="32">
        <f>I153</f>
        <v>21</v>
      </c>
      <c r="BX153" s="4" t="s">
        <v>372</v>
      </c>
    </row>
    <row r="154" spans="1:76" x14ac:dyDescent="0.25">
      <c r="A154" s="37"/>
      <c r="C154" s="38"/>
      <c r="D154" s="100" t="s">
        <v>7</v>
      </c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9"/>
      <c r="BX154" s="39" t="s">
        <v>7</v>
      </c>
    </row>
    <row r="155" spans="1:76" x14ac:dyDescent="0.25">
      <c r="A155" s="2" t="s">
        <v>373</v>
      </c>
      <c r="B155" s="3" t="s">
        <v>54</v>
      </c>
      <c r="C155" s="3" t="s">
        <v>364</v>
      </c>
      <c r="D155" s="95" t="s">
        <v>365</v>
      </c>
      <c r="E155" s="96"/>
      <c r="F155" s="3" t="s">
        <v>366</v>
      </c>
      <c r="G155" s="32">
        <v>4</v>
      </c>
      <c r="H155" s="89">
        <v>0</v>
      </c>
      <c r="I155" s="33">
        <v>21</v>
      </c>
      <c r="J155" s="32">
        <f>ROUND(G155*AO155,2)</f>
        <v>0</v>
      </c>
      <c r="K155" s="32">
        <f>ROUND(G155*AP155,2)</f>
        <v>0</v>
      </c>
      <c r="L155" s="32">
        <f>ROUND(G155*H155,2)</f>
        <v>0</v>
      </c>
      <c r="M155" s="32">
        <f>L155*(1+BW155/100)</f>
        <v>0</v>
      </c>
      <c r="N155" s="34">
        <f>IF(L285=0,0,L155/L285)</f>
        <v>0</v>
      </c>
      <c r="O155" s="32">
        <v>3.8999999999999999E-4</v>
      </c>
      <c r="P155" s="32">
        <f>G155*O155</f>
        <v>1.56E-3</v>
      </c>
      <c r="Q155" s="35" t="s">
        <v>54</v>
      </c>
      <c r="Z155" s="32">
        <f>ROUND(IF(AQ155="5",BJ155,0),2)</f>
        <v>0</v>
      </c>
      <c r="AB155" s="32">
        <f>ROUND(IF(AQ155="1",BH155,0),2)</f>
        <v>0</v>
      </c>
      <c r="AC155" s="32">
        <f>ROUND(IF(AQ155="1",BI155,0),2)</f>
        <v>0</v>
      </c>
      <c r="AD155" s="32">
        <f>ROUND(IF(AQ155="7",BH155,0),2)</f>
        <v>0</v>
      </c>
      <c r="AE155" s="32">
        <f>ROUND(IF(AQ155="7",BI155,0),2)</f>
        <v>0</v>
      </c>
      <c r="AF155" s="32">
        <f>ROUND(IF(AQ155="2",BH155,0),2)</f>
        <v>0</v>
      </c>
      <c r="AG155" s="32">
        <f>ROUND(IF(AQ155="2",BI155,0),2)</f>
        <v>0</v>
      </c>
      <c r="AH155" s="32">
        <f>ROUND(IF(AQ155="0",BJ155,0),2)</f>
        <v>0</v>
      </c>
      <c r="AI155" s="12" t="s">
        <v>54</v>
      </c>
      <c r="AJ155" s="32">
        <f>IF(AN155=0,L155,0)</f>
        <v>0</v>
      </c>
      <c r="AK155" s="32">
        <f>IF(AN155=12,L155,0)</f>
        <v>0</v>
      </c>
      <c r="AL155" s="32">
        <f>IF(AN155=21,L155,0)</f>
        <v>0</v>
      </c>
      <c r="AN155" s="32">
        <v>21</v>
      </c>
      <c r="AO155" s="32">
        <f>H155*0.581941545</f>
        <v>0</v>
      </c>
      <c r="AP155" s="32">
        <f>H155*(1-0.581941545)</f>
        <v>0</v>
      </c>
      <c r="AQ155" s="36" t="s">
        <v>87</v>
      </c>
      <c r="AV155" s="32">
        <f>ROUND(AW155+AX155,2)</f>
        <v>0</v>
      </c>
      <c r="AW155" s="32">
        <f>ROUND(G155*AO155,2)</f>
        <v>0</v>
      </c>
      <c r="AX155" s="32">
        <f>ROUND(G155*AP155,2)</f>
        <v>0</v>
      </c>
      <c r="AY155" s="36" t="s">
        <v>340</v>
      </c>
      <c r="AZ155" s="36" t="s">
        <v>145</v>
      </c>
      <c r="BA155" s="12" t="s">
        <v>63</v>
      </c>
      <c r="BC155" s="32">
        <f>AW155+AX155</f>
        <v>0</v>
      </c>
      <c r="BD155" s="32">
        <f>H155/(100-BE155)*100</f>
        <v>0</v>
      </c>
      <c r="BE155" s="32">
        <v>0</v>
      </c>
      <c r="BF155" s="32">
        <f>P155</f>
        <v>1.56E-3</v>
      </c>
      <c r="BH155" s="32">
        <f>G155*AO155</f>
        <v>0</v>
      </c>
      <c r="BI155" s="32">
        <f>G155*AP155</f>
        <v>0</v>
      </c>
      <c r="BJ155" s="32">
        <f>G155*H155</f>
        <v>0</v>
      </c>
      <c r="BK155" s="32"/>
      <c r="BL155" s="32">
        <v>725</v>
      </c>
      <c r="BW155" s="32">
        <f>I155</f>
        <v>21</v>
      </c>
      <c r="BX155" s="4" t="s">
        <v>365</v>
      </c>
    </row>
    <row r="156" spans="1:76" x14ac:dyDescent="0.25">
      <c r="A156" s="2" t="s">
        <v>374</v>
      </c>
      <c r="B156" s="3" t="s">
        <v>54</v>
      </c>
      <c r="C156" s="3" t="s">
        <v>368</v>
      </c>
      <c r="D156" s="95" t="s">
        <v>369</v>
      </c>
      <c r="E156" s="96"/>
      <c r="F156" s="3" t="s">
        <v>60</v>
      </c>
      <c r="G156" s="32">
        <v>4</v>
      </c>
      <c r="H156" s="89">
        <v>0</v>
      </c>
      <c r="I156" s="33">
        <v>21</v>
      </c>
      <c r="J156" s="32">
        <f>ROUND(G156*AO156,2)</f>
        <v>0</v>
      </c>
      <c r="K156" s="32">
        <f>ROUND(G156*AP156,2)</f>
        <v>0</v>
      </c>
      <c r="L156" s="32">
        <f>ROUND(G156*H156,2)</f>
        <v>0</v>
      </c>
      <c r="M156" s="32">
        <f>L156*(1+BW156/100)</f>
        <v>0</v>
      </c>
      <c r="N156" s="34">
        <f>IF(L285=0,0,L156/L285)</f>
        <v>0</v>
      </c>
      <c r="O156" s="32">
        <v>0</v>
      </c>
      <c r="P156" s="32">
        <f>G156*O156</f>
        <v>0</v>
      </c>
      <c r="Q156" s="35" t="s">
        <v>61</v>
      </c>
      <c r="Z156" s="32">
        <f>ROUND(IF(AQ156="5",BJ156,0),2)</f>
        <v>0</v>
      </c>
      <c r="AB156" s="32">
        <f>ROUND(IF(AQ156="1",BH156,0),2)</f>
        <v>0</v>
      </c>
      <c r="AC156" s="32">
        <f>ROUND(IF(AQ156="1",BI156,0),2)</f>
        <v>0</v>
      </c>
      <c r="AD156" s="32">
        <f>ROUND(IF(AQ156="7",BH156,0),2)</f>
        <v>0</v>
      </c>
      <c r="AE156" s="32">
        <f>ROUND(IF(AQ156="7",BI156,0),2)</f>
        <v>0</v>
      </c>
      <c r="AF156" s="32">
        <f>ROUND(IF(AQ156="2",BH156,0),2)</f>
        <v>0</v>
      </c>
      <c r="AG156" s="32">
        <f>ROUND(IF(AQ156="2",BI156,0),2)</f>
        <v>0</v>
      </c>
      <c r="AH156" s="32">
        <f>ROUND(IF(AQ156="0",BJ156,0),2)</f>
        <v>0</v>
      </c>
      <c r="AI156" s="12" t="s">
        <v>54</v>
      </c>
      <c r="AJ156" s="32">
        <f>IF(AN156=0,L156,0)</f>
        <v>0</v>
      </c>
      <c r="AK156" s="32">
        <f>IF(AN156=12,L156,0)</f>
        <v>0</v>
      </c>
      <c r="AL156" s="32">
        <f>IF(AN156=21,L156,0)</f>
        <v>0</v>
      </c>
      <c r="AN156" s="32">
        <v>21</v>
      </c>
      <c r="AO156" s="32">
        <f>H156*0.83056338</f>
        <v>0</v>
      </c>
      <c r="AP156" s="32">
        <f>H156*(1-0.83056338)</f>
        <v>0</v>
      </c>
      <c r="AQ156" s="36" t="s">
        <v>87</v>
      </c>
      <c r="AV156" s="32">
        <f>ROUND(AW156+AX156,2)</f>
        <v>0</v>
      </c>
      <c r="AW156" s="32">
        <f>ROUND(G156*AO156,2)</f>
        <v>0</v>
      </c>
      <c r="AX156" s="32">
        <f>ROUND(G156*AP156,2)</f>
        <v>0</v>
      </c>
      <c r="AY156" s="36" t="s">
        <v>340</v>
      </c>
      <c r="AZ156" s="36" t="s">
        <v>145</v>
      </c>
      <c r="BA156" s="12" t="s">
        <v>63</v>
      </c>
      <c r="BC156" s="32">
        <f>AW156+AX156</f>
        <v>0</v>
      </c>
      <c r="BD156" s="32">
        <f>H156/(100-BE156)*100</f>
        <v>0</v>
      </c>
      <c r="BE156" s="32">
        <v>0</v>
      </c>
      <c r="BF156" s="32">
        <f>P156</f>
        <v>0</v>
      </c>
      <c r="BH156" s="32">
        <f>G156*AO156</f>
        <v>0</v>
      </c>
      <c r="BI156" s="32">
        <f>G156*AP156</f>
        <v>0</v>
      </c>
      <c r="BJ156" s="32">
        <f>G156*H156</f>
        <v>0</v>
      </c>
      <c r="BK156" s="32"/>
      <c r="BL156" s="32">
        <v>725</v>
      </c>
      <c r="BW156" s="32">
        <f>I156</f>
        <v>21</v>
      </c>
      <c r="BX156" s="4" t="s">
        <v>369</v>
      </c>
    </row>
    <row r="157" spans="1:76" x14ac:dyDescent="0.25">
      <c r="A157" s="2" t="s">
        <v>375</v>
      </c>
      <c r="B157" s="3" t="s">
        <v>54</v>
      </c>
      <c r="C157" s="3" t="s">
        <v>376</v>
      </c>
      <c r="D157" s="95" t="s">
        <v>377</v>
      </c>
      <c r="E157" s="96"/>
      <c r="F157" s="3" t="s">
        <v>239</v>
      </c>
      <c r="G157" s="32">
        <v>4</v>
      </c>
      <c r="H157" s="89">
        <v>0</v>
      </c>
      <c r="I157" s="33">
        <v>21</v>
      </c>
      <c r="J157" s="32">
        <f>ROUND(G157*AO157,2)</f>
        <v>0</v>
      </c>
      <c r="K157" s="32">
        <f>ROUND(G157*AP157,2)</f>
        <v>0</v>
      </c>
      <c r="L157" s="32">
        <f>ROUND(G157*H157,2)</f>
        <v>0</v>
      </c>
      <c r="M157" s="32">
        <f>L157*(1+BW157/100)</f>
        <v>0</v>
      </c>
      <c r="N157" s="34">
        <f>IF(L285=0,0,L157/L285)</f>
        <v>0</v>
      </c>
      <c r="O157" s="32">
        <v>4.6519999999999999E-2</v>
      </c>
      <c r="P157" s="32">
        <f>G157*O157</f>
        <v>0.18608</v>
      </c>
      <c r="Q157" s="35" t="s">
        <v>54</v>
      </c>
      <c r="Z157" s="32">
        <f>ROUND(IF(AQ157="5",BJ157,0),2)</f>
        <v>0</v>
      </c>
      <c r="AB157" s="32">
        <f>ROUND(IF(AQ157="1",BH157,0),2)</f>
        <v>0</v>
      </c>
      <c r="AC157" s="32">
        <f>ROUND(IF(AQ157="1",BI157,0),2)</f>
        <v>0</v>
      </c>
      <c r="AD157" s="32">
        <f>ROUND(IF(AQ157="7",BH157,0),2)</f>
        <v>0</v>
      </c>
      <c r="AE157" s="32">
        <f>ROUND(IF(AQ157="7",BI157,0),2)</f>
        <v>0</v>
      </c>
      <c r="AF157" s="32">
        <f>ROUND(IF(AQ157="2",BH157,0),2)</f>
        <v>0</v>
      </c>
      <c r="AG157" s="32">
        <f>ROUND(IF(AQ157="2",BI157,0),2)</f>
        <v>0</v>
      </c>
      <c r="AH157" s="32">
        <f>ROUND(IF(AQ157="0",BJ157,0),2)</f>
        <v>0</v>
      </c>
      <c r="AI157" s="12" t="s">
        <v>54</v>
      </c>
      <c r="AJ157" s="32">
        <f>IF(AN157=0,L157,0)</f>
        <v>0</v>
      </c>
      <c r="AK157" s="32">
        <f>IF(AN157=12,L157,0)</f>
        <v>0</v>
      </c>
      <c r="AL157" s="32">
        <f>IF(AN157=21,L157,0)</f>
        <v>0</v>
      </c>
      <c r="AN157" s="32">
        <v>21</v>
      </c>
      <c r="AO157" s="32">
        <f>H157*0.72730662</f>
        <v>0</v>
      </c>
      <c r="AP157" s="32">
        <f>H157*(1-0.72730662)</f>
        <v>0</v>
      </c>
      <c r="AQ157" s="36" t="s">
        <v>87</v>
      </c>
      <c r="AV157" s="32">
        <f>ROUND(AW157+AX157,2)</f>
        <v>0</v>
      </c>
      <c r="AW157" s="32">
        <f>ROUND(G157*AO157,2)</f>
        <v>0</v>
      </c>
      <c r="AX157" s="32">
        <f>ROUND(G157*AP157,2)</f>
        <v>0</v>
      </c>
      <c r="AY157" s="36" t="s">
        <v>340</v>
      </c>
      <c r="AZ157" s="36" t="s">
        <v>145</v>
      </c>
      <c r="BA157" s="12" t="s">
        <v>63</v>
      </c>
      <c r="BC157" s="32">
        <f>AW157+AX157</f>
        <v>0</v>
      </c>
      <c r="BD157" s="32">
        <f>H157/(100-BE157)*100</f>
        <v>0</v>
      </c>
      <c r="BE157" s="32">
        <v>0</v>
      </c>
      <c r="BF157" s="32">
        <f>P157</f>
        <v>0.18608</v>
      </c>
      <c r="BH157" s="32">
        <f>G157*AO157</f>
        <v>0</v>
      </c>
      <c r="BI157" s="32">
        <f>G157*AP157</f>
        <v>0</v>
      </c>
      <c r="BJ157" s="32">
        <f>G157*H157</f>
        <v>0</v>
      </c>
      <c r="BK157" s="32"/>
      <c r="BL157" s="32">
        <v>725</v>
      </c>
      <c r="BW157" s="32">
        <f>I157</f>
        <v>21</v>
      </c>
      <c r="BX157" s="4" t="s">
        <v>377</v>
      </c>
    </row>
    <row r="158" spans="1:76" x14ac:dyDescent="0.25">
      <c r="A158" s="2" t="s">
        <v>378</v>
      </c>
      <c r="B158" s="3" t="s">
        <v>54</v>
      </c>
      <c r="C158" s="3" t="s">
        <v>379</v>
      </c>
      <c r="D158" s="95" t="s">
        <v>380</v>
      </c>
      <c r="E158" s="96"/>
      <c r="F158" s="3" t="s">
        <v>60</v>
      </c>
      <c r="G158" s="32">
        <v>4</v>
      </c>
      <c r="H158" s="89">
        <v>0</v>
      </c>
      <c r="I158" s="33">
        <v>21</v>
      </c>
      <c r="J158" s="32">
        <f>ROUND(G158*AO158,2)</f>
        <v>0</v>
      </c>
      <c r="K158" s="32">
        <f>ROUND(G158*AP158,2)</f>
        <v>0</v>
      </c>
      <c r="L158" s="32">
        <f>ROUND(G158*H158,2)</f>
        <v>0</v>
      </c>
      <c r="M158" s="32">
        <f>L158*(1+BW158/100)</f>
        <v>0</v>
      </c>
      <c r="N158" s="34">
        <f>IF(L285=0,0,L158/L285)</f>
        <v>0</v>
      </c>
      <c r="O158" s="32">
        <v>3.3E-4</v>
      </c>
      <c r="P158" s="32">
        <f>G158*O158</f>
        <v>1.32E-3</v>
      </c>
      <c r="Q158" s="35" t="s">
        <v>61</v>
      </c>
      <c r="Z158" s="32">
        <f>ROUND(IF(AQ158="5",BJ158,0),2)</f>
        <v>0</v>
      </c>
      <c r="AB158" s="32">
        <f>ROUND(IF(AQ158="1",BH158,0),2)</f>
        <v>0</v>
      </c>
      <c r="AC158" s="32">
        <f>ROUND(IF(AQ158="1",BI158,0),2)</f>
        <v>0</v>
      </c>
      <c r="AD158" s="32">
        <f>ROUND(IF(AQ158="7",BH158,0),2)</f>
        <v>0</v>
      </c>
      <c r="AE158" s="32">
        <f>ROUND(IF(AQ158="7",BI158,0),2)</f>
        <v>0</v>
      </c>
      <c r="AF158" s="32">
        <f>ROUND(IF(AQ158="2",BH158,0),2)</f>
        <v>0</v>
      </c>
      <c r="AG158" s="32">
        <f>ROUND(IF(AQ158="2",BI158,0),2)</f>
        <v>0</v>
      </c>
      <c r="AH158" s="32">
        <f>ROUND(IF(AQ158="0",BJ158,0),2)</f>
        <v>0</v>
      </c>
      <c r="AI158" s="12" t="s">
        <v>54</v>
      </c>
      <c r="AJ158" s="32">
        <f>IF(AN158=0,L158,0)</f>
        <v>0</v>
      </c>
      <c r="AK158" s="32">
        <f>IF(AN158=12,L158,0)</f>
        <v>0</v>
      </c>
      <c r="AL158" s="32">
        <f>IF(AN158=21,L158,0)</f>
        <v>0</v>
      </c>
      <c r="AN158" s="32">
        <v>21</v>
      </c>
      <c r="AO158" s="32">
        <f>H158*0.817939464</f>
        <v>0</v>
      </c>
      <c r="AP158" s="32">
        <f>H158*(1-0.817939464)</f>
        <v>0</v>
      </c>
      <c r="AQ158" s="36" t="s">
        <v>87</v>
      </c>
      <c r="AV158" s="32">
        <f>ROUND(AW158+AX158,2)</f>
        <v>0</v>
      </c>
      <c r="AW158" s="32">
        <f>ROUND(G158*AO158,2)</f>
        <v>0</v>
      </c>
      <c r="AX158" s="32">
        <f>ROUND(G158*AP158,2)</f>
        <v>0</v>
      </c>
      <c r="AY158" s="36" t="s">
        <v>340</v>
      </c>
      <c r="AZ158" s="36" t="s">
        <v>145</v>
      </c>
      <c r="BA158" s="12" t="s">
        <v>63</v>
      </c>
      <c r="BC158" s="32">
        <f>AW158+AX158</f>
        <v>0</v>
      </c>
      <c r="BD158" s="32">
        <f>H158/(100-BE158)*100</f>
        <v>0</v>
      </c>
      <c r="BE158" s="32">
        <v>0</v>
      </c>
      <c r="BF158" s="32">
        <f>P158</f>
        <v>1.32E-3</v>
      </c>
      <c r="BH158" s="32">
        <f>G158*AO158</f>
        <v>0</v>
      </c>
      <c r="BI158" s="32">
        <f>G158*AP158</f>
        <v>0</v>
      </c>
      <c r="BJ158" s="32">
        <f>G158*H158</f>
        <v>0</v>
      </c>
      <c r="BK158" s="32"/>
      <c r="BL158" s="32">
        <v>725</v>
      </c>
      <c r="BW158" s="32">
        <f>I158</f>
        <v>21</v>
      </c>
      <c r="BX158" s="4" t="s">
        <v>380</v>
      </c>
    </row>
    <row r="159" spans="1:76" ht="13.5" customHeight="1" x14ac:dyDescent="0.25">
      <c r="A159" s="37"/>
      <c r="C159" s="38"/>
      <c r="D159" s="100" t="s">
        <v>381</v>
      </c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9"/>
    </row>
    <row r="160" spans="1:76" x14ac:dyDescent="0.25">
      <c r="A160" s="2" t="s">
        <v>382</v>
      </c>
      <c r="B160" s="3" t="s">
        <v>54</v>
      </c>
      <c r="C160" s="3" t="s">
        <v>383</v>
      </c>
      <c r="D160" s="95" t="s">
        <v>384</v>
      </c>
      <c r="E160" s="96"/>
      <c r="F160" s="3" t="s">
        <v>366</v>
      </c>
      <c r="G160" s="32">
        <v>4</v>
      </c>
      <c r="H160" s="89">
        <v>0</v>
      </c>
      <c r="I160" s="33">
        <v>21</v>
      </c>
      <c r="J160" s="32">
        <f>ROUND(G160*AO160,2)</f>
        <v>0</v>
      </c>
      <c r="K160" s="32">
        <f>ROUND(G160*AP160,2)</f>
        <v>0</v>
      </c>
      <c r="L160" s="32">
        <f>ROUND(G160*H160,2)</f>
        <v>0</v>
      </c>
      <c r="M160" s="32">
        <f>L160*(1+BW160/100)</f>
        <v>0</v>
      </c>
      <c r="N160" s="34">
        <f>IF(L285=0,0,L160/L285)</f>
        <v>0</v>
      </c>
      <c r="O160" s="32">
        <v>1.652E-2</v>
      </c>
      <c r="P160" s="32">
        <f>G160*O160</f>
        <v>6.608E-2</v>
      </c>
      <c r="Q160" s="35" t="s">
        <v>54</v>
      </c>
      <c r="Z160" s="32">
        <f>ROUND(IF(AQ160="5",BJ160,0),2)</f>
        <v>0</v>
      </c>
      <c r="AB160" s="32">
        <f>ROUND(IF(AQ160="1",BH160,0),2)</f>
        <v>0</v>
      </c>
      <c r="AC160" s="32">
        <f>ROUND(IF(AQ160="1",BI160,0),2)</f>
        <v>0</v>
      </c>
      <c r="AD160" s="32">
        <f>ROUND(IF(AQ160="7",BH160,0),2)</f>
        <v>0</v>
      </c>
      <c r="AE160" s="32">
        <f>ROUND(IF(AQ160="7",BI160,0),2)</f>
        <v>0</v>
      </c>
      <c r="AF160" s="32">
        <f>ROUND(IF(AQ160="2",BH160,0),2)</f>
        <v>0</v>
      </c>
      <c r="AG160" s="32">
        <f>ROUND(IF(AQ160="2",BI160,0),2)</f>
        <v>0</v>
      </c>
      <c r="AH160" s="32">
        <f>ROUND(IF(AQ160="0",BJ160,0),2)</f>
        <v>0</v>
      </c>
      <c r="AI160" s="12" t="s">
        <v>54</v>
      </c>
      <c r="AJ160" s="32">
        <f>IF(AN160=0,L160,0)</f>
        <v>0</v>
      </c>
      <c r="AK160" s="32">
        <f>IF(AN160=12,L160,0)</f>
        <v>0</v>
      </c>
      <c r="AL160" s="32">
        <f>IF(AN160=21,L160,0)</f>
        <v>0</v>
      </c>
      <c r="AN160" s="32">
        <v>21</v>
      </c>
      <c r="AO160" s="32">
        <f>H160*0.72730801</f>
        <v>0</v>
      </c>
      <c r="AP160" s="32">
        <f>H160*(1-0.72730801)</f>
        <v>0</v>
      </c>
      <c r="AQ160" s="36" t="s">
        <v>87</v>
      </c>
      <c r="AV160" s="32">
        <f>ROUND(AW160+AX160,2)</f>
        <v>0</v>
      </c>
      <c r="AW160" s="32">
        <f>ROUND(G160*AO160,2)</f>
        <v>0</v>
      </c>
      <c r="AX160" s="32">
        <f>ROUND(G160*AP160,2)</f>
        <v>0</v>
      </c>
      <c r="AY160" s="36" t="s">
        <v>340</v>
      </c>
      <c r="AZ160" s="36" t="s">
        <v>145</v>
      </c>
      <c r="BA160" s="12" t="s">
        <v>63</v>
      </c>
      <c r="BC160" s="32">
        <f>AW160+AX160</f>
        <v>0</v>
      </c>
      <c r="BD160" s="32">
        <f>H160/(100-BE160)*100</f>
        <v>0</v>
      </c>
      <c r="BE160" s="32">
        <v>0</v>
      </c>
      <c r="BF160" s="32">
        <f>P160</f>
        <v>6.608E-2</v>
      </c>
      <c r="BH160" s="32">
        <f>G160*AO160</f>
        <v>0</v>
      </c>
      <c r="BI160" s="32">
        <f>G160*AP160</f>
        <v>0</v>
      </c>
      <c r="BJ160" s="32">
        <f>G160*H160</f>
        <v>0</v>
      </c>
      <c r="BK160" s="32"/>
      <c r="BL160" s="32">
        <v>725</v>
      </c>
      <c r="BW160" s="32">
        <f>I160</f>
        <v>21</v>
      </c>
      <c r="BX160" s="4" t="s">
        <v>384</v>
      </c>
    </row>
    <row r="161" spans="1:76" x14ac:dyDescent="0.25">
      <c r="A161" s="2" t="s">
        <v>385</v>
      </c>
      <c r="B161" s="3" t="s">
        <v>54</v>
      </c>
      <c r="C161" s="3" t="s">
        <v>386</v>
      </c>
      <c r="D161" s="95" t="s">
        <v>387</v>
      </c>
      <c r="E161" s="96"/>
      <c r="F161" s="3" t="s">
        <v>366</v>
      </c>
      <c r="G161" s="32">
        <v>4</v>
      </c>
      <c r="H161" s="89">
        <v>0</v>
      </c>
      <c r="I161" s="33">
        <v>21</v>
      </c>
      <c r="J161" s="32">
        <f>ROUND(G161*AO161,2)</f>
        <v>0</v>
      </c>
      <c r="K161" s="32">
        <f>ROUND(G161*AP161,2)</f>
        <v>0</v>
      </c>
      <c r="L161" s="32">
        <f>ROUND(G161*H161,2)</f>
        <v>0</v>
      </c>
      <c r="M161" s="32">
        <f>L161*(1+BW161/100)</f>
        <v>0</v>
      </c>
      <c r="N161" s="34">
        <f>IF(L285=0,0,L161/L285)</f>
        <v>0</v>
      </c>
      <c r="O161" s="32">
        <v>1.652E-2</v>
      </c>
      <c r="P161" s="32">
        <f>G161*O161</f>
        <v>6.608E-2</v>
      </c>
      <c r="Q161" s="35" t="s">
        <v>54</v>
      </c>
      <c r="Z161" s="32">
        <f>ROUND(IF(AQ161="5",BJ161,0),2)</f>
        <v>0</v>
      </c>
      <c r="AB161" s="32">
        <f>ROUND(IF(AQ161="1",BH161,0),2)</f>
        <v>0</v>
      </c>
      <c r="AC161" s="32">
        <f>ROUND(IF(AQ161="1",BI161,0),2)</f>
        <v>0</v>
      </c>
      <c r="AD161" s="32">
        <f>ROUND(IF(AQ161="7",BH161,0),2)</f>
        <v>0</v>
      </c>
      <c r="AE161" s="32">
        <f>ROUND(IF(AQ161="7",BI161,0),2)</f>
        <v>0</v>
      </c>
      <c r="AF161" s="32">
        <f>ROUND(IF(AQ161="2",BH161,0),2)</f>
        <v>0</v>
      </c>
      <c r="AG161" s="32">
        <f>ROUND(IF(AQ161="2",BI161,0),2)</f>
        <v>0</v>
      </c>
      <c r="AH161" s="32">
        <f>ROUND(IF(AQ161="0",BJ161,0),2)</f>
        <v>0</v>
      </c>
      <c r="AI161" s="12" t="s">
        <v>54</v>
      </c>
      <c r="AJ161" s="32">
        <f>IF(AN161=0,L161,0)</f>
        <v>0</v>
      </c>
      <c r="AK161" s="32">
        <f>IF(AN161=12,L161,0)</f>
        <v>0</v>
      </c>
      <c r="AL161" s="32">
        <f>IF(AN161=21,L161,0)</f>
        <v>0</v>
      </c>
      <c r="AN161" s="32">
        <v>21</v>
      </c>
      <c r="AO161" s="32">
        <f>H161*0.727318296</f>
        <v>0</v>
      </c>
      <c r="AP161" s="32">
        <f>H161*(1-0.727318296)</f>
        <v>0</v>
      </c>
      <c r="AQ161" s="36" t="s">
        <v>87</v>
      </c>
      <c r="AV161" s="32">
        <f>ROUND(AW161+AX161,2)</f>
        <v>0</v>
      </c>
      <c r="AW161" s="32">
        <f>ROUND(G161*AO161,2)</f>
        <v>0</v>
      </c>
      <c r="AX161" s="32">
        <f>ROUND(G161*AP161,2)</f>
        <v>0</v>
      </c>
      <c r="AY161" s="36" t="s">
        <v>340</v>
      </c>
      <c r="AZ161" s="36" t="s">
        <v>145</v>
      </c>
      <c r="BA161" s="12" t="s">
        <v>63</v>
      </c>
      <c r="BC161" s="32">
        <f>AW161+AX161</f>
        <v>0</v>
      </c>
      <c r="BD161" s="32">
        <f>H161/(100-BE161)*100</f>
        <v>0</v>
      </c>
      <c r="BE161" s="32">
        <v>0</v>
      </c>
      <c r="BF161" s="32">
        <f>P161</f>
        <v>6.608E-2</v>
      </c>
      <c r="BH161" s="32">
        <f>G161*AO161</f>
        <v>0</v>
      </c>
      <c r="BI161" s="32">
        <f>G161*AP161</f>
        <v>0</v>
      </c>
      <c r="BJ161" s="32">
        <f>G161*H161</f>
        <v>0</v>
      </c>
      <c r="BK161" s="32"/>
      <c r="BL161" s="32">
        <v>725</v>
      </c>
      <c r="BW161" s="32">
        <f>I161</f>
        <v>21</v>
      </c>
      <c r="BX161" s="4" t="s">
        <v>387</v>
      </c>
    </row>
    <row r="162" spans="1:76" x14ac:dyDescent="0.25">
      <c r="A162" s="2" t="s">
        <v>388</v>
      </c>
      <c r="B162" s="3" t="s">
        <v>54</v>
      </c>
      <c r="C162" s="3" t="s">
        <v>389</v>
      </c>
      <c r="D162" s="95" t="s">
        <v>390</v>
      </c>
      <c r="E162" s="96"/>
      <c r="F162" s="3" t="s">
        <v>60</v>
      </c>
      <c r="G162" s="32">
        <v>2</v>
      </c>
      <c r="H162" s="89">
        <v>0</v>
      </c>
      <c r="I162" s="33">
        <v>21</v>
      </c>
      <c r="J162" s="32">
        <f>ROUND(G162*AO162,2)</f>
        <v>0</v>
      </c>
      <c r="K162" s="32">
        <f>ROUND(G162*AP162,2)</f>
        <v>0</v>
      </c>
      <c r="L162" s="32">
        <f>ROUND(G162*H162,2)</f>
        <v>0</v>
      </c>
      <c r="M162" s="32">
        <f>L162*(1+BW162/100)</f>
        <v>0</v>
      </c>
      <c r="N162" s="34">
        <f>IF(L285=0,0,L162/L285)</f>
        <v>0</v>
      </c>
      <c r="O162" s="32">
        <v>1.652E-2</v>
      </c>
      <c r="P162" s="32">
        <f>G162*O162</f>
        <v>3.304E-2</v>
      </c>
      <c r="Q162" s="35" t="s">
        <v>54</v>
      </c>
      <c r="Z162" s="32">
        <f>ROUND(IF(AQ162="5",BJ162,0),2)</f>
        <v>0</v>
      </c>
      <c r="AB162" s="32">
        <f>ROUND(IF(AQ162="1",BH162,0),2)</f>
        <v>0</v>
      </c>
      <c r="AC162" s="32">
        <f>ROUND(IF(AQ162="1",BI162,0),2)</f>
        <v>0</v>
      </c>
      <c r="AD162" s="32">
        <f>ROUND(IF(AQ162="7",BH162,0),2)</f>
        <v>0</v>
      </c>
      <c r="AE162" s="32">
        <f>ROUND(IF(AQ162="7",BI162,0),2)</f>
        <v>0</v>
      </c>
      <c r="AF162" s="32">
        <f>ROUND(IF(AQ162="2",BH162,0),2)</f>
        <v>0</v>
      </c>
      <c r="AG162" s="32">
        <f>ROUND(IF(AQ162="2",BI162,0),2)</f>
        <v>0</v>
      </c>
      <c r="AH162" s="32">
        <f>ROUND(IF(AQ162="0",BJ162,0),2)</f>
        <v>0</v>
      </c>
      <c r="AI162" s="12" t="s">
        <v>54</v>
      </c>
      <c r="AJ162" s="32">
        <f>IF(AN162=0,L162,0)</f>
        <v>0</v>
      </c>
      <c r="AK162" s="32">
        <f>IF(AN162=12,L162,0)</f>
        <v>0</v>
      </c>
      <c r="AL162" s="32">
        <f>IF(AN162=21,L162,0)</f>
        <v>0</v>
      </c>
      <c r="AN162" s="32">
        <v>21</v>
      </c>
      <c r="AO162" s="32">
        <f>H162*0.727317896</f>
        <v>0</v>
      </c>
      <c r="AP162" s="32">
        <f>H162*(1-0.727317896)</f>
        <v>0</v>
      </c>
      <c r="AQ162" s="36" t="s">
        <v>87</v>
      </c>
      <c r="AV162" s="32">
        <f>ROUND(AW162+AX162,2)</f>
        <v>0</v>
      </c>
      <c r="AW162" s="32">
        <f>ROUND(G162*AO162,2)</f>
        <v>0</v>
      </c>
      <c r="AX162" s="32">
        <f>ROUND(G162*AP162,2)</f>
        <v>0</v>
      </c>
      <c r="AY162" s="36" t="s">
        <v>340</v>
      </c>
      <c r="AZ162" s="36" t="s">
        <v>145</v>
      </c>
      <c r="BA162" s="12" t="s">
        <v>63</v>
      </c>
      <c r="BC162" s="32">
        <f>AW162+AX162</f>
        <v>0</v>
      </c>
      <c r="BD162" s="32">
        <f>H162/(100-BE162)*100</f>
        <v>0</v>
      </c>
      <c r="BE162" s="32">
        <v>0</v>
      </c>
      <c r="BF162" s="32">
        <f>P162</f>
        <v>3.304E-2</v>
      </c>
      <c r="BH162" s="32">
        <f>G162*AO162</f>
        <v>0</v>
      </c>
      <c r="BI162" s="32">
        <f>G162*AP162</f>
        <v>0</v>
      </c>
      <c r="BJ162" s="32">
        <f>G162*H162</f>
        <v>0</v>
      </c>
      <c r="BK162" s="32"/>
      <c r="BL162" s="32">
        <v>725</v>
      </c>
      <c r="BW162" s="32">
        <f>I162</f>
        <v>21</v>
      </c>
      <c r="BX162" s="4" t="s">
        <v>390</v>
      </c>
    </row>
    <row r="163" spans="1:76" ht="13.5" customHeight="1" x14ac:dyDescent="0.25">
      <c r="A163" s="37"/>
      <c r="C163" s="38"/>
      <c r="D163" s="100" t="s">
        <v>391</v>
      </c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9"/>
    </row>
    <row r="164" spans="1:76" x14ac:dyDescent="0.25">
      <c r="A164" s="2" t="s">
        <v>392</v>
      </c>
      <c r="B164" s="3" t="s">
        <v>54</v>
      </c>
      <c r="C164" s="3" t="s">
        <v>393</v>
      </c>
      <c r="D164" s="95" t="s">
        <v>394</v>
      </c>
      <c r="E164" s="96"/>
      <c r="F164" s="3" t="s">
        <v>60</v>
      </c>
      <c r="G164" s="32">
        <v>2</v>
      </c>
      <c r="H164" s="89">
        <v>0</v>
      </c>
      <c r="I164" s="33">
        <v>21</v>
      </c>
      <c r="J164" s="32">
        <f>ROUND(G164*AO164,2)</f>
        <v>0</v>
      </c>
      <c r="K164" s="32">
        <f>ROUND(G164*AP164,2)</f>
        <v>0</v>
      </c>
      <c r="L164" s="32">
        <f>ROUND(G164*H164,2)</f>
        <v>0</v>
      </c>
      <c r="M164" s="32">
        <f>L164*(1+BW164/100)</f>
        <v>0</v>
      </c>
      <c r="N164" s="34">
        <f>IF(L285=0,0,L164/L285)</f>
        <v>0</v>
      </c>
      <c r="O164" s="32">
        <v>1.652E-2</v>
      </c>
      <c r="P164" s="32">
        <f>G164*O164</f>
        <v>3.304E-2</v>
      </c>
      <c r="Q164" s="35" t="s">
        <v>54</v>
      </c>
      <c r="Z164" s="32">
        <f>ROUND(IF(AQ164="5",BJ164,0),2)</f>
        <v>0</v>
      </c>
      <c r="AB164" s="32">
        <f>ROUND(IF(AQ164="1",BH164,0),2)</f>
        <v>0</v>
      </c>
      <c r="AC164" s="32">
        <f>ROUND(IF(AQ164="1",BI164,0),2)</f>
        <v>0</v>
      </c>
      <c r="AD164" s="32">
        <f>ROUND(IF(AQ164="7",BH164,0),2)</f>
        <v>0</v>
      </c>
      <c r="AE164" s="32">
        <f>ROUND(IF(AQ164="7",BI164,0),2)</f>
        <v>0</v>
      </c>
      <c r="AF164" s="32">
        <f>ROUND(IF(AQ164="2",BH164,0),2)</f>
        <v>0</v>
      </c>
      <c r="AG164" s="32">
        <f>ROUND(IF(AQ164="2",BI164,0),2)</f>
        <v>0</v>
      </c>
      <c r="AH164" s="32">
        <f>ROUND(IF(AQ164="0",BJ164,0),2)</f>
        <v>0</v>
      </c>
      <c r="AI164" s="12" t="s">
        <v>54</v>
      </c>
      <c r="AJ164" s="32">
        <f>IF(AN164=0,L164,0)</f>
        <v>0</v>
      </c>
      <c r="AK164" s="32">
        <f>IF(AN164=12,L164,0)</f>
        <v>0</v>
      </c>
      <c r="AL164" s="32">
        <f>IF(AN164=21,L164,0)</f>
        <v>0</v>
      </c>
      <c r="AN164" s="32">
        <v>21</v>
      </c>
      <c r="AO164" s="32">
        <f>H164*0.727318187</f>
        <v>0</v>
      </c>
      <c r="AP164" s="32">
        <f>H164*(1-0.727318187)</f>
        <v>0</v>
      </c>
      <c r="AQ164" s="36" t="s">
        <v>87</v>
      </c>
      <c r="AV164" s="32">
        <f>ROUND(AW164+AX164,2)</f>
        <v>0</v>
      </c>
      <c r="AW164" s="32">
        <f>ROUND(G164*AO164,2)</f>
        <v>0</v>
      </c>
      <c r="AX164" s="32">
        <f>ROUND(G164*AP164,2)</f>
        <v>0</v>
      </c>
      <c r="AY164" s="36" t="s">
        <v>340</v>
      </c>
      <c r="AZ164" s="36" t="s">
        <v>145</v>
      </c>
      <c r="BA164" s="12" t="s">
        <v>63</v>
      </c>
      <c r="BC164" s="32">
        <f>AW164+AX164</f>
        <v>0</v>
      </c>
      <c r="BD164" s="32">
        <f>H164/(100-BE164)*100</f>
        <v>0</v>
      </c>
      <c r="BE164" s="32">
        <v>0</v>
      </c>
      <c r="BF164" s="32">
        <f>P164</f>
        <v>3.304E-2</v>
      </c>
      <c r="BH164" s="32">
        <f>G164*AO164</f>
        <v>0</v>
      </c>
      <c r="BI164" s="32">
        <f>G164*AP164</f>
        <v>0</v>
      </c>
      <c r="BJ164" s="32">
        <f>G164*H164</f>
        <v>0</v>
      </c>
      <c r="BK164" s="32"/>
      <c r="BL164" s="32">
        <v>725</v>
      </c>
      <c r="BW164" s="32">
        <f>I164</f>
        <v>21</v>
      </c>
      <c r="BX164" s="4" t="s">
        <v>394</v>
      </c>
    </row>
    <row r="165" spans="1:76" ht="13.5" customHeight="1" x14ac:dyDescent="0.25">
      <c r="A165" s="37"/>
      <c r="C165" s="38"/>
      <c r="D165" s="100" t="s">
        <v>391</v>
      </c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9"/>
    </row>
    <row r="166" spans="1:76" ht="25.5" customHeight="1" x14ac:dyDescent="0.25">
      <c r="A166" s="2" t="s">
        <v>395</v>
      </c>
      <c r="B166" s="3" t="s">
        <v>54</v>
      </c>
      <c r="C166" s="3" t="s">
        <v>396</v>
      </c>
      <c r="D166" s="95" t="s">
        <v>397</v>
      </c>
      <c r="E166" s="96"/>
      <c r="F166" s="3" t="s">
        <v>239</v>
      </c>
      <c r="G166" s="32">
        <v>2</v>
      </c>
      <c r="H166" s="89">
        <v>0</v>
      </c>
      <c r="I166" s="33">
        <v>21</v>
      </c>
      <c r="J166" s="32">
        <f>ROUND(G166*AO166,2)</f>
        <v>0</v>
      </c>
      <c r="K166" s="32">
        <f>ROUND(G166*AP166,2)</f>
        <v>0</v>
      </c>
      <c r="L166" s="32">
        <f>ROUND(G166*H166,2)</f>
        <v>0</v>
      </c>
      <c r="M166" s="32">
        <f>L166*(1+BW166/100)</f>
        <v>0</v>
      </c>
      <c r="N166" s="34">
        <f>IF(L285=0,0,L166/L285)</f>
        <v>0</v>
      </c>
      <c r="O166" s="32">
        <v>5.3249999999999999E-2</v>
      </c>
      <c r="P166" s="32">
        <f>G166*O166</f>
        <v>0.1065</v>
      </c>
      <c r="Q166" s="35" t="s">
        <v>61</v>
      </c>
      <c r="Z166" s="32">
        <f>ROUND(IF(AQ166="5",BJ166,0),2)</f>
        <v>0</v>
      </c>
      <c r="AB166" s="32">
        <f>ROUND(IF(AQ166="1",BH166,0),2)</f>
        <v>0</v>
      </c>
      <c r="AC166" s="32">
        <f>ROUND(IF(AQ166="1",BI166,0),2)</f>
        <v>0</v>
      </c>
      <c r="AD166" s="32">
        <f>ROUND(IF(AQ166="7",BH166,0),2)</f>
        <v>0</v>
      </c>
      <c r="AE166" s="32">
        <f>ROUND(IF(AQ166="7",BI166,0),2)</f>
        <v>0</v>
      </c>
      <c r="AF166" s="32">
        <f>ROUND(IF(AQ166="2",BH166,0),2)</f>
        <v>0</v>
      </c>
      <c r="AG166" s="32">
        <f>ROUND(IF(AQ166="2",BI166,0),2)</f>
        <v>0</v>
      </c>
      <c r="AH166" s="32">
        <f>ROUND(IF(AQ166="0",BJ166,0),2)</f>
        <v>0</v>
      </c>
      <c r="AI166" s="12" t="s">
        <v>54</v>
      </c>
      <c r="AJ166" s="32">
        <f>IF(AN166=0,L166,0)</f>
        <v>0</v>
      </c>
      <c r="AK166" s="32">
        <f>IF(AN166=12,L166,0)</f>
        <v>0</v>
      </c>
      <c r="AL166" s="32">
        <f>IF(AN166=21,L166,0)</f>
        <v>0</v>
      </c>
      <c r="AN166" s="32">
        <v>21</v>
      </c>
      <c r="AO166" s="32">
        <f>H166*0.795881965</f>
        <v>0</v>
      </c>
      <c r="AP166" s="32">
        <f>H166*(1-0.795881965)</f>
        <v>0</v>
      </c>
      <c r="AQ166" s="36" t="s">
        <v>87</v>
      </c>
      <c r="AV166" s="32">
        <f>ROUND(AW166+AX166,2)</f>
        <v>0</v>
      </c>
      <c r="AW166" s="32">
        <f>ROUND(G166*AO166,2)</f>
        <v>0</v>
      </c>
      <c r="AX166" s="32">
        <f>ROUND(G166*AP166,2)</f>
        <v>0</v>
      </c>
      <c r="AY166" s="36" t="s">
        <v>340</v>
      </c>
      <c r="AZ166" s="36" t="s">
        <v>145</v>
      </c>
      <c r="BA166" s="12" t="s">
        <v>63</v>
      </c>
      <c r="BC166" s="32">
        <f>AW166+AX166</f>
        <v>0</v>
      </c>
      <c r="BD166" s="32">
        <f>H166/(100-BE166)*100</f>
        <v>0</v>
      </c>
      <c r="BE166" s="32">
        <v>0</v>
      </c>
      <c r="BF166" s="32">
        <f>P166</f>
        <v>0.1065</v>
      </c>
      <c r="BH166" s="32">
        <f>G166*AO166</f>
        <v>0</v>
      </c>
      <c r="BI166" s="32">
        <f>G166*AP166</f>
        <v>0</v>
      </c>
      <c r="BJ166" s="32">
        <f>G166*H166</f>
        <v>0</v>
      </c>
      <c r="BK166" s="32"/>
      <c r="BL166" s="32">
        <v>725</v>
      </c>
      <c r="BW166" s="32">
        <f>I166</f>
        <v>21</v>
      </c>
      <c r="BX166" s="4" t="s">
        <v>397</v>
      </c>
    </row>
    <row r="167" spans="1:76" ht="13.5" customHeight="1" x14ac:dyDescent="0.25">
      <c r="A167" s="37"/>
      <c r="C167" s="38"/>
      <c r="D167" s="100" t="s">
        <v>398</v>
      </c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9"/>
    </row>
    <row r="168" spans="1:76" x14ac:dyDescent="0.25">
      <c r="A168" s="2" t="s">
        <v>399</v>
      </c>
      <c r="B168" s="3" t="s">
        <v>54</v>
      </c>
      <c r="C168" s="3" t="s">
        <v>400</v>
      </c>
      <c r="D168" s="95" t="s">
        <v>401</v>
      </c>
      <c r="E168" s="96"/>
      <c r="F168" s="3" t="s">
        <v>60</v>
      </c>
      <c r="G168" s="32">
        <v>25</v>
      </c>
      <c r="H168" s="89">
        <v>0</v>
      </c>
      <c r="I168" s="33">
        <v>21</v>
      </c>
      <c r="J168" s="32">
        <f>ROUND(G168*AO168,2)</f>
        <v>0</v>
      </c>
      <c r="K168" s="32">
        <f>ROUND(G168*AP168,2)</f>
        <v>0</v>
      </c>
      <c r="L168" s="32">
        <f>ROUND(G168*H168,2)</f>
        <v>0</v>
      </c>
      <c r="M168" s="32">
        <f>L168*(1+BW168/100)</f>
        <v>0</v>
      </c>
      <c r="N168" s="34">
        <f>IF(L285=0,0,L168/L285)</f>
        <v>0</v>
      </c>
      <c r="O168" s="32">
        <v>3.1800000000000001E-3</v>
      </c>
      <c r="P168" s="32">
        <f>G168*O168</f>
        <v>7.9500000000000001E-2</v>
      </c>
      <c r="Q168" s="35" t="s">
        <v>61</v>
      </c>
      <c r="Z168" s="32">
        <f>ROUND(IF(AQ168="5",BJ168,0),2)</f>
        <v>0</v>
      </c>
      <c r="AB168" s="32">
        <f>ROUND(IF(AQ168="1",BH168,0),2)</f>
        <v>0</v>
      </c>
      <c r="AC168" s="32">
        <f>ROUND(IF(AQ168="1",BI168,0),2)</f>
        <v>0</v>
      </c>
      <c r="AD168" s="32">
        <f>ROUND(IF(AQ168="7",BH168,0),2)</f>
        <v>0</v>
      </c>
      <c r="AE168" s="32">
        <f>ROUND(IF(AQ168="7",BI168,0),2)</f>
        <v>0</v>
      </c>
      <c r="AF168" s="32">
        <f>ROUND(IF(AQ168="2",BH168,0),2)</f>
        <v>0</v>
      </c>
      <c r="AG168" s="32">
        <f>ROUND(IF(AQ168="2",BI168,0),2)</f>
        <v>0</v>
      </c>
      <c r="AH168" s="32">
        <f>ROUND(IF(AQ168="0",BJ168,0),2)</f>
        <v>0</v>
      </c>
      <c r="AI168" s="12" t="s">
        <v>54</v>
      </c>
      <c r="AJ168" s="32">
        <f>IF(AN168=0,L168,0)</f>
        <v>0</v>
      </c>
      <c r="AK168" s="32">
        <f>IF(AN168=12,L168,0)</f>
        <v>0</v>
      </c>
      <c r="AL168" s="32">
        <f>IF(AN168=21,L168,0)</f>
        <v>0</v>
      </c>
      <c r="AN168" s="32">
        <v>21</v>
      </c>
      <c r="AO168" s="32">
        <f>H168*0.444864299</f>
        <v>0</v>
      </c>
      <c r="AP168" s="32">
        <f>H168*(1-0.444864299)</f>
        <v>0</v>
      </c>
      <c r="AQ168" s="36" t="s">
        <v>87</v>
      </c>
      <c r="AV168" s="32">
        <f>ROUND(AW168+AX168,2)</f>
        <v>0</v>
      </c>
      <c r="AW168" s="32">
        <f>ROUND(G168*AO168,2)</f>
        <v>0</v>
      </c>
      <c r="AX168" s="32">
        <f>ROUND(G168*AP168,2)</f>
        <v>0</v>
      </c>
      <c r="AY168" s="36" t="s">
        <v>340</v>
      </c>
      <c r="AZ168" s="36" t="s">
        <v>145</v>
      </c>
      <c r="BA168" s="12" t="s">
        <v>63</v>
      </c>
      <c r="BC168" s="32">
        <f>AW168+AX168</f>
        <v>0</v>
      </c>
      <c r="BD168" s="32">
        <f>H168/(100-BE168)*100</f>
        <v>0</v>
      </c>
      <c r="BE168" s="32">
        <v>0</v>
      </c>
      <c r="BF168" s="32">
        <f>P168</f>
        <v>7.9500000000000001E-2</v>
      </c>
      <c r="BH168" s="32">
        <f>G168*AO168</f>
        <v>0</v>
      </c>
      <c r="BI168" s="32">
        <f>G168*AP168</f>
        <v>0</v>
      </c>
      <c r="BJ168" s="32">
        <f>G168*H168</f>
        <v>0</v>
      </c>
      <c r="BK168" s="32"/>
      <c r="BL168" s="32">
        <v>725</v>
      </c>
      <c r="BW168" s="32">
        <f>I168</f>
        <v>21</v>
      </c>
      <c r="BX168" s="4" t="s">
        <v>401</v>
      </c>
    </row>
    <row r="169" spans="1:76" x14ac:dyDescent="0.25">
      <c r="A169" s="2" t="s">
        <v>402</v>
      </c>
      <c r="B169" s="3" t="s">
        <v>54</v>
      </c>
      <c r="C169" s="3" t="s">
        <v>403</v>
      </c>
      <c r="D169" s="95" t="s">
        <v>404</v>
      </c>
      <c r="E169" s="96"/>
      <c r="F169" s="3" t="s">
        <v>60</v>
      </c>
      <c r="G169" s="32">
        <v>22</v>
      </c>
      <c r="H169" s="89">
        <v>0</v>
      </c>
      <c r="I169" s="33">
        <v>21</v>
      </c>
      <c r="J169" s="32">
        <f>ROUND(G169*AO169,2)</f>
        <v>0</v>
      </c>
      <c r="K169" s="32">
        <f>ROUND(G169*AP169,2)</f>
        <v>0</v>
      </c>
      <c r="L169" s="32">
        <f>ROUND(G169*H169,2)</f>
        <v>0</v>
      </c>
      <c r="M169" s="32">
        <f>L169*(1+BW169/100)</f>
        <v>0</v>
      </c>
      <c r="N169" s="34">
        <f>IF(L285=0,0,L169/L285)</f>
        <v>0</v>
      </c>
      <c r="O169" s="32">
        <v>1.41E-3</v>
      </c>
      <c r="P169" s="32">
        <f>G169*O169</f>
        <v>3.1019999999999999E-2</v>
      </c>
      <c r="Q169" s="35" t="s">
        <v>61</v>
      </c>
      <c r="Z169" s="32">
        <f>ROUND(IF(AQ169="5",BJ169,0),2)</f>
        <v>0</v>
      </c>
      <c r="AB169" s="32">
        <f>ROUND(IF(AQ169="1",BH169,0),2)</f>
        <v>0</v>
      </c>
      <c r="AC169" s="32">
        <f>ROUND(IF(AQ169="1",BI169,0),2)</f>
        <v>0</v>
      </c>
      <c r="AD169" s="32">
        <f>ROUND(IF(AQ169="7",BH169,0),2)</f>
        <v>0</v>
      </c>
      <c r="AE169" s="32">
        <f>ROUND(IF(AQ169="7",BI169,0),2)</f>
        <v>0</v>
      </c>
      <c r="AF169" s="32">
        <f>ROUND(IF(AQ169="2",BH169,0),2)</f>
        <v>0</v>
      </c>
      <c r="AG169" s="32">
        <f>ROUND(IF(AQ169="2",BI169,0),2)</f>
        <v>0</v>
      </c>
      <c r="AH169" s="32">
        <f>ROUND(IF(AQ169="0",BJ169,0),2)</f>
        <v>0</v>
      </c>
      <c r="AI169" s="12" t="s">
        <v>54</v>
      </c>
      <c r="AJ169" s="32">
        <f>IF(AN169=0,L169,0)</f>
        <v>0</v>
      </c>
      <c r="AK169" s="32">
        <f>IF(AN169=12,L169,0)</f>
        <v>0</v>
      </c>
      <c r="AL169" s="32">
        <f>IF(AN169=21,L169,0)</f>
        <v>0</v>
      </c>
      <c r="AN169" s="32">
        <v>21</v>
      </c>
      <c r="AO169" s="32">
        <f>H169*0.398630726</f>
        <v>0</v>
      </c>
      <c r="AP169" s="32">
        <f>H169*(1-0.398630726)</f>
        <v>0</v>
      </c>
      <c r="AQ169" s="36" t="s">
        <v>87</v>
      </c>
      <c r="AV169" s="32">
        <f>ROUND(AW169+AX169,2)</f>
        <v>0</v>
      </c>
      <c r="AW169" s="32">
        <f>ROUND(G169*AO169,2)</f>
        <v>0</v>
      </c>
      <c r="AX169" s="32">
        <f>ROUND(G169*AP169,2)</f>
        <v>0</v>
      </c>
      <c r="AY169" s="36" t="s">
        <v>340</v>
      </c>
      <c r="AZ169" s="36" t="s">
        <v>145</v>
      </c>
      <c r="BA169" s="12" t="s">
        <v>63</v>
      </c>
      <c r="BC169" s="32">
        <f>AW169+AX169</f>
        <v>0</v>
      </c>
      <c r="BD169" s="32">
        <f>H169/(100-BE169)*100</f>
        <v>0</v>
      </c>
      <c r="BE169" s="32">
        <v>0</v>
      </c>
      <c r="BF169" s="32">
        <f>P169</f>
        <v>3.1019999999999999E-2</v>
      </c>
      <c r="BH169" s="32">
        <f>G169*AO169</f>
        <v>0</v>
      </c>
      <c r="BI169" s="32">
        <f>G169*AP169</f>
        <v>0</v>
      </c>
      <c r="BJ169" s="32">
        <f>G169*H169</f>
        <v>0</v>
      </c>
      <c r="BK169" s="32"/>
      <c r="BL169" s="32">
        <v>725</v>
      </c>
      <c r="BW169" s="32">
        <f>I169</f>
        <v>21</v>
      </c>
      <c r="BX169" s="4" t="s">
        <v>404</v>
      </c>
    </row>
    <row r="170" spans="1:76" x14ac:dyDescent="0.25">
      <c r="A170" s="2" t="s">
        <v>405</v>
      </c>
      <c r="B170" s="3" t="s">
        <v>54</v>
      </c>
      <c r="C170" s="3" t="s">
        <v>406</v>
      </c>
      <c r="D170" s="95" t="s">
        <v>407</v>
      </c>
      <c r="E170" s="96"/>
      <c r="F170" s="3" t="s">
        <v>60</v>
      </c>
      <c r="G170" s="32">
        <v>4</v>
      </c>
      <c r="H170" s="89">
        <v>0</v>
      </c>
      <c r="I170" s="33">
        <v>21</v>
      </c>
      <c r="J170" s="32">
        <f>ROUND(G170*AO170,2)</f>
        <v>0</v>
      </c>
      <c r="K170" s="32">
        <f>ROUND(G170*AP170,2)</f>
        <v>0</v>
      </c>
      <c r="L170" s="32">
        <f>ROUND(G170*H170,2)</f>
        <v>0</v>
      </c>
      <c r="M170" s="32">
        <f>L170*(1+BW170/100)</f>
        <v>0</v>
      </c>
      <c r="N170" s="34">
        <f>IF(L285=0,0,L170/L285)</f>
        <v>0</v>
      </c>
      <c r="O170" s="32">
        <v>1.57E-3</v>
      </c>
      <c r="P170" s="32">
        <f>G170*O170</f>
        <v>6.28E-3</v>
      </c>
      <c r="Q170" s="35" t="s">
        <v>61</v>
      </c>
      <c r="Z170" s="32">
        <f>ROUND(IF(AQ170="5",BJ170,0),2)</f>
        <v>0</v>
      </c>
      <c r="AB170" s="32">
        <f>ROUND(IF(AQ170="1",BH170,0),2)</f>
        <v>0</v>
      </c>
      <c r="AC170" s="32">
        <f>ROUND(IF(AQ170="1",BI170,0),2)</f>
        <v>0</v>
      </c>
      <c r="AD170" s="32">
        <f>ROUND(IF(AQ170="7",BH170,0),2)</f>
        <v>0</v>
      </c>
      <c r="AE170" s="32">
        <f>ROUND(IF(AQ170="7",BI170,0),2)</f>
        <v>0</v>
      </c>
      <c r="AF170" s="32">
        <f>ROUND(IF(AQ170="2",BH170,0),2)</f>
        <v>0</v>
      </c>
      <c r="AG170" s="32">
        <f>ROUND(IF(AQ170="2",BI170,0),2)</f>
        <v>0</v>
      </c>
      <c r="AH170" s="32">
        <f>ROUND(IF(AQ170="0",BJ170,0),2)</f>
        <v>0</v>
      </c>
      <c r="AI170" s="12" t="s">
        <v>54</v>
      </c>
      <c r="AJ170" s="32">
        <f>IF(AN170=0,L170,0)</f>
        <v>0</v>
      </c>
      <c r="AK170" s="32">
        <f>IF(AN170=12,L170,0)</f>
        <v>0</v>
      </c>
      <c r="AL170" s="32">
        <f>IF(AN170=21,L170,0)</f>
        <v>0</v>
      </c>
      <c r="AN170" s="32">
        <v>21</v>
      </c>
      <c r="AO170" s="32">
        <f>H170*0.191773082</f>
        <v>0</v>
      </c>
      <c r="AP170" s="32">
        <f>H170*(1-0.191773082)</f>
        <v>0</v>
      </c>
      <c r="AQ170" s="36" t="s">
        <v>87</v>
      </c>
      <c r="AV170" s="32">
        <f>ROUND(AW170+AX170,2)</f>
        <v>0</v>
      </c>
      <c r="AW170" s="32">
        <f>ROUND(G170*AO170,2)</f>
        <v>0</v>
      </c>
      <c r="AX170" s="32">
        <f>ROUND(G170*AP170,2)</f>
        <v>0</v>
      </c>
      <c r="AY170" s="36" t="s">
        <v>340</v>
      </c>
      <c r="AZ170" s="36" t="s">
        <v>145</v>
      </c>
      <c r="BA170" s="12" t="s">
        <v>63</v>
      </c>
      <c r="BC170" s="32">
        <f>AW170+AX170</f>
        <v>0</v>
      </c>
      <c r="BD170" s="32">
        <f>H170/(100-BE170)*100</f>
        <v>0</v>
      </c>
      <c r="BE170" s="32">
        <v>0</v>
      </c>
      <c r="BF170" s="32">
        <f>P170</f>
        <v>6.28E-3</v>
      </c>
      <c r="BH170" s="32">
        <f>G170*AO170</f>
        <v>0</v>
      </c>
      <c r="BI170" s="32">
        <f>G170*AP170</f>
        <v>0</v>
      </c>
      <c r="BJ170" s="32">
        <f>G170*H170</f>
        <v>0</v>
      </c>
      <c r="BK170" s="32"/>
      <c r="BL170" s="32">
        <v>725</v>
      </c>
      <c r="BW170" s="32">
        <f>I170</f>
        <v>21</v>
      </c>
      <c r="BX170" s="4" t="s">
        <v>407</v>
      </c>
    </row>
    <row r="171" spans="1:76" x14ac:dyDescent="0.25">
      <c r="A171" s="2" t="s">
        <v>408</v>
      </c>
      <c r="B171" s="3" t="s">
        <v>54</v>
      </c>
      <c r="C171" s="3" t="s">
        <v>409</v>
      </c>
      <c r="D171" s="95" t="s">
        <v>410</v>
      </c>
      <c r="E171" s="96"/>
      <c r="F171" s="3" t="s">
        <v>60</v>
      </c>
      <c r="G171" s="32">
        <v>4</v>
      </c>
      <c r="H171" s="89">
        <v>0</v>
      </c>
      <c r="I171" s="33">
        <v>21</v>
      </c>
      <c r="J171" s="32">
        <f>ROUND(G171*AO171,2)</f>
        <v>0</v>
      </c>
      <c r="K171" s="32">
        <f>ROUND(G171*AP171,2)</f>
        <v>0</v>
      </c>
      <c r="L171" s="32">
        <f>ROUND(G171*H171,2)</f>
        <v>0</v>
      </c>
      <c r="M171" s="32">
        <f>L171*(1+BW171/100)</f>
        <v>0</v>
      </c>
      <c r="N171" s="34">
        <f>IF(L285=0,0,L171/L285)</f>
        <v>0</v>
      </c>
      <c r="O171" s="32">
        <v>8.4999999999999995E-4</v>
      </c>
      <c r="P171" s="32">
        <f>G171*O171</f>
        <v>3.3999999999999998E-3</v>
      </c>
      <c r="Q171" s="35" t="s">
        <v>61</v>
      </c>
      <c r="Z171" s="32">
        <f>ROUND(IF(AQ171="5",BJ171,0),2)</f>
        <v>0</v>
      </c>
      <c r="AB171" s="32">
        <f>ROUND(IF(AQ171="1",BH171,0),2)</f>
        <v>0</v>
      </c>
      <c r="AC171" s="32">
        <f>ROUND(IF(AQ171="1",BI171,0),2)</f>
        <v>0</v>
      </c>
      <c r="AD171" s="32">
        <f>ROUND(IF(AQ171="7",BH171,0),2)</f>
        <v>0</v>
      </c>
      <c r="AE171" s="32">
        <f>ROUND(IF(AQ171="7",BI171,0),2)</f>
        <v>0</v>
      </c>
      <c r="AF171" s="32">
        <f>ROUND(IF(AQ171="2",BH171,0),2)</f>
        <v>0</v>
      </c>
      <c r="AG171" s="32">
        <f>ROUND(IF(AQ171="2",BI171,0),2)</f>
        <v>0</v>
      </c>
      <c r="AH171" s="32">
        <f>ROUND(IF(AQ171="0",BJ171,0),2)</f>
        <v>0</v>
      </c>
      <c r="AI171" s="12" t="s">
        <v>54</v>
      </c>
      <c r="AJ171" s="32">
        <f>IF(AN171=0,L171,0)</f>
        <v>0</v>
      </c>
      <c r="AK171" s="32">
        <f>IF(AN171=12,L171,0)</f>
        <v>0</v>
      </c>
      <c r="AL171" s="32">
        <f>IF(AN171=21,L171,0)</f>
        <v>0</v>
      </c>
      <c r="AN171" s="32">
        <v>21</v>
      </c>
      <c r="AO171" s="32">
        <f>H171*0.854912821</f>
        <v>0</v>
      </c>
      <c r="AP171" s="32">
        <f>H171*(1-0.854912821)</f>
        <v>0</v>
      </c>
      <c r="AQ171" s="36" t="s">
        <v>87</v>
      </c>
      <c r="AV171" s="32">
        <f>ROUND(AW171+AX171,2)</f>
        <v>0</v>
      </c>
      <c r="AW171" s="32">
        <f>ROUND(G171*AO171,2)</f>
        <v>0</v>
      </c>
      <c r="AX171" s="32">
        <f>ROUND(G171*AP171,2)</f>
        <v>0</v>
      </c>
      <c r="AY171" s="36" t="s">
        <v>340</v>
      </c>
      <c r="AZ171" s="36" t="s">
        <v>145</v>
      </c>
      <c r="BA171" s="12" t="s">
        <v>63</v>
      </c>
      <c r="BC171" s="32">
        <f>AW171+AX171</f>
        <v>0</v>
      </c>
      <c r="BD171" s="32">
        <f>H171/(100-BE171)*100</f>
        <v>0</v>
      </c>
      <c r="BE171" s="32">
        <v>0</v>
      </c>
      <c r="BF171" s="32">
        <f>P171</f>
        <v>3.3999999999999998E-3</v>
      </c>
      <c r="BH171" s="32">
        <f>G171*AO171</f>
        <v>0</v>
      </c>
      <c r="BI171" s="32">
        <f>G171*AP171</f>
        <v>0</v>
      </c>
      <c r="BJ171" s="32">
        <f>G171*H171</f>
        <v>0</v>
      </c>
      <c r="BK171" s="32"/>
      <c r="BL171" s="32">
        <v>725</v>
      </c>
      <c r="BW171" s="32">
        <f>I171</f>
        <v>21</v>
      </c>
      <c r="BX171" s="4" t="s">
        <v>410</v>
      </c>
    </row>
    <row r="172" spans="1:76" ht="13.5" customHeight="1" x14ac:dyDescent="0.25">
      <c r="A172" s="37"/>
      <c r="C172" s="38"/>
      <c r="D172" s="100" t="s">
        <v>411</v>
      </c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9"/>
    </row>
    <row r="173" spans="1:76" x14ac:dyDescent="0.25">
      <c r="A173" s="2" t="s">
        <v>412</v>
      </c>
      <c r="B173" s="3" t="s">
        <v>54</v>
      </c>
      <c r="C173" s="3" t="s">
        <v>413</v>
      </c>
      <c r="D173" s="95" t="s">
        <v>414</v>
      </c>
      <c r="E173" s="96"/>
      <c r="F173" s="3" t="s">
        <v>239</v>
      </c>
      <c r="G173" s="32">
        <v>8</v>
      </c>
      <c r="H173" s="89">
        <v>0</v>
      </c>
      <c r="I173" s="33">
        <v>21</v>
      </c>
      <c r="J173" s="32">
        <f>ROUND(G173*AO173,2)</f>
        <v>0</v>
      </c>
      <c r="K173" s="32">
        <f>ROUND(G173*AP173,2)</f>
        <v>0</v>
      </c>
      <c r="L173" s="32">
        <f>ROUND(G173*H173,2)</f>
        <v>0</v>
      </c>
      <c r="M173" s="32">
        <f>L173*(1+BW173/100)</f>
        <v>0</v>
      </c>
      <c r="N173" s="34">
        <f>IF(L285=0,0,L173/L285)</f>
        <v>0</v>
      </c>
      <c r="O173" s="32">
        <v>1.7000000000000001E-4</v>
      </c>
      <c r="P173" s="32">
        <f>G173*O173</f>
        <v>1.3600000000000001E-3</v>
      </c>
      <c r="Q173" s="35" t="s">
        <v>61</v>
      </c>
      <c r="Z173" s="32">
        <f>ROUND(IF(AQ173="5",BJ173,0),2)</f>
        <v>0</v>
      </c>
      <c r="AB173" s="32">
        <f>ROUND(IF(AQ173="1",BH173,0),2)</f>
        <v>0</v>
      </c>
      <c r="AC173" s="32">
        <f>ROUND(IF(AQ173="1",BI173,0),2)</f>
        <v>0</v>
      </c>
      <c r="AD173" s="32">
        <f>ROUND(IF(AQ173="7",BH173,0),2)</f>
        <v>0</v>
      </c>
      <c r="AE173" s="32">
        <f>ROUND(IF(AQ173="7",BI173,0),2)</f>
        <v>0</v>
      </c>
      <c r="AF173" s="32">
        <f>ROUND(IF(AQ173="2",BH173,0),2)</f>
        <v>0</v>
      </c>
      <c r="AG173" s="32">
        <f>ROUND(IF(AQ173="2",BI173,0),2)</f>
        <v>0</v>
      </c>
      <c r="AH173" s="32">
        <f>ROUND(IF(AQ173="0",BJ173,0),2)</f>
        <v>0</v>
      </c>
      <c r="AI173" s="12" t="s">
        <v>54</v>
      </c>
      <c r="AJ173" s="32">
        <f>IF(AN173=0,L173,0)</f>
        <v>0</v>
      </c>
      <c r="AK173" s="32">
        <f>IF(AN173=12,L173,0)</f>
        <v>0</v>
      </c>
      <c r="AL173" s="32">
        <f>IF(AN173=21,L173,0)</f>
        <v>0</v>
      </c>
      <c r="AN173" s="32">
        <v>21</v>
      </c>
      <c r="AO173" s="32">
        <f>H173*0.499757366</f>
        <v>0</v>
      </c>
      <c r="AP173" s="32">
        <f>H173*(1-0.499757366)</f>
        <v>0</v>
      </c>
      <c r="AQ173" s="36" t="s">
        <v>87</v>
      </c>
      <c r="AV173" s="32">
        <f>ROUND(AW173+AX173,2)</f>
        <v>0</v>
      </c>
      <c r="AW173" s="32">
        <f>ROUND(G173*AO173,2)</f>
        <v>0</v>
      </c>
      <c r="AX173" s="32">
        <f>ROUND(G173*AP173,2)</f>
        <v>0</v>
      </c>
      <c r="AY173" s="36" t="s">
        <v>340</v>
      </c>
      <c r="AZ173" s="36" t="s">
        <v>145</v>
      </c>
      <c r="BA173" s="12" t="s">
        <v>63</v>
      </c>
      <c r="BC173" s="32">
        <f>AW173+AX173</f>
        <v>0</v>
      </c>
      <c r="BD173" s="32">
        <f>H173/(100-BE173)*100</f>
        <v>0</v>
      </c>
      <c r="BE173" s="32">
        <v>0</v>
      </c>
      <c r="BF173" s="32">
        <f>P173</f>
        <v>1.3600000000000001E-3</v>
      </c>
      <c r="BH173" s="32">
        <f>G173*AO173</f>
        <v>0</v>
      </c>
      <c r="BI173" s="32">
        <f>G173*AP173</f>
        <v>0</v>
      </c>
      <c r="BJ173" s="32">
        <f>G173*H173</f>
        <v>0</v>
      </c>
      <c r="BK173" s="32"/>
      <c r="BL173" s="32">
        <v>725</v>
      </c>
      <c r="BW173" s="32">
        <f>I173</f>
        <v>21</v>
      </c>
      <c r="BX173" s="4" t="s">
        <v>414</v>
      </c>
    </row>
    <row r="174" spans="1:76" x14ac:dyDescent="0.25">
      <c r="A174" s="2" t="s">
        <v>415</v>
      </c>
      <c r="B174" s="3" t="s">
        <v>54</v>
      </c>
      <c r="C174" s="3" t="s">
        <v>416</v>
      </c>
      <c r="D174" s="95" t="s">
        <v>417</v>
      </c>
      <c r="E174" s="96"/>
      <c r="F174" s="3" t="s">
        <v>60</v>
      </c>
      <c r="G174" s="32">
        <v>18</v>
      </c>
      <c r="H174" s="89">
        <v>0</v>
      </c>
      <c r="I174" s="33">
        <v>21</v>
      </c>
      <c r="J174" s="32">
        <f>ROUND(G174*AO174,2)</f>
        <v>0</v>
      </c>
      <c r="K174" s="32">
        <f>ROUND(G174*AP174,2)</f>
        <v>0</v>
      </c>
      <c r="L174" s="32">
        <f>ROUND(G174*H174,2)</f>
        <v>0</v>
      </c>
      <c r="M174" s="32">
        <f>L174*(1+BW174/100)</f>
        <v>0</v>
      </c>
      <c r="N174" s="34">
        <f>IF(L285=0,0,L174/L285)</f>
        <v>0</v>
      </c>
      <c r="O174" s="32">
        <v>1.42E-3</v>
      </c>
      <c r="P174" s="32">
        <f>G174*O174</f>
        <v>2.5559999999999999E-2</v>
      </c>
      <c r="Q174" s="35" t="s">
        <v>61</v>
      </c>
      <c r="Z174" s="32">
        <f>ROUND(IF(AQ174="5",BJ174,0),2)</f>
        <v>0</v>
      </c>
      <c r="AB174" s="32">
        <f>ROUND(IF(AQ174="1",BH174,0),2)</f>
        <v>0</v>
      </c>
      <c r="AC174" s="32">
        <f>ROUND(IF(AQ174="1",BI174,0),2)</f>
        <v>0</v>
      </c>
      <c r="AD174" s="32">
        <f>ROUND(IF(AQ174="7",BH174,0),2)</f>
        <v>0</v>
      </c>
      <c r="AE174" s="32">
        <f>ROUND(IF(AQ174="7",BI174,0),2)</f>
        <v>0</v>
      </c>
      <c r="AF174" s="32">
        <f>ROUND(IF(AQ174="2",BH174,0),2)</f>
        <v>0</v>
      </c>
      <c r="AG174" s="32">
        <f>ROUND(IF(AQ174="2",BI174,0),2)</f>
        <v>0</v>
      </c>
      <c r="AH174" s="32">
        <f>ROUND(IF(AQ174="0",BJ174,0),2)</f>
        <v>0</v>
      </c>
      <c r="AI174" s="12" t="s">
        <v>54</v>
      </c>
      <c r="AJ174" s="32">
        <f>IF(AN174=0,L174,0)</f>
        <v>0</v>
      </c>
      <c r="AK174" s="32">
        <f>IF(AN174=12,L174,0)</f>
        <v>0</v>
      </c>
      <c r="AL174" s="32">
        <f>IF(AN174=21,L174,0)</f>
        <v>0</v>
      </c>
      <c r="AN174" s="32">
        <v>21</v>
      </c>
      <c r="AO174" s="32">
        <f>H174*0.826085207</f>
        <v>0</v>
      </c>
      <c r="AP174" s="32">
        <f>H174*(1-0.826085207)</f>
        <v>0</v>
      </c>
      <c r="AQ174" s="36" t="s">
        <v>87</v>
      </c>
      <c r="AV174" s="32">
        <f>ROUND(AW174+AX174,2)</f>
        <v>0</v>
      </c>
      <c r="AW174" s="32">
        <f>ROUND(G174*AO174,2)</f>
        <v>0</v>
      </c>
      <c r="AX174" s="32">
        <f>ROUND(G174*AP174,2)</f>
        <v>0</v>
      </c>
      <c r="AY174" s="36" t="s">
        <v>340</v>
      </c>
      <c r="AZ174" s="36" t="s">
        <v>145</v>
      </c>
      <c r="BA174" s="12" t="s">
        <v>63</v>
      </c>
      <c r="BC174" s="32">
        <f>AW174+AX174</f>
        <v>0</v>
      </c>
      <c r="BD174" s="32">
        <f>H174/(100-BE174)*100</f>
        <v>0</v>
      </c>
      <c r="BE174" s="32">
        <v>0</v>
      </c>
      <c r="BF174" s="32">
        <f>P174</f>
        <v>2.5559999999999999E-2</v>
      </c>
      <c r="BH174" s="32">
        <f>G174*AO174</f>
        <v>0</v>
      </c>
      <c r="BI174" s="32">
        <f>G174*AP174</f>
        <v>0</v>
      </c>
      <c r="BJ174" s="32">
        <f>G174*H174</f>
        <v>0</v>
      </c>
      <c r="BK174" s="32"/>
      <c r="BL174" s="32">
        <v>725</v>
      </c>
      <c r="BW174" s="32">
        <f>I174</f>
        <v>21</v>
      </c>
      <c r="BX174" s="4" t="s">
        <v>417</v>
      </c>
    </row>
    <row r="175" spans="1:76" ht="13.5" customHeight="1" x14ac:dyDescent="0.25">
      <c r="A175" s="37"/>
      <c r="C175" s="38"/>
      <c r="D175" s="100" t="s">
        <v>411</v>
      </c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9"/>
    </row>
    <row r="176" spans="1:76" x14ac:dyDescent="0.25">
      <c r="A176" s="2" t="s">
        <v>418</v>
      </c>
      <c r="B176" s="3" t="s">
        <v>54</v>
      </c>
      <c r="C176" s="3" t="s">
        <v>419</v>
      </c>
      <c r="D176" s="95" t="s">
        <v>420</v>
      </c>
      <c r="E176" s="96"/>
      <c r="F176" s="3" t="s">
        <v>60</v>
      </c>
      <c r="G176" s="32">
        <v>22</v>
      </c>
      <c r="H176" s="89">
        <v>0</v>
      </c>
      <c r="I176" s="33">
        <v>21</v>
      </c>
      <c r="J176" s="32">
        <f>ROUND(G176*AO176,2)</f>
        <v>0</v>
      </c>
      <c r="K176" s="32">
        <f>ROUND(G176*AP176,2)</f>
        <v>0</v>
      </c>
      <c r="L176" s="32">
        <f>ROUND(G176*H176,2)</f>
        <v>0</v>
      </c>
      <c r="M176" s="32">
        <f>L176*(1+BW176/100)</f>
        <v>0</v>
      </c>
      <c r="N176" s="34">
        <f>IF(L285=0,0,L176/L285)</f>
        <v>0</v>
      </c>
      <c r="O176" s="32">
        <v>4.0000000000000003E-5</v>
      </c>
      <c r="P176" s="32">
        <f>G176*O176</f>
        <v>8.8000000000000003E-4</v>
      </c>
      <c r="Q176" s="35" t="s">
        <v>61</v>
      </c>
      <c r="Z176" s="32">
        <f>ROUND(IF(AQ176="5",BJ176,0),2)</f>
        <v>0</v>
      </c>
      <c r="AB176" s="32">
        <f>ROUND(IF(AQ176="1",BH176,0),2)</f>
        <v>0</v>
      </c>
      <c r="AC176" s="32">
        <f>ROUND(IF(AQ176="1",BI176,0),2)</f>
        <v>0</v>
      </c>
      <c r="AD176" s="32">
        <f>ROUND(IF(AQ176="7",BH176,0),2)</f>
        <v>0</v>
      </c>
      <c r="AE176" s="32">
        <f>ROUND(IF(AQ176="7",BI176,0),2)</f>
        <v>0</v>
      </c>
      <c r="AF176" s="32">
        <f>ROUND(IF(AQ176="2",BH176,0),2)</f>
        <v>0</v>
      </c>
      <c r="AG176" s="32">
        <f>ROUND(IF(AQ176="2",BI176,0),2)</f>
        <v>0</v>
      </c>
      <c r="AH176" s="32">
        <f>ROUND(IF(AQ176="0",BJ176,0),2)</f>
        <v>0</v>
      </c>
      <c r="AI176" s="12" t="s">
        <v>54</v>
      </c>
      <c r="AJ176" s="32">
        <f>IF(AN176=0,L176,0)</f>
        <v>0</v>
      </c>
      <c r="AK176" s="32">
        <f>IF(AN176=12,L176,0)</f>
        <v>0</v>
      </c>
      <c r="AL176" s="32">
        <f>IF(AN176=21,L176,0)</f>
        <v>0</v>
      </c>
      <c r="AN176" s="32">
        <v>21</v>
      </c>
      <c r="AO176" s="32">
        <f>H176*0.031931624</f>
        <v>0</v>
      </c>
      <c r="AP176" s="32">
        <f>H176*(1-0.031931624)</f>
        <v>0</v>
      </c>
      <c r="AQ176" s="36" t="s">
        <v>87</v>
      </c>
      <c r="AV176" s="32">
        <f>ROUND(AW176+AX176,2)</f>
        <v>0</v>
      </c>
      <c r="AW176" s="32">
        <f>ROUND(G176*AO176,2)</f>
        <v>0</v>
      </c>
      <c r="AX176" s="32">
        <f>ROUND(G176*AP176,2)</f>
        <v>0</v>
      </c>
      <c r="AY176" s="36" t="s">
        <v>340</v>
      </c>
      <c r="AZ176" s="36" t="s">
        <v>145</v>
      </c>
      <c r="BA176" s="12" t="s">
        <v>63</v>
      </c>
      <c r="BC176" s="32">
        <f>AW176+AX176</f>
        <v>0</v>
      </c>
      <c r="BD176" s="32">
        <f>H176/(100-BE176)*100</f>
        <v>0</v>
      </c>
      <c r="BE176" s="32">
        <v>0</v>
      </c>
      <c r="BF176" s="32">
        <f>P176</f>
        <v>8.8000000000000003E-4</v>
      </c>
      <c r="BH176" s="32">
        <f>G176*AO176</f>
        <v>0</v>
      </c>
      <c r="BI176" s="32">
        <f>G176*AP176</f>
        <v>0</v>
      </c>
      <c r="BJ176" s="32">
        <f>G176*H176</f>
        <v>0</v>
      </c>
      <c r="BK176" s="32"/>
      <c r="BL176" s="32">
        <v>725</v>
      </c>
      <c r="BW176" s="32">
        <f>I176</f>
        <v>21</v>
      </c>
      <c r="BX176" s="4" t="s">
        <v>420</v>
      </c>
    </row>
    <row r="177" spans="1:76" x14ac:dyDescent="0.25">
      <c r="A177" s="2" t="s">
        <v>421</v>
      </c>
      <c r="B177" s="3" t="s">
        <v>54</v>
      </c>
      <c r="C177" s="3" t="s">
        <v>422</v>
      </c>
      <c r="D177" s="95" t="s">
        <v>423</v>
      </c>
      <c r="E177" s="96"/>
      <c r="F177" s="3" t="s">
        <v>60</v>
      </c>
      <c r="G177" s="32">
        <v>4</v>
      </c>
      <c r="H177" s="89">
        <v>0</v>
      </c>
      <c r="I177" s="33">
        <v>21</v>
      </c>
      <c r="J177" s="32">
        <f>ROUND(G177*AO177,2)</f>
        <v>0</v>
      </c>
      <c r="K177" s="32">
        <f>ROUND(G177*AP177,2)</f>
        <v>0</v>
      </c>
      <c r="L177" s="32">
        <f>ROUND(G177*H177,2)</f>
        <v>0</v>
      </c>
      <c r="M177" s="32">
        <f>L177*(1+BW177/100)</f>
        <v>0</v>
      </c>
      <c r="N177" s="34">
        <f>IF(L285=0,0,L177/L285)</f>
        <v>0</v>
      </c>
      <c r="O177" s="32">
        <v>1.4E-3</v>
      </c>
      <c r="P177" s="32">
        <f>G177*O177</f>
        <v>5.5999999999999999E-3</v>
      </c>
      <c r="Q177" s="35" t="s">
        <v>61</v>
      </c>
      <c r="Z177" s="32">
        <f>ROUND(IF(AQ177="5",BJ177,0),2)</f>
        <v>0</v>
      </c>
      <c r="AB177" s="32">
        <f>ROUND(IF(AQ177="1",BH177,0),2)</f>
        <v>0</v>
      </c>
      <c r="AC177" s="32">
        <f>ROUND(IF(AQ177="1",BI177,0),2)</f>
        <v>0</v>
      </c>
      <c r="AD177" s="32">
        <f>ROUND(IF(AQ177="7",BH177,0),2)</f>
        <v>0</v>
      </c>
      <c r="AE177" s="32">
        <f>ROUND(IF(AQ177="7",BI177,0),2)</f>
        <v>0</v>
      </c>
      <c r="AF177" s="32">
        <f>ROUND(IF(AQ177="2",BH177,0),2)</f>
        <v>0</v>
      </c>
      <c r="AG177" s="32">
        <f>ROUND(IF(AQ177="2",BI177,0),2)</f>
        <v>0</v>
      </c>
      <c r="AH177" s="32">
        <f>ROUND(IF(AQ177="0",BJ177,0),2)</f>
        <v>0</v>
      </c>
      <c r="AI177" s="12" t="s">
        <v>54</v>
      </c>
      <c r="AJ177" s="32">
        <f>IF(AN177=0,L177,0)</f>
        <v>0</v>
      </c>
      <c r="AK177" s="32">
        <f>IF(AN177=12,L177,0)</f>
        <v>0</v>
      </c>
      <c r="AL177" s="32">
        <f>IF(AN177=21,L177,0)</f>
        <v>0</v>
      </c>
      <c r="AN177" s="32">
        <v>21</v>
      </c>
      <c r="AO177" s="32">
        <f>H177*1</f>
        <v>0</v>
      </c>
      <c r="AP177" s="32">
        <f>H177*(1-1)</f>
        <v>0</v>
      </c>
      <c r="AQ177" s="36" t="s">
        <v>87</v>
      </c>
      <c r="AV177" s="32">
        <f>ROUND(AW177+AX177,2)</f>
        <v>0</v>
      </c>
      <c r="AW177" s="32">
        <f>ROUND(G177*AO177,2)</f>
        <v>0</v>
      </c>
      <c r="AX177" s="32">
        <f>ROUND(G177*AP177,2)</f>
        <v>0</v>
      </c>
      <c r="AY177" s="36" t="s">
        <v>340</v>
      </c>
      <c r="AZ177" s="36" t="s">
        <v>145</v>
      </c>
      <c r="BA177" s="12" t="s">
        <v>63</v>
      </c>
      <c r="BC177" s="32">
        <f>AW177+AX177</f>
        <v>0</v>
      </c>
      <c r="BD177" s="32">
        <f>H177/(100-BE177)*100</f>
        <v>0</v>
      </c>
      <c r="BE177" s="32">
        <v>0</v>
      </c>
      <c r="BF177" s="32">
        <f>P177</f>
        <v>5.5999999999999999E-3</v>
      </c>
      <c r="BH177" s="32">
        <f>G177*AO177</f>
        <v>0</v>
      </c>
      <c r="BI177" s="32">
        <f>G177*AP177</f>
        <v>0</v>
      </c>
      <c r="BJ177" s="32">
        <f>G177*H177</f>
        <v>0</v>
      </c>
      <c r="BK177" s="32"/>
      <c r="BL177" s="32">
        <v>725</v>
      </c>
      <c r="BW177" s="32">
        <f>I177</f>
        <v>21</v>
      </c>
      <c r="BX177" s="4" t="s">
        <v>423</v>
      </c>
    </row>
    <row r="178" spans="1:76" x14ac:dyDescent="0.25">
      <c r="A178" s="2" t="s">
        <v>424</v>
      </c>
      <c r="B178" s="3" t="s">
        <v>54</v>
      </c>
      <c r="C178" s="3" t="s">
        <v>425</v>
      </c>
      <c r="D178" s="95" t="s">
        <v>426</v>
      </c>
      <c r="E178" s="96"/>
      <c r="F178" s="3" t="s">
        <v>60</v>
      </c>
      <c r="G178" s="32">
        <v>4</v>
      </c>
      <c r="H178" s="89">
        <v>0</v>
      </c>
      <c r="I178" s="33">
        <v>21</v>
      </c>
      <c r="J178" s="32">
        <f>ROUND(G178*AO178,2)</f>
        <v>0</v>
      </c>
      <c r="K178" s="32">
        <f>ROUND(G178*AP178,2)</f>
        <v>0</v>
      </c>
      <c r="L178" s="32">
        <f>ROUND(G178*H178,2)</f>
        <v>0</v>
      </c>
      <c r="M178" s="32">
        <f>L178*(1+BW178/100)</f>
        <v>0</v>
      </c>
      <c r="N178" s="34">
        <f>IF(L285=0,0,L178/L285)</f>
        <v>0</v>
      </c>
      <c r="O178" s="32">
        <v>0</v>
      </c>
      <c r="P178" s="32">
        <f>G178*O178</f>
        <v>0</v>
      </c>
      <c r="Q178" s="35" t="s">
        <v>61</v>
      </c>
      <c r="Z178" s="32">
        <f>ROUND(IF(AQ178="5",BJ178,0),2)</f>
        <v>0</v>
      </c>
      <c r="AB178" s="32">
        <f>ROUND(IF(AQ178="1",BH178,0),2)</f>
        <v>0</v>
      </c>
      <c r="AC178" s="32">
        <f>ROUND(IF(AQ178="1",BI178,0),2)</f>
        <v>0</v>
      </c>
      <c r="AD178" s="32">
        <f>ROUND(IF(AQ178="7",BH178,0),2)</f>
        <v>0</v>
      </c>
      <c r="AE178" s="32">
        <f>ROUND(IF(AQ178="7",BI178,0),2)</f>
        <v>0</v>
      </c>
      <c r="AF178" s="32">
        <f>ROUND(IF(AQ178="2",BH178,0),2)</f>
        <v>0</v>
      </c>
      <c r="AG178" s="32">
        <f>ROUND(IF(AQ178="2",BI178,0),2)</f>
        <v>0</v>
      </c>
      <c r="AH178" s="32">
        <f>ROUND(IF(AQ178="0",BJ178,0),2)</f>
        <v>0</v>
      </c>
      <c r="AI178" s="12" t="s">
        <v>54</v>
      </c>
      <c r="AJ178" s="32">
        <f>IF(AN178=0,L178,0)</f>
        <v>0</v>
      </c>
      <c r="AK178" s="32">
        <f>IF(AN178=12,L178,0)</f>
        <v>0</v>
      </c>
      <c r="AL178" s="32">
        <f>IF(AN178=21,L178,0)</f>
        <v>0</v>
      </c>
      <c r="AN178" s="32">
        <v>21</v>
      </c>
      <c r="AO178" s="32">
        <f>H178*1</f>
        <v>0</v>
      </c>
      <c r="AP178" s="32">
        <f>H178*(1-1)</f>
        <v>0</v>
      </c>
      <c r="AQ178" s="36" t="s">
        <v>87</v>
      </c>
      <c r="AV178" s="32">
        <f>ROUND(AW178+AX178,2)</f>
        <v>0</v>
      </c>
      <c r="AW178" s="32">
        <f>ROUND(G178*AO178,2)</f>
        <v>0</v>
      </c>
      <c r="AX178" s="32">
        <f>ROUND(G178*AP178,2)</f>
        <v>0</v>
      </c>
      <c r="AY178" s="36" t="s">
        <v>340</v>
      </c>
      <c r="AZ178" s="36" t="s">
        <v>145</v>
      </c>
      <c r="BA178" s="12" t="s">
        <v>63</v>
      </c>
      <c r="BC178" s="32">
        <f>AW178+AX178</f>
        <v>0</v>
      </c>
      <c r="BD178" s="32">
        <f>H178/(100-BE178)*100</f>
        <v>0</v>
      </c>
      <c r="BE178" s="32">
        <v>0</v>
      </c>
      <c r="BF178" s="32">
        <f>P178</f>
        <v>0</v>
      </c>
      <c r="BH178" s="32">
        <f>G178*AO178</f>
        <v>0</v>
      </c>
      <c r="BI178" s="32">
        <f>G178*AP178</f>
        <v>0</v>
      </c>
      <c r="BJ178" s="32">
        <f>G178*H178</f>
        <v>0</v>
      </c>
      <c r="BK178" s="32"/>
      <c r="BL178" s="32">
        <v>725</v>
      </c>
      <c r="BW178" s="32">
        <f>I178</f>
        <v>21</v>
      </c>
      <c r="BX178" s="4" t="s">
        <v>426</v>
      </c>
    </row>
    <row r="179" spans="1:76" x14ac:dyDescent="0.25">
      <c r="A179" s="2" t="s">
        <v>427</v>
      </c>
      <c r="B179" s="3" t="s">
        <v>54</v>
      </c>
      <c r="C179" s="3" t="s">
        <v>428</v>
      </c>
      <c r="D179" s="95" t="s">
        <v>429</v>
      </c>
      <c r="E179" s="96"/>
      <c r="F179" s="3" t="s">
        <v>60</v>
      </c>
      <c r="G179" s="32">
        <v>4</v>
      </c>
      <c r="H179" s="89">
        <v>0</v>
      </c>
      <c r="I179" s="33">
        <v>21</v>
      </c>
      <c r="J179" s="32">
        <f>ROUND(G179*AO179,2)</f>
        <v>0</v>
      </c>
      <c r="K179" s="32">
        <f>ROUND(G179*AP179,2)</f>
        <v>0</v>
      </c>
      <c r="L179" s="32">
        <f>ROUND(G179*H179,2)</f>
        <v>0</v>
      </c>
      <c r="M179" s="32">
        <f>L179*(1+BW179/100)</f>
        <v>0</v>
      </c>
      <c r="N179" s="34">
        <f>IF(L285=0,0,L179/L285)</f>
        <v>0</v>
      </c>
      <c r="O179" s="32">
        <v>0</v>
      </c>
      <c r="P179" s="32">
        <f>G179*O179</f>
        <v>0</v>
      </c>
      <c r="Q179" s="35" t="s">
        <v>61</v>
      </c>
      <c r="Z179" s="32">
        <f>ROUND(IF(AQ179="5",BJ179,0),2)</f>
        <v>0</v>
      </c>
      <c r="AB179" s="32">
        <f>ROUND(IF(AQ179="1",BH179,0),2)</f>
        <v>0</v>
      </c>
      <c r="AC179" s="32">
        <f>ROUND(IF(AQ179="1",BI179,0),2)</f>
        <v>0</v>
      </c>
      <c r="AD179" s="32">
        <f>ROUND(IF(AQ179="7",BH179,0),2)</f>
        <v>0</v>
      </c>
      <c r="AE179" s="32">
        <f>ROUND(IF(AQ179="7",BI179,0),2)</f>
        <v>0</v>
      </c>
      <c r="AF179" s="32">
        <f>ROUND(IF(AQ179="2",BH179,0),2)</f>
        <v>0</v>
      </c>
      <c r="AG179" s="32">
        <f>ROUND(IF(AQ179="2",BI179,0),2)</f>
        <v>0</v>
      </c>
      <c r="AH179" s="32">
        <f>ROUND(IF(AQ179="0",BJ179,0),2)</f>
        <v>0</v>
      </c>
      <c r="AI179" s="12" t="s">
        <v>54</v>
      </c>
      <c r="AJ179" s="32">
        <f>IF(AN179=0,L179,0)</f>
        <v>0</v>
      </c>
      <c r="AK179" s="32">
        <f>IF(AN179=12,L179,0)</f>
        <v>0</v>
      </c>
      <c r="AL179" s="32">
        <f>IF(AN179=21,L179,0)</f>
        <v>0</v>
      </c>
      <c r="AN179" s="32">
        <v>21</v>
      </c>
      <c r="AO179" s="32">
        <f>H179*0</f>
        <v>0</v>
      </c>
      <c r="AP179" s="32">
        <f>H179*(1-0)</f>
        <v>0</v>
      </c>
      <c r="AQ179" s="36" t="s">
        <v>87</v>
      </c>
      <c r="AV179" s="32">
        <f>ROUND(AW179+AX179,2)</f>
        <v>0</v>
      </c>
      <c r="AW179" s="32">
        <f>ROUND(G179*AO179,2)</f>
        <v>0</v>
      </c>
      <c r="AX179" s="32">
        <f>ROUND(G179*AP179,2)</f>
        <v>0</v>
      </c>
      <c r="AY179" s="36" t="s">
        <v>340</v>
      </c>
      <c r="AZ179" s="36" t="s">
        <v>145</v>
      </c>
      <c r="BA179" s="12" t="s">
        <v>63</v>
      </c>
      <c r="BC179" s="32">
        <f>AW179+AX179</f>
        <v>0</v>
      </c>
      <c r="BD179" s="32">
        <f>H179/(100-BE179)*100</f>
        <v>0</v>
      </c>
      <c r="BE179" s="32">
        <v>0</v>
      </c>
      <c r="BF179" s="32">
        <f>P179</f>
        <v>0</v>
      </c>
      <c r="BH179" s="32">
        <f>G179*AO179</f>
        <v>0</v>
      </c>
      <c r="BI179" s="32">
        <f>G179*AP179</f>
        <v>0</v>
      </c>
      <c r="BJ179" s="32">
        <f>G179*H179</f>
        <v>0</v>
      </c>
      <c r="BK179" s="32"/>
      <c r="BL179" s="32">
        <v>725</v>
      </c>
      <c r="BW179" s="32">
        <f>I179</f>
        <v>21</v>
      </c>
      <c r="BX179" s="4" t="s">
        <v>429</v>
      </c>
    </row>
    <row r="180" spans="1:76" x14ac:dyDescent="0.25">
      <c r="A180" s="40" t="s">
        <v>54</v>
      </c>
      <c r="B180" s="41" t="s">
        <v>54</v>
      </c>
      <c r="C180" s="41" t="s">
        <v>430</v>
      </c>
      <c r="D180" s="101" t="s">
        <v>431</v>
      </c>
      <c r="E180" s="102"/>
      <c r="F180" s="42" t="s">
        <v>7</v>
      </c>
      <c r="G180" s="42" t="s">
        <v>7</v>
      </c>
      <c r="H180" s="42" t="s">
        <v>7</v>
      </c>
      <c r="I180" s="42" t="s">
        <v>7</v>
      </c>
      <c r="J180" s="1">
        <f>SUM(J181:J181)</f>
        <v>0</v>
      </c>
      <c r="K180" s="1">
        <f>SUM(K181:K181)</f>
        <v>0</v>
      </c>
      <c r="L180" s="1">
        <f>SUM(L181:L181)</f>
        <v>0</v>
      </c>
      <c r="M180" s="1">
        <f>SUM(M181:M181)</f>
        <v>0</v>
      </c>
      <c r="N180" s="43">
        <f>IF(L285=0,0,L180/L285)</f>
        <v>0</v>
      </c>
      <c r="O180" s="12" t="s">
        <v>54</v>
      </c>
      <c r="P180" s="1">
        <f>SUM(P181:P181)</f>
        <v>0</v>
      </c>
      <c r="Q180" s="44" t="s">
        <v>54</v>
      </c>
      <c r="AI180" s="12" t="s">
        <v>54</v>
      </c>
      <c r="AS180" s="1">
        <f>SUM(AJ181:AJ181)</f>
        <v>0</v>
      </c>
      <c r="AT180" s="1">
        <f>SUM(AK181:AK181)</f>
        <v>0</v>
      </c>
      <c r="AU180" s="1">
        <f>SUM(AL181:AL181)</f>
        <v>0</v>
      </c>
    </row>
    <row r="181" spans="1:76" x14ac:dyDescent="0.25">
      <c r="A181" s="2" t="s">
        <v>432</v>
      </c>
      <c r="B181" s="3" t="s">
        <v>54</v>
      </c>
      <c r="C181" s="3" t="s">
        <v>433</v>
      </c>
      <c r="D181" s="95" t="s">
        <v>434</v>
      </c>
      <c r="E181" s="96"/>
      <c r="F181" s="3" t="s">
        <v>60</v>
      </c>
      <c r="G181" s="32">
        <v>8</v>
      </c>
      <c r="H181" s="89">
        <v>0</v>
      </c>
      <c r="I181" s="33">
        <v>21</v>
      </c>
      <c r="J181" s="32">
        <f>ROUND(G181*AO181,2)</f>
        <v>0</v>
      </c>
      <c r="K181" s="32">
        <f>ROUND(G181*AP181,2)</f>
        <v>0</v>
      </c>
      <c r="L181" s="32">
        <f>ROUND(G181*H181,2)</f>
        <v>0</v>
      </c>
      <c r="M181" s="32">
        <f>L181*(1+BW181/100)</f>
        <v>0</v>
      </c>
      <c r="N181" s="34">
        <f>IF(L285=0,0,L181/L285)</f>
        <v>0</v>
      </c>
      <c r="O181" s="32">
        <v>0</v>
      </c>
      <c r="P181" s="32">
        <f>G181*O181</f>
        <v>0</v>
      </c>
      <c r="Q181" s="35" t="s">
        <v>61</v>
      </c>
      <c r="Z181" s="32">
        <f>ROUND(IF(AQ181="5",BJ181,0),2)</f>
        <v>0</v>
      </c>
      <c r="AB181" s="32">
        <f>ROUND(IF(AQ181="1",BH181,0),2)</f>
        <v>0</v>
      </c>
      <c r="AC181" s="32">
        <f>ROUND(IF(AQ181="1",BI181,0),2)</f>
        <v>0</v>
      </c>
      <c r="AD181" s="32">
        <f>ROUND(IF(AQ181="7",BH181,0),2)</f>
        <v>0</v>
      </c>
      <c r="AE181" s="32">
        <f>ROUND(IF(AQ181="7",BI181,0),2)</f>
        <v>0</v>
      </c>
      <c r="AF181" s="32">
        <f>ROUND(IF(AQ181="2",BH181,0),2)</f>
        <v>0</v>
      </c>
      <c r="AG181" s="32">
        <f>ROUND(IF(AQ181="2",BI181,0),2)</f>
        <v>0</v>
      </c>
      <c r="AH181" s="32">
        <f>ROUND(IF(AQ181="0",BJ181,0),2)</f>
        <v>0</v>
      </c>
      <c r="AI181" s="12" t="s">
        <v>54</v>
      </c>
      <c r="AJ181" s="32">
        <f>IF(AN181=0,L181,0)</f>
        <v>0</v>
      </c>
      <c r="AK181" s="32">
        <f>IF(AN181=12,L181,0)</f>
        <v>0</v>
      </c>
      <c r="AL181" s="32">
        <f>IF(AN181=21,L181,0)</f>
        <v>0</v>
      </c>
      <c r="AN181" s="32">
        <v>21</v>
      </c>
      <c r="AO181" s="32">
        <f>H181*0</f>
        <v>0</v>
      </c>
      <c r="AP181" s="32">
        <f>H181*(1-0)</f>
        <v>0</v>
      </c>
      <c r="AQ181" s="36" t="s">
        <v>87</v>
      </c>
      <c r="AV181" s="32">
        <f>ROUND(AW181+AX181,2)</f>
        <v>0</v>
      </c>
      <c r="AW181" s="32">
        <f>ROUND(G181*AO181,2)</f>
        <v>0</v>
      </c>
      <c r="AX181" s="32">
        <f>ROUND(G181*AP181,2)</f>
        <v>0</v>
      </c>
      <c r="AY181" s="36" t="s">
        <v>435</v>
      </c>
      <c r="AZ181" s="36" t="s">
        <v>145</v>
      </c>
      <c r="BA181" s="12" t="s">
        <v>63</v>
      </c>
      <c r="BC181" s="32">
        <f>AW181+AX181</f>
        <v>0</v>
      </c>
      <c r="BD181" s="32">
        <f>H181/(100-BE181)*100</f>
        <v>0</v>
      </c>
      <c r="BE181" s="32">
        <v>0</v>
      </c>
      <c r="BF181" s="32">
        <f>P181</f>
        <v>0</v>
      </c>
      <c r="BH181" s="32">
        <f>G181*AO181</f>
        <v>0</v>
      </c>
      <c r="BI181" s="32">
        <f>G181*AP181</f>
        <v>0</v>
      </c>
      <c r="BJ181" s="32">
        <f>G181*H181</f>
        <v>0</v>
      </c>
      <c r="BK181" s="32"/>
      <c r="BL181" s="32">
        <v>728</v>
      </c>
      <c r="BW181" s="32">
        <f>I181</f>
        <v>21</v>
      </c>
      <c r="BX181" s="4" t="s">
        <v>434</v>
      </c>
    </row>
    <row r="182" spans="1:76" ht="13.5" customHeight="1" x14ac:dyDescent="0.25">
      <c r="A182" s="37"/>
      <c r="C182" s="38"/>
      <c r="D182" s="100" t="s">
        <v>436</v>
      </c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9"/>
    </row>
    <row r="183" spans="1:76" x14ac:dyDescent="0.25">
      <c r="A183" s="40" t="s">
        <v>54</v>
      </c>
      <c r="B183" s="41" t="s">
        <v>54</v>
      </c>
      <c r="C183" s="41" t="s">
        <v>437</v>
      </c>
      <c r="D183" s="101" t="s">
        <v>438</v>
      </c>
      <c r="E183" s="102"/>
      <c r="F183" s="42" t="s">
        <v>7</v>
      </c>
      <c r="G183" s="42" t="s">
        <v>7</v>
      </c>
      <c r="H183" s="42" t="s">
        <v>7</v>
      </c>
      <c r="I183" s="42" t="s">
        <v>7</v>
      </c>
      <c r="J183" s="1">
        <f>SUM(J184:J202)</f>
        <v>0</v>
      </c>
      <c r="K183" s="1">
        <f>SUM(K184:K202)</f>
        <v>0</v>
      </c>
      <c r="L183" s="1">
        <f>SUM(L184:L202)</f>
        <v>0</v>
      </c>
      <c r="M183" s="1">
        <f>SUM(M184:M202)</f>
        <v>0</v>
      </c>
      <c r="N183" s="43">
        <f>IF(L285=0,0,L183/L285)</f>
        <v>0</v>
      </c>
      <c r="O183" s="12" t="s">
        <v>54</v>
      </c>
      <c r="P183" s="1">
        <f>SUM(P184:P202)</f>
        <v>9.5899999999999999E-2</v>
      </c>
      <c r="Q183" s="44" t="s">
        <v>54</v>
      </c>
      <c r="AI183" s="12" t="s">
        <v>54</v>
      </c>
      <c r="AS183" s="1">
        <f>SUM(AJ184:AJ202)</f>
        <v>0</v>
      </c>
      <c r="AT183" s="1">
        <f>SUM(AK184:AK202)</f>
        <v>0</v>
      </c>
      <c r="AU183" s="1">
        <f>SUM(AL184:AL202)</f>
        <v>0</v>
      </c>
    </row>
    <row r="184" spans="1:76" x14ac:dyDescent="0.25">
      <c r="A184" s="2" t="s">
        <v>439</v>
      </c>
      <c r="B184" s="3" t="s">
        <v>54</v>
      </c>
      <c r="C184" s="3" t="s">
        <v>440</v>
      </c>
      <c r="D184" s="95" t="s">
        <v>441</v>
      </c>
      <c r="E184" s="96"/>
      <c r="F184" s="3" t="s">
        <v>143</v>
      </c>
      <c r="G184" s="32">
        <v>72</v>
      </c>
      <c r="H184" s="89">
        <v>0</v>
      </c>
      <c r="I184" s="33">
        <v>21</v>
      </c>
      <c r="J184" s="32">
        <f>ROUND(G184*AO184,2)</f>
        <v>0</v>
      </c>
      <c r="K184" s="32">
        <f>ROUND(G184*AP184,2)</f>
        <v>0</v>
      </c>
      <c r="L184" s="32">
        <f>ROUND(G184*H184,2)</f>
        <v>0</v>
      </c>
      <c r="M184" s="32">
        <f>L184*(1+BW184/100)</f>
        <v>0</v>
      </c>
      <c r="N184" s="34">
        <f>IF(L285=0,0,L184/L285)</f>
        <v>0</v>
      </c>
      <c r="O184" s="32">
        <v>7.6000000000000004E-4</v>
      </c>
      <c r="P184" s="32">
        <f>G184*O184</f>
        <v>5.4720000000000005E-2</v>
      </c>
      <c r="Q184" s="35" t="s">
        <v>61</v>
      </c>
      <c r="Z184" s="32">
        <f>ROUND(IF(AQ184="5",BJ184,0),2)</f>
        <v>0</v>
      </c>
      <c r="AB184" s="32">
        <f>ROUND(IF(AQ184="1",BH184,0),2)</f>
        <v>0</v>
      </c>
      <c r="AC184" s="32">
        <f>ROUND(IF(AQ184="1",BI184,0),2)</f>
        <v>0</v>
      </c>
      <c r="AD184" s="32">
        <f>ROUND(IF(AQ184="7",BH184,0),2)</f>
        <v>0</v>
      </c>
      <c r="AE184" s="32">
        <f>ROUND(IF(AQ184="7",BI184,0),2)</f>
        <v>0</v>
      </c>
      <c r="AF184" s="32">
        <f>ROUND(IF(AQ184="2",BH184,0),2)</f>
        <v>0</v>
      </c>
      <c r="AG184" s="32">
        <f>ROUND(IF(AQ184="2",BI184,0),2)</f>
        <v>0</v>
      </c>
      <c r="AH184" s="32">
        <f>ROUND(IF(AQ184="0",BJ184,0),2)</f>
        <v>0</v>
      </c>
      <c r="AI184" s="12" t="s">
        <v>54</v>
      </c>
      <c r="AJ184" s="32">
        <f>IF(AN184=0,L184,0)</f>
        <v>0</v>
      </c>
      <c r="AK184" s="32">
        <f>IF(AN184=12,L184,0)</f>
        <v>0</v>
      </c>
      <c r="AL184" s="32">
        <f>IF(AN184=21,L184,0)</f>
        <v>0</v>
      </c>
      <c r="AN184" s="32">
        <v>21</v>
      </c>
      <c r="AO184" s="32">
        <f>H184*0.580631763</f>
        <v>0</v>
      </c>
      <c r="AP184" s="32">
        <f>H184*(1-0.580631763)</f>
        <v>0</v>
      </c>
      <c r="AQ184" s="36" t="s">
        <v>87</v>
      </c>
      <c r="AV184" s="32">
        <f>ROUND(AW184+AX184,2)</f>
        <v>0</v>
      </c>
      <c r="AW184" s="32">
        <f>ROUND(G184*AO184,2)</f>
        <v>0</v>
      </c>
      <c r="AX184" s="32">
        <f>ROUND(G184*AP184,2)</f>
        <v>0</v>
      </c>
      <c r="AY184" s="36" t="s">
        <v>442</v>
      </c>
      <c r="AZ184" s="36" t="s">
        <v>443</v>
      </c>
      <c r="BA184" s="12" t="s">
        <v>63</v>
      </c>
      <c r="BC184" s="32">
        <f>AW184+AX184</f>
        <v>0</v>
      </c>
      <c r="BD184" s="32">
        <f>H184/(100-BE184)*100</f>
        <v>0</v>
      </c>
      <c r="BE184" s="32">
        <v>0</v>
      </c>
      <c r="BF184" s="32">
        <f>P184</f>
        <v>5.4720000000000005E-2</v>
      </c>
      <c r="BH184" s="32">
        <f>G184*AO184</f>
        <v>0</v>
      </c>
      <c r="BI184" s="32">
        <f>G184*AP184</f>
        <v>0</v>
      </c>
      <c r="BJ184" s="32">
        <f>G184*H184</f>
        <v>0</v>
      </c>
      <c r="BK184" s="32"/>
      <c r="BL184" s="32">
        <v>733</v>
      </c>
      <c r="BW184" s="32">
        <f>I184</f>
        <v>21</v>
      </c>
      <c r="BX184" s="4" t="s">
        <v>441</v>
      </c>
    </row>
    <row r="185" spans="1:76" ht="13.5" customHeight="1" x14ac:dyDescent="0.25">
      <c r="A185" s="37"/>
      <c r="C185" s="38"/>
      <c r="D185" s="100" t="s">
        <v>444</v>
      </c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9"/>
    </row>
    <row r="186" spans="1:76" x14ac:dyDescent="0.25">
      <c r="A186" s="2" t="s">
        <v>445</v>
      </c>
      <c r="B186" s="3" t="s">
        <v>54</v>
      </c>
      <c r="C186" s="3" t="s">
        <v>446</v>
      </c>
      <c r="D186" s="95" t="s">
        <v>447</v>
      </c>
      <c r="E186" s="96"/>
      <c r="F186" s="3" t="s">
        <v>143</v>
      </c>
      <c r="G186" s="32">
        <v>28</v>
      </c>
      <c r="H186" s="89">
        <v>0</v>
      </c>
      <c r="I186" s="33">
        <v>21</v>
      </c>
      <c r="J186" s="32">
        <f>ROUND(G186*AO186,2)</f>
        <v>0</v>
      </c>
      <c r="K186" s="32">
        <f>ROUND(G186*AP186,2)</f>
        <v>0</v>
      </c>
      <c r="L186" s="32">
        <f>ROUND(G186*H186,2)</f>
        <v>0</v>
      </c>
      <c r="M186" s="32">
        <f>L186*(1+BW186/100)</f>
        <v>0</v>
      </c>
      <c r="N186" s="34">
        <f>IF(L285=0,0,L186/L285)</f>
        <v>0</v>
      </c>
      <c r="O186" s="32">
        <v>8.8999999999999995E-4</v>
      </c>
      <c r="P186" s="32">
        <f>G186*O186</f>
        <v>2.4919999999999998E-2</v>
      </c>
      <c r="Q186" s="35" t="s">
        <v>61</v>
      </c>
      <c r="Z186" s="32">
        <f>ROUND(IF(AQ186="5",BJ186,0),2)</f>
        <v>0</v>
      </c>
      <c r="AB186" s="32">
        <f>ROUND(IF(AQ186="1",BH186,0),2)</f>
        <v>0</v>
      </c>
      <c r="AC186" s="32">
        <f>ROUND(IF(AQ186="1",BI186,0),2)</f>
        <v>0</v>
      </c>
      <c r="AD186" s="32">
        <f>ROUND(IF(AQ186="7",BH186,0),2)</f>
        <v>0</v>
      </c>
      <c r="AE186" s="32">
        <f>ROUND(IF(AQ186="7",BI186,0),2)</f>
        <v>0</v>
      </c>
      <c r="AF186" s="32">
        <f>ROUND(IF(AQ186="2",BH186,0),2)</f>
        <v>0</v>
      </c>
      <c r="AG186" s="32">
        <f>ROUND(IF(AQ186="2",BI186,0),2)</f>
        <v>0</v>
      </c>
      <c r="AH186" s="32">
        <f>ROUND(IF(AQ186="0",BJ186,0),2)</f>
        <v>0</v>
      </c>
      <c r="AI186" s="12" t="s">
        <v>54</v>
      </c>
      <c r="AJ186" s="32">
        <f>IF(AN186=0,L186,0)</f>
        <v>0</v>
      </c>
      <c r="AK186" s="32">
        <f>IF(AN186=12,L186,0)</f>
        <v>0</v>
      </c>
      <c r="AL186" s="32">
        <f>IF(AN186=21,L186,0)</f>
        <v>0</v>
      </c>
      <c r="AN186" s="32">
        <v>21</v>
      </c>
      <c r="AO186" s="32">
        <f>H186*0.620370539</f>
        <v>0</v>
      </c>
      <c r="AP186" s="32">
        <f>H186*(1-0.620370539)</f>
        <v>0</v>
      </c>
      <c r="AQ186" s="36" t="s">
        <v>87</v>
      </c>
      <c r="AV186" s="32">
        <f>ROUND(AW186+AX186,2)</f>
        <v>0</v>
      </c>
      <c r="AW186" s="32">
        <f>ROUND(G186*AO186,2)</f>
        <v>0</v>
      </c>
      <c r="AX186" s="32">
        <f>ROUND(G186*AP186,2)</f>
        <v>0</v>
      </c>
      <c r="AY186" s="36" t="s">
        <v>442</v>
      </c>
      <c r="AZ186" s="36" t="s">
        <v>443</v>
      </c>
      <c r="BA186" s="12" t="s">
        <v>63</v>
      </c>
      <c r="BC186" s="32">
        <f>AW186+AX186</f>
        <v>0</v>
      </c>
      <c r="BD186" s="32">
        <f>H186/(100-BE186)*100</f>
        <v>0</v>
      </c>
      <c r="BE186" s="32">
        <v>0</v>
      </c>
      <c r="BF186" s="32">
        <f>P186</f>
        <v>2.4919999999999998E-2</v>
      </c>
      <c r="BH186" s="32">
        <f>G186*AO186</f>
        <v>0</v>
      </c>
      <c r="BI186" s="32">
        <f>G186*AP186</f>
        <v>0</v>
      </c>
      <c r="BJ186" s="32">
        <f>G186*H186</f>
        <v>0</v>
      </c>
      <c r="BK186" s="32"/>
      <c r="BL186" s="32">
        <v>733</v>
      </c>
      <c r="BW186" s="32">
        <f>I186</f>
        <v>21</v>
      </c>
      <c r="BX186" s="4" t="s">
        <v>447</v>
      </c>
    </row>
    <row r="187" spans="1:76" ht="13.5" customHeight="1" x14ac:dyDescent="0.25">
      <c r="A187" s="37"/>
      <c r="C187" s="38"/>
      <c r="D187" s="100" t="s">
        <v>444</v>
      </c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9"/>
    </row>
    <row r="188" spans="1:76" x14ac:dyDescent="0.25">
      <c r="A188" s="2" t="s">
        <v>448</v>
      </c>
      <c r="B188" s="3" t="s">
        <v>54</v>
      </c>
      <c r="C188" s="3" t="s">
        <v>449</v>
      </c>
      <c r="D188" s="95" t="s">
        <v>450</v>
      </c>
      <c r="E188" s="96"/>
      <c r="F188" s="3" t="s">
        <v>143</v>
      </c>
      <c r="G188" s="32">
        <v>72</v>
      </c>
      <c r="H188" s="89">
        <v>0</v>
      </c>
      <c r="I188" s="33">
        <v>21</v>
      </c>
      <c r="J188" s="32">
        <f>ROUND(G188*AO188,2)</f>
        <v>0</v>
      </c>
      <c r="K188" s="32">
        <f>ROUND(G188*AP188,2)</f>
        <v>0</v>
      </c>
      <c r="L188" s="32">
        <f>ROUND(G188*H188,2)</f>
        <v>0</v>
      </c>
      <c r="M188" s="32">
        <f>L188*(1+BW188/100)</f>
        <v>0</v>
      </c>
      <c r="N188" s="34">
        <f>IF(L285=0,0,L188/L285)</f>
        <v>0</v>
      </c>
      <c r="O188" s="32">
        <v>2.0000000000000002E-5</v>
      </c>
      <c r="P188" s="32">
        <f>G188*O188</f>
        <v>1.4400000000000001E-3</v>
      </c>
      <c r="Q188" s="35" t="s">
        <v>61</v>
      </c>
      <c r="Z188" s="32">
        <f>ROUND(IF(AQ188="5",BJ188,0),2)</f>
        <v>0</v>
      </c>
      <c r="AB188" s="32">
        <f>ROUND(IF(AQ188="1",BH188,0),2)</f>
        <v>0</v>
      </c>
      <c r="AC188" s="32">
        <f>ROUND(IF(AQ188="1",BI188,0),2)</f>
        <v>0</v>
      </c>
      <c r="AD188" s="32">
        <f>ROUND(IF(AQ188="7",BH188,0),2)</f>
        <v>0</v>
      </c>
      <c r="AE188" s="32">
        <f>ROUND(IF(AQ188="7",BI188,0),2)</f>
        <v>0</v>
      </c>
      <c r="AF188" s="32">
        <f>ROUND(IF(AQ188="2",BH188,0),2)</f>
        <v>0</v>
      </c>
      <c r="AG188" s="32">
        <f>ROUND(IF(AQ188="2",BI188,0),2)</f>
        <v>0</v>
      </c>
      <c r="AH188" s="32">
        <f>ROUND(IF(AQ188="0",BJ188,0),2)</f>
        <v>0</v>
      </c>
      <c r="AI188" s="12" t="s">
        <v>54</v>
      </c>
      <c r="AJ188" s="32">
        <f>IF(AN188=0,L188,0)</f>
        <v>0</v>
      </c>
      <c r="AK188" s="32">
        <f>IF(AN188=12,L188,0)</f>
        <v>0</v>
      </c>
      <c r="AL188" s="32">
        <f>IF(AN188=21,L188,0)</f>
        <v>0</v>
      </c>
      <c r="AN188" s="32">
        <v>21</v>
      </c>
      <c r="AO188" s="32">
        <f>H188*0.313739191</f>
        <v>0</v>
      </c>
      <c r="AP188" s="32">
        <f>H188*(1-0.313739191)</f>
        <v>0</v>
      </c>
      <c r="AQ188" s="36" t="s">
        <v>87</v>
      </c>
      <c r="AV188" s="32">
        <f>ROUND(AW188+AX188,2)</f>
        <v>0</v>
      </c>
      <c r="AW188" s="32">
        <f>ROUND(G188*AO188,2)</f>
        <v>0</v>
      </c>
      <c r="AX188" s="32">
        <f>ROUND(G188*AP188,2)</f>
        <v>0</v>
      </c>
      <c r="AY188" s="36" t="s">
        <v>442</v>
      </c>
      <c r="AZ188" s="36" t="s">
        <v>443</v>
      </c>
      <c r="BA188" s="12" t="s">
        <v>63</v>
      </c>
      <c r="BC188" s="32">
        <f>AW188+AX188</f>
        <v>0</v>
      </c>
      <c r="BD188" s="32">
        <f>H188/(100-BE188)*100</f>
        <v>0</v>
      </c>
      <c r="BE188" s="32">
        <v>0</v>
      </c>
      <c r="BF188" s="32">
        <f>P188</f>
        <v>1.4400000000000001E-3</v>
      </c>
      <c r="BH188" s="32">
        <f>G188*AO188</f>
        <v>0</v>
      </c>
      <c r="BI188" s="32">
        <f>G188*AP188</f>
        <v>0</v>
      </c>
      <c r="BJ188" s="32">
        <f>G188*H188</f>
        <v>0</v>
      </c>
      <c r="BK188" s="32"/>
      <c r="BL188" s="32">
        <v>733</v>
      </c>
      <c r="BW188" s="32">
        <f>I188</f>
        <v>21</v>
      </c>
      <c r="BX188" s="4" t="s">
        <v>450</v>
      </c>
    </row>
    <row r="189" spans="1:76" ht="13.5" customHeight="1" x14ac:dyDescent="0.25">
      <c r="A189" s="37"/>
      <c r="C189" s="38"/>
      <c r="D189" s="100" t="s">
        <v>451</v>
      </c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9"/>
    </row>
    <row r="190" spans="1:76" x14ac:dyDescent="0.25">
      <c r="A190" s="2" t="s">
        <v>452</v>
      </c>
      <c r="B190" s="3" t="s">
        <v>54</v>
      </c>
      <c r="C190" s="3" t="s">
        <v>453</v>
      </c>
      <c r="D190" s="95" t="s">
        <v>454</v>
      </c>
      <c r="E190" s="96"/>
      <c r="F190" s="3" t="s">
        <v>143</v>
      </c>
      <c r="G190" s="32">
        <v>28</v>
      </c>
      <c r="H190" s="89">
        <v>0</v>
      </c>
      <c r="I190" s="33">
        <v>21</v>
      </c>
      <c r="J190" s="32">
        <f>ROUND(G190*AO190,2)</f>
        <v>0</v>
      </c>
      <c r="K190" s="32">
        <f>ROUND(G190*AP190,2)</f>
        <v>0</v>
      </c>
      <c r="L190" s="32">
        <f>ROUND(G190*H190,2)</f>
        <v>0</v>
      </c>
      <c r="M190" s="32">
        <f>L190*(1+BW190/100)</f>
        <v>0</v>
      </c>
      <c r="N190" s="34">
        <f>IF(L285=0,0,L190/L285)</f>
        <v>0</v>
      </c>
      <c r="O190" s="32">
        <v>4.0000000000000003E-5</v>
      </c>
      <c r="P190" s="32">
        <f>G190*O190</f>
        <v>1.1200000000000001E-3</v>
      </c>
      <c r="Q190" s="35" t="s">
        <v>61</v>
      </c>
      <c r="Z190" s="32">
        <f>ROUND(IF(AQ190="5",BJ190,0),2)</f>
        <v>0</v>
      </c>
      <c r="AB190" s="32">
        <f>ROUND(IF(AQ190="1",BH190,0),2)</f>
        <v>0</v>
      </c>
      <c r="AC190" s="32">
        <f>ROUND(IF(AQ190="1",BI190,0),2)</f>
        <v>0</v>
      </c>
      <c r="AD190" s="32">
        <f>ROUND(IF(AQ190="7",BH190,0),2)</f>
        <v>0</v>
      </c>
      <c r="AE190" s="32">
        <f>ROUND(IF(AQ190="7",BI190,0),2)</f>
        <v>0</v>
      </c>
      <c r="AF190" s="32">
        <f>ROUND(IF(AQ190="2",BH190,0),2)</f>
        <v>0</v>
      </c>
      <c r="AG190" s="32">
        <f>ROUND(IF(AQ190="2",BI190,0),2)</f>
        <v>0</v>
      </c>
      <c r="AH190" s="32">
        <f>ROUND(IF(AQ190="0",BJ190,0),2)</f>
        <v>0</v>
      </c>
      <c r="AI190" s="12" t="s">
        <v>54</v>
      </c>
      <c r="AJ190" s="32">
        <f>IF(AN190=0,L190,0)</f>
        <v>0</v>
      </c>
      <c r="AK190" s="32">
        <f>IF(AN190=12,L190,0)</f>
        <v>0</v>
      </c>
      <c r="AL190" s="32">
        <f>IF(AN190=21,L190,0)</f>
        <v>0</v>
      </c>
      <c r="AN190" s="32">
        <v>21</v>
      </c>
      <c r="AO190" s="32">
        <f>H190*0.33409611</f>
        <v>0</v>
      </c>
      <c r="AP190" s="32">
        <f>H190*(1-0.33409611)</f>
        <v>0</v>
      </c>
      <c r="AQ190" s="36" t="s">
        <v>87</v>
      </c>
      <c r="AV190" s="32">
        <f>ROUND(AW190+AX190,2)</f>
        <v>0</v>
      </c>
      <c r="AW190" s="32">
        <f>ROUND(G190*AO190,2)</f>
        <v>0</v>
      </c>
      <c r="AX190" s="32">
        <f>ROUND(G190*AP190,2)</f>
        <v>0</v>
      </c>
      <c r="AY190" s="36" t="s">
        <v>442</v>
      </c>
      <c r="AZ190" s="36" t="s">
        <v>443</v>
      </c>
      <c r="BA190" s="12" t="s">
        <v>63</v>
      </c>
      <c r="BC190" s="32">
        <f>AW190+AX190</f>
        <v>0</v>
      </c>
      <c r="BD190" s="32">
        <f>H190/(100-BE190)*100</f>
        <v>0</v>
      </c>
      <c r="BE190" s="32">
        <v>0</v>
      </c>
      <c r="BF190" s="32">
        <f>P190</f>
        <v>1.1200000000000001E-3</v>
      </c>
      <c r="BH190" s="32">
        <f>G190*AO190</f>
        <v>0</v>
      </c>
      <c r="BI190" s="32">
        <f>G190*AP190</f>
        <v>0</v>
      </c>
      <c r="BJ190" s="32">
        <f>G190*H190</f>
        <v>0</v>
      </c>
      <c r="BK190" s="32"/>
      <c r="BL190" s="32">
        <v>733</v>
      </c>
      <c r="BW190" s="32">
        <f>I190</f>
        <v>21</v>
      </c>
      <c r="BX190" s="4" t="s">
        <v>454</v>
      </c>
    </row>
    <row r="191" spans="1:76" ht="13.5" customHeight="1" x14ac:dyDescent="0.25">
      <c r="A191" s="37"/>
      <c r="C191" s="38"/>
      <c r="D191" s="100" t="s">
        <v>455</v>
      </c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9"/>
    </row>
    <row r="192" spans="1:76" x14ac:dyDescent="0.25">
      <c r="A192" s="2" t="s">
        <v>456</v>
      </c>
      <c r="B192" s="3" t="s">
        <v>54</v>
      </c>
      <c r="C192" s="3" t="s">
        <v>457</v>
      </c>
      <c r="D192" s="95" t="s">
        <v>458</v>
      </c>
      <c r="E192" s="96"/>
      <c r="F192" s="3" t="s">
        <v>60</v>
      </c>
      <c r="G192" s="32">
        <v>30</v>
      </c>
      <c r="H192" s="89">
        <v>0</v>
      </c>
      <c r="I192" s="33">
        <v>21</v>
      </c>
      <c r="J192" s="32">
        <f>ROUND(G192*AO192,2)</f>
        <v>0</v>
      </c>
      <c r="K192" s="32">
        <f>ROUND(G192*AP192,2)</f>
        <v>0</v>
      </c>
      <c r="L192" s="32">
        <f>ROUND(G192*H192,2)</f>
        <v>0</v>
      </c>
      <c r="M192" s="32">
        <f>L192*(1+BW192/100)</f>
        <v>0</v>
      </c>
      <c r="N192" s="34">
        <f>IF(L285=0,0,L192/L285)</f>
        <v>0</v>
      </c>
      <c r="O192" s="32">
        <v>3.4000000000000002E-4</v>
      </c>
      <c r="P192" s="32">
        <f>G192*O192</f>
        <v>1.0200000000000001E-2</v>
      </c>
      <c r="Q192" s="35" t="s">
        <v>61</v>
      </c>
      <c r="Z192" s="32">
        <f>ROUND(IF(AQ192="5",BJ192,0),2)</f>
        <v>0</v>
      </c>
      <c r="AB192" s="32">
        <f>ROUND(IF(AQ192="1",BH192,0),2)</f>
        <v>0</v>
      </c>
      <c r="AC192" s="32">
        <f>ROUND(IF(AQ192="1",BI192,0),2)</f>
        <v>0</v>
      </c>
      <c r="AD192" s="32">
        <f>ROUND(IF(AQ192="7",BH192,0),2)</f>
        <v>0</v>
      </c>
      <c r="AE192" s="32">
        <f>ROUND(IF(AQ192="7",BI192,0),2)</f>
        <v>0</v>
      </c>
      <c r="AF192" s="32">
        <f>ROUND(IF(AQ192="2",BH192,0),2)</f>
        <v>0</v>
      </c>
      <c r="AG192" s="32">
        <f>ROUND(IF(AQ192="2",BI192,0),2)</f>
        <v>0</v>
      </c>
      <c r="AH192" s="32">
        <f>ROUND(IF(AQ192="0",BJ192,0),2)</f>
        <v>0</v>
      </c>
      <c r="AI192" s="12" t="s">
        <v>54</v>
      </c>
      <c r="AJ192" s="32">
        <f>IF(AN192=0,L192,0)</f>
        <v>0</v>
      </c>
      <c r="AK192" s="32">
        <f>IF(AN192=12,L192,0)</f>
        <v>0</v>
      </c>
      <c r="AL192" s="32">
        <f>IF(AN192=21,L192,0)</f>
        <v>0</v>
      </c>
      <c r="AN192" s="32">
        <v>21</v>
      </c>
      <c r="AO192" s="32">
        <f>H192*0.09075855</f>
        <v>0</v>
      </c>
      <c r="AP192" s="32">
        <f>H192*(1-0.09075855)</f>
        <v>0</v>
      </c>
      <c r="AQ192" s="36" t="s">
        <v>87</v>
      </c>
      <c r="AV192" s="32">
        <f>ROUND(AW192+AX192,2)</f>
        <v>0</v>
      </c>
      <c r="AW192" s="32">
        <f>ROUND(G192*AO192,2)</f>
        <v>0</v>
      </c>
      <c r="AX192" s="32">
        <f>ROUND(G192*AP192,2)</f>
        <v>0</v>
      </c>
      <c r="AY192" s="36" t="s">
        <v>442</v>
      </c>
      <c r="AZ192" s="36" t="s">
        <v>443</v>
      </c>
      <c r="BA192" s="12" t="s">
        <v>63</v>
      </c>
      <c r="BC192" s="32">
        <f>AW192+AX192</f>
        <v>0</v>
      </c>
      <c r="BD192" s="32">
        <f>H192/(100-BE192)*100</f>
        <v>0</v>
      </c>
      <c r="BE192" s="32">
        <v>0</v>
      </c>
      <c r="BF192" s="32">
        <f>P192</f>
        <v>1.0200000000000001E-2</v>
      </c>
      <c r="BH192" s="32">
        <f>G192*AO192</f>
        <v>0</v>
      </c>
      <c r="BI192" s="32">
        <f>G192*AP192</f>
        <v>0</v>
      </c>
      <c r="BJ192" s="32">
        <f>G192*H192</f>
        <v>0</v>
      </c>
      <c r="BK192" s="32"/>
      <c r="BL192" s="32">
        <v>733</v>
      </c>
      <c r="BW192" s="32">
        <f>I192</f>
        <v>21</v>
      </c>
      <c r="BX192" s="4" t="s">
        <v>458</v>
      </c>
    </row>
    <row r="193" spans="1:76" ht="13.5" customHeight="1" x14ac:dyDescent="0.25">
      <c r="A193" s="37"/>
      <c r="C193" s="38"/>
      <c r="D193" s="100" t="s">
        <v>459</v>
      </c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9"/>
    </row>
    <row r="194" spans="1:76" x14ac:dyDescent="0.25">
      <c r="A194" s="2" t="s">
        <v>460</v>
      </c>
      <c r="B194" s="3" t="s">
        <v>54</v>
      </c>
      <c r="C194" s="3" t="s">
        <v>461</v>
      </c>
      <c r="D194" s="95" t="s">
        <v>462</v>
      </c>
      <c r="E194" s="96"/>
      <c r="F194" s="3" t="s">
        <v>60</v>
      </c>
      <c r="G194" s="32">
        <v>10</v>
      </c>
      <c r="H194" s="89">
        <v>0</v>
      </c>
      <c r="I194" s="33">
        <v>21</v>
      </c>
      <c r="J194" s="32">
        <f>ROUND(G194*AO194,2)</f>
        <v>0</v>
      </c>
      <c r="K194" s="32">
        <f>ROUND(G194*AP194,2)</f>
        <v>0</v>
      </c>
      <c r="L194" s="32">
        <f>ROUND(G194*H194,2)</f>
        <v>0</v>
      </c>
      <c r="M194" s="32">
        <f>L194*(1+BW194/100)</f>
        <v>0</v>
      </c>
      <c r="N194" s="34">
        <f>IF(L285=0,0,L194/L285)</f>
        <v>0</v>
      </c>
      <c r="O194" s="32">
        <v>3.5E-4</v>
      </c>
      <c r="P194" s="32">
        <f>G194*O194</f>
        <v>3.5000000000000001E-3</v>
      </c>
      <c r="Q194" s="35" t="s">
        <v>61</v>
      </c>
      <c r="Z194" s="32">
        <f>ROUND(IF(AQ194="5",BJ194,0),2)</f>
        <v>0</v>
      </c>
      <c r="AB194" s="32">
        <f>ROUND(IF(AQ194="1",BH194,0),2)</f>
        <v>0</v>
      </c>
      <c r="AC194" s="32">
        <f>ROUND(IF(AQ194="1",BI194,0),2)</f>
        <v>0</v>
      </c>
      <c r="AD194" s="32">
        <f>ROUND(IF(AQ194="7",BH194,0),2)</f>
        <v>0</v>
      </c>
      <c r="AE194" s="32">
        <f>ROUND(IF(AQ194="7",BI194,0),2)</f>
        <v>0</v>
      </c>
      <c r="AF194" s="32">
        <f>ROUND(IF(AQ194="2",BH194,0),2)</f>
        <v>0</v>
      </c>
      <c r="AG194" s="32">
        <f>ROUND(IF(AQ194="2",BI194,0),2)</f>
        <v>0</v>
      </c>
      <c r="AH194" s="32">
        <f>ROUND(IF(AQ194="0",BJ194,0),2)</f>
        <v>0</v>
      </c>
      <c r="AI194" s="12" t="s">
        <v>54</v>
      </c>
      <c r="AJ194" s="32">
        <f>IF(AN194=0,L194,0)</f>
        <v>0</v>
      </c>
      <c r="AK194" s="32">
        <f>IF(AN194=12,L194,0)</f>
        <v>0</v>
      </c>
      <c r="AL194" s="32">
        <f>IF(AN194=21,L194,0)</f>
        <v>0</v>
      </c>
      <c r="AN194" s="32">
        <v>21</v>
      </c>
      <c r="AO194" s="32">
        <f>H194*0.089102605</f>
        <v>0</v>
      </c>
      <c r="AP194" s="32">
        <f>H194*(1-0.089102605)</f>
        <v>0</v>
      </c>
      <c r="AQ194" s="36" t="s">
        <v>87</v>
      </c>
      <c r="AV194" s="32">
        <f>ROUND(AW194+AX194,2)</f>
        <v>0</v>
      </c>
      <c r="AW194" s="32">
        <f>ROUND(G194*AO194,2)</f>
        <v>0</v>
      </c>
      <c r="AX194" s="32">
        <f>ROUND(G194*AP194,2)</f>
        <v>0</v>
      </c>
      <c r="AY194" s="36" t="s">
        <v>442</v>
      </c>
      <c r="AZ194" s="36" t="s">
        <v>443</v>
      </c>
      <c r="BA194" s="12" t="s">
        <v>63</v>
      </c>
      <c r="BC194" s="32">
        <f>AW194+AX194</f>
        <v>0</v>
      </c>
      <c r="BD194" s="32">
        <f>H194/(100-BE194)*100</f>
        <v>0</v>
      </c>
      <c r="BE194" s="32">
        <v>0</v>
      </c>
      <c r="BF194" s="32">
        <f>P194</f>
        <v>3.5000000000000001E-3</v>
      </c>
      <c r="BH194" s="32">
        <f>G194*AO194</f>
        <v>0</v>
      </c>
      <c r="BI194" s="32">
        <f>G194*AP194</f>
        <v>0</v>
      </c>
      <c r="BJ194" s="32">
        <f>G194*H194</f>
        <v>0</v>
      </c>
      <c r="BK194" s="32"/>
      <c r="BL194" s="32">
        <v>733</v>
      </c>
      <c r="BW194" s="32">
        <f>I194</f>
        <v>21</v>
      </c>
      <c r="BX194" s="4" t="s">
        <v>462</v>
      </c>
    </row>
    <row r="195" spans="1:76" ht="13.5" customHeight="1" x14ac:dyDescent="0.25">
      <c r="A195" s="37"/>
      <c r="C195" s="38"/>
      <c r="D195" s="100" t="s">
        <v>463</v>
      </c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9"/>
    </row>
    <row r="196" spans="1:76" x14ac:dyDescent="0.25">
      <c r="A196" s="2" t="s">
        <v>464</v>
      </c>
      <c r="B196" s="3" t="s">
        <v>54</v>
      </c>
      <c r="C196" s="3" t="s">
        <v>465</v>
      </c>
      <c r="D196" s="95" t="s">
        <v>321</v>
      </c>
      <c r="E196" s="96"/>
      <c r="F196" s="3" t="s">
        <v>239</v>
      </c>
      <c r="G196" s="32">
        <v>1</v>
      </c>
      <c r="H196" s="89">
        <v>0</v>
      </c>
      <c r="I196" s="33">
        <v>21</v>
      </c>
      <c r="J196" s="32">
        <f>ROUND(G196*AO196,2)</f>
        <v>0</v>
      </c>
      <c r="K196" s="32">
        <f>ROUND(G196*AP196,2)</f>
        <v>0</v>
      </c>
      <c r="L196" s="32">
        <f>ROUND(G196*H196,2)</f>
        <v>0</v>
      </c>
      <c r="M196" s="32">
        <f>L196*(1+BW196/100)</f>
        <v>0</v>
      </c>
      <c r="N196" s="34">
        <f>IF(L285=0,0,L196/L285)</f>
        <v>0</v>
      </c>
      <c r="O196" s="32">
        <v>0</v>
      </c>
      <c r="P196" s="32">
        <f>G196*O196</f>
        <v>0</v>
      </c>
      <c r="Q196" s="35"/>
      <c r="Z196" s="32">
        <f>ROUND(IF(AQ196="5",BJ196,0),2)</f>
        <v>0</v>
      </c>
      <c r="AB196" s="32">
        <f>ROUND(IF(AQ196="1",BH196,0),2)</f>
        <v>0</v>
      </c>
      <c r="AC196" s="32">
        <f>ROUND(IF(AQ196="1",BI196,0),2)</f>
        <v>0</v>
      </c>
      <c r="AD196" s="32">
        <f>ROUND(IF(AQ196="7",BH196,0),2)</f>
        <v>0</v>
      </c>
      <c r="AE196" s="32">
        <f>ROUND(IF(AQ196="7",BI196,0),2)</f>
        <v>0</v>
      </c>
      <c r="AF196" s="32">
        <f>ROUND(IF(AQ196="2",BH196,0),2)</f>
        <v>0</v>
      </c>
      <c r="AG196" s="32">
        <f>ROUND(IF(AQ196="2",BI196,0),2)</f>
        <v>0</v>
      </c>
      <c r="AH196" s="32">
        <f>ROUND(IF(AQ196="0",BJ196,0),2)</f>
        <v>0</v>
      </c>
      <c r="AI196" s="12" t="s">
        <v>54</v>
      </c>
      <c r="AJ196" s="32">
        <f>IF(AN196=0,L196,0)</f>
        <v>0</v>
      </c>
      <c r="AK196" s="32">
        <f>IF(AN196=12,L196,0)</f>
        <v>0</v>
      </c>
      <c r="AL196" s="32">
        <f>IF(AN196=21,L196,0)</f>
        <v>0</v>
      </c>
      <c r="AN196" s="32">
        <v>21</v>
      </c>
      <c r="AO196" s="32">
        <f>H196*0.778880478</f>
        <v>0</v>
      </c>
      <c r="AP196" s="32">
        <f>H196*(1-0.778880478)</f>
        <v>0</v>
      </c>
      <c r="AQ196" s="36" t="s">
        <v>87</v>
      </c>
      <c r="AV196" s="32">
        <f>ROUND(AW196+AX196,2)</f>
        <v>0</v>
      </c>
      <c r="AW196" s="32">
        <f>ROUND(G196*AO196,2)</f>
        <v>0</v>
      </c>
      <c r="AX196" s="32">
        <f>ROUND(G196*AP196,2)</f>
        <v>0</v>
      </c>
      <c r="AY196" s="36" t="s">
        <v>442</v>
      </c>
      <c r="AZ196" s="36" t="s">
        <v>443</v>
      </c>
      <c r="BA196" s="12" t="s">
        <v>63</v>
      </c>
      <c r="BC196" s="32">
        <f>AW196+AX196</f>
        <v>0</v>
      </c>
      <c r="BD196" s="32">
        <f>H196/(100-BE196)*100</f>
        <v>0</v>
      </c>
      <c r="BE196" s="32">
        <v>0</v>
      </c>
      <c r="BF196" s="32">
        <f>P196</f>
        <v>0</v>
      </c>
      <c r="BH196" s="32">
        <f>G196*AO196</f>
        <v>0</v>
      </c>
      <c r="BI196" s="32">
        <f>G196*AP196</f>
        <v>0</v>
      </c>
      <c r="BJ196" s="32">
        <f>G196*H196</f>
        <v>0</v>
      </c>
      <c r="BK196" s="32"/>
      <c r="BL196" s="32">
        <v>733</v>
      </c>
      <c r="BW196" s="32">
        <f>I196</f>
        <v>21</v>
      </c>
      <c r="BX196" s="4" t="s">
        <v>321</v>
      </c>
    </row>
    <row r="197" spans="1:76" ht="13.5" customHeight="1" x14ac:dyDescent="0.25">
      <c r="A197" s="37"/>
      <c r="C197" s="38"/>
      <c r="D197" s="100" t="s">
        <v>466</v>
      </c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9"/>
    </row>
    <row r="198" spans="1:76" ht="25.5" customHeight="1" x14ac:dyDescent="0.25">
      <c r="A198" s="2" t="s">
        <v>467</v>
      </c>
      <c r="B198" s="3" t="s">
        <v>54</v>
      </c>
      <c r="C198" s="3" t="s">
        <v>465</v>
      </c>
      <c r="D198" s="95" t="s">
        <v>468</v>
      </c>
      <c r="E198" s="96"/>
      <c r="F198" s="3" t="s">
        <v>239</v>
      </c>
      <c r="G198" s="32">
        <v>1</v>
      </c>
      <c r="H198" s="89">
        <v>0</v>
      </c>
      <c r="I198" s="33">
        <v>21</v>
      </c>
      <c r="J198" s="32">
        <f>ROUND(G198*AO198,2)</f>
        <v>0</v>
      </c>
      <c r="K198" s="32">
        <f>ROUND(G198*AP198,2)</f>
        <v>0</v>
      </c>
      <c r="L198" s="32">
        <f>ROUND(G198*H198,2)</f>
        <v>0</v>
      </c>
      <c r="M198" s="32">
        <f>L198*(1+BW198/100)</f>
        <v>0</v>
      </c>
      <c r="N198" s="34">
        <f>IF(L285=0,0,L198/L285)</f>
        <v>0</v>
      </c>
      <c r="O198" s="32">
        <v>0</v>
      </c>
      <c r="P198" s="32">
        <f>G198*O198</f>
        <v>0</v>
      </c>
      <c r="Q198" s="35"/>
      <c r="Z198" s="32">
        <f>ROUND(IF(AQ198="5",BJ198,0),2)</f>
        <v>0</v>
      </c>
      <c r="AB198" s="32">
        <f>ROUND(IF(AQ198="1",BH198,0),2)</f>
        <v>0</v>
      </c>
      <c r="AC198" s="32">
        <f>ROUND(IF(AQ198="1",BI198,0),2)</f>
        <v>0</v>
      </c>
      <c r="AD198" s="32">
        <f>ROUND(IF(AQ198="7",BH198,0),2)</f>
        <v>0</v>
      </c>
      <c r="AE198" s="32">
        <f>ROUND(IF(AQ198="7",BI198,0),2)</f>
        <v>0</v>
      </c>
      <c r="AF198" s="32">
        <f>ROUND(IF(AQ198="2",BH198,0),2)</f>
        <v>0</v>
      </c>
      <c r="AG198" s="32">
        <f>ROUND(IF(AQ198="2",BI198,0),2)</f>
        <v>0</v>
      </c>
      <c r="AH198" s="32">
        <f>ROUND(IF(AQ198="0",BJ198,0),2)</f>
        <v>0</v>
      </c>
      <c r="AI198" s="12" t="s">
        <v>54</v>
      </c>
      <c r="AJ198" s="32">
        <f>IF(AN198=0,L198,0)</f>
        <v>0</v>
      </c>
      <c r="AK198" s="32">
        <f>IF(AN198=12,L198,0)</f>
        <v>0</v>
      </c>
      <c r="AL198" s="32">
        <f>IF(AN198=21,L198,0)</f>
        <v>0</v>
      </c>
      <c r="AN198" s="32">
        <v>21</v>
      </c>
      <c r="AO198" s="32">
        <f>H198*0</f>
        <v>0</v>
      </c>
      <c r="AP198" s="32">
        <f>H198*(1-0)</f>
        <v>0</v>
      </c>
      <c r="AQ198" s="36" t="s">
        <v>87</v>
      </c>
      <c r="AV198" s="32">
        <f>ROUND(AW198+AX198,2)</f>
        <v>0</v>
      </c>
      <c r="AW198" s="32">
        <f>ROUND(G198*AO198,2)</f>
        <v>0</v>
      </c>
      <c r="AX198" s="32">
        <f>ROUND(G198*AP198,2)</f>
        <v>0</v>
      </c>
      <c r="AY198" s="36" t="s">
        <v>442</v>
      </c>
      <c r="AZ198" s="36" t="s">
        <v>443</v>
      </c>
      <c r="BA198" s="12" t="s">
        <v>63</v>
      </c>
      <c r="BC198" s="32">
        <f>AW198+AX198</f>
        <v>0</v>
      </c>
      <c r="BD198" s="32">
        <f>H198/(100-BE198)*100</f>
        <v>0</v>
      </c>
      <c r="BE198" s="32">
        <v>0</v>
      </c>
      <c r="BF198" s="32">
        <f>P198</f>
        <v>0</v>
      </c>
      <c r="BH198" s="32">
        <f>G198*AO198</f>
        <v>0</v>
      </c>
      <c r="BI198" s="32">
        <f>G198*AP198</f>
        <v>0</v>
      </c>
      <c r="BJ198" s="32">
        <f>G198*H198</f>
        <v>0</v>
      </c>
      <c r="BK198" s="32"/>
      <c r="BL198" s="32">
        <v>733</v>
      </c>
      <c r="BW198" s="32">
        <f>I198</f>
        <v>21</v>
      </c>
      <c r="BX198" s="4" t="s">
        <v>468</v>
      </c>
    </row>
    <row r="199" spans="1:76" ht="13.5" customHeight="1" x14ac:dyDescent="0.25">
      <c r="A199" s="37"/>
      <c r="C199" s="38"/>
      <c r="D199" s="100" t="s">
        <v>249</v>
      </c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9"/>
    </row>
    <row r="200" spans="1:76" x14ac:dyDescent="0.25">
      <c r="A200" s="2" t="s">
        <v>469</v>
      </c>
      <c r="B200" s="3" t="s">
        <v>54</v>
      </c>
      <c r="C200" s="3" t="s">
        <v>465</v>
      </c>
      <c r="D200" s="95" t="s">
        <v>470</v>
      </c>
      <c r="E200" s="96"/>
      <c r="F200" s="3" t="s">
        <v>239</v>
      </c>
      <c r="G200" s="32">
        <v>1</v>
      </c>
      <c r="H200" s="89">
        <v>0</v>
      </c>
      <c r="I200" s="33">
        <v>21</v>
      </c>
      <c r="J200" s="32">
        <f>ROUND(G200*AO200,2)</f>
        <v>0</v>
      </c>
      <c r="K200" s="32">
        <f>ROUND(G200*AP200,2)</f>
        <v>0</v>
      </c>
      <c r="L200" s="32">
        <f>ROUND(G200*H200,2)</f>
        <v>0</v>
      </c>
      <c r="M200" s="32">
        <f>L200*(1+BW200/100)</f>
        <v>0</v>
      </c>
      <c r="N200" s="34">
        <f>IF(L285=0,0,L200/L285)</f>
        <v>0</v>
      </c>
      <c r="O200" s="32">
        <v>0</v>
      </c>
      <c r="P200" s="32">
        <f>G200*O200</f>
        <v>0</v>
      </c>
      <c r="Q200" s="35" t="s">
        <v>54</v>
      </c>
      <c r="Z200" s="32">
        <f>ROUND(IF(AQ200="5",BJ200,0),2)</f>
        <v>0</v>
      </c>
      <c r="AB200" s="32">
        <f>ROUND(IF(AQ200="1",BH200,0),2)</f>
        <v>0</v>
      </c>
      <c r="AC200" s="32">
        <f>ROUND(IF(AQ200="1",BI200,0),2)</f>
        <v>0</v>
      </c>
      <c r="AD200" s="32">
        <f>ROUND(IF(AQ200="7",BH200,0),2)</f>
        <v>0</v>
      </c>
      <c r="AE200" s="32">
        <f>ROUND(IF(AQ200="7",BI200,0),2)</f>
        <v>0</v>
      </c>
      <c r="AF200" s="32">
        <f>ROUND(IF(AQ200="2",BH200,0),2)</f>
        <v>0</v>
      </c>
      <c r="AG200" s="32">
        <f>ROUND(IF(AQ200="2",BI200,0),2)</f>
        <v>0</v>
      </c>
      <c r="AH200" s="32">
        <f>ROUND(IF(AQ200="0",BJ200,0),2)</f>
        <v>0</v>
      </c>
      <c r="AI200" s="12" t="s">
        <v>54</v>
      </c>
      <c r="AJ200" s="32">
        <f>IF(AN200=0,L200,0)</f>
        <v>0</v>
      </c>
      <c r="AK200" s="32">
        <f>IF(AN200=12,L200,0)</f>
        <v>0</v>
      </c>
      <c r="AL200" s="32">
        <f>IF(AN200=21,L200,0)</f>
        <v>0</v>
      </c>
      <c r="AN200" s="32">
        <v>21</v>
      </c>
      <c r="AO200" s="32">
        <f>H200*0</f>
        <v>0</v>
      </c>
      <c r="AP200" s="32">
        <f>H200*(1-0)</f>
        <v>0</v>
      </c>
      <c r="AQ200" s="36" t="s">
        <v>87</v>
      </c>
      <c r="AV200" s="32">
        <f>ROUND(AW200+AX200,2)</f>
        <v>0</v>
      </c>
      <c r="AW200" s="32">
        <f>ROUND(G200*AO200,2)</f>
        <v>0</v>
      </c>
      <c r="AX200" s="32">
        <f>ROUND(G200*AP200,2)</f>
        <v>0</v>
      </c>
      <c r="AY200" s="36" t="s">
        <v>442</v>
      </c>
      <c r="AZ200" s="36" t="s">
        <v>443</v>
      </c>
      <c r="BA200" s="12" t="s">
        <v>63</v>
      </c>
      <c r="BC200" s="32">
        <f>AW200+AX200</f>
        <v>0</v>
      </c>
      <c r="BD200" s="32">
        <f>H200/(100-BE200)*100</f>
        <v>0</v>
      </c>
      <c r="BE200" s="32">
        <v>0</v>
      </c>
      <c r="BF200" s="32">
        <f>P200</f>
        <v>0</v>
      </c>
      <c r="BH200" s="32">
        <f>G200*AO200</f>
        <v>0</v>
      </c>
      <c r="BI200" s="32">
        <f>G200*AP200</f>
        <v>0</v>
      </c>
      <c r="BJ200" s="32">
        <f>G200*H200</f>
        <v>0</v>
      </c>
      <c r="BK200" s="32"/>
      <c r="BL200" s="32">
        <v>733</v>
      </c>
      <c r="BW200" s="32">
        <f>I200</f>
        <v>21</v>
      </c>
      <c r="BX200" s="4" t="s">
        <v>470</v>
      </c>
    </row>
    <row r="201" spans="1:76" x14ac:dyDescent="0.25">
      <c r="A201" s="2" t="s">
        <v>471</v>
      </c>
      <c r="B201" s="3" t="s">
        <v>54</v>
      </c>
      <c r="C201" s="3" t="s">
        <v>465</v>
      </c>
      <c r="D201" s="95" t="s">
        <v>472</v>
      </c>
      <c r="E201" s="96"/>
      <c r="F201" s="3" t="s">
        <v>239</v>
      </c>
      <c r="G201" s="32">
        <v>1</v>
      </c>
      <c r="H201" s="89">
        <v>0</v>
      </c>
      <c r="I201" s="33">
        <v>21</v>
      </c>
      <c r="J201" s="32">
        <f>ROUND(G201*AO201,2)</f>
        <v>0</v>
      </c>
      <c r="K201" s="32">
        <f>ROUND(G201*AP201,2)</f>
        <v>0</v>
      </c>
      <c r="L201" s="32">
        <f>ROUND(G201*H201,2)</f>
        <v>0</v>
      </c>
      <c r="M201" s="32">
        <f>L201*(1+BW201/100)</f>
        <v>0</v>
      </c>
      <c r="N201" s="34">
        <f>IF(L285=0,0,L201/L285)</f>
        <v>0</v>
      </c>
      <c r="O201" s="32">
        <v>0</v>
      </c>
      <c r="P201" s="32">
        <f>G201*O201</f>
        <v>0</v>
      </c>
      <c r="Q201" s="35" t="s">
        <v>54</v>
      </c>
      <c r="Z201" s="32">
        <f>ROUND(IF(AQ201="5",BJ201,0),2)</f>
        <v>0</v>
      </c>
      <c r="AB201" s="32">
        <f>ROUND(IF(AQ201="1",BH201,0),2)</f>
        <v>0</v>
      </c>
      <c r="AC201" s="32">
        <f>ROUND(IF(AQ201="1",BI201,0),2)</f>
        <v>0</v>
      </c>
      <c r="AD201" s="32">
        <f>ROUND(IF(AQ201="7",BH201,0),2)</f>
        <v>0</v>
      </c>
      <c r="AE201" s="32">
        <f>ROUND(IF(AQ201="7",BI201,0),2)</f>
        <v>0</v>
      </c>
      <c r="AF201" s="32">
        <f>ROUND(IF(AQ201="2",BH201,0),2)</f>
        <v>0</v>
      </c>
      <c r="AG201" s="32">
        <f>ROUND(IF(AQ201="2",BI201,0),2)</f>
        <v>0</v>
      </c>
      <c r="AH201" s="32">
        <f>ROUND(IF(AQ201="0",BJ201,0),2)</f>
        <v>0</v>
      </c>
      <c r="AI201" s="12" t="s">
        <v>54</v>
      </c>
      <c r="AJ201" s="32">
        <f>IF(AN201=0,L201,0)</f>
        <v>0</v>
      </c>
      <c r="AK201" s="32">
        <f>IF(AN201=12,L201,0)</f>
        <v>0</v>
      </c>
      <c r="AL201" s="32">
        <f>IF(AN201=21,L201,0)</f>
        <v>0</v>
      </c>
      <c r="AN201" s="32">
        <v>21</v>
      </c>
      <c r="AO201" s="32">
        <f>H201*0</f>
        <v>0</v>
      </c>
      <c r="AP201" s="32">
        <f>H201*(1-0)</f>
        <v>0</v>
      </c>
      <c r="AQ201" s="36" t="s">
        <v>87</v>
      </c>
      <c r="AV201" s="32">
        <f>ROUND(AW201+AX201,2)</f>
        <v>0</v>
      </c>
      <c r="AW201" s="32">
        <f>ROUND(G201*AO201,2)</f>
        <v>0</v>
      </c>
      <c r="AX201" s="32">
        <f>ROUND(G201*AP201,2)</f>
        <v>0</v>
      </c>
      <c r="AY201" s="36" t="s">
        <v>442</v>
      </c>
      <c r="AZ201" s="36" t="s">
        <v>443</v>
      </c>
      <c r="BA201" s="12" t="s">
        <v>63</v>
      </c>
      <c r="BC201" s="32">
        <f>AW201+AX201</f>
        <v>0</v>
      </c>
      <c r="BD201" s="32">
        <f>H201/(100-BE201)*100</f>
        <v>0</v>
      </c>
      <c r="BE201" s="32">
        <v>0</v>
      </c>
      <c r="BF201" s="32">
        <f>P201</f>
        <v>0</v>
      </c>
      <c r="BH201" s="32">
        <f>G201*AO201</f>
        <v>0</v>
      </c>
      <c r="BI201" s="32">
        <f>G201*AP201</f>
        <v>0</v>
      </c>
      <c r="BJ201" s="32">
        <f>G201*H201</f>
        <v>0</v>
      </c>
      <c r="BK201" s="32"/>
      <c r="BL201" s="32">
        <v>733</v>
      </c>
      <c r="BW201" s="32">
        <f>I201</f>
        <v>21</v>
      </c>
      <c r="BX201" s="4" t="s">
        <v>472</v>
      </c>
    </row>
    <row r="202" spans="1:76" x14ac:dyDescent="0.25">
      <c r="A202" s="2" t="s">
        <v>473</v>
      </c>
      <c r="B202" s="3" t="s">
        <v>54</v>
      </c>
      <c r="C202" s="3" t="s">
        <v>474</v>
      </c>
      <c r="D202" s="95" t="s">
        <v>475</v>
      </c>
      <c r="E202" s="96"/>
      <c r="F202" s="3" t="s">
        <v>239</v>
      </c>
      <c r="G202" s="32">
        <v>1</v>
      </c>
      <c r="H202" s="89">
        <v>0</v>
      </c>
      <c r="I202" s="33">
        <v>21</v>
      </c>
      <c r="J202" s="32">
        <f>ROUND(G202*AO202,2)</f>
        <v>0</v>
      </c>
      <c r="K202" s="32">
        <f>ROUND(G202*AP202,2)</f>
        <v>0</v>
      </c>
      <c r="L202" s="32">
        <f>ROUND(G202*H202,2)</f>
        <v>0</v>
      </c>
      <c r="M202" s="32">
        <f>L202*(1+BW202/100)</f>
        <v>0</v>
      </c>
      <c r="N202" s="34">
        <f>IF(L285=0,0,L202/L285)</f>
        <v>0</v>
      </c>
      <c r="O202" s="32">
        <v>0</v>
      </c>
      <c r="P202" s="32">
        <f>G202*O202</f>
        <v>0</v>
      </c>
      <c r="Q202" s="35" t="s">
        <v>61</v>
      </c>
      <c r="Z202" s="32">
        <f>ROUND(IF(AQ202="5",BJ202,0),2)</f>
        <v>0</v>
      </c>
      <c r="AB202" s="32">
        <f>ROUND(IF(AQ202="1",BH202,0),2)</f>
        <v>0</v>
      </c>
      <c r="AC202" s="32">
        <f>ROUND(IF(AQ202="1",BI202,0),2)</f>
        <v>0</v>
      </c>
      <c r="AD202" s="32">
        <f>ROUND(IF(AQ202="7",BH202,0),2)</f>
        <v>0</v>
      </c>
      <c r="AE202" s="32">
        <f>ROUND(IF(AQ202="7",BI202,0),2)</f>
        <v>0</v>
      </c>
      <c r="AF202" s="32">
        <f>ROUND(IF(AQ202="2",BH202,0),2)</f>
        <v>0</v>
      </c>
      <c r="AG202" s="32">
        <f>ROUND(IF(AQ202="2",BI202,0),2)</f>
        <v>0</v>
      </c>
      <c r="AH202" s="32">
        <f>ROUND(IF(AQ202="0",BJ202,0),2)</f>
        <v>0</v>
      </c>
      <c r="AI202" s="12" t="s">
        <v>54</v>
      </c>
      <c r="AJ202" s="32">
        <f>IF(AN202=0,L202,0)</f>
        <v>0</v>
      </c>
      <c r="AK202" s="32">
        <f>IF(AN202=12,L202,0)</f>
        <v>0</v>
      </c>
      <c r="AL202" s="32">
        <f>IF(AN202=21,L202,0)</f>
        <v>0</v>
      </c>
      <c r="AN202" s="32">
        <v>21</v>
      </c>
      <c r="AO202" s="32">
        <f>H202*0</f>
        <v>0</v>
      </c>
      <c r="AP202" s="32">
        <f>H202*(1-0)</f>
        <v>0</v>
      </c>
      <c r="AQ202" s="36" t="s">
        <v>79</v>
      </c>
      <c r="AV202" s="32">
        <f>ROUND(AW202+AX202,2)</f>
        <v>0</v>
      </c>
      <c r="AW202" s="32">
        <f>ROUND(G202*AO202,2)</f>
        <v>0</v>
      </c>
      <c r="AX202" s="32">
        <f>ROUND(G202*AP202,2)</f>
        <v>0</v>
      </c>
      <c r="AY202" s="36" t="s">
        <v>442</v>
      </c>
      <c r="AZ202" s="36" t="s">
        <v>443</v>
      </c>
      <c r="BA202" s="12" t="s">
        <v>63</v>
      </c>
      <c r="BC202" s="32">
        <f>AW202+AX202</f>
        <v>0</v>
      </c>
      <c r="BD202" s="32">
        <f>H202/(100-BE202)*100</f>
        <v>0</v>
      </c>
      <c r="BE202" s="32">
        <v>0</v>
      </c>
      <c r="BF202" s="32">
        <f>P202</f>
        <v>0</v>
      </c>
      <c r="BH202" s="32">
        <f>G202*AO202</f>
        <v>0</v>
      </c>
      <c r="BI202" s="32">
        <f>G202*AP202</f>
        <v>0</v>
      </c>
      <c r="BJ202" s="32">
        <f>G202*H202</f>
        <v>0</v>
      </c>
      <c r="BK202" s="32"/>
      <c r="BL202" s="32">
        <v>733</v>
      </c>
      <c r="BW202" s="32">
        <f>I202</f>
        <v>21</v>
      </c>
      <c r="BX202" s="4" t="s">
        <v>475</v>
      </c>
    </row>
    <row r="203" spans="1:76" x14ac:dyDescent="0.25">
      <c r="A203" s="40" t="s">
        <v>54</v>
      </c>
      <c r="B203" s="41" t="s">
        <v>54</v>
      </c>
      <c r="C203" s="41" t="s">
        <v>476</v>
      </c>
      <c r="D203" s="101" t="s">
        <v>477</v>
      </c>
      <c r="E203" s="102"/>
      <c r="F203" s="42" t="s">
        <v>7</v>
      </c>
      <c r="G203" s="42" t="s">
        <v>7</v>
      </c>
      <c r="H203" s="42" t="s">
        <v>7</v>
      </c>
      <c r="I203" s="42" t="s">
        <v>7</v>
      </c>
      <c r="J203" s="1">
        <f>SUM(J204:J220)</f>
        <v>0</v>
      </c>
      <c r="K203" s="1">
        <f>SUM(K204:K220)</f>
        <v>0</v>
      </c>
      <c r="L203" s="1">
        <f>SUM(L204:L220)</f>
        <v>0</v>
      </c>
      <c r="M203" s="1">
        <f>SUM(M204:M220)</f>
        <v>0</v>
      </c>
      <c r="N203" s="43">
        <f>IF(L285=0,0,L203/L285)</f>
        <v>0</v>
      </c>
      <c r="O203" s="12" t="s">
        <v>54</v>
      </c>
      <c r="P203" s="1">
        <f>SUM(P204:P220)</f>
        <v>0.11188000000000001</v>
      </c>
      <c r="Q203" s="44" t="s">
        <v>54</v>
      </c>
      <c r="AI203" s="12" t="s">
        <v>54</v>
      </c>
      <c r="AS203" s="1">
        <f>SUM(AJ204:AJ220)</f>
        <v>0</v>
      </c>
      <c r="AT203" s="1">
        <f>SUM(AK204:AK220)</f>
        <v>0</v>
      </c>
      <c r="AU203" s="1">
        <f>SUM(AL204:AL220)</f>
        <v>0</v>
      </c>
    </row>
    <row r="204" spans="1:76" x14ac:dyDescent="0.25">
      <c r="A204" s="2" t="s">
        <v>478</v>
      </c>
      <c r="B204" s="3" t="s">
        <v>54</v>
      </c>
      <c r="C204" s="3" t="s">
        <v>479</v>
      </c>
      <c r="D204" s="95" t="s">
        <v>480</v>
      </c>
      <c r="E204" s="96"/>
      <c r="F204" s="3" t="s">
        <v>60</v>
      </c>
      <c r="G204" s="32">
        <v>2</v>
      </c>
      <c r="H204" s="89">
        <v>0</v>
      </c>
      <c r="I204" s="33">
        <v>21</v>
      </c>
      <c r="J204" s="32">
        <f>ROUND(G204*AO204,2)</f>
        <v>0</v>
      </c>
      <c r="K204" s="32">
        <f>ROUND(G204*AP204,2)</f>
        <v>0</v>
      </c>
      <c r="L204" s="32">
        <f>ROUND(G204*H204,2)</f>
        <v>0</v>
      </c>
      <c r="M204" s="32">
        <f>L204*(1+BW204/100)</f>
        <v>0</v>
      </c>
      <c r="N204" s="34">
        <f>IF(L285=0,0,L204/L285)</f>
        <v>0</v>
      </c>
      <c r="O204" s="32">
        <v>5.3100000000000001E-2</v>
      </c>
      <c r="P204" s="32">
        <f>G204*O204</f>
        <v>0.1062</v>
      </c>
      <c r="Q204" s="35" t="s">
        <v>61</v>
      </c>
      <c r="Z204" s="32">
        <f>ROUND(IF(AQ204="5",BJ204,0),2)</f>
        <v>0</v>
      </c>
      <c r="AB204" s="32">
        <f>ROUND(IF(AQ204="1",BH204,0),2)</f>
        <v>0</v>
      </c>
      <c r="AC204" s="32">
        <f>ROUND(IF(AQ204="1",BI204,0),2)</f>
        <v>0</v>
      </c>
      <c r="AD204" s="32">
        <f>ROUND(IF(AQ204="7",BH204,0),2)</f>
        <v>0</v>
      </c>
      <c r="AE204" s="32">
        <f>ROUND(IF(AQ204="7",BI204,0),2)</f>
        <v>0</v>
      </c>
      <c r="AF204" s="32">
        <f>ROUND(IF(AQ204="2",BH204,0),2)</f>
        <v>0</v>
      </c>
      <c r="AG204" s="32">
        <f>ROUND(IF(AQ204="2",BI204,0),2)</f>
        <v>0</v>
      </c>
      <c r="AH204" s="32">
        <f>ROUND(IF(AQ204="0",BJ204,0),2)</f>
        <v>0</v>
      </c>
      <c r="AI204" s="12" t="s">
        <v>54</v>
      </c>
      <c r="AJ204" s="32">
        <f>IF(AN204=0,L204,0)</f>
        <v>0</v>
      </c>
      <c r="AK204" s="32">
        <f>IF(AN204=12,L204,0)</f>
        <v>0</v>
      </c>
      <c r="AL204" s="32">
        <f>IF(AN204=21,L204,0)</f>
        <v>0</v>
      </c>
      <c r="AN204" s="32">
        <v>21</v>
      </c>
      <c r="AO204" s="32">
        <f>H204*0.964978443</f>
        <v>0</v>
      </c>
      <c r="AP204" s="32">
        <f>H204*(1-0.964978443)</f>
        <v>0</v>
      </c>
      <c r="AQ204" s="36" t="s">
        <v>87</v>
      </c>
      <c r="AV204" s="32">
        <f>ROUND(AW204+AX204,2)</f>
        <v>0</v>
      </c>
      <c r="AW204" s="32">
        <f>ROUND(G204*AO204,2)</f>
        <v>0</v>
      </c>
      <c r="AX204" s="32">
        <f>ROUND(G204*AP204,2)</f>
        <v>0</v>
      </c>
      <c r="AY204" s="36" t="s">
        <v>481</v>
      </c>
      <c r="AZ204" s="36" t="s">
        <v>443</v>
      </c>
      <c r="BA204" s="12" t="s">
        <v>63</v>
      </c>
      <c r="BC204" s="32">
        <f>AW204+AX204</f>
        <v>0</v>
      </c>
      <c r="BD204" s="32">
        <f>H204/(100-BE204)*100</f>
        <v>0</v>
      </c>
      <c r="BE204" s="32">
        <v>0</v>
      </c>
      <c r="BF204" s="32">
        <f>P204</f>
        <v>0.1062</v>
      </c>
      <c r="BH204" s="32">
        <f>G204*AO204</f>
        <v>0</v>
      </c>
      <c r="BI204" s="32">
        <f>G204*AP204</f>
        <v>0</v>
      </c>
      <c r="BJ204" s="32">
        <f>G204*H204</f>
        <v>0</v>
      </c>
      <c r="BK204" s="32"/>
      <c r="BL204" s="32">
        <v>735</v>
      </c>
      <c r="BW204" s="32">
        <f>I204</f>
        <v>21</v>
      </c>
      <c r="BX204" s="4" t="s">
        <v>480</v>
      </c>
    </row>
    <row r="205" spans="1:76" x14ac:dyDescent="0.25">
      <c r="A205" s="2" t="s">
        <v>482</v>
      </c>
      <c r="B205" s="3" t="s">
        <v>54</v>
      </c>
      <c r="C205" s="3" t="s">
        <v>483</v>
      </c>
      <c r="D205" s="95" t="s">
        <v>484</v>
      </c>
      <c r="E205" s="96"/>
      <c r="F205" s="3" t="s">
        <v>485</v>
      </c>
      <c r="G205" s="32">
        <v>113</v>
      </c>
      <c r="H205" s="89">
        <v>0</v>
      </c>
      <c r="I205" s="33">
        <v>21</v>
      </c>
      <c r="J205" s="32">
        <f>ROUND(G205*AO205,2)</f>
        <v>0</v>
      </c>
      <c r="K205" s="32">
        <f>ROUND(G205*AP205,2)</f>
        <v>0</v>
      </c>
      <c r="L205" s="32">
        <f>ROUND(G205*H205,2)</f>
        <v>0</v>
      </c>
      <c r="M205" s="32">
        <f>L205*(1+BW205/100)</f>
        <v>0</v>
      </c>
      <c r="N205" s="34">
        <f>IF(L285=0,0,L205/L285)</f>
        <v>0</v>
      </c>
      <c r="O205" s="32">
        <v>0</v>
      </c>
      <c r="P205" s="32">
        <f>G205*O205</f>
        <v>0</v>
      </c>
      <c r="Q205" s="35"/>
      <c r="Z205" s="32">
        <f>ROUND(IF(AQ205="5",BJ205,0),2)</f>
        <v>0</v>
      </c>
      <c r="AB205" s="32">
        <f>ROUND(IF(AQ205="1",BH205,0),2)</f>
        <v>0</v>
      </c>
      <c r="AC205" s="32">
        <f>ROUND(IF(AQ205="1",BI205,0),2)</f>
        <v>0</v>
      </c>
      <c r="AD205" s="32">
        <f>ROUND(IF(AQ205="7",BH205,0),2)</f>
        <v>0</v>
      </c>
      <c r="AE205" s="32">
        <f>ROUND(IF(AQ205="7",BI205,0),2)</f>
        <v>0</v>
      </c>
      <c r="AF205" s="32">
        <f>ROUND(IF(AQ205="2",BH205,0),2)</f>
        <v>0</v>
      </c>
      <c r="AG205" s="32">
        <f>ROUND(IF(AQ205="2",BI205,0),2)</f>
        <v>0</v>
      </c>
      <c r="AH205" s="32">
        <f>ROUND(IF(AQ205="0",BJ205,0),2)</f>
        <v>0</v>
      </c>
      <c r="AI205" s="12" t="s">
        <v>54</v>
      </c>
      <c r="AJ205" s="32">
        <f>IF(AN205=0,L205,0)</f>
        <v>0</v>
      </c>
      <c r="AK205" s="32">
        <f>IF(AN205=12,L205,0)</f>
        <v>0</v>
      </c>
      <c r="AL205" s="32">
        <f>IF(AN205=21,L205,0)</f>
        <v>0</v>
      </c>
      <c r="AN205" s="32">
        <v>21</v>
      </c>
      <c r="AO205" s="32">
        <f>H205*0.416058394</f>
        <v>0</v>
      </c>
      <c r="AP205" s="32">
        <f>H205*(1-0.416058394)</f>
        <v>0</v>
      </c>
      <c r="AQ205" s="36" t="s">
        <v>87</v>
      </c>
      <c r="AV205" s="32">
        <f>ROUND(AW205+AX205,2)</f>
        <v>0</v>
      </c>
      <c r="AW205" s="32">
        <f>ROUND(G205*AO205,2)</f>
        <v>0</v>
      </c>
      <c r="AX205" s="32">
        <f>ROUND(G205*AP205,2)</f>
        <v>0</v>
      </c>
      <c r="AY205" s="36" t="s">
        <v>481</v>
      </c>
      <c r="AZ205" s="36" t="s">
        <v>443</v>
      </c>
      <c r="BA205" s="12" t="s">
        <v>63</v>
      </c>
      <c r="BC205" s="32">
        <f>AW205+AX205</f>
        <v>0</v>
      </c>
      <c r="BD205" s="32">
        <f>H205/(100-BE205)*100</f>
        <v>0</v>
      </c>
      <c r="BE205" s="32">
        <v>0</v>
      </c>
      <c r="BF205" s="32">
        <f>P205</f>
        <v>0</v>
      </c>
      <c r="BH205" s="32">
        <f>G205*AO205</f>
        <v>0</v>
      </c>
      <c r="BI205" s="32">
        <f>G205*AP205</f>
        <v>0</v>
      </c>
      <c r="BJ205" s="32">
        <f>G205*H205</f>
        <v>0</v>
      </c>
      <c r="BK205" s="32"/>
      <c r="BL205" s="32">
        <v>735</v>
      </c>
      <c r="BW205" s="32">
        <f>I205</f>
        <v>21</v>
      </c>
      <c r="BX205" s="4" t="s">
        <v>484</v>
      </c>
    </row>
    <row r="206" spans="1:76" ht="13.5" customHeight="1" x14ac:dyDescent="0.25">
      <c r="A206" s="37"/>
      <c r="C206" s="38"/>
      <c r="D206" s="97" t="s">
        <v>742</v>
      </c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9"/>
    </row>
    <row r="207" spans="1:76" x14ac:dyDescent="0.25">
      <c r="A207" s="2" t="s">
        <v>486</v>
      </c>
      <c r="B207" s="3" t="s">
        <v>54</v>
      </c>
      <c r="C207" s="3" t="s">
        <v>487</v>
      </c>
      <c r="D207" s="95" t="s">
        <v>488</v>
      </c>
      <c r="E207" s="96"/>
      <c r="F207" s="3" t="s">
        <v>60</v>
      </c>
      <c r="G207" s="32">
        <v>10</v>
      </c>
      <c r="H207" s="89">
        <v>0</v>
      </c>
      <c r="I207" s="33">
        <v>21</v>
      </c>
      <c r="J207" s="32">
        <f>ROUND(G207*AO207,2)</f>
        <v>0</v>
      </c>
      <c r="K207" s="32">
        <f>ROUND(G207*AP207,2)</f>
        <v>0</v>
      </c>
      <c r="L207" s="32">
        <f>ROUND(G207*H207,2)</f>
        <v>0</v>
      </c>
      <c r="M207" s="32">
        <f>L207*(1+BW207/100)</f>
        <v>0</v>
      </c>
      <c r="N207" s="34">
        <f>IF(L285=0,0,L207/L285)</f>
        <v>0</v>
      </c>
      <c r="O207" s="32">
        <v>0</v>
      </c>
      <c r="P207" s="32">
        <f>G207*O207</f>
        <v>0</v>
      </c>
      <c r="Q207" s="35" t="s">
        <v>61</v>
      </c>
      <c r="Z207" s="32">
        <f>ROUND(IF(AQ207="5",BJ207,0),2)</f>
        <v>0</v>
      </c>
      <c r="AB207" s="32">
        <f>ROUND(IF(AQ207="1",BH207,0),2)</f>
        <v>0</v>
      </c>
      <c r="AC207" s="32">
        <f>ROUND(IF(AQ207="1",BI207,0),2)</f>
        <v>0</v>
      </c>
      <c r="AD207" s="32">
        <f>ROUND(IF(AQ207="7",BH207,0),2)</f>
        <v>0</v>
      </c>
      <c r="AE207" s="32">
        <f>ROUND(IF(AQ207="7",BI207,0),2)</f>
        <v>0</v>
      </c>
      <c r="AF207" s="32">
        <f>ROUND(IF(AQ207="2",BH207,0),2)</f>
        <v>0</v>
      </c>
      <c r="AG207" s="32">
        <f>ROUND(IF(AQ207="2",BI207,0),2)</f>
        <v>0</v>
      </c>
      <c r="AH207" s="32">
        <f>ROUND(IF(AQ207="0",BJ207,0),2)</f>
        <v>0</v>
      </c>
      <c r="AI207" s="12" t="s">
        <v>54</v>
      </c>
      <c r="AJ207" s="32">
        <f>IF(AN207=0,L207,0)</f>
        <v>0</v>
      </c>
      <c r="AK207" s="32">
        <f>IF(AN207=12,L207,0)</f>
        <v>0</v>
      </c>
      <c r="AL207" s="32">
        <f>IF(AN207=21,L207,0)</f>
        <v>0</v>
      </c>
      <c r="AN207" s="32">
        <v>21</v>
      </c>
      <c r="AO207" s="32">
        <f>H207*0.14147842</f>
        <v>0</v>
      </c>
      <c r="AP207" s="32">
        <f>H207*(1-0.14147842)</f>
        <v>0</v>
      </c>
      <c r="AQ207" s="36" t="s">
        <v>87</v>
      </c>
      <c r="AV207" s="32">
        <f>ROUND(AW207+AX207,2)</f>
        <v>0</v>
      </c>
      <c r="AW207" s="32">
        <f>ROUND(G207*AO207,2)</f>
        <v>0</v>
      </c>
      <c r="AX207" s="32">
        <f>ROUND(G207*AP207,2)</f>
        <v>0</v>
      </c>
      <c r="AY207" s="36" t="s">
        <v>481</v>
      </c>
      <c r="AZ207" s="36" t="s">
        <v>443</v>
      </c>
      <c r="BA207" s="12" t="s">
        <v>63</v>
      </c>
      <c r="BC207" s="32">
        <f>AW207+AX207</f>
        <v>0</v>
      </c>
      <c r="BD207" s="32">
        <f>H207/(100-BE207)*100</f>
        <v>0</v>
      </c>
      <c r="BE207" s="32">
        <v>0</v>
      </c>
      <c r="BF207" s="32">
        <f>P207</f>
        <v>0</v>
      </c>
      <c r="BH207" s="32">
        <f>G207*AO207</f>
        <v>0</v>
      </c>
      <c r="BI207" s="32">
        <f>G207*AP207</f>
        <v>0</v>
      </c>
      <c r="BJ207" s="32">
        <f>G207*H207</f>
        <v>0</v>
      </c>
      <c r="BK207" s="32"/>
      <c r="BL207" s="32">
        <v>735</v>
      </c>
      <c r="BW207" s="32">
        <f>I207</f>
        <v>21</v>
      </c>
      <c r="BX207" s="4" t="s">
        <v>488</v>
      </c>
    </row>
    <row r="208" spans="1:76" x14ac:dyDescent="0.25">
      <c r="A208" s="2" t="s">
        <v>489</v>
      </c>
      <c r="B208" s="3" t="s">
        <v>54</v>
      </c>
      <c r="C208" s="3" t="s">
        <v>490</v>
      </c>
      <c r="D208" s="95" t="s">
        <v>491</v>
      </c>
      <c r="E208" s="96"/>
      <c r="F208" s="3" t="s">
        <v>60</v>
      </c>
      <c r="G208" s="32">
        <v>8</v>
      </c>
      <c r="H208" s="89">
        <v>0</v>
      </c>
      <c r="I208" s="33">
        <v>21</v>
      </c>
      <c r="J208" s="32">
        <f>ROUND(G208*AO208,2)</f>
        <v>0</v>
      </c>
      <c r="K208" s="32">
        <f>ROUND(G208*AP208,2)</f>
        <v>0</v>
      </c>
      <c r="L208" s="32">
        <f>ROUND(G208*H208,2)</f>
        <v>0</v>
      </c>
      <c r="M208" s="32">
        <f>L208*(1+BW208/100)</f>
        <v>0</v>
      </c>
      <c r="N208" s="34">
        <f>IF(L285=0,0,L208/L285)</f>
        <v>0</v>
      </c>
      <c r="O208" s="32">
        <v>1.3999999999999999E-4</v>
      </c>
      <c r="P208" s="32">
        <f>G208*O208</f>
        <v>1.1199999999999999E-3</v>
      </c>
      <c r="Q208" s="35" t="s">
        <v>61</v>
      </c>
      <c r="Z208" s="32">
        <f>ROUND(IF(AQ208="5",BJ208,0),2)</f>
        <v>0</v>
      </c>
      <c r="AB208" s="32">
        <f>ROUND(IF(AQ208="1",BH208,0),2)</f>
        <v>0</v>
      </c>
      <c r="AC208" s="32">
        <f>ROUND(IF(AQ208="1",BI208,0),2)</f>
        <v>0</v>
      </c>
      <c r="AD208" s="32">
        <f>ROUND(IF(AQ208="7",BH208,0),2)</f>
        <v>0</v>
      </c>
      <c r="AE208" s="32">
        <f>ROUND(IF(AQ208="7",BI208,0),2)</f>
        <v>0</v>
      </c>
      <c r="AF208" s="32">
        <f>ROUND(IF(AQ208="2",BH208,0),2)</f>
        <v>0</v>
      </c>
      <c r="AG208" s="32">
        <f>ROUND(IF(AQ208="2",BI208,0),2)</f>
        <v>0</v>
      </c>
      <c r="AH208" s="32">
        <f>ROUND(IF(AQ208="0",BJ208,0),2)</f>
        <v>0</v>
      </c>
      <c r="AI208" s="12" t="s">
        <v>54</v>
      </c>
      <c r="AJ208" s="32">
        <f>IF(AN208=0,L208,0)</f>
        <v>0</v>
      </c>
      <c r="AK208" s="32">
        <f>IF(AN208=12,L208,0)</f>
        <v>0</v>
      </c>
      <c r="AL208" s="32">
        <f>IF(AN208=21,L208,0)</f>
        <v>0</v>
      </c>
      <c r="AN208" s="32">
        <v>21</v>
      </c>
      <c r="AO208" s="32">
        <f>H208*0.949510309</f>
        <v>0</v>
      </c>
      <c r="AP208" s="32">
        <f>H208*(1-0.949510309)</f>
        <v>0</v>
      </c>
      <c r="AQ208" s="36" t="s">
        <v>87</v>
      </c>
      <c r="AV208" s="32">
        <f>ROUND(AW208+AX208,2)</f>
        <v>0</v>
      </c>
      <c r="AW208" s="32">
        <f>ROUND(G208*AO208,2)</f>
        <v>0</v>
      </c>
      <c r="AX208" s="32">
        <f>ROUND(G208*AP208,2)</f>
        <v>0</v>
      </c>
      <c r="AY208" s="36" t="s">
        <v>481</v>
      </c>
      <c r="AZ208" s="36" t="s">
        <v>443</v>
      </c>
      <c r="BA208" s="12" t="s">
        <v>63</v>
      </c>
      <c r="BC208" s="32">
        <f>AW208+AX208</f>
        <v>0</v>
      </c>
      <c r="BD208" s="32">
        <f>H208/(100-BE208)*100</f>
        <v>0</v>
      </c>
      <c r="BE208" s="32">
        <v>0</v>
      </c>
      <c r="BF208" s="32">
        <f>P208</f>
        <v>1.1199999999999999E-3</v>
      </c>
      <c r="BH208" s="32">
        <f>G208*AO208</f>
        <v>0</v>
      </c>
      <c r="BI208" s="32">
        <f>G208*AP208</f>
        <v>0</v>
      </c>
      <c r="BJ208" s="32">
        <f>G208*H208</f>
        <v>0</v>
      </c>
      <c r="BK208" s="32"/>
      <c r="BL208" s="32">
        <v>735</v>
      </c>
      <c r="BW208" s="32">
        <f>I208</f>
        <v>21</v>
      </c>
      <c r="BX208" s="4" t="s">
        <v>491</v>
      </c>
    </row>
    <row r="209" spans="1:76" x14ac:dyDescent="0.25">
      <c r="A209" s="2" t="s">
        <v>492</v>
      </c>
      <c r="B209" s="3" t="s">
        <v>54</v>
      </c>
      <c r="C209" s="3" t="s">
        <v>493</v>
      </c>
      <c r="D209" s="95" t="s">
        <v>494</v>
      </c>
      <c r="E209" s="96"/>
      <c r="F209" s="3" t="s">
        <v>60</v>
      </c>
      <c r="G209" s="32">
        <v>8</v>
      </c>
      <c r="H209" s="89">
        <v>0</v>
      </c>
      <c r="I209" s="33">
        <v>21</v>
      </c>
      <c r="J209" s="32">
        <f>ROUND(G209*AO209,2)</f>
        <v>0</v>
      </c>
      <c r="K209" s="32">
        <f>ROUND(G209*AP209,2)</f>
        <v>0</v>
      </c>
      <c r="L209" s="32">
        <f>ROUND(G209*H209,2)</f>
        <v>0</v>
      </c>
      <c r="M209" s="32">
        <f>L209*(1+BW209/100)</f>
        <v>0</v>
      </c>
      <c r="N209" s="34">
        <f>IF(L285=0,0,L209/L285)</f>
        <v>0</v>
      </c>
      <c r="O209" s="32">
        <v>2.0000000000000001E-4</v>
      </c>
      <c r="P209" s="32">
        <f>G209*O209</f>
        <v>1.6000000000000001E-3</v>
      </c>
      <c r="Q209" s="35" t="s">
        <v>61</v>
      </c>
      <c r="Z209" s="32">
        <f>ROUND(IF(AQ209="5",BJ209,0),2)</f>
        <v>0</v>
      </c>
      <c r="AB209" s="32">
        <f>ROUND(IF(AQ209="1",BH209,0),2)</f>
        <v>0</v>
      </c>
      <c r="AC209" s="32">
        <f>ROUND(IF(AQ209="1",BI209,0),2)</f>
        <v>0</v>
      </c>
      <c r="AD209" s="32">
        <f>ROUND(IF(AQ209="7",BH209,0),2)</f>
        <v>0</v>
      </c>
      <c r="AE209" s="32">
        <f>ROUND(IF(AQ209="7",BI209,0),2)</f>
        <v>0</v>
      </c>
      <c r="AF209" s="32">
        <f>ROUND(IF(AQ209="2",BH209,0),2)</f>
        <v>0</v>
      </c>
      <c r="AG209" s="32">
        <f>ROUND(IF(AQ209="2",BI209,0),2)</f>
        <v>0</v>
      </c>
      <c r="AH209" s="32">
        <f>ROUND(IF(AQ209="0",BJ209,0),2)</f>
        <v>0</v>
      </c>
      <c r="AI209" s="12" t="s">
        <v>54</v>
      </c>
      <c r="AJ209" s="32">
        <f>IF(AN209=0,L209,0)</f>
        <v>0</v>
      </c>
      <c r="AK209" s="32">
        <f>IF(AN209=12,L209,0)</f>
        <v>0</v>
      </c>
      <c r="AL209" s="32">
        <f>IF(AN209=21,L209,0)</f>
        <v>0</v>
      </c>
      <c r="AN209" s="32">
        <v>21</v>
      </c>
      <c r="AO209" s="32">
        <f>H209*0.849445196</f>
        <v>0</v>
      </c>
      <c r="AP209" s="32">
        <f>H209*(1-0.849445196)</f>
        <v>0</v>
      </c>
      <c r="AQ209" s="36" t="s">
        <v>87</v>
      </c>
      <c r="AV209" s="32">
        <f>ROUND(AW209+AX209,2)</f>
        <v>0</v>
      </c>
      <c r="AW209" s="32">
        <f>ROUND(G209*AO209,2)</f>
        <v>0</v>
      </c>
      <c r="AX209" s="32">
        <f>ROUND(G209*AP209,2)</f>
        <v>0</v>
      </c>
      <c r="AY209" s="36" t="s">
        <v>481</v>
      </c>
      <c r="AZ209" s="36" t="s">
        <v>443</v>
      </c>
      <c r="BA209" s="12" t="s">
        <v>63</v>
      </c>
      <c r="BC209" s="32">
        <f>AW209+AX209</f>
        <v>0</v>
      </c>
      <c r="BD209" s="32">
        <f>H209/(100-BE209)*100</f>
        <v>0</v>
      </c>
      <c r="BE209" s="32">
        <v>0</v>
      </c>
      <c r="BF209" s="32">
        <f>P209</f>
        <v>1.6000000000000001E-3</v>
      </c>
      <c r="BH209" s="32">
        <f>G209*AO209</f>
        <v>0</v>
      </c>
      <c r="BI209" s="32">
        <f>G209*AP209</f>
        <v>0</v>
      </c>
      <c r="BJ209" s="32">
        <f>G209*H209</f>
        <v>0</v>
      </c>
      <c r="BK209" s="32"/>
      <c r="BL209" s="32">
        <v>735</v>
      </c>
      <c r="BW209" s="32">
        <f>I209</f>
        <v>21</v>
      </c>
      <c r="BX209" s="4" t="s">
        <v>494</v>
      </c>
    </row>
    <row r="210" spans="1:76" ht="13.5" customHeight="1" x14ac:dyDescent="0.25">
      <c r="A210" s="37"/>
      <c r="C210" s="38"/>
      <c r="D210" s="100" t="s">
        <v>495</v>
      </c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9"/>
    </row>
    <row r="211" spans="1:76" x14ac:dyDescent="0.25">
      <c r="A211" s="2" t="s">
        <v>496</v>
      </c>
      <c r="B211" s="3" t="s">
        <v>54</v>
      </c>
      <c r="C211" s="3" t="s">
        <v>497</v>
      </c>
      <c r="D211" s="95" t="s">
        <v>498</v>
      </c>
      <c r="E211" s="96"/>
      <c r="F211" s="3" t="s">
        <v>60</v>
      </c>
      <c r="G211" s="32">
        <v>8</v>
      </c>
      <c r="H211" s="89">
        <v>0</v>
      </c>
      <c r="I211" s="33">
        <v>21</v>
      </c>
      <c r="J211" s="32">
        <f>ROUND(G211*AO211,2)</f>
        <v>0</v>
      </c>
      <c r="K211" s="32">
        <f>ROUND(G211*AP211,2)</f>
        <v>0</v>
      </c>
      <c r="L211" s="32">
        <f>ROUND(G211*H211,2)</f>
        <v>0</v>
      </c>
      <c r="M211" s="32">
        <f>L211*(1+BW211/100)</f>
        <v>0</v>
      </c>
      <c r="N211" s="34">
        <f>IF(L285=0,0,L211/L285)</f>
        <v>0</v>
      </c>
      <c r="O211" s="32">
        <v>2.5999999999999998E-4</v>
      </c>
      <c r="P211" s="32">
        <f>G211*O211</f>
        <v>2.0799999999999998E-3</v>
      </c>
      <c r="Q211" s="35" t="s">
        <v>61</v>
      </c>
      <c r="Z211" s="32">
        <f>ROUND(IF(AQ211="5",BJ211,0),2)</f>
        <v>0</v>
      </c>
      <c r="AB211" s="32">
        <f>ROUND(IF(AQ211="1",BH211,0),2)</f>
        <v>0</v>
      </c>
      <c r="AC211" s="32">
        <f>ROUND(IF(AQ211="1",BI211,0),2)</f>
        <v>0</v>
      </c>
      <c r="AD211" s="32">
        <f>ROUND(IF(AQ211="7",BH211,0),2)</f>
        <v>0</v>
      </c>
      <c r="AE211" s="32">
        <f>ROUND(IF(AQ211="7",BI211,0),2)</f>
        <v>0</v>
      </c>
      <c r="AF211" s="32">
        <f>ROUND(IF(AQ211="2",BH211,0),2)</f>
        <v>0</v>
      </c>
      <c r="AG211" s="32">
        <f>ROUND(IF(AQ211="2",BI211,0),2)</f>
        <v>0</v>
      </c>
      <c r="AH211" s="32">
        <f>ROUND(IF(AQ211="0",BJ211,0),2)</f>
        <v>0</v>
      </c>
      <c r="AI211" s="12" t="s">
        <v>54</v>
      </c>
      <c r="AJ211" s="32">
        <f>IF(AN211=0,L211,0)</f>
        <v>0</v>
      </c>
      <c r="AK211" s="32">
        <f>IF(AN211=12,L211,0)</f>
        <v>0</v>
      </c>
      <c r="AL211" s="32">
        <f>IF(AN211=21,L211,0)</f>
        <v>0</v>
      </c>
      <c r="AN211" s="32">
        <v>21</v>
      </c>
      <c r="AO211" s="32">
        <f>H211*0.896547619</f>
        <v>0</v>
      </c>
      <c r="AP211" s="32">
        <f>H211*(1-0.896547619)</f>
        <v>0</v>
      </c>
      <c r="AQ211" s="36" t="s">
        <v>87</v>
      </c>
      <c r="AV211" s="32">
        <f>ROUND(AW211+AX211,2)</f>
        <v>0</v>
      </c>
      <c r="AW211" s="32">
        <f>ROUND(G211*AO211,2)</f>
        <v>0</v>
      </c>
      <c r="AX211" s="32">
        <f>ROUND(G211*AP211,2)</f>
        <v>0</v>
      </c>
      <c r="AY211" s="36" t="s">
        <v>481</v>
      </c>
      <c r="AZ211" s="36" t="s">
        <v>443</v>
      </c>
      <c r="BA211" s="12" t="s">
        <v>63</v>
      </c>
      <c r="BC211" s="32">
        <f>AW211+AX211</f>
        <v>0</v>
      </c>
      <c r="BD211" s="32">
        <f>H211/(100-BE211)*100</f>
        <v>0</v>
      </c>
      <c r="BE211" s="32">
        <v>0</v>
      </c>
      <c r="BF211" s="32">
        <f>P211</f>
        <v>2.0799999999999998E-3</v>
      </c>
      <c r="BH211" s="32">
        <f>G211*AO211</f>
        <v>0</v>
      </c>
      <c r="BI211" s="32">
        <f>G211*AP211</f>
        <v>0</v>
      </c>
      <c r="BJ211" s="32">
        <f>G211*H211</f>
        <v>0</v>
      </c>
      <c r="BK211" s="32"/>
      <c r="BL211" s="32">
        <v>735</v>
      </c>
      <c r="BW211" s="32">
        <f>I211</f>
        <v>21</v>
      </c>
      <c r="BX211" s="4" t="s">
        <v>498</v>
      </c>
    </row>
    <row r="212" spans="1:76" x14ac:dyDescent="0.25">
      <c r="A212" s="2" t="s">
        <v>499</v>
      </c>
      <c r="B212" s="3" t="s">
        <v>54</v>
      </c>
      <c r="C212" s="3" t="s">
        <v>483</v>
      </c>
      <c r="D212" s="95" t="s">
        <v>500</v>
      </c>
      <c r="E212" s="96"/>
      <c r="F212" s="3" t="s">
        <v>60</v>
      </c>
      <c r="G212" s="32">
        <v>16</v>
      </c>
      <c r="H212" s="89">
        <v>0</v>
      </c>
      <c r="I212" s="33">
        <v>21</v>
      </c>
      <c r="J212" s="32">
        <f>ROUND(G212*AO212,2)</f>
        <v>0</v>
      </c>
      <c r="K212" s="32">
        <f>ROUND(G212*AP212,2)</f>
        <v>0</v>
      </c>
      <c r="L212" s="32">
        <f>ROUND(G212*H212,2)</f>
        <v>0</v>
      </c>
      <c r="M212" s="32">
        <f>L212*(1+BW212/100)</f>
        <v>0</v>
      </c>
      <c r="N212" s="34">
        <f>IF(L285=0,0,L212/L285)</f>
        <v>0</v>
      </c>
      <c r="O212" s="32">
        <v>0</v>
      </c>
      <c r="P212" s="32">
        <f>G212*O212</f>
        <v>0</v>
      </c>
      <c r="Q212" s="35"/>
      <c r="Z212" s="32">
        <f>ROUND(IF(AQ212="5",BJ212,0),2)</f>
        <v>0</v>
      </c>
      <c r="AB212" s="32">
        <f>ROUND(IF(AQ212="1",BH212,0),2)</f>
        <v>0</v>
      </c>
      <c r="AC212" s="32">
        <f>ROUND(IF(AQ212="1",BI212,0),2)</f>
        <v>0</v>
      </c>
      <c r="AD212" s="32">
        <f>ROUND(IF(AQ212="7",BH212,0),2)</f>
        <v>0</v>
      </c>
      <c r="AE212" s="32">
        <f>ROUND(IF(AQ212="7",BI212,0),2)</f>
        <v>0</v>
      </c>
      <c r="AF212" s="32">
        <f>ROUND(IF(AQ212="2",BH212,0),2)</f>
        <v>0</v>
      </c>
      <c r="AG212" s="32">
        <f>ROUND(IF(AQ212="2",BI212,0),2)</f>
        <v>0</v>
      </c>
      <c r="AH212" s="32">
        <f>ROUND(IF(AQ212="0",BJ212,0),2)</f>
        <v>0</v>
      </c>
      <c r="AI212" s="12" t="s">
        <v>54</v>
      </c>
      <c r="AJ212" s="32">
        <f>IF(AN212=0,L212,0)</f>
        <v>0</v>
      </c>
      <c r="AK212" s="32">
        <f>IF(AN212=12,L212,0)</f>
        <v>0</v>
      </c>
      <c r="AL212" s="32">
        <f>IF(AN212=21,L212,0)</f>
        <v>0</v>
      </c>
      <c r="AN212" s="32">
        <v>21</v>
      </c>
      <c r="AO212" s="32">
        <f>H212*1</f>
        <v>0</v>
      </c>
      <c r="AP212" s="32">
        <f>H212*(1-1)</f>
        <v>0</v>
      </c>
      <c r="AQ212" s="36" t="s">
        <v>87</v>
      </c>
      <c r="AV212" s="32">
        <f>ROUND(AW212+AX212,2)</f>
        <v>0</v>
      </c>
      <c r="AW212" s="32">
        <f>ROUND(G212*AO212,2)</f>
        <v>0</v>
      </c>
      <c r="AX212" s="32">
        <f>ROUND(G212*AP212,2)</f>
        <v>0</v>
      </c>
      <c r="AY212" s="36" t="s">
        <v>481</v>
      </c>
      <c r="AZ212" s="36" t="s">
        <v>443</v>
      </c>
      <c r="BA212" s="12" t="s">
        <v>63</v>
      </c>
      <c r="BC212" s="32">
        <f>AW212+AX212</f>
        <v>0</v>
      </c>
      <c r="BD212" s="32">
        <f>H212/(100-BE212)*100</f>
        <v>0</v>
      </c>
      <c r="BE212" s="32">
        <v>0</v>
      </c>
      <c r="BF212" s="32">
        <f>P212</f>
        <v>0</v>
      </c>
      <c r="BH212" s="32">
        <f>G212*AO212</f>
        <v>0</v>
      </c>
      <c r="BI212" s="32">
        <f>G212*AP212</f>
        <v>0</v>
      </c>
      <c r="BJ212" s="32">
        <f>G212*H212</f>
        <v>0</v>
      </c>
      <c r="BK212" s="32"/>
      <c r="BL212" s="32">
        <v>735</v>
      </c>
      <c r="BW212" s="32">
        <f>I212</f>
        <v>21</v>
      </c>
      <c r="BX212" s="4" t="s">
        <v>500</v>
      </c>
    </row>
    <row r="213" spans="1:76" ht="13.5" customHeight="1" x14ac:dyDescent="0.25">
      <c r="A213" s="37"/>
      <c r="C213" s="38"/>
      <c r="D213" s="100" t="s">
        <v>501</v>
      </c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9"/>
    </row>
    <row r="214" spans="1:76" x14ac:dyDescent="0.25">
      <c r="A214" s="2" t="s">
        <v>502</v>
      </c>
      <c r="B214" s="3" t="s">
        <v>54</v>
      </c>
      <c r="C214" s="3" t="s">
        <v>503</v>
      </c>
      <c r="D214" s="95" t="s">
        <v>504</v>
      </c>
      <c r="E214" s="96"/>
      <c r="F214" s="3" t="s">
        <v>60</v>
      </c>
      <c r="G214" s="32">
        <v>2</v>
      </c>
      <c r="H214" s="89">
        <v>0</v>
      </c>
      <c r="I214" s="33">
        <v>21</v>
      </c>
      <c r="J214" s="32">
        <f>ROUND(G214*AO214,2)</f>
        <v>0</v>
      </c>
      <c r="K214" s="32">
        <f>ROUND(G214*AP214,2)</f>
        <v>0</v>
      </c>
      <c r="L214" s="32">
        <f>ROUND(G214*H214,2)</f>
        <v>0</v>
      </c>
      <c r="M214" s="32">
        <f>L214*(1+BW214/100)</f>
        <v>0</v>
      </c>
      <c r="N214" s="34">
        <f>IF(L285=0,0,L214/L285)</f>
        <v>0</v>
      </c>
      <c r="O214" s="32">
        <v>4.4000000000000002E-4</v>
      </c>
      <c r="P214" s="32">
        <f>G214*O214</f>
        <v>8.8000000000000003E-4</v>
      </c>
      <c r="Q214" s="35" t="s">
        <v>61</v>
      </c>
      <c r="Z214" s="32">
        <f>ROUND(IF(AQ214="5",BJ214,0),2)</f>
        <v>0</v>
      </c>
      <c r="AB214" s="32">
        <f>ROUND(IF(AQ214="1",BH214,0),2)</f>
        <v>0</v>
      </c>
      <c r="AC214" s="32">
        <f>ROUND(IF(AQ214="1",BI214,0),2)</f>
        <v>0</v>
      </c>
      <c r="AD214" s="32">
        <f>ROUND(IF(AQ214="7",BH214,0),2)</f>
        <v>0</v>
      </c>
      <c r="AE214" s="32">
        <f>ROUND(IF(AQ214="7",BI214,0),2)</f>
        <v>0</v>
      </c>
      <c r="AF214" s="32">
        <f>ROUND(IF(AQ214="2",BH214,0),2)</f>
        <v>0</v>
      </c>
      <c r="AG214" s="32">
        <f>ROUND(IF(AQ214="2",BI214,0),2)</f>
        <v>0</v>
      </c>
      <c r="AH214" s="32">
        <f>ROUND(IF(AQ214="0",BJ214,0),2)</f>
        <v>0</v>
      </c>
      <c r="AI214" s="12" t="s">
        <v>54</v>
      </c>
      <c r="AJ214" s="32">
        <f>IF(AN214=0,L214,0)</f>
        <v>0</v>
      </c>
      <c r="AK214" s="32">
        <f>IF(AN214=12,L214,0)</f>
        <v>0</v>
      </c>
      <c r="AL214" s="32">
        <f>IF(AN214=21,L214,0)</f>
        <v>0</v>
      </c>
      <c r="AN214" s="32">
        <v>21</v>
      </c>
      <c r="AO214" s="32">
        <f>H214*1</f>
        <v>0</v>
      </c>
      <c r="AP214" s="32">
        <f>H214*(1-1)</f>
        <v>0</v>
      </c>
      <c r="AQ214" s="36" t="s">
        <v>87</v>
      </c>
      <c r="AV214" s="32">
        <f>ROUND(AW214+AX214,2)</f>
        <v>0</v>
      </c>
      <c r="AW214" s="32">
        <f>ROUND(G214*AO214,2)</f>
        <v>0</v>
      </c>
      <c r="AX214" s="32">
        <f>ROUND(G214*AP214,2)</f>
        <v>0</v>
      </c>
      <c r="AY214" s="36" t="s">
        <v>481</v>
      </c>
      <c r="AZ214" s="36" t="s">
        <v>443</v>
      </c>
      <c r="BA214" s="12" t="s">
        <v>63</v>
      </c>
      <c r="BC214" s="32">
        <f>AW214+AX214</f>
        <v>0</v>
      </c>
      <c r="BD214" s="32">
        <f>H214/(100-BE214)*100</f>
        <v>0</v>
      </c>
      <c r="BE214" s="32">
        <v>0</v>
      </c>
      <c r="BF214" s="32">
        <f>P214</f>
        <v>8.8000000000000003E-4</v>
      </c>
      <c r="BH214" s="32">
        <f>G214*AO214</f>
        <v>0</v>
      </c>
      <c r="BI214" s="32">
        <f>G214*AP214</f>
        <v>0</v>
      </c>
      <c r="BJ214" s="32">
        <f>G214*H214</f>
        <v>0</v>
      </c>
      <c r="BK214" s="32"/>
      <c r="BL214" s="32">
        <v>735</v>
      </c>
      <c r="BW214" s="32">
        <f>I214</f>
        <v>21</v>
      </c>
      <c r="BX214" s="4" t="s">
        <v>504</v>
      </c>
    </row>
    <row r="215" spans="1:76" x14ac:dyDescent="0.25">
      <c r="A215" s="37"/>
      <c r="C215" s="38"/>
      <c r="D215" s="100" t="s">
        <v>505</v>
      </c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9"/>
      <c r="BX215" s="39" t="s">
        <v>505</v>
      </c>
    </row>
    <row r="216" spans="1:76" x14ac:dyDescent="0.25">
      <c r="A216" s="2" t="s">
        <v>506</v>
      </c>
      <c r="B216" s="3" t="s">
        <v>54</v>
      </c>
      <c r="C216" s="3" t="s">
        <v>483</v>
      </c>
      <c r="D216" s="95" t="s">
        <v>507</v>
      </c>
      <c r="E216" s="96"/>
      <c r="F216" s="3" t="s">
        <v>60</v>
      </c>
      <c r="G216" s="32">
        <v>4</v>
      </c>
      <c r="H216" s="89">
        <v>0</v>
      </c>
      <c r="I216" s="33">
        <v>21</v>
      </c>
      <c r="J216" s="32">
        <f>ROUND(G216*AO216,2)</f>
        <v>0</v>
      </c>
      <c r="K216" s="32">
        <f>ROUND(G216*AP216,2)</f>
        <v>0</v>
      </c>
      <c r="L216" s="32">
        <f>ROUND(G216*H216,2)</f>
        <v>0</v>
      </c>
      <c r="M216" s="32">
        <f>L216*(1+BW216/100)</f>
        <v>0</v>
      </c>
      <c r="N216" s="34">
        <f>IF(L285=0,0,L216/L285)</f>
        <v>0</v>
      </c>
      <c r="O216" s="32">
        <v>0</v>
      </c>
      <c r="P216" s="32">
        <f>G216*O216</f>
        <v>0</v>
      </c>
      <c r="Q216" s="35"/>
      <c r="Z216" s="32">
        <f>ROUND(IF(AQ216="5",BJ216,0),2)</f>
        <v>0</v>
      </c>
      <c r="AB216" s="32">
        <f>ROUND(IF(AQ216="1",BH216,0),2)</f>
        <v>0</v>
      </c>
      <c r="AC216" s="32">
        <f>ROUND(IF(AQ216="1",BI216,0),2)</f>
        <v>0</v>
      </c>
      <c r="AD216" s="32">
        <f>ROUND(IF(AQ216="7",BH216,0),2)</f>
        <v>0</v>
      </c>
      <c r="AE216" s="32">
        <f>ROUND(IF(AQ216="7",BI216,0),2)</f>
        <v>0</v>
      </c>
      <c r="AF216" s="32">
        <f>ROUND(IF(AQ216="2",BH216,0),2)</f>
        <v>0</v>
      </c>
      <c r="AG216" s="32">
        <f>ROUND(IF(AQ216="2",BI216,0),2)</f>
        <v>0</v>
      </c>
      <c r="AH216" s="32">
        <f>ROUND(IF(AQ216="0",BJ216,0),2)</f>
        <v>0</v>
      </c>
      <c r="AI216" s="12" t="s">
        <v>54</v>
      </c>
      <c r="AJ216" s="32">
        <f>IF(AN216=0,L216,0)</f>
        <v>0</v>
      </c>
      <c r="AK216" s="32">
        <f>IF(AN216=12,L216,0)</f>
        <v>0</v>
      </c>
      <c r="AL216" s="32">
        <f>IF(AN216=21,L216,0)</f>
        <v>0</v>
      </c>
      <c r="AN216" s="32">
        <v>21</v>
      </c>
      <c r="AO216" s="32">
        <f>H216*1</f>
        <v>0</v>
      </c>
      <c r="AP216" s="32">
        <f>H216*(1-1)</f>
        <v>0</v>
      </c>
      <c r="AQ216" s="36" t="s">
        <v>87</v>
      </c>
      <c r="AV216" s="32">
        <f>ROUND(AW216+AX216,2)</f>
        <v>0</v>
      </c>
      <c r="AW216" s="32">
        <f>ROUND(G216*AO216,2)</f>
        <v>0</v>
      </c>
      <c r="AX216" s="32">
        <f>ROUND(G216*AP216,2)</f>
        <v>0</v>
      </c>
      <c r="AY216" s="36" t="s">
        <v>481</v>
      </c>
      <c r="AZ216" s="36" t="s">
        <v>443</v>
      </c>
      <c r="BA216" s="12" t="s">
        <v>63</v>
      </c>
      <c r="BC216" s="32">
        <f>AW216+AX216</f>
        <v>0</v>
      </c>
      <c r="BD216" s="32">
        <f>H216/(100-BE216)*100</f>
        <v>0</v>
      </c>
      <c r="BE216" s="32">
        <v>0</v>
      </c>
      <c r="BF216" s="32">
        <f>P216</f>
        <v>0</v>
      </c>
      <c r="BH216" s="32">
        <f>G216*AO216</f>
        <v>0</v>
      </c>
      <c r="BI216" s="32">
        <f>G216*AP216</f>
        <v>0</v>
      </c>
      <c r="BJ216" s="32">
        <f>G216*H216</f>
        <v>0</v>
      </c>
      <c r="BK216" s="32"/>
      <c r="BL216" s="32">
        <v>735</v>
      </c>
      <c r="BW216" s="32">
        <f>I216</f>
        <v>21</v>
      </c>
      <c r="BX216" s="4" t="s">
        <v>507</v>
      </c>
    </row>
    <row r="217" spans="1:76" ht="13.5" customHeight="1" x14ac:dyDescent="0.25">
      <c r="A217" s="37"/>
      <c r="C217" s="38"/>
      <c r="D217" s="97" t="s">
        <v>741</v>
      </c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9"/>
    </row>
    <row r="218" spans="1:76" x14ac:dyDescent="0.25">
      <c r="A218" s="2" t="s">
        <v>508</v>
      </c>
      <c r="B218" s="3" t="s">
        <v>54</v>
      </c>
      <c r="C218" s="3" t="s">
        <v>483</v>
      </c>
      <c r="D218" s="95" t="s">
        <v>321</v>
      </c>
      <c r="E218" s="96"/>
      <c r="F218" s="3" t="s">
        <v>239</v>
      </c>
      <c r="G218" s="32">
        <v>1</v>
      </c>
      <c r="H218" s="89">
        <v>0</v>
      </c>
      <c r="I218" s="33">
        <v>21</v>
      </c>
      <c r="J218" s="32">
        <f>ROUND(G218*AO218,2)</f>
        <v>0</v>
      </c>
      <c r="K218" s="32">
        <f>ROUND(G218*AP218,2)</f>
        <v>0</v>
      </c>
      <c r="L218" s="32">
        <f>ROUND(G218*H218,2)</f>
        <v>0</v>
      </c>
      <c r="M218" s="32">
        <f>L218*(1+BW218/100)</f>
        <v>0</v>
      </c>
      <c r="N218" s="34">
        <f>IF(L285=0,0,L218/L285)</f>
        <v>0</v>
      </c>
      <c r="O218" s="32">
        <v>0</v>
      </c>
      <c r="P218" s="32">
        <f>G218*O218</f>
        <v>0</v>
      </c>
      <c r="Q218" s="35"/>
      <c r="Z218" s="32">
        <f>ROUND(IF(AQ218="5",BJ218,0),2)</f>
        <v>0</v>
      </c>
      <c r="AB218" s="32">
        <f>ROUND(IF(AQ218="1",BH218,0),2)</f>
        <v>0</v>
      </c>
      <c r="AC218" s="32">
        <f>ROUND(IF(AQ218="1",BI218,0),2)</f>
        <v>0</v>
      </c>
      <c r="AD218" s="32">
        <f>ROUND(IF(AQ218="7",BH218,0),2)</f>
        <v>0</v>
      </c>
      <c r="AE218" s="32">
        <f>ROUND(IF(AQ218="7",BI218,0),2)</f>
        <v>0</v>
      </c>
      <c r="AF218" s="32">
        <f>ROUND(IF(AQ218="2",BH218,0),2)</f>
        <v>0</v>
      </c>
      <c r="AG218" s="32">
        <f>ROUND(IF(AQ218="2",BI218,0),2)</f>
        <v>0</v>
      </c>
      <c r="AH218" s="32">
        <f>ROUND(IF(AQ218="0",BJ218,0),2)</f>
        <v>0</v>
      </c>
      <c r="AI218" s="12" t="s">
        <v>54</v>
      </c>
      <c r="AJ218" s="32">
        <f>IF(AN218=0,L218,0)</f>
        <v>0</v>
      </c>
      <c r="AK218" s="32">
        <f>IF(AN218=12,L218,0)</f>
        <v>0</v>
      </c>
      <c r="AL218" s="32">
        <f>IF(AN218=21,L218,0)</f>
        <v>0</v>
      </c>
      <c r="AN218" s="32">
        <v>21</v>
      </c>
      <c r="AO218" s="32">
        <f>H218*0.815099415</f>
        <v>0</v>
      </c>
      <c r="AP218" s="32">
        <f>H218*(1-0.815099415)</f>
        <v>0</v>
      </c>
      <c r="AQ218" s="36" t="s">
        <v>87</v>
      </c>
      <c r="AV218" s="32">
        <f>ROUND(AW218+AX218,2)</f>
        <v>0</v>
      </c>
      <c r="AW218" s="32">
        <f>ROUND(G218*AO218,2)</f>
        <v>0</v>
      </c>
      <c r="AX218" s="32">
        <f>ROUND(G218*AP218,2)</f>
        <v>0</v>
      </c>
      <c r="AY218" s="36" t="s">
        <v>481</v>
      </c>
      <c r="AZ218" s="36" t="s">
        <v>443</v>
      </c>
      <c r="BA218" s="12" t="s">
        <v>63</v>
      </c>
      <c r="BC218" s="32">
        <f>AW218+AX218</f>
        <v>0</v>
      </c>
      <c r="BD218" s="32">
        <f>H218/(100-BE218)*100</f>
        <v>0</v>
      </c>
      <c r="BE218" s="32">
        <v>0</v>
      </c>
      <c r="BF218" s="32">
        <f>P218</f>
        <v>0</v>
      </c>
      <c r="BH218" s="32">
        <f>G218*AO218</f>
        <v>0</v>
      </c>
      <c r="BI218" s="32">
        <f>G218*AP218</f>
        <v>0</v>
      </c>
      <c r="BJ218" s="32">
        <f>G218*H218</f>
        <v>0</v>
      </c>
      <c r="BK218" s="32"/>
      <c r="BL218" s="32">
        <v>735</v>
      </c>
      <c r="BW218" s="32">
        <f>I218</f>
        <v>21</v>
      </c>
      <c r="BX218" s="4" t="s">
        <v>321</v>
      </c>
    </row>
    <row r="219" spans="1:76" ht="13.5" customHeight="1" x14ac:dyDescent="0.25">
      <c r="A219" s="37"/>
      <c r="C219" s="38"/>
      <c r="D219" s="100" t="s">
        <v>509</v>
      </c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9"/>
    </row>
    <row r="220" spans="1:76" x14ac:dyDescent="0.25">
      <c r="A220" s="2" t="s">
        <v>510</v>
      </c>
      <c r="B220" s="3" t="s">
        <v>54</v>
      </c>
      <c r="C220" s="3" t="s">
        <v>511</v>
      </c>
      <c r="D220" s="95" t="s">
        <v>512</v>
      </c>
      <c r="E220" s="96"/>
      <c r="F220" s="3" t="s">
        <v>239</v>
      </c>
      <c r="G220" s="32">
        <v>1</v>
      </c>
      <c r="H220" s="89">
        <v>0</v>
      </c>
      <c r="I220" s="33">
        <v>21</v>
      </c>
      <c r="J220" s="32">
        <f>ROUND(G220*AO220,2)</f>
        <v>0</v>
      </c>
      <c r="K220" s="32">
        <f>ROUND(G220*AP220,2)</f>
        <v>0</v>
      </c>
      <c r="L220" s="32">
        <f>ROUND(G220*H220,2)</f>
        <v>0</v>
      </c>
      <c r="M220" s="32">
        <f>L220*(1+BW220/100)</f>
        <v>0</v>
      </c>
      <c r="N220" s="34">
        <f>IF(L285=0,0,L220/L285)</f>
        <v>0</v>
      </c>
      <c r="O220" s="32">
        <v>0</v>
      </c>
      <c r="P220" s="32">
        <f>G220*O220</f>
        <v>0</v>
      </c>
      <c r="Q220" s="35" t="s">
        <v>61</v>
      </c>
      <c r="Z220" s="32">
        <f>ROUND(IF(AQ220="5",BJ220,0),2)</f>
        <v>0</v>
      </c>
      <c r="AB220" s="32">
        <f>ROUND(IF(AQ220="1",BH220,0),2)</f>
        <v>0</v>
      </c>
      <c r="AC220" s="32">
        <f>ROUND(IF(AQ220="1",BI220,0),2)</f>
        <v>0</v>
      </c>
      <c r="AD220" s="32">
        <f>ROUND(IF(AQ220="7",BH220,0),2)</f>
        <v>0</v>
      </c>
      <c r="AE220" s="32">
        <f>ROUND(IF(AQ220="7",BI220,0),2)</f>
        <v>0</v>
      </c>
      <c r="AF220" s="32">
        <f>ROUND(IF(AQ220="2",BH220,0),2)</f>
        <v>0</v>
      </c>
      <c r="AG220" s="32">
        <f>ROUND(IF(AQ220="2",BI220,0),2)</f>
        <v>0</v>
      </c>
      <c r="AH220" s="32">
        <f>ROUND(IF(AQ220="0",BJ220,0),2)</f>
        <v>0</v>
      </c>
      <c r="AI220" s="12" t="s">
        <v>54</v>
      </c>
      <c r="AJ220" s="32">
        <f>IF(AN220=0,L220,0)</f>
        <v>0</v>
      </c>
      <c r="AK220" s="32">
        <f>IF(AN220=12,L220,0)</f>
        <v>0</v>
      </c>
      <c r="AL220" s="32">
        <f>IF(AN220=21,L220,0)</f>
        <v>0</v>
      </c>
      <c r="AN220" s="32">
        <v>21</v>
      </c>
      <c r="AO220" s="32">
        <f>H220*0</f>
        <v>0</v>
      </c>
      <c r="AP220" s="32">
        <f>H220*(1-0)</f>
        <v>0</v>
      </c>
      <c r="AQ220" s="36" t="s">
        <v>79</v>
      </c>
      <c r="AV220" s="32">
        <f>ROUND(AW220+AX220,2)</f>
        <v>0</v>
      </c>
      <c r="AW220" s="32">
        <f>ROUND(G220*AO220,2)</f>
        <v>0</v>
      </c>
      <c r="AX220" s="32">
        <f>ROUND(G220*AP220,2)</f>
        <v>0</v>
      </c>
      <c r="AY220" s="36" t="s">
        <v>481</v>
      </c>
      <c r="AZ220" s="36" t="s">
        <v>443</v>
      </c>
      <c r="BA220" s="12" t="s">
        <v>63</v>
      </c>
      <c r="BC220" s="32">
        <f>AW220+AX220</f>
        <v>0</v>
      </c>
      <c r="BD220" s="32">
        <f>H220/(100-BE220)*100</f>
        <v>0</v>
      </c>
      <c r="BE220" s="32">
        <v>0</v>
      </c>
      <c r="BF220" s="32">
        <f>P220</f>
        <v>0</v>
      </c>
      <c r="BH220" s="32">
        <f>G220*AO220</f>
        <v>0</v>
      </c>
      <c r="BI220" s="32">
        <f>G220*AP220</f>
        <v>0</v>
      </c>
      <c r="BJ220" s="32">
        <f>G220*H220</f>
        <v>0</v>
      </c>
      <c r="BK220" s="32"/>
      <c r="BL220" s="32">
        <v>735</v>
      </c>
      <c r="BW220" s="32">
        <f>I220</f>
        <v>21</v>
      </c>
      <c r="BX220" s="4" t="s">
        <v>512</v>
      </c>
    </row>
    <row r="221" spans="1:76" x14ac:dyDescent="0.25">
      <c r="A221" s="40" t="s">
        <v>54</v>
      </c>
      <c r="B221" s="41" t="s">
        <v>54</v>
      </c>
      <c r="C221" s="41" t="s">
        <v>513</v>
      </c>
      <c r="D221" s="101" t="s">
        <v>514</v>
      </c>
      <c r="E221" s="102"/>
      <c r="F221" s="42" t="s">
        <v>7</v>
      </c>
      <c r="G221" s="42" t="s">
        <v>7</v>
      </c>
      <c r="H221" s="42" t="s">
        <v>7</v>
      </c>
      <c r="I221" s="42" t="s">
        <v>7</v>
      </c>
      <c r="J221" s="1">
        <f>SUM(J222:J223)</f>
        <v>0</v>
      </c>
      <c r="K221" s="1">
        <f>SUM(K222:K223)</f>
        <v>0</v>
      </c>
      <c r="L221" s="1">
        <f>SUM(L222:L223)</f>
        <v>0</v>
      </c>
      <c r="M221" s="1">
        <f>SUM(M222:M223)</f>
        <v>0</v>
      </c>
      <c r="N221" s="43">
        <f>IF(L285=0,0,L221/L285)</f>
        <v>0</v>
      </c>
      <c r="O221" s="12" t="s">
        <v>54</v>
      </c>
      <c r="P221" s="1">
        <f>SUM(P222:P223)</f>
        <v>0.28919520000000004</v>
      </c>
      <c r="Q221" s="44" t="s">
        <v>54</v>
      </c>
      <c r="AI221" s="12" t="s">
        <v>54</v>
      </c>
      <c r="AS221" s="1">
        <f>SUM(AJ222:AJ223)</f>
        <v>0</v>
      </c>
      <c r="AT221" s="1">
        <f>SUM(AK222:AK223)</f>
        <v>0</v>
      </c>
      <c r="AU221" s="1">
        <f>SUM(AL222:AL223)</f>
        <v>0</v>
      </c>
    </row>
    <row r="222" spans="1:76" x14ac:dyDescent="0.25">
      <c r="A222" s="2" t="s">
        <v>515</v>
      </c>
      <c r="B222" s="3" t="s">
        <v>54</v>
      </c>
      <c r="C222" s="3" t="s">
        <v>516</v>
      </c>
      <c r="D222" s="95" t="s">
        <v>517</v>
      </c>
      <c r="E222" s="96"/>
      <c r="F222" s="3" t="s">
        <v>90</v>
      </c>
      <c r="G222" s="32">
        <v>57.38</v>
      </c>
      <c r="H222" s="89">
        <v>0</v>
      </c>
      <c r="I222" s="33">
        <v>21</v>
      </c>
      <c r="J222" s="32">
        <f>ROUND(G222*AO222,2)</f>
        <v>0</v>
      </c>
      <c r="K222" s="32">
        <f>ROUND(G222*AP222,2)</f>
        <v>0</v>
      </c>
      <c r="L222" s="32">
        <f>ROUND(G222*H222,2)</f>
        <v>0</v>
      </c>
      <c r="M222" s="32">
        <f>L222*(1+BW222/100)</f>
        <v>0</v>
      </c>
      <c r="N222" s="34">
        <f>IF(L285=0,0,L222/L285)</f>
        <v>0</v>
      </c>
      <c r="O222" s="32">
        <v>5.0400000000000002E-3</v>
      </c>
      <c r="P222" s="32">
        <f>G222*O222</f>
        <v>0.28919520000000004</v>
      </c>
      <c r="Q222" s="35" t="s">
        <v>61</v>
      </c>
      <c r="Z222" s="32">
        <f>ROUND(IF(AQ222="5",BJ222,0),2)</f>
        <v>0</v>
      </c>
      <c r="AB222" s="32">
        <f>ROUND(IF(AQ222="1",BH222,0),2)</f>
        <v>0</v>
      </c>
      <c r="AC222" s="32">
        <f>ROUND(IF(AQ222="1",BI222,0),2)</f>
        <v>0</v>
      </c>
      <c r="AD222" s="32">
        <f>ROUND(IF(AQ222="7",BH222,0),2)</f>
        <v>0</v>
      </c>
      <c r="AE222" s="32">
        <f>ROUND(IF(AQ222="7",BI222,0),2)</f>
        <v>0</v>
      </c>
      <c r="AF222" s="32">
        <f>ROUND(IF(AQ222="2",BH222,0),2)</f>
        <v>0</v>
      </c>
      <c r="AG222" s="32">
        <f>ROUND(IF(AQ222="2",BI222,0),2)</f>
        <v>0</v>
      </c>
      <c r="AH222" s="32">
        <f>ROUND(IF(AQ222="0",BJ222,0),2)</f>
        <v>0</v>
      </c>
      <c r="AI222" s="12" t="s">
        <v>54</v>
      </c>
      <c r="AJ222" s="32">
        <f>IF(AN222=0,L222,0)</f>
        <v>0</v>
      </c>
      <c r="AK222" s="32">
        <f>IF(AN222=12,L222,0)</f>
        <v>0</v>
      </c>
      <c r="AL222" s="32">
        <f>IF(AN222=21,L222,0)</f>
        <v>0</v>
      </c>
      <c r="AN222" s="32">
        <v>21</v>
      </c>
      <c r="AO222" s="32">
        <f>H222*0.222125087</f>
        <v>0</v>
      </c>
      <c r="AP222" s="32">
        <f>H222*(1-0.222125087)</f>
        <v>0</v>
      </c>
      <c r="AQ222" s="36" t="s">
        <v>87</v>
      </c>
      <c r="AV222" s="32">
        <f>ROUND(AW222+AX222,2)</f>
        <v>0</v>
      </c>
      <c r="AW222" s="32">
        <f>ROUND(G222*AO222,2)</f>
        <v>0</v>
      </c>
      <c r="AX222" s="32">
        <f>ROUND(G222*AP222,2)</f>
        <v>0</v>
      </c>
      <c r="AY222" s="36" t="s">
        <v>518</v>
      </c>
      <c r="AZ222" s="36" t="s">
        <v>519</v>
      </c>
      <c r="BA222" s="12" t="s">
        <v>63</v>
      </c>
      <c r="BC222" s="32">
        <f>AW222+AX222</f>
        <v>0</v>
      </c>
      <c r="BD222" s="32">
        <f>H222/(100-BE222)*100</f>
        <v>0</v>
      </c>
      <c r="BE222" s="32">
        <v>0</v>
      </c>
      <c r="BF222" s="32">
        <f>P222</f>
        <v>0.28919520000000004</v>
      </c>
      <c r="BH222" s="32">
        <f>G222*AO222</f>
        <v>0</v>
      </c>
      <c r="BI222" s="32">
        <f>G222*AP222</f>
        <v>0</v>
      </c>
      <c r="BJ222" s="32">
        <f>G222*H222</f>
        <v>0</v>
      </c>
      <c r="BK222" s="32"/>
      <c r="BL222" s="32">
        <v>771</v>
      </c>
      <c r="BW222" s="32">
        <f>I222</f>
        <v>21</v>
      </c>
      <c r="BX222" s="4" t="s">
        <v>517</v>
      </c>
    </row>
    <row r="223" spans="1:76" x14ac:dyDescent="0.25">
      <c r="A223" s="2" t="s">
        <v>520</v>
      </c>
      <c r="B223" s="3" t="s">
        <v>54</v>
      </c>
      <c r="C223" s="3" t="s">
        <v>521</v>
      </c>
      <c r="D223" s="95" t="s">
        <v>522</v>
      </c>
      <c r="E223" s="96"/>
      <c r="F223" s="3" t="s">
        <v>90</v>
      </c>
      <c r="G223" s="32">
        <v>63.118000000000002</v>
      </c>
      <c r="H223" s="89">
        <v>0</v>
      </c>
      <c r="I223" s="33">
        <v>21</v>
      </c>
      <c r="J223" s="32">
        <f>ROUND(G223*AO223,2)</f>
        <v>0</v>
      </c>
      <c r="K223" s="32">
        <f>ROUND(G223*AP223,2)</f>
        <v>0</v>
      </c>
      <c r="L223" s="32">
        <f>ROUND(G223*H223,2)</f>
        <v>0</v>
      </c>
      <c r="M223" s="32">
        <f>L223*(1+BW223/100)</f>
        <v>0</v>
      </c>
      <c r="N223" s="34">
        <f>IF(L285=0,0,L223/L285)</f>
        <v>0</v>
      </c>
      <c r="O223" s="32">
        <v>0</v>
      </c>
      <c r="P223" s="32">
        <f>G223*O223</f>
        <v>0</v>
      </c>
      <c r="Q223" s="35" t="s">
        <v>54</v>
      </c>
      <c r="Z223" s="32">
        <f>ROUND(IF(AQ223="5",BJ223,0),2)</f>
        <v>0</v>
      </c>
      <c r="AB223" s="32">
        <f>ROUND(IF(AQ223="1",BH223,0),2)</f>
        <v>0</v>
      </c>
      <c r="AC223" s="32">
        <f>ROUND(IF(AQ223="1",BI223,0),2)</f>
        <v>0</v>
      </c>
      <c r="AD223" s="32">
        <f>ROUND(IF(AQ223="7",BH223,0),2)</f>
        <v>0</v>
      </c>
      <c r="AE223" s="32">
        <f>ROUND(IF(AQ223="7",BI223,0),2)</f>
        <v>0</v>
      </c>
      <c r="AF223" s="32">
        <f>ROUND(IF(AQ223="2",BH223,0),2)</f>
        <v>0</v>
      </c>
      <c r="AG223" s="32">
        <f>ROUND(IF(AQ223="2",BI223,0),2)</f>
        <v>0</v>
      </c>
      <c r="AH223" s="32">
        <f>ROUND(IF(AQ223="0",BJ223,0),2)</f>
        <v>0</v>
      </c>
      <c r="AI223" s="12" t="s">
        <v>54</v>
      </c>
      <c r="AJ223" s="32">
        <f>IF(AN223=0,L223,0)</f>
        <v>0</v>
      </c>
      <c r="AK223" s="32">
        <f>IF(AN223=12,L223,0)</f>
        <v>0</v>
      </c>
      <c r="AL223" s="32">
        <f>IF(AN223=21,L223,0)</f>
        <v>0</v>
      </c>
      <c r="AN223" s="32">
        <v>21</v>
      </c>
      <c r="AO223" s="32">
        <f>H223*1</f>
        <v>0</v>
      </c>
      <c r="AP223" s="32">
        <f>H223*(1-1)</f>
        <v>0</v>
      </c>
      <c r="AQ223" s="36" t="s">
        <v>87</v>
      </c>
      <c r="AV223" s="32">
        <f>ROUND(AW223+AX223,2)</f>
        <v>0</v>
      </c>
      <c r="AW223" s="32">
        <f>ROUND(G223*AO223,2)</f>
        <v>0</v>
      </c>
      <c r="AX223" s="32">
        <f>ROUND(G223*AP223,2)</f>
        <v>0</v>
      </c>
      <c r="AY223" s="36" t="s">
        <v>518</v>
      </c>
      <c r="AZ223" s="36" t="s">
        <v>519</v>
      </c>
      <c r="BA223" s="12" t="s">
        <v>63</v>
      </c>
      <c r="BC223" s="32">
        <f>AW223+AX223</f>
        <v>0</v>
      </c>
      <c r="BD223" s="32">
        <f>H223/(100-BE223)*100</f>
        <v>0</v>
      </c>
      <c r="BE223" s="32">
        <v>0</v>
      </c>
      <c r="BF223" s="32">
        <f>P223</f>
        <v>0</v>
      </c>
      <c r="BH223" s="32">
        <f>G223*AO223</f>
        <v>0</v>
      </c>
      <c r="BI223" s="32">
        <f>G223*AP223</f>
        <v>0</v>
      </c>
      <c r="BJ223" s="32">
        <f>G223*H223</f>
        <v>0</v>
      </c>
      <c r="BK223" s="32"/>
      <c r="BL223" s="32">
        <v>771</v>
      </c>
      <c r="BW223" s="32">
        <f>I223</f>
        <v>21</v>
      </c>
      <c r="BX223" s="4" t="s">
        <v>522</v>
      </c>
    </row>
    <row r="224" spans="1:76" x14ac:dyDescent="0.25">
      <c r="A224" s="37"/>
      <c r="C224" s="38"/>
      <c r="D224" s="100" t="s">
        <v>523</v>
      </c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9"/>
      <c r="BX224" s="39" t="s">
        <v>523</v>
      </c>
    </row>
    <row r="225" spans="1:76" x14ac:dyDescent="0.25">
      <c r="A225" s="40" t="s">
        <v>54</v>
      </c>
      <c r="B225" s="41" t="s">
        <v>54</v>
      </c>
      <c r="C225" s="41" t="s">
        <v>524</v>
      </c>
      <c r="D225" s="101" t="s">
        <v>525</v>
      </c>
      <c r="E225" s="102"/>
      <c r="F225" s="42" t="s">
        <v>7</v>
      </c>
      <c r="G225" s="42" t="s">
        <v>7</v>
      </c>
      <c r="H225" s="42" t="s">
        <v>7</v>
      </c>
      <c r="I225" s="42" t="s">
        <v>7</v>
      </c>
      <c r="J225" s="1">
        <f>SUM(J226:J231)</f>
        <v>0</v>
      </c>
      <c r="K225" s="1">
        <f>SUM(K226:K231)</f>
        <v>0</v>
      </c>
      <c r="L225" s="1">
        <f>SUM(L226:L231)</f>
        <v>0</v>
      </c>
      <c r="M225" s="1">
        <f>SUM(M226:M231)</f>
        <v>0</v>
      </c>
      <c r="N225" s="43">
        <f>IF(L285=0,0,L225/L285)</f>
        <v>0</v>
      </c>
      <c r="O225" s="12" t="s">
        <v>54</v>
      </c>
      <c r="P225" s="1">
        <f>SUM(P226:P231)</f>
        <v>4.0887923700000002</v>
      </c>
      <c r="Q225" s="44" t="s">
        <v>54</v>
      </c>
      <c r="AI225" s="12" t="s">
        <v>54</v>
      </c>
      <c r="AS225" s="1">
        <f>SUM(AJ226:AJ231)</f>
        <v>0</v>
      </c>
      <c r="AT225" s="1">
        <f>SUM(AK226:AK231)</f>
        <v>0</v>
      </c>
      <c r="AU225" s="1">
        <f>SUM(AL226:AL231)</f>
        <v>0</v>
      </c>
    </row>
    <row r="226" spans="1:76" x14ac:dyDescent="0.25">
      <c r="A226" s="2" t="s">
        <v>526</v>
      </c>
      <c r="B226" s="3" t="s">
        <v>54</v>
      </c>
      <c r="C226" s="3" t="s">
        <v>527</v>
      </c>
      <c r="D226" s="95" t="s">
        <v>528</v>
      </c>
      <c r="E226" s="96"/>
      <c r="F226" s="3" t="s">
        <v>90</v>
      </c>
      <c r="G226" s="32">
        <v>203.19</v>
      </c>
      <c r="H226" s="89">
        <v>0</v>
      </c>
      <c r="I226" s="33">
        <v>21</v>
      </c>
      <c r="J226" s="32">
        <f>ROUND(G226*AO226,2)</f>
        <v>0</v>
      </c>
      <c r="K226" s="32">
        <f>ROUND(G226*AP226,2)</f>
        <v>0</v>
      </c>
      <c r="L226" s="32">
        <f>ROUND(G226*H226,2)</f>
        <v>0</v>
      </c>
      <c r="M226" s="32">
        <f>L226*(1+BW226/100)</f>
        <v>0</v>
      </c>
      <c r="N226" s="34">
        <f>IF(L285=0,0,L226/L285)</f>
        <v>0</v>
      </c>
      <c r="O226" s="32">
        <v>1.6000000000000001E-4</v>
      </c>
      <c r="P226" s="32">
        <f>G226*O226</f>
        <v>3.2510400000000002E-2</v>
      </c>
      <c r="Q226" s="35" t="s">
        <v>61</v>
      </c>
      <c r="Z226" s="32">
        <f>ROUND(IF(AQ226="5",BJ226,0),2)</f>
        <v>0</v>
      </c>
      <c r="AB226" s="32">
        <f>ROUND(IF(AQ226="1",BH226,0),2)</f>
        <v>0</v>
      </c>
      <c r="AC226" s="32">
        <f>ROUND(IF(AQ226="1",BI226,0),2)</f>
        <v>0</v>
      </c>
      <c r="AD226" s="32">
        <f>ROUND(IF(AQ226="7",BH226,0),2)</f>
        <v>0</v>
      </c>
      <c r="AE226" s="32">
        <f>ROUND(IF(AQ226="7",BI226,0),2)</f>
        <v>0</v>
      </c>
      <c r="AF226" s="32">
        <f>ROUND(IF(AQ226="2",BH226,0),2)</f>
        <v>0</v>
      </c>
      <c r="AG226" s="32">
        <f>ROUND(IF(AQ226="2",BI226,0),2)</f>
        <v>0</v>
      </c>
      <c r="AH226" s="32">
        <f>ROUND(IF(AQ226="0",BJ226,0),2)</f>
        <v>0</v>
      </c>
      <c r="AI226" s="12" t="s">
        <v>54</v>
      </c>
      <c r="AJ226" s="32">
        <f>IF(AN226=0,L226,0)</f>
        <v>0</v>
      </c>
      <c r="AK226" s="32">
        <f>IF(AN226=12,L226,0)</f>
        <v>0</v>
      </c>
      <c r="AL226" s="32">
        <f>IF(AN226=21,L226,0)</f>
        <v>0</v>
      </c>
      <c r="AN226" s="32">
        <v>21</v>
      </c>
      <c r="AO226" s="32">
        <f>H226*0.377886567</f>
        <v>0</v>
      </c>
      <c r="AP226" s="32">
        <f>H226*(1-0.377886567)</f>
        <v>0</v>
      </c>
      <c r="AQ226" s="36" t="s">
        <v>87</v>
      </c>
      <c r="AV226" s="32">
        <f>ROUND(AW226+AX226,2)</f>
        <v>0</v>
      </c>
      <c r="AW226" s="32">
        <f>ROUND(G226*AO226,2)</f>
        <v>0</v>
      </c>
      <c r="AX226" s="32">
        <f>ROUND(G226*AP226,2)</f>
        <v>0</v>
      </c>
      <c r="AY226" s="36" t="s">
        <v>529</v>
      </c>
      <c r="AZ226" s="36" t="s">
        <v>530</v>
      </c>
      <c r="BA226" s="12" t="s">
        <v>63</v>
      </c>
      <c r="BC226" s="32">
        <f>AW226+AX226</f>
        <v>0</v>
      </c>
      <c r="BD226" s="32">
        <f>H226/(100-BE226)*100</f>
        <v>0</v>
      </c>
      <c r="BE226" s="32">
        <v>0</v>
      </c>
      <c r="BF226" s="32">
        <f>P226</f>
        <v>3.2510400000000002E-2</v>
      </c>
      <c r="BH226" s="32">
        <f>G226*AO226</f>
        <v>0</v>
      </c>
      <c r="BI226" s="32">
        <f>G226*AP226</f>
        <v>0</v>
      </c>
      <c r="BJ226" s="32">
        <f>G226*H226</f>
        <v>0</v>
      </c>
      <c r="BK226" s="32"/>
      <c r="BL226" s="32">
        <v>781</v>
      </c>
      <c r="BW226" s="32">
        <f>I226</f>
        <v>21</v>
      </c>
      <c r="BX226" s="4" t="s">
        <v>528</v>
      </c>
    </row>
    <row r="227" spans="1:76" ht="13.5" customHeight="1" x14ac:dyDescent="0.25">
      <c r="A227" s="37"/>
      <c r="C227" s="38"/>
      <c r="D227" s="97" t="s">
        <v>740</v>
      </c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9"/>
    </row>
    <row r="228" spans="1:76" x14ac:dyDescent="0.25">
      <c r="A228" s="2" t="s">
        <v>532</v>
      </c>
      <c r="B228" s="3" t="s">
        <v>54</v>
      </c>
      <c r="C228" s="3" t="s">
        <v>533</v>
      </c>
      <c r="D228" s="95" t="s">
        <v>534</v>
      </c>
      <c r="E228" s="96"/>
      <c r="F228" s="3" t="s">
        <v>90</v>
      </c>
      <c r="G228" s="32">
        <v>203.19</v>
      </c>
      <c r="H228" s="89">
        <v>0</v>
      </c>
      <c r="I228" s="33">
        <v>21</v>
      </c>
      <c r="J228" s="32">
        <f>ROUND(G228*AO228,2)</f>
        <v>0</v>
      </c>
      <c r="K228" s="32">
        <f>ROUND(G228*AP228,2)</f>
        <v>0</v>
      </c>
      <c r="L228" s="32">
        <f>ROUND(G228*H228,2)</f>
        <v>0</v>
      </c>
      <c r="M228" s="32">
        <f>L228*(1+BW228/100)</f>
        <v>0</v>
      </c>
      <c r="N228" s="34">
        <f>IF(L285=0,0,L228/L285)</f>
        <v>0</v>
      </c>
      <c r="O228" s="32">
        <v>4.9699999999999996E-3</v>
      </c>
      <c r="P228" s="32">
        <f>G228*O228</f>
        <v>1.0098543</v>
      </c>
      <c r="Q228" s="35" t="s">
        <v>61</v>
      </c>
      <c r="Z228" s="32">
        <f>ROUND(IF(AQ228="5",BJ228,0),2)</f>
        <v>0</v>
      </c>
      <c r="AB228" s="32">
        <f>ROUND(IF(AQ228="1",BH228,0),2)</f>
        <v>0</v>
      </c>
      <c r="AC228" s="32">
        <f>ROUND(IF(AQ228="1",BI228,0),2)</f>
        <v>0</v>
      </c>
      <c r="AD228" s="32">
        <f>ROUND(IF(AQ228="7",BH228,0),2)</f>
        <v>0</v>
      </c>
      <c r="AE228" s="32">
        <f>ROUND(IF(AQ228="7",BI228,0),2)</f>
        <v>0</v>
      </c>
      <c r="AF228" s="32">
        <f>ROUND(IF(AQ228="2",BH228,0),2)</f>
        <v>0</v>
      </c>
      <c r="AG228" s="32">
        <f>ROUND(IF(AQ228="2",BI228,0),2)</f>
        <v>0</v>
      </c>
      <c r="AH228" s="32">
        <f>ROUND(IF(AQ228="0",BJ228,0),2)</f>
        <v>0</v>
      </c>
      <c r="AI228" s="12" t="s">
        <v>54</v>
      </c>
      <c r="AJ228" s="32">
        <f>IF(AN228=0,L228,0)</f>
        <v>0</v>
      </c>
      <c r="AK228" s="32">
        <f>IF(AN228=12,L228,0)</f>
        <v>0</v>
      </c>
      <c r="AL228" s="32">
        <f>IF(AN228=21,L228,0)</f>
        <v>0</v>
      </c>
      <c r="AN228" s="32">
        <v>21</v>
      </c>
      <c r="AO228" s="32">
        <f>H228*0.200864071</f>
        <v>0</v>
      </c>
      <c r="AP228" s="32">
        <f>H228*(1-0.200864071)</f>
        <v>0</v>
      </c>
      <c r="AQ228" s="36" t="s">
        <v>87</v>
      </c>
      <c r="AV228" s="32">
        <f>ROUND(AW228+AX228,2)</f>
        <v>0</v>
      </c>
      <c r="AW228" s="32">
        <f>ROUND(G228*AO228,2)</f>
        <v>0</v>
      </c>
      <c r="AX228" s="32">
        <f>ROUND(G228*AP228,2)</f>
        <v>0</v>
      </c>
      <c r="AY228" s="36" t="s">
        <v>529</v>
      </c>
      <c r="AZ228" s="36" t="s">
        <v>530</v>
      </c>
      <c r="BA228" s="12" t="s">
        <v>63</v>
      </c>
      <c r="BC228" s="32">
        <f>AW228+AX228</f>
        <v>0</v>
      </c>
      <c r="BD228" s="32">
        <f>H228/(100-BE228)*100</f>
        <v>0</v>
      </c>
      <c r="BE228" s="32">
        <v>0</v>
      </c>
      <c r="BF228" s="32">
        <f>P228</f>
        <v>1.0098543</v>
      </c>
      <c r="BH228" s="32">
        <f>G228*AO228</f>
        <v>0</v>
      </c>
      <c r="BI228" s="32">
        <f>G228*AP228</f>
        <v>0</v>
      </c>
      <c r="BJ228" s="32">
        <f>G228*H228</f>
        <v>0</v>
      </c>
      <c r="BK228" s="32"/>
      <c r="BL228" s="32">
        <v>781</v>
      </c>
      <c r="BW228" s="32">
        <f>I228</f>
        <v>21</v>
      </c>
      <c r="BX228" s="4" t="s">
        <v>534</v>
      </c>
    </row>
    <row r="229" spans="1:76" x14ac:dyDescent="0.25">
      <c r="A229" s="2" t="s">
        <v>535</v>
      </c>
      <c r="B229" s="3" t="s">
        <v>54</v>
      </c>
      <c r="C229" s="3" t="s">
        <v>536</v>
      </c>
      <c r="D229" s="95" t="s">
        <v>537</v>
      </c>
      <c r="E229" s="96"/>
      <c r="F229" s="3" t="s">
        <v>90</v>
      </c>
      <c r="G229" s="32">
        <v>200.959</v>
      </c>
      <c r="H229" s="89">
        <v>0</v>
      </c>
      <c r="I229" s="33">
        <v>21</v>
      </c>
      <c r="J229" s="32">
        <f>ROUND(G229*AO229,2)</f>
        <v>0</v>
      </c>
      <c r="K229" s="32">
        <f>ROUND(G229*AP229,2)</f>
        <v>0</v>
      </c>
      <c r="L229" s="32">
        <f>ROUND(G229*H229,2)</f>
        <v>0</v>
      </c>
      <c r="M229" s="32">
        <f>L229*(1+BW229/100)</f>
        <v>0</v>
      </c>
      <c r="N229" s="34">
        <f>IF(L285=0,0,L229/L285)</f>
        <v>0</v>
      </c>
      <c r="O229" s="32">
        <v>1.363E-2</v>
      </c>
      <c r="P229" s="32">
        <f>G229*O229</f>
        <v>2.7390711699999999</v>
      </c>
      <c r="Q229" s="35" t="s">
        <v>61</v>
      </c>
      <c r="Z229" s="32">
        <f>ROUND(IF(AQ229="5",BJ229,0),2)</f>
        <v>0</v>
      </c>
      <c r="AB229" s="32">
        <f>ROUND(IF(AQ229="1",BH229,0),2)</f>
        <v>0</v>
      </c>
      <c r="AC229" s="32">
        <f>ROUND(IF(AQ229="1",BI229,0),2)</f>
        <v>0</v>
      </c>
      <c r="AD229" s="32">
        <f>ROUND(IF(AQ229="7",BH229,0),2)</f>
        <v>0</v>
      </c>
      <c r="AE229" s="32">
        <f>ROUND(IF(AQ229="7",BI229,0),2)</f>
        <v>0</v>
      </c>
      <c r="AF229" s="32">
        <f>ROUND(IF(AQ229="2",BH229,0),2)</f>
        <v>0</v>
      </c>
      <c r="AG229" s="32">
        <f>ROUND(IF(AQ229="2",BI229,0),2)</f>
        <v>0</v>
      </c>
      <c r="AH229" s="32">
        <f>ROUND(IF(AQ229="0",BJ229,0),2)</f>
        <v>0</v>
      </c>
      <c r="AI229" s="12" t="s">
        <v>54</v>
      </c>
      <c r="AJ229" s="32">
        <f>IF(AN229=0,L229,0)</f>
        <v>0</v>
      </c>
      <c r="AK229" s="32">
        <f>IF(AN229=12,L229,0)</f>
        <v>0</v>
      </c>
      <c r="AL229" s="32">
        <f>IF(AN229=21,L229,0)</f>
        <v>0</v>
      </c>
      <c r="AN229" s="32">
        <v>21</v>
      </c>
      <c r="AO229" s="32">
        <f>H229*1</f>
        <v>0</v>
      </c>
      <c r="AP229" s="32">
        <f>H229*(1-1)</f>
        <v>0</v>
      </c>
      <c r="AQ229" s="36" t="s">
        <v>87</v>
      </c>
      <c r="AV229" s="32">
        <f>ROUND(AW229+AX229,2)</f>
        <v>0</v>
      </c>
      <c r="AW229" s="32">
        <f>ROUND(G229*AO229,2)</f>
        <v>0</v>
      </c>
      <c r="AX229" s="32">
        <f>ROUND(G229*AP229,2)</f>
        <v>0</v>
      </c>
      <c r="AY229" s="36" t="s">
        <v>529</v>
      </c>
      <c r="AZ229" s="36" t="s">
        <v>530</v>
      </c>
      <c r="BA229" s="12" t="s">
        <v>63</v>
      </c>
      <c r="BC229" s="32">
        <f>AW229+AX229</f>
        <v>0</v>
      </c>
      <c r="BD229" s="32">
        <f>H229/(100-BE229)*100</f>
        <v>0</v>
      </c>
      <c r="BE229" s="32">
        <v>0</v>
      </c>
      <c r="BF229" s="32">
        <f>P229</f>
        <v>2.7390711699999999</v>
      </c>
      <c r="BH229" s="32">
        <f>G229*AO229</f>
        <v>0</v>
      </c>
      <c r="BI229" s="32">
        <f>G229*AP229</f>
        <v>0</v>
      </c>
      <c r="BJ229" s="32">
        <f>G229*H229</f>
        <v>0</v>
      </c>
      <c r="BK229" s="32"/>
      <c r="BL229" s="32">
        <v>781</v>
      </c>
      <c r="BW229" s="32">
        <f>I229</f>
        <v>21</v>
      </c>
      <c r="BX229" s="4" t="s">
        <v>537</v>
      </c>
    </row>
    <row r="230" spans="1:76" ht="13.5" customHeight="1" x14ac:dyDescent="0.25">
      <c r="A230" s="37"/>
      <c r="C230" s="38"/>
      <c r="D230" s="100" t="s">
        <v>538</v>
      </c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9"/>
    </row>
    <row r="231" spans="1:76" x14ac:dyDescent="0.25">
      <c r="A231" s="2" t="s">
        <v>539</v>
      </c>
      <c r="B231" s="3" t="s">
        <v>54</v>
      </c>
      <c r="C231" s="3" t="s">
        <v>540</v>
      </c>
      <c r="D231" s="95" t="s">
        <v>541</v>
      </c>
      <c r="E231" s="96"/>
      <c r="F231" s="3" t="s">
        <v>90</v>
      </c>
      <c r="G231" s="32">
        <v>22.55</v>
      </c>
      <c r="H231" s="89">
        <v>0</v>
      </c>
      <c r="I231" s="33">
        <v>21</v>
      </c>
      <c r="J231" s="32">
        <f>ROUND(G231*AO231,2)</f>
        <v>0</v>
      </c>
      <c r="K231" s="32">
        <f>ROUND(G231*AP231,2)</f>
        <v>0</v>
      </c>
      <c r="L231" s="32">
        <f>ROUND(G231*H231,2)</f>
        <v>0</v>
      </c>
      <c r="M231" s="32">
        <f>L231*(1+BW231/100)</f>
        <v>0</v>
      </c>
      <c r="N231" s="34">
        <f>IF(L285=0,0,L231/L285)</f>
        <v>0</v>
      </c>
      <c r="O231" s="32">
        <v>1.363E-2</v>
      </c>
      <c r="P231" s="32">
        <f>G231*O231</f>
        <v>0.30735649999999998</v>
      </c>
      <c r="Q231" s="35" t="s">
        <v>61</v>
      </c>
      <c r="Z231" s="32">
        <f>ROUND(IF(AQ231="5",BJ231,0),2)</f>
        <v>0</v>
      </c>
      <c r="AB231" s="32">
        <f>ROUND(IF(AQ231="1",BH231,0),2)</f>
        <v>0</v>
      </c>
      <c r="AC231" s="32">
        <f>ROUND(IF(AQ231="1",BI231,0),2)</f>
        <v>0</v>
      </c>
      <c r="AD231" s="32">
        <f>ROUND(IF(AQ231="7",BH231,0),2)</f>
        <v>0</v>
      </c>
      <c r="AE231" s="32">
        <f>ROUND(IF(AQ231="7",BI231,0),2)</f>
        <v>0</v>
      </c>
      <c r="AF231" s="32">
        <f>ROUND(IF(AQ231="2",BH231,0),2)</f>
        <v>0</v>
      </c>
      <c r="AG231" s="32">
        <f>ROUND(IF(AQ231="2",BI231,0),2)</f>
        <v>0</v>
      </c>
      <c r="AH231" s="32">
        <f>ROUND(IF(AQ231="0",BJ231,0),2)</f>
        <v>0</v>
      </c>
      <c r="AI231" s="12" t="s">
        <v>54</v>
      </c>
      <c r="AJ231" s="32">
        <f>IF(AN231=0,L231,0)</f>
        <v>0</v>
      </c>
      <c r="AK231" s="32">
        <f>IF(AN231=12,L231,0)</f>
        <v>0</v>
      </c>
      <c r="AL231" s="32">
        <f>IF(AN231=21,L231,0)</f>
        <v>0</v>
      </c>
      <c r="AN231" s="32">
        <v>21</v>
      </c>
      <c r="AO231" s="32">
        <f>H231*1</f>
        <v>0</v>
      </c>
      <c r="AP231" s="32">
        <f>H231*(1-1)</f>
        <v>0</v>
      </c>
      <c r="AQ231" s="36" t="s">
        <v>87</v>
      </c>
      <c r="AV231" s="32">
        <f>ROUND(AW231+AX231,2)</f>
        <v>0</v>
      </c>
      <c r="AW231" s="32">
        <f>ROUND(G231*AO231,2)</f>
        <v>0</v>
      </c>
      <c r="AX231" s="32">
        <f>ROUND(G231*AP231,2)</f>
        <v>0</v>
      </c>
      <c r="AY231" s="36" t="s">
        <v>529</v>
      </c>
      <c r="AZ231" s="36" t="s">
        <v>530</v>
      </c>
      <c r="BA231" s="12" t="s">
        <v>63</v>
      </c>
      <c r="BC231" s="32">
        <f>AW231+AX231</f>
        <v>0</v>
      </c>
      <c r="BD231" s="32">
        <f>H231/(100-BE231)*100</f>
        <v>0</v>
      </c>
      <c r="BE231" s="32">
        <v>0</v>
      </c>
      <c r="BF231" s="32">
        <f>P231</f>
        <v>0.30735649999999998</v>
      </c>
      <c r="BH231" s="32">
        <f>G231*AO231</f>
        <v>0</v>
      </c>
      <c r="BI231" s="32">
        <f>G231*AP231</f>
        <v>0</v>
      </c>
      <c r="BJ231" s="32">
        <f>G231*H231</f>
        <v>0</v>
      </c>
      <c r="BK231" s="32"/>
      <c r="BL231" s="32">
        <v>781</v>
      </c>
      <c r="BW231" s="32">
        <f>I231</f>
        <v>21</v>
      </c>
      <c r="BX231" s="4" t="s">
        <v>541</v>
      </c>
    </row>
    <row r="232" spans="1:76" ht="13.5" customHeight="1" x14ac:dyDescent="0.25">
      <c r="A232" s="37"/>
      <c r="C232" s="38"/>
      <c r="D232" s="100" t="s">
        <v>542</v>
      </c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9"/>
    </row>
    <row r="233" spans="1:76" x14ac:dyDescent="0.25">
      <c r="A233" s="40" t="s">
        <v>54</v>
      </c>
      <c r="B233" s="41" t="s">
        <v>54</v>
      </c>
      <c r="C233" s="41" t="s">
        <v>370</v>
      </c>
      <c r="D233" s="101" t="s">
        <v>543</v>
      </c>
      <c r="E233" s="102"/>
      <c r="F233" s="42" t="s">
        <v>7</v>
      </c>
      <c r="G233" s="42" t="s">
        <v>7</v>
      </c>
      <c r="H233" s="42" t="s">
        <v>7</v>
      </c>
      <c r="I233" s="42" t="s">
        <v>7</v>
      </c>
      <c r="J233" s="1">
        <f>SUM(J234:J241)</f>
        <v>0</v>
      </c>
      <c r="K233" s="1">
        <f>SUM(K234:K241)</f>
        <v>0</v>
      </c>
      <c r="L233" s="1">
        <f>SUM(L234:L241)</f>
        <v>0</v>
      </c>
      <c r="M233" s="1">
        <f>SUM(M234:M241)</f>
        <v>0</v>
      </c>
      <c r="N233" s="43">
        <f>IF(L285=0,0,L233/L285)</f>
        <v>0</v>
      </c>
      <c r="O233" s="12" t="s">
        <v>54</v>
      </c>
      <c r="P233" s="1">
        <f>SUM(P234:P241)</f>
        <v>1.2342659999999999</v>
      </c>
      <c r="Q233" s="44" t="s">
        <v>54</v>
      </c>
      <c r="AI233" s="12" t="s">
        <v>54</v>
      </c>
      <c r="AS233" s="1">
        <f>SUM(AJ234:AJ241)</f>
        <v>0</v>
      </c>
      <c r="AT233" s="1">
        <f>SUM(AK234:AK241)</f>
        <v>0</v>
      </c>
      <c r="AU233" s="1">
        <f>SUM(AL234:AL241)</f>
        <v>0</v>
      </c>
    </row>
    <row r="234" spans="1:76" x14ac:dyDescent="0.25">
      <c r="A234" s="2" t="s">
        <v>544</v>
      </c>
      <c r="B234" s="3" t="s">
        <v>54</v>
      </c>
      <c r="C234" s="3" t="s">
        <v>545</v>
      </c>
      <c r="D234" s="95" t="s">
        <v>546</v>
      </c>
      <c r="E234" s="96"/>
      <c r="F234" s="3" t="s">
        <v>90</v>
      </c>
      <c r="G234" s="32">
        <v>144.80000000000001</v>
      </c>
      <c r="H234" s="89">
        <v>0</v>
      </c>
      <c r="I234" s="33">
        <v>21</v>
      </c>
      <c r="J234" s="32">
        <f>ROUND(G234*AO234,2)</f>
        <v>0</v>
      </c>
      <c r="K234" s="32">
        <f>ROUND(G234*AP234,2)</f>
        <v>0</v>
      </c>
      <c r="L234" s="32">
        <f>ROUND(G234*H234,2)</f>
        <v>0</v>
      </c>
      <c r="M234" s="32">
        <f>L234*(1+BW234/100)</f>
        <v>0</v>
      </c>
      <c r="N234" s="34">
        <f>IF(L285=0,0,L234/L285)</f>
        <v>0</v>
      </c>
      <c r="O234" s="32">
        <v>4.0000000000000003E-5</v>
      </c>
      <c r="P234" s="32">
        <f>G234*O234</f>
        <v>5.7920000000000011E-3</v>
      </c>
      <c r="Q234" s="35" t="s">
        <v>61</v>
      </c>
      <c r="Z234" s="32">
        <f>ROUND(IF(AQ234="5",BJ234,0),2)</f>
        <v>0</v>
      </c>
      <c r="AB234" s="32">
        <f>ROUND(IF(AQ234="1",BH234,0),2)</f>
        <v>0</v>
      </c>
      <c r="AC234" s="32">
        <f>ROUND(IF(AQ234="1",BI234,0),2)</f>
        <v>0</v>
      </c>
      <c r="AD234" s="32">
        <f>ROUND(IF(AQ234="7",BH234,0),2)</f>
        <v>0</v>
      </c>
      <c r="AE234" s="32">
        <f>ROUND(IF(AQ234="7",BI234,0),2)</f>
        <v>0</v>
      </c>
      <c r="AF234" s="32">
        <f>ROUND(IF(AQ234="2",BH234,0),2)</f>
        <v>0</v>
      </c>
      <c r="AG234" s="32">
        <f>ROUND(IF(AQ234="2",BI234,0),2)</f>
        <v>0</v>
      </c>
      <c r="AH234" s="32">
        <f>ROUND(IF(AQ234="0",BJ234,0),2)</f>
        <v>0</v>
      </c>
      <c r="AI234" s="12" t="s">
        <v>54</v>
      </c>
      <c r="AJ234" s="32">
        <f>IF(AN234=0,L234,0)</f>
        <v>0</v>
      </c>
      <c r="AK234" s="32">
        <f>IF(AN234=12,L234,0)</f>
        <v>0</v>
      </c>
      <c r="AL234" s="32">
        <f>IF(AN234=21,L234,0)</f>
        <v>0</v>
      </c>
      <c r="AN234" s="32">
        <v>21</v>
      </c>
      <c r="AO234" s="32">
        <f>H234*0.021290768</f>
        <v>0</v>
      </c>
      <c r="AP234" s="32">
        <f>H234*(1-0.021290768)</f>
        <v>0</v>
      </c>
      <c r="AQ234" s="36" t="s">
        <v>57</v>
      </c>
      <c r="AV234" s="32">
        <f>ROUND(AW234+AX234,2)</f>
        <v>0</v>
      </c>
      <c r="AW234" s="32">
        <f>ROUND(G234*AO234,2)</f>
        <v>0</v>
      </c>
      <c r="AX234" s="32">
        <f>ROUND(G234*AP234,2)</f>
        <v>0</v>
      </c>
      <c r="AY234" s="36" t="s">
        <v>547</v>
      </c>
      <c r="AZ234" s="36" t="s">
        <v>548</v>
      </c>
      <c r="BA234" s="12" t="s">
        <v>63</v>
      </c>
      <c r="BC234" s="32">
        <f>AW234+AX234</f>
        <v>0</v>
      </c>
      <c r="BD234" s="32">
        <f>H234/(100-BE234)*100</f>
        <v>0</v>
      </c>
      <c r="BE234" s="32">
        <v>0</v>
      </c>
      <c r="BF234" s="32">
        <f>P234</f>
        <v>5.7920000000000011E-3</v>
      </c>
      <c r="BH234" s="32">
        <f>G234*AO234</f>
        <v>0</v>
      </c>
      <c r="BI234" s="32">
        <f>G234*AP234</f>
        <v>0</v>
      </c>
      <c r="BJ234" s="32">
        <f>G234*H234</f>
        <v>0</v>
      </c>
      <c r="BK234" s="32"/>
      <c r="BL234" s="32">
        <v>95</v>
      </c>
      <c r="BW234" s="32">
        <f>I234</f>
        <v>21</v>
      </c>
      <c r="BX234" s="4" t="s">
        <v>546</v>
      </c>
    </row>
    <row r="235" spans="1:76" x14ac:dyDescent="0.25">
      <c r="A235" s="2" t="s">
        <v>549</v>
      </c>
      <c r="B235" s="3" t="s">
        <v>54</v>
      </c>
      <c r="C235" s="3" t="s">
        <v>550</v>
      </c>
      <c r="D235" s="95" t="s">
        <v>551</v>
      </c>
      <c r="E235" s="96"/>
      <c r="F235" s="3" t="s">
        <v>143</v>
      </c>
      <c r="G235" s="32">
        <v>260.89999999999998</v>
      </c>
      <c r="H235" s="89">
        <v>0</v>
      </c>
      <c r="I235" s="33">
        <v>21</v>
      </c>
      <c r="J235" s="32">
        <f>ROUND(G235*AO235,2)</f>
        <v>0</v>
      </c>
      <c r="K235" s="32">
        <f>ROUND(G235*AP235,2)</f>
        <v>0</v>
      </c>
      <c r="L235" s="32">
        <f>ROUND(G235*H235,2)</f>
        <v>0</v>
      </c>
      <c r="M235" s="32">
        <f>L235*(1+BW235/100)</f>
        <v>0</v>
      </c>
      <c r="N235" s="34">
        <f>IF(L285=0,0,L235/L285)</f>
        <v>0</v>
      </c>
      <c r="O235" s="32">
        <v>2.82E-3</v>
      </c>
      <c r="P235" s="32">
        <f>G235*O235</f>
        <v>0.73573799999999989</v>
      </c>
      <c r="Q235" s="35" t="s">
        <v>61</v>
      </c>
      <c r="Z235" s="32">
        <f>ROUND(IF(AQ235="5",BJ235,0),2)</f>
        <v>0</v>
      </c>
      <c r="AB235" s="32">
        <f>ROUND(IF(AQ235="1",BH235,0),2)</f>
        <v>0</v>
      </c>
      <c r="AC235" s="32">
        <f>ROUND(IF(AQ235="1",BI235,0),2)</f>
        <v>0</v>
      </c>
      <c r="AD235" s="32">
        <f>ROUND(IF(AQ235="7",BH235,0),2)</f>
        <v>0</v>
      </c>
      <c r="AE235" s="32">
        <f>ROUND(IF(AQ235="7",BI235,0),2)</f>
        <v>0</v>
      </c>
      <c r="AF235" s="32">
        <f>ROUND(IF(AQ235="2",BH235,0),2)</f>
        <v>0</v>
      </c>
      <c r="AG235" s="32">
        <f>ROUND(IF(AQ235="2",BI235,0),2)</f>
        <v>0</v>
      </c>
      <c r="AH235" s="32">
        <f>ROUND(IF(AQ235="0",BJ235,0),2)</f>
        <v>0</v>
      </c>
      <c r="AI235" s="12" t="s">
        <v>54</v>
      </c>
      <c r="AJ235" s="32">
        <f>IF(AN235=0,L235,0)</f>
        <v>0</v>
      </c>
      <c r="AK235" s="32">
        <f>IF(AN235=12,L235,0)</f>
        <v>0</v>
      </c>
      <c r="AL235" s="32">
        <f>IF(AN235=21,L235,0)</f>
        <v>0</v>
      </c>
      <c r="AN235" s="32">
        <v>21</v>
      </c>
      <c r="AO235" s="32">
        <f>H235*0.225650669</f>
        <v>0</v>
      </c>
      <c r="AP235" s="32">
        <f>H235*(1-0.225650669)</f>
        <v>0</v>
      </c>
      <c r="AQ235" s="36" t="s">
        <v>65</v>
      </c>
      <c r="AV235" s="32">
        <f>ROUND(AW235+AX235,2)</f>
        <v>0</v>
      </c>
      <c r="AW235" s="32">
        <f>ROUND(G235*AO235,2)</f>
        <v>0</v>
      </c>
      <c r="AX235" s="32">
        <f>ROUND(G235*AP235,2)</f>
        <v>0</v>
      </c>
      <c r="AY235" s="36" t="s">
        <v>547</v>
      </c>
      <c r="AZ235" s="36" t="s">
        <v>548</v>
      </c>
      <c r="BA235" s="12" t="s">
        <v>63</v>
      </c>
      <c r="BC235" s="32">
        <f>AW235+AX235</f>
        <v>0</v>
      </c>
      <c r="BD235" s="32">
        <f>H235/(100-BE235)*100</f>
        <v>0</v>
      </c>
      <c r="BE235" s="32">
        <v>0</v>
      </c>
      <c r="BF235" s="32">
        <f>P235</f>
        <v>0.73573799999999989</v>
      </c>
      <c r="BH235" s="32">
        <f>G235*AO235</f>
        <v>0</v>
      </c>
      <c r="BI235" s="32">
        <f>G235*AP235</f>
        <v>0</v>
      </c>
      <c r="BJ235" s="32">
        <f>G235*H235</f>
        <v>0</v>
      </c>
      <c r="BK235" s="32"/>
      <c r="BL235" s="32">
        <v>95</v>
      </c>
      <c r="BW235" s="32">
        <f>I235</f>
        <v>21</v>
      </c>
      <c r="BX235" s="4" t="s">
        <v>551</v>
      </c>
    </row>
    <row r="236" spans="1:76" x14ac:dyDescent="0.25">
      <c r="A236" s="2" t="s">
        <v>552</v>
      </c>
      <c r="B236" s="3" t="s">
        <v>54</v>
      </c>
      <c r="C236" s="3" t="s">
        <v>553</v>
      </c>
      <c r="D236" s="95" t="s">
        <v>554</v>
      </c>
      <c r="E236" s="96"/>
      <c r="F236" s="3" t="s">
        <v>143</v>
      </c>
      <c r="G236" s="32">
        <v>260.89999999999998</v>
      </c>
      <c r="H236" s="89">
        <v>0</v>
      </c>
      <c r="I236" s="33">
        <v>21</v>
      </c>
      <c r="J236" s="32">
        <f>ROUND(G236*AO236,2)</f>
        <v>0</v>
      </c>
      <c r="K236" s="32">
        <f>ROUND(G236*AP236,2)</f>
        <v>0</v>
      </c>
      <c r="L236" s="32">
        <f>ROUND(G236*H236,2)</f>
        <v>0</v>
      </c>
      <c r="M236" s="32">
        <f>L236*(1+BW236/100)</f>
        <v>0</v>
      </c>
      <c r="N236" s="34">
        <f>IF(L285=0,0,L236/L285)</f>
        <v>0</v>
      </c>
      <c r="O236" s="32">
        <v>4.8999999999999998E-4</v>
      </c>
      <c r="P236" s="32">
        <f>G236*O236</f>
        <v>0.12784099999999998</v>
      </c>
      <c r="Q236" s="35" t="s">
        <v>61</v>
      </c>
      <c r="Z236" s="32">
        <f>ROUND(IF(AQ236="5",BJ236,0),2)</f>
        <v>0</v>
      </c>
      <c r="AB236" s="32">
        <f>ROUND(IF(AQ236="1",BH236,0),2)</f>
        <v>0</v>
      </c>
      <c r="AC236" s="32">
        <f>ROUND(IF(AQ236="1",BI236,0),2)</f>
        <v>0</v>
      </c>
      <c r="AD236" s="32">
        <f>ROUND(IF(AQ236="7",BH236,0),2)</f>
        <v>0</v>
      </c>
      <c r="AE236" s="32">
        <f>ROUND(IF(AQ236="7",BI236,0),2)</f>
        <v>0</v>
      </c>
      <c r="AF236" s="32">
        <f>ROUND(IF(AQ236="2",BH236,0),2)</f>
        <v>0</v>
      </c>
      <c r="AG236" s="32">
        <f>ROUND(IF(AQ236="2",BI236,0),2)</f>
        <v>0</v>
      </c>
      <c r="AH236" s="32">
        <f>ROUND(IF(AQ236="0",BJ236,0),2)</f>
        <v>0</v>
      </c>
      <c r="AI236" s="12" t="s">
        <v>54</v>
      </c>
      <c r="AJ236" s="32">
        <f>IF(AN236=0,L236,0)</f>
        <v>0</v>
      </c>
      <c r="AK236" s="32">
        <f>IF(AN236=12,L236,0)</f>
        <v>0</v>
      </c>
      <c r="AL236" s="32">
        <f>IF(AN236=21,L236,0)</f>
        <v>0</v>
      </c>
      <c r="AN236" s="32">
        <v>21</v>
      </c>
      <c r="AO236" s="32">
        <f>H236*0.088636364</f>
        <v>0</v>
      </c>
      <c r="AP236" s="32">
        <f>H236*(1-0.088636364)</f>
        <v>0</v>
      </c>
      <c r="AQ236" s="36" t="s">
        <v>65</v>
      </c>
      <c r="AV236" s="32">
        <f>ROUND(AW236+AX236,2)</f>
        <v>0</v>
      </c>
      <c r="AW236" s="32">
        <f>ROUND(G236*AO236,2)</f>
        <v>0</v>
      </c>
      <c r="AX236" s="32">
        <f>ROUND(G236*AP236,2)</f>
        <v>0</v>
      </c>
      <c r="AY236" s="36" t="s">
        <v>547</v>
      </c>
      <c r="AZ236" s="36" t="s">
        <v>548</v>
      </c>
      <c r="BA236" s="12" t="s">
        <v>63</v>
      </c>
      <c r="BC236" s="32">
        <f>AW236+AX236</f>
        <v>0</v>
      </c>
      <c r="BD236" s="32">
        <f>H236/(100-BE236)*100</f>
        <v>0</v>
      </c>
      <c r="BE236" s="32">
        <v>0</v>
      </c>
      <c r="BF236" s="32">
        <f>P236</f>
        <v>0.12784099999999998</v>
      </c>
      <c r="BH236" s="32">
        <f>G236*AO236</f>
        <v>0</v>
      </c>
      <c r="BI236" s="32">
        <f>G236*AP236</f>
        <v>0</v>
      </c>
      <c r="BJ236" s="32">
        <f>G236*H236</f>
        <v>0</v>
      </c>
      <c r="BK236" s="32"/>
      <c r="BL236" s="32">
        <v>95</v>
      </c>
      <c r="BW236" s="32">
        <f>I236</f>
        <v>21</v>
      </c>
      <c r="BX236" s="4" t="s">
        <v>554</v>
      </c>
    </row>
    <row r="237" spans="1:76" x14ac:dyDescent="0.25">
      <c r="A237" s="2" t="s">
        <v>555</v>
      </c>
      <c r="B237" s="3" t="s">
        <v>54</v>
      </c>
      <c r="C237" s="3" t="s">
        <v>556</v>
      </c>
      <c r="D237" s="95" t="s">
        <v>557</v>
      </c>
      <c r="E237" s="96"/>
      <c r="F237" s="3" t="s">
        <v>143</v>
      </c>
      <c r="G237" s="32">
        <v>11.5</v>
      </c>
      <c r="H237" s="89">
        <v>0</v>
      </c>
      <c r="I237" s="33">
        <v>21</v>
      </c>
      <c r="J237" s="32">
        <f>ROUND(G237*AO237,2)</f>
        <v>0</v>
      </c>
      <c r="K237" s="32">
        <f>ROUND(G237*AP237,2)</f>
        <v>0</v>
      </c>
      <c r="L237" s="32">
        <f>ROUND(G237*H237,2)</f>
        <v>0</v>
      </c>
      <c r="M237" s="32">
        <f>L237*(1+BW237/100)</f>
        <v>0</v>
      </c>
      <c r="N237" s="34">
        <f>IF(L285=0,0,L237/L285)</f>
        <v>0</v>
      </c>
      <c r="O237" s="32">
        <v>3.1730000000000001E-2</v>
      </c>
      <c r="P237" s="32">
        <f>G237*O237</f>
        <v>0.36489500000000002</v>
      </c>
      <c r="Q237" s="35" t="s">
        <v>61</v>
      </c>
      <c r="Z237" s="32">
        <f>ROUND(IF(AQ237="5",BJ237,0),2)</f>
        <v>0</v>
      </c>
      <c r="AB237" s="32">
        <f>ROUND(IF(AQ237="1",BH237,0),2)</f>
        <v>0</v>
      </c>
      <c r="AC237" s="32">
        <f>ROUND(IF(AQ237="1",BI237,0),2)</f>
        <v>0</v>
      </c>
      <c r="AD237" s="32">
        <f>ROUND(IF(AQ237="7",BH237,0),2)</f>
        <v>0</v>
      </c>
      <c r="AE237" s="32">
        <f>ROUND(IF(AQ237="7",BI237,0),2)</f>
        <v>0</v>
      </c>
      <c r="AF237" s="32">
        <f>ROUND(IF(AQ237="2",BH237,0),2)</f>
        <v>0</v>
      </c>
      <c r="AG237" s="32">
        <f>ROUND(IF(AQ237="2",BI237,0),2)</f>
        <v>0</v>
      </c>
      <c r="AH237" s="32">
        <f>ROUND(IF(AQ237="0",BJ237,0),2)</f>
        <v>0</v>
      </c>
      <c r="AI237" s="12" t="s">
        <v>54</v>
      </c>
      <c r="AJ237" s="32">
        <f>IF(AN237=0,L237,0)</f>
        <v>0</v>
      </c>
      <c r="AK237" s="32">
        <f>IF(AN237=12,L237,0)</f>
        <v>0</v>
      </c>
      <c r="AL237" s="32">
        <f>IF(AN237=21,L237,0)</f>
        <v>0</v>
      </c>
      <c r="AN237" s="32">
        <v>21</v>
      </c>
      <c r="AO237" s="32">
        <f>H237*0.400930514</f>
        <v>0</v>
      </c>
      <c r="AP237" s="32">
        <f>H237*(1-0.400930514)</f>
        <v>0</v>
      </c>
      <c r="AQ237" s="36" t="s">
        <v>57</v>
      </c>
      <c r="AV237" s="32">
        <f>ROUND(AW237+AX237,2)</f>
        <v>0</v>
      </c>
      <c r="AW237" s="32">
        <f>ROUND(G237*AO237,2)</f>
        <v>0</v>
      </c>
      <c r="AX237" s="32">
        <f>ROUND(G237*AP237,2)</f>
        <v>0</v>
      </c>
      <c r="AY237" s="36" t="s">
        <v>547</v>
      </c>
      <c r="AZ237" s="36" t="s">
        <v>548</v>
      </c>
      <c r="BA237" s="12" t="s">
        <v>63</v>
      </c>
      <c r="BC237" s="32">
        <f>AW237+AX237</f>
        <v>0</v>
      </c>
      <c r="BD237" s="32">
        <f>H237/(100-BE237)*100</f>
        <v>0</v>
      </c>
      <c r="BE237" s="32">
        <v>0</v>
      </c>
      <c r="BF237" s="32">
        <f>P237</f>
        <v>0.36489500000000002</v>
      </c>
      <c r="BH237" s="32">
        <f>G237*AO237</f>
        <v>0</v>
      </c>
      <c r="BI237" s="32">
        <f>G237*AP237</f>
        <v>0</v>
      </c>
      <c r="BJ237" s="32">
        <f>G237*H237</f>
        <v>0</v>
      </c>
      <c r="BK237" s="32"/>
      <c r="BL237" s="32">
        <v>95</v>
      </c>
      <c r="BW237" s="32">
        <f>I237</f>
        <v>21</v>
      </c>
      <c r="BX237" s="4" t="s">
        <v>557</v>
      </c>
    </row>
    <row r="238" spans="1:76" ht="13.5" customHeight="1" x14ac:dyDescent="0.25">
      <c r="A238" s="37"/>
      <c r="C238" s="38"/>
      <c r="D238" s="100" t="s">
        <v>558</v>
      </c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9"/>
    </row>
    <row r="239" spans="1:76" x14ac:dyDescent="0.25">
      <c r="A239" s="2" t="s">
        <v>559</v>
      </c>
      <c r="B239" s="3" t="s">
        <v>54</v>
      </c>
      <c r="C239" s="3" t="s">
        <v>243</v>
      </c>
      <c r="D239" s="95" t="s">
        <v>560</v>
      </c>
      <c r="E239" s="96"/>
      <c r="F239" s="3" t="s">
        <v>245</v>
      </c>
      <c r="G239" s="32">
        <v>20</v>
      </c>
      <c r="H239" s="89">
        <v>0</v>
      </c>
      <c r="I239" s="33">
        <v>21</v>
      </c>
      <c r="J239" s="32">
        <f>ROUND(G239*AO239,2)</f>
        <v>0</v>
      </c>
      <c r="K239" s="32">
        <f>ROUND(G239*AP239,2)</f>
        <v>0</v>
      </c>
      <c r="L239" s="32">
        <f>ROUND(G239*H239,2)</f>
        <v>0</v>
      </c>
      <c r="M239" s="32">
        <f>L239*(1+BW239/100)</f>
        <v>0</v>
      </c>
      <c r="N239" s="34">
        <f>IF(L285=0,0,L239/L285)</f>
        <v>0</v>
      </c>
      <c r="O239" s="32">
        <v>0</v>
      </c>
      <c r="P239" s="32">
        <f>G239*O239</f>
        <v>0</v>
      </c>
      <c r="Q239" s="35" t="s">
        <v>61</v>
      </c>
      <c r="Z239" s="32">
        <f>ROUND(IF(AQ239="5",BJ239,0),2)</f>
        <v>0</v>
      </c>
      <c r="AB239" s="32">
        <f>ROUND(IF(AQ239="1",BH239,0),2)</f>
        <v>0</v>
      </c>
      <c r="AC239" s="32">
        <f>ROUND(IF(AQ239="1",BI239,0),2)</f>
        <v>0</v>
      </c>
      <c r="AD239" s="32">
        <f>ROUND(IF(AQ239="7",BH239,0),2)</f>
        <v>0</v>
      </c>
      <c r="AE239" s="32">
        <f>ROUND(IF(AQ239="7",BI239,0),2)</f>
        <v>0</v>
      </c>
      <c r="AF239" s="32">
        <f>ROUND(IF(AQ239="2",BH239,0),2)</f>
        <v>0</v>
      </c>
      <c r="AG239" s="32">
        <f>ROUND(IF(AQ239="2",BI239,0),2)</f>
        <v>0</v>
      </c>
      <c r="AH239" s="32">
        <f>ROUND(IF(AQ239="0",BJ239,0),2)</f>
        <v>0</v>
      </c>
      <c r="AI239" s="12" t="s">
        <v>54</v>
      </c>
      <c r="AJ239" s="32">
        <f>IF(AN239=0,L239,0)</f>
        <v>0</v>
      </c>
      <c r="AK239" s="32">
        <f>IF(AN239=12,L239,0)</f>
        <v>0</v>
      </c>
      <c r="AL239" s="32">
        <f>IF(AN239=21,L239,0)</f>
        <v>0</v>
      </c>
      <c r="AN239" s="32">
        <v>21</v>
      </c>
      <c r="AO239" s="32">
        <f>H239*0</f>
        <v>0</v>
      </c>
      <c r="AP239" s="32">
        <f>H239*(1-0)</f>
        <v>0</v>
      </c>
      <c r="AQ239" s="36" t="s">
        <v>57</v>
      </c>
      <c r="AV239" s="32">
        <f>ROUND(AW239+AX239,2)</f>
        <v>0</v>
      </c>
      <c r="AW239" s="32">
        <f>ROUND(G239*AO239,2)</f>
        <v>0</v>
      </c>
      <c r="AX239" s="32">
        <f>ROUND(G239*AP239,2)</f>
        <v>0</v>
      </c>
      <c r="AY239" s="36" t="s">
        <v>547</v>
      </c>
      <c r="AZ239" s="36" t="s">
        <v>548</v>
      </c>
      <c r="BA239" s="12" t="s">
        <v>63</v>
      </c>
      <c r="BC239" s="32">
        <f>AW239+AX239</f>
        <v>0</v>
      </c>
      <c r="BD239" s="32">
        <f>H239/(100-BE239)*100</f>
        <v>0</v>
      </c>
      <c r="BE239" s="32">
        <v>0</v>
      </c>
      <c r="BF239" s="32">
        <f>P239</f>
        <v>0</v>
      </c>
      <c r="BH239" s="32">
        <f>G239*AO239</f>
        <v>0</v>
      </c>
      <c r="BI239" s="32">
        <f>G239*AP239</f>
        <v>0</v>
      </c>
      <c r="BJ239" s="32">
        <f>G239*H239</f>
        <v>0</v>
      </c>
      <c r="BK239" s="32"/>
      <c r="BL239" s="32">
        <v>95</v>
      </c>
      <c r="BW239" s="32">
        <f>I239</f>
        <v>21</v>
      </c>
      <c r="BX239" s="4" t="s">
        <v>560</v>
      </c>
    </row>
    <row r="240" spans="1:76" ht="13.5" customHeight="1" x14ac:dyDescent="0.25">
      <c r="A240" s="37"/>
      <c r="C240" s="38"/>
      <c r="D240" s="97" t="s">
        <v>739</v>
      </c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9"/>
    </row>
    <row r="241" spans="1:76" x14ac:dyDescent="0.25">
      <c r="A241" s="2" t="s">
        <v>561</v>
      </c>
      <c r="B241" s="3" t="s">
        <v>54</v>
      </c>
      <c r="C241" s="3" t="s">
        <v>562</v>
      </c>
      <c r="D241" s="95" t="s">
        <v>563</v>
      </c>
      <c r="E241" s="96"/>
      <c r="F241" s="3" t="s">
        <v>239</v>
      </c>
      <c r="G241" s="32">
        <v>1</v>
      </c>
      <c r="H241" s="89">
        <v>0</v>
      </c>
      <c r="I241" s="33">
        <v>21</v>
      </c>
      <c r="J241" s="32">
        <f>ROUND(G241*AO241,2)</f>
        <v>0</v>
      </c>
      <c r="K241" s="32">
        <f>ROUND(G241*AP241,2)</f>
        <v>0</v>
      </c>
      <c r="L241" s="32">
        <f>ROUND(G241*H241,2)</f>
        <v>0</v>
      </c>
      <c r="M241" s="32">
        <f>L241*(1+BW241/100)</f>
        <v>0</v>
      </c>
      <c r="N241" s="34">
        <f>IF(L285=0,0,L241/L285)</f>
        <v>0</v>
      </c>
      <c r="O241" s="32">
        <v>0</v>
      </c>
      <c r="P241" s="32">
        <f>G241*O241</f>
        <v>0</v>
      </c>
      <c r="Q241" s="35" t="s">
        <v>54</v>
      </c>
      <c r="Z241" s="32">
        <f>ROUND(IF(AQ241="5",BJ241,0),2)</f>
        <v>0</v>
      </c>
      <c r="AB241" s="32">
        <f>ROUND(IF(AQ241="1",BH241,0),2)</f>
        <v>0</v>
      </c>
      <c r="AC241" s="32">
        <f>ROUND(IF(AQ241="1",BI241,0),2)</f>
        <v>0</v>
      </c>
      <c r="AD241" s="32">
        <f>ROUND(IF(AQ241="7",BH241,0),2)</f>
        <v>0</v>
      </c>
      <c r="AE241" s="32">
        <f>ROUND(IF(AQ241="7",BI241,0),2)</f>
        <v>0</v>
      </c>
      <c r="AF241" s="32">
        <f>ROUND(IF(AQ241="2",BH241,0),2)</f>
        <v>0</v>
      </c>
      <c r="AG241" s="32">
        <f>ROUND(IF(AQ241="2",BI241,0),2)</f>
        <v>0</v>
      </c>
      <c r="AH241" s="32">
        <f>ROUND(IF(AQ241="0",BJ241,0),2)</f>
        <v>0</v>
      </c>
      <c r="AI241" s="12" t="s">
        <v>54</v>
      </c>
      <c r="AJ241" s="32">
        <f>IF(AN241=0,L241,0)</f>
        <v>0</v>
      </c>
      <c r="AK241" s="32">
        <f>IF(AN241=12,L241,0)</f>
        <v>0</v>
      </c>
      <c r="AL241" s="32">
        <f>IF(AN241=21,L241,0)</f>
        <v>0</v>
      </c>
      <c r="AN241" s="32">
        <v>21</v>
      </c>
      <c r="AO241" s="32">
        <f>H241*0.719047619</f>
        <v>0</v>
      </c>
      <c r="AP241" s="32">
        <f>H241*(1-0.719047619)</f>
        <v>0</v>
      </c>
      <c r="AQ241" s="36" t="s">
        <v>57</v>
      </c>
      <c r="AV241" s="32">
        <f>ROUND(AW241+AX241,2)</f>
        <v>0</v>
      </c>
      <c r="AW241" s="32">
        <f>ROUND(G241*AO241,2)</f>
        <v>0</v>
      </c>
      <c r="AX241" s="32">
        <f>ROUND(G241*AP241,2)</f>
        <v>0</v>
      </c>
      <c r="AY241" s="36" t="s">
        <v>547</v>
      </c>
      <c r="AZ241" s="36" t="s">
        <v>548</v>
      </c>
      <c r="BA241" s="12" t="s">
        <v>63</v>
      </c>
      <c r="BC241" s="32">
        <f>AW241+AX241</f>
        <v>0</v>
      </c>
      <c r="BD241" s="32">
        <f>H241/(100-BE241)*100</f>
        <v>0</v>
      </c>
      <c r="BE241" s="32">
        <v>0</v>
      </c>
      <c r="BF241" s="32">
        <f>P241</f>
        <v>0</v>
      </c>
      <c r="BH241" s="32">
        <f>G241*AO241</f>
        <v>0</v>
      </c>
      <c r="BI241" s="32">
        <f>G241*AP241</f>
        <v>0</v>
      </c>
      <c r="BJ241" s="32">
        <f>G241*H241</f>
        <v>0</v>
      </c>
      <c r="BK241" s="32"/>
      <c r="BL241" s="32">
        <v>95</v>
      </c>
      <c r="BW241" s="32">
        <f>I241</f>
        <v>21</v>
      </c>
      <c r="BX241" s="4" t="s">
        <v>563</v>
      </c>
    </row>
    <row r="242" spans="1:76" ht="13.5" customHeight="1" x14ac:dyDescent="0.25">
      <c r="A242" s="37"/>
      <c r="C242" s="38"/>
      <c r="D242" s="100" t="s">
        <v>564</v>
      </c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9"/>
    </row>
    <row r="243" spans="1:76" x14ac:dyDescent="0.25">
      <c r="A243" s="40" t="s">
        <v>54</v>
      </c>
      <c r="B243" s="41" t="s">
        <v>54</v>
      </c>
      <c r="C243" s="41" t="s">
        <v>373</v>
      </c>
      <c r="D243" s="101" t="s">
        <v>565</v>
      </c>
      <c r="E243" s="102"/>
      <c r="F243" s="42" t="s">
        <v>7</v>
      </c>
      <c r="G243" s="42" t="s">
        <v>7</v>
      </c>
      <c r="H243" s="42" t="s">
        <v>7</v>
      </c>
      <c r="I243" s="42" t="s">
        <v>7</v>
      </c>
      <c r="J243" s="1">
        <f>SUM(J244:J266)</f>
        <v>0</v>
      </c>
      <c r="K243" s="1">
        <f>SUM(K244:K266)</f>
        <v>0</v>
      </c>
      <c r="L243" s="1">
        <f>SUM(L244:L266)</f>
        <v>0</v>
      </c>
      <c r="M243" s="1">
        <f>SUM(M244:M266)</f>
        <v>0</v>
      </c>
      <c r="N243" s="43">
        <f>IF(L285=0,0,L243/L285)</f>
        <v>0</v>
      </c>
      <c r="O243" s="12" t="s">
        <v>54</v>
      </c>
      <c r="P243" s="1">
        <f>SUM(P244:P266)</f>
        <v>29.319538059999999</v>
      </c>
      <c r="Q243" s="44" t="s">
        <v>54</v>
      </c>
      <c r="AI243" s="12" t="s">
        <v>54</v>
      </c>
      <c r="AS243" s="1">
        <f>SUM(AJ244:AJ266)</f>
        <v>0</v>
      </c>
      <c r="AT243" s="1">
        <f>SUM(AK244:AK266)</f>
        <v>0</v>
      </c>
      <c r="AU243" s="1">
        <f>SUM(AL244:AL266)</f>
        <v>0</v>
      </c>
    </row>
    <row r="244" spans="1:76" x14ac:dyDescent="0.25">
      <c r="A244" s="2" t="s">
        <v>566</v>
      </c>
      <c r="B244" s="3" t="s">
        <v>54</v>
      </c>
      <c r="C244" s="3" t="s">
        <v>567</v>
      </c>
      <c r="D244" s="95" t="s">
        <v>568</v>
      </c>
      <c r="E244" s="96"/>
      <c r="F244" s="3" t="s">
        <v>60</v>
      </c>
      <c r="G244" s="32">
        <v>17</v>
      </c>
      <c r="H244" s="89">
        <v>0</v>
      </c>
      <c r="I244" s="33">
        <v>21</v>
      </c>
      <c r="J244" s="32">
        <f t="shared" ref="J244:J250" si="78">ROUND(G244*AO244,2)</f>
        <v>0</v>
      </c>
      <c r="K244" s="32">
        <f t="shared" ref="K244:K250" si="79">ROUND(G244*AP244,2)</f>
        <v>0</v>
      </c>
      <c r="L244" s="32">
        <f t="shared" ref="L244:L250" si="80">ROUND(G244*H244,2)</f>
        <v>0</v>
      </c>
      <c r="M244" s="32">
        <f t="shared" ref="M244:M250" si="81">L244*(1+BW244/100)</f>
        <v>0</v>
      </c>
      <c r="N244" s="34">
        <f>IF(L285=0,0,L244/L285)</f>
        <v>0</v>
      </c>
      <c r="O244" s="32">
        <v>3.1870000000000002E-2</v>
      </c>
      <c r="P244" s="32">
        <f t="shared" ref="P244:P250" si="82">G244*O244</f>
        <v>0.54178999999999999</v>
      </c>
      <c r="Q244" s="35" t="s">
        <v>61</v>
      </c>
      <c r="Z244" s="32">
        <f t="shared" ref="Z244:Z250" si="83">ROUND(IF(AQ244="5",BJ244,0),2)</f>
        <v>0</v>
      </c>
      <c r="AB244" s="32">
        <f t="shared" ref="AB244:AB250" si="84">ROUND(IF(AQ244="1",BH244,0),2)</f>
        <v>0</v>
      </c>
      <c r="AC244" s="32">
        <f t="shared" ref="AC244:AC250" si="85">ROUND(IF(AQ244="1",BI244,0),2)</f>
        <v>0</v>
      </c>
      <c r="AD244" s="32">
        <f t="shared" ref="AD244:AD250" si="86">ROUND(IF(AQ244="7",BH244,0),2)</f>
        <v>0</v>
      </c>
      <c r="AE244" s="32">
        <f t="shared" ref="AE244:AE250" si="87">ROUND(IF(AQ244="7",BI244,0),2)</f>
        <v>0</v>
      </c>
      <c r="AF244" s="32">
        <f t="shared" ref="AF244:AF250" si="88">ROUND(IF(AQ244="2",BH244,0),2)</f>
        <v>0</v>
      </c>
      <c r="AG244" s="32">
        <f t="shared" ref="AG244:AG250" si="89">ROUND(IF(AQ244="2",BI244,0),2)</f>
        <v>0</v>
      </c>
      <c r="AH244" s="32">
        <f t="shared" ref="AH244:AH250" si="90">ROUND(IF(AQ244="0",BJ244,0),2)</f>
        <v>0</v>
      </c>
      <c r="AI244" s="12" t="s">
        <v>54</v>
      </c>
      <c r="AJ244" s="32">
        <f t="shared" ref="AJ244:AJ250" si="91">IF(AN244=0,L244,0)</f>
        <v>0</v>
      </c>
      <c r="AK244" s="32">
        <f t="shared" ref="AK244:AK250" si="92">IF(AN244=12,L244,0)</f>
        <v>0</v>
      </c>
      <c r="AL244" s="32">
        <f t="shared" ref="AL244:AL250" si="93">IF(AN244=21,L244,0)</f>
        <v>0</v>
      </c>
      <c r="AN244" s="32">
        <v>21</v>
      </c>
      <c r="AO244" s="32">
        <f>H244*0</f>
        <v>0</v>
      </c>
      <c r="AP244" s="32">
        <f>H244*(1-0)</f>
        <v>0</v>
      </c>
      <c r="AQ244" s="36" t="s">
        <v>57</v>
      </c>
      <c r="AV244" s="32">
        <f t="shared" ref="AV244:AV250" si="94">ROUND(AW244+AX244,2)</f>
        <v>0</v>
      </c>
      <c r="AW244" s="32">
        <f t="shared" ref="AW244:AW250" si="95">ROUND(G244*AO244,2)</f>
        <v>0</v>
      </c>
      <c r="AX244" s="32">
        <f t="shared" ref="AX244:AX250" si="96">ROUND(G244*AP244,2)</f>
        <v>0</v>
      </c>
      <c r="AY244" s="36" t="s">
        <v>569</v>
      </c>
      <c r="AZ244" s="36" t="s">
        <v>548</v>
      </c>
      <c r="BA244" s="12" t="s">
        <v>63</v>
      </c>
      <c r="BC244" s="32">
        <f t="shared" ref="BC244:BC250" si="97">AW244+AX244</f>
        <v>0</v>
      </c>
      <c r="BD244" s="32">
        <f t="shared" ref="BD244:BD250" si="98">H244/(100-BE244)*100</f>
        <v>0</v>
      </c>
      <c r="BE244" s="32">
        <v>0</v>
      </c>
      <c r="BF244" s="32">
        <f t="shared" ref="BF244:BF250" si="99">P244</f>
        <v>0.54178999999999999</v>
      </c>
      <c r="BH244" s="32">
        <f t="shared" ref="BH244:BH250" si="100">G244*AO244</f>
        <v>0</v>
      </c>
      <c r="BI244" s="32">
        <f t="shared" ref="BI244:BI250" si="101">G244*AP244</f>
        <v>0</v>
      </c>
      <c r="BJ244" s="32">
        <f t="shared" ref="BJ244:BJ250" si="102">G244*H244</f>
        <v>0</v>
      </c>
      <c r="BK244" s="32"/>
      <c r="BL244" s="32">
        <v>96</v>
      </c>
      <c r="BW244" s="32">
        <f t="shared" ref="BW244:BW250" si="103">I244</f>
        <v>21</v>
      </c>
      <c r="BX244" s="4" t="s">
        <v>568</v>
      </c>
    </row>
    <row r="245" spans="1:76" x14ac:dyDescent="0.25">
      <c r="A245" s="2" t="s">
        <v>570</v>
      </c>
      <c r="B245" s="3" t="s">
        <v>54</v>
      </c>
      <c r="C245" s="3" t="s">
        <v>571</v>
      </c>
      <c r="D245" s="95" t="s">
        <v>572</v>
      </c>
      <c r="E245" s="96"/>
      <c r="F245" s="3" t="s">
        <v>239</v>
      </c>
      <c r="G245" s="32">
        <v>17</v>
      </c>
      <c r="H245" s="89">
        <v>0</v>
      </c>
      <c r="I245" s="33">
        <v>21</v>
      </c>
      <c r="J245" s="32">
        <f t="shared" si="78"/>
        <v>0</v>
      </c>
      <c r="K245" s="32">
        <f t="shared" si="79"/>
        <v>0</v>
      </c>
      <c r="L245" s="32">
        <f t="shared" si="80"/>
        <v>0</v>
      </c>
      <c r="M245" s="32">
        <f t="shared" si="81"/>
        <v>0</v>
      </c>
      <c r="N245" s="34">
        <f>IF(L285=0,0,L245/L285)</f>
        <v>0</v>
      </c>
      <c r="O245" s="32">
        <v>1.933E-2</v>
      </c>
      <c r="P245" s="32">
        <f t="shared" si="82"/>
        <v>0.32861000000000001</v>
      </c>
      <c r="Q245" s="35" t="s">
        <v>61</v>
      </c>
      <c r="Z245" s="32">
        <f t="shared" si="83"/>
        <v>0</v>
      </c>
      <c r="AB245" s="32">
        <f t="shared" si="84"/>
        <v>0</v>
      </c>
      <c r="AC245" s="32">
        <f t="shared" si="85"/>
        <v>0</v>
      </c>
      <c r="AD245" s="32">
        <f t="shared" si="86"/>
        <v>0</v>
      </c>
      <c r="AE245" s="32">
        <f t="shared" si="87"/>
        <v>0</v>
      </c>
      <c r="AF245" s="32">
        <f t="shared" si="88"/>
        <v>0</v>
      </c>
      <c r="AG245" s="32">
        <f t="shared" si="89"/>
        <v>0</v>
      </c>
      <c r="AH245" s="32">
        <f t="shared" si="90"/>
        <v>0</v>
      </c>
      <c r="AI245" s="12" t="s">
        <v>54</v>
      </c>
      <c r="AJ245" s="32">
        <f t="shared" si="91"/>
        <v>0</v>
      </c>
      <c r="AK245" s="32">
        <f t="shared" si="92"/>
        <v>0</v>
      </c>
      <c r="AL245" s="32">
        <f t="shared" si="93"/>
        <v>0</v>
      </c>
      <c r="AN245" s="32">
        <v>21</v>
      </c>
      <c r="AO245" s="32">
        <f>H245*0</f>
        <v>0</v>
      </c>
      <c r="AP245" s="32">
        <f>H245*(1-0)</f>
        <v>0</v>
      </c>
      <c r="AQ245" s="36" t="s">
        <v>57</v>
      </c>
      <c r="AV245" s="32">
        <f t="shared" si="94"/>
        <v>0</v>
      </c>
      <c r="AW245" s="32">
        <f t="shared" si="95"/>
        <v>0</v>
      </c>
      <c r="AX245" s="32">
        <f t="shared" si="96"/>
        <v>0</v>
      </c>
      <c r="AY245" s="36" t="s">
        <v>569</v>
      </c>
      <c r="AZ245" s="36" t="s">
        <v>548</v>
      </c>
      <c r="BA245" s="12" t="s">
        <v>63</v>
      </c>
      <c r="BC245" s="32">
        <f t="shared" si="97"/>
        <v>0</v>
      </c>
      <c r="BD245" s="32">
        <f t="shared" si="98"/>
        <v>0</v>
      </c>
      <c r="BE245" s="32">
        <v>0</v>
      </c>
      <c r="BF245" s="32">
        <f t="shared" si="99"/>
        <v>0.32861000000000001</v>
      </c>
      <c r="BH245" s="32">
        <f t="shared" si="100"/>
        <v>0</v>
      </c>
      <c r="BI245" s="32">
        <f t="shared" si="101"/>
        <v>0</v>
      </c>
      <c r="BJ245" s="32">
        <f t="shared" si="102"/>
        <v>0</v>
      </c>
      <c r="BK245" s="32"/>
      <c r="BL245" s="32">
        <v>96</v>
      </c>
      <c r="BW245" s="32">
        <f t="shared" si="103"/>
        <v>21</v>
      </c>
      <c r="BX245" s="4" t="s">
        <v>572</v>
      </c>
    </row>
    <row r="246" spans="1:76" x14ac:dyDescent="0.25">
      <c r="A246" s="2" t="s">
        <v>573</v>
      </c>
      <c r="B246" s="3" t="s">
        <v>54</v>
      </c>
      <c r="C246" s="3" t="s">
        <v>574</v>
      </c>
      <c r="D246" s="95" t="s">
        <v>575</v>
      </c>
      <c r="E246" s="96"/>
      <c r="F246" s="3" t="s">
        <v>239</v>
      </c>
      <c r="G246" s="32">
        <v>3</v>
      </c>
      <c r="H246" s="89">
        <v>0</v>
      </c>
      <c r="I246" s="33">
        <v>21</v>
      </c>
      <c r="J246" s="32">
        <f t="shared" si="78"/>
        <v>0</v>
      </c>
      <c r="K246" s="32">
        <f t="shared" si="79"/>
        <v>0</v>
      </c>
      <c r="L246" s="32">
        <f t="shared" si="80"/>
        <v>0</v>
      </c>
      <c r="M246" s="32">
        <f t="shared" si="81"/>
        <v>0</v>
      </c>
      <c r="N246" s="34">
        <f>IF(L285=0,0,L246/L285)</f>
        <v>0</v>
      </c>
      <c r="O246" s="32">
        <v>8.7999999999999995E-2</v>
      </c>
      <c r="P246" s="32">
        <f t="shared" si="82"/>
        <v>0.26400000000000001</v>
      </c>
      <c r="Q246" s="35" t="s">
        <v>61</v>
      </c>
      <c r="Z246" s="32">
        <f t="shared" si="83"/>
        <v>0</v>
      </c>
      <c r="AB246" s="32">
        <f t="shared" si="84"/>
        <v>0</v>
      </c>
      <c r="AC246" s="32">
        <f t="shared" si="85"/>
        <v>0</v>
      </c>
      <c r="AD246" s="32">
        <f t="shared" si="86"/>
        <v>0</v>
      </c>
      <c r="AE246" s="32">
        <f t="shared" si="87"/>
        <v>0</v>
      </c>
      <c r="AF246" s="32">
        <f t="shared" si="88"/>
        <v>0</v>
      </c>
      <c r="AG246" s="32">
        <f t="shared" si="89"/>
        <v>0</v>
      </c>
      <c r="AH246" s="32">
        <f t="shared" si="90"/>
        <v>0</v>
      </c>
      <c r="AI246" s="12" t="s">
        <v>54</v>
      </c>
      <c r="AJ246" s="32">
        <f t="shared" si="91"/>
        <v>0</v>
      </c>
      <c r="AK246" s="32">
        <f t="shared" si="92"/>
        <v>0</v>
      </c>
      <c r="AL246" s="32">
        <f t="shared" si="93"/>
        <v>0</v>
      </c>
      <c r="AN246" s="32">
        <v>21</v>
      </c>
      <c r="AO246" s="32">
        <f>H246*0</f>
        <v>0</v>
      </c>
      <c r="AP246" s="32">
        <f>H246*(1-0)</f>
        <v>0</v>
      </c>
      <c r="AQ246" s="36" t="s">
        <v>57</v>
      </c>
      <c r="AV246" s="32">
        <f t="shared" si="94"/>
        <v>0</v>
      </c>
      <c r="AW246" s="32">
        <f t="shared" si="95"/>
        <v>0</v>
      </c>
      <c r="AX246" s="32">
        <f t="shared" si="96"/>
        <v>0</v>
      </c>
      <c r="AY246" s="36" t="s">
        <v>569</v>
      </c>
      <c r="AZ246" s="36" t="s">
        <v>548</v>
      </c>
      <c r="BA246" s="12" t="s">
        <v>63</v>
      </c>
      <c r="BC246" s="32">
        <f t="shared" si="97"/>
        <v>0</v>
      </c>
      <c r="BD246" s="32">
        <f t="shared" si="98"/>
        <v>0</v>
      </c>
      <c r="BE246" s="32">
        <v>0</v>
      </c>
      <c r="BF246" s="32">
        <f t="shared" si="99"/>
        <v>0.26400000000000001</v>
      </c>
      <c r="BH246" s="32">
        <f t="shared" si="100"/>
        <v>0</v>
      </c>
      <c r="BI246" s="32">
        <f t="shared" si="101"/>
        <v>0</v>
      </c>
      <c r="BJ246" s="32">
        <f t="shared" si="102"/>
        <v>0</v>
      </c>
      <c r="BK246" s="32"/>
      <c r="BL246" s="32">
        <v>96</v>
      </c>
      <c r="BW246" s="32">
        <f t="shared" si="103"/>
        <v>21</v>
      </c>
      <c r="BX246" s="4" t="s">
        <v>575</v>
      </c>
    </row>
    <row r="247" spans="1:76" x14ac:dyDescent="0.25">
      <c r="A247" s="2" t="s">
        <v>576</v>
      </c>
      <c r="B247" s="3" t="s">
        <v>54</v>
      </c>
      <c r="C247" s="3" t="s">
        <v>577</v>
      </c>
      <c r="D247" s="95" t="s">
        <v>578</v>
      </c>
      <c r="E247" s="96"/>
      <c r="F247" s="3" t="s">
        <v>60</v>
      </c>
      <c r="G247" s="32">
        <v>9</v>
      </c>
      <c r="H247" s="89">
        <v>0</v>
      </c>
      <c r="I247" s="33">
        <v>21</v>
      </c>
      <c r="J247" s="32">
        <f t="shared" si="78"/>
        <v>0</v>
      </c>
      <c r="K247" s="32">
        <f t="shared" si="79"/>
        <v>0</v>
      </c>
      <c r="L247" s="32">
        <f t="shared" si="80"/>
        <v>0</v>
      </c>
      <c r="M247" s="32">
        <f t="shared" si="81"/>
        <v>0</v>
      </c>
      <c r="N247" s="34">
        <f>IF(L285=0,0,L247/L285)</f>
        <v>0</v>
      </c>
      <c r="O247" s="32">
        <v>0</v>
      </c>
      <c r="P247" s="32">
        <f t="shared" si="82"/>
        <v>0</v>
      </c>
      <c r="Q247" s="35" t="s">
        <v>61</v>
      </c>
      <c r="Z247" s="32">
        <f t="shared" si="83"/>
        <v>0</v>
      </c>
      <c r="AB247" s="32">
        <f t="shared" si="84"/>
        <v>0</v>
      </c>
      <c r="AC247" s="32">
        <f t="shared" si="85"/>
        <v>0</v>
      </c>
      <c r="AD247" s="32">
        <f t="shared" si="86"/>
        <v>0</v>
      </c>
      <c r="AE247" s="32">
        <f t="shared" si="87"/>
        <v>0</v>
      </c>
      <c r="AF247" s="32">
        <f t="shared" si="88"/>
        <v>0</v>
      </c>
      <c r="AG247" s="32">
        <f t="shared" si="89"/>
        <v>0</v>
      </c>
      <c r="AH247" s="32">
        <f t="shared" si="90"/>
        <v>0</v>
      </c>
      <c r="AI247" s="12" t="s">
        <v>54</v>
      </c>
      <c r="AJ247" s="32">
        <f t="shared" si="91"/>
        <v>0</v>
      </c>
      <c r="AK247" s="32">
        <f t="shared" si="92"/>
        <v>0</v>
      </c>
      <c r="AL247" s="32">
        <f t="shared" si="93"/>
        <v>0</v>
      </c>
      <c r="AN247" s="32">
        <v>21</v>
      </c>
      <c r="AO247" s="32">
        <f>H247*0</f>
        <v>0</v>
      </c>
      <c r="AP247" s="32">
        <f>H247*(1-0)</f>
        <v>0</v>
      </c>
      <c r="AQ247" s="36" t="s">
        <v>57</v>
      </c>
      <c r="AV247" s="32">
        <f t="shared" si="94"/>
        <v>0</v>
      </c>
      <c r="AW247" s="32">
        <f t="shared" si="95"/>
        <v>0</v>
      </c>
      <c r="AX247" s="32">
        <f t="shared" si="96"/>
        <v>0</v>
      </c>
      <c r="AY247" s="36" t="s">
        <v>569</v>
      </c>
      <c r="AZ247" s="36" t="s">
        <v>548</v>
      </c>
      <c r="BA247" s="12" t="s">
        <v>63</v>
      </c>
      <c r="BC247" s="32">
        <f t="shared" si="97"/>
        <v>0</v>
      </c>
      <c r="BD247" s="32">
        <f t="shared" si="98"/>
        <v>0</v>
      </c>
      <c r="BE247" s="32">
        <v>0</v>
      </c>
      <c r="BF247" s="32">
        <f t="shared" si="99"/>
        <v>0</v>
      </c>
      <c r="BH247" s="32">
        <f t="shared" si="100"/>
        <v>0</v>
      </c>
      <c r="BI247" s="32">
        <f t="shared" si="101"/>
        <v>0</v>
      </c>
      <c r="BJ247" s="32">
        <f t="shared" si="102"/>
        <v>0</v>
      </c>
      <c r="BK247" s="32"/>
      <c r="BL247" s="32">
        <v>96</v>
      </c>
      <c r="BW247" s="32">
        <f t="shared" si="103"/>
        <v>21</v>
      </c>
      <c r="BX247" s="4" t="s">
        <v>578</v>
      </c>
    </row>
    <row r="248" spans="1:76" x14ac:dyDescent="0.25">
      <c r="A248" s="2" t="s">
        <v>579</v>
      </c>
      <c r="B248" s="3" t="s">
        <v>54</v>
      </c>
      <c r="C248" s="3" t="s">
        <v>580</v>
      </c>
      <c r="D248" s="95" t="s">
        <v>581</v>
      </c>
      <c r="E248" s="96"/>
      <c r="F248" s="3" t="s">
        <v>90</v>
      </c>
      <c r="G248" s="32">
        <v>12.214</v>
      </c>
      <c r="H248" s="89">
        <v>0</v>
      </c>
      <c r="I248" s="33">
        <v>21</v>
      </c>
      <c r="J248" s="32">
        <f t="shared" si="78"/>
        <v>0</v>
      </c>
      <c r="K248" s="32">
        <f t="shared" si="79"/>
        <v>0</v>
      </c>
      <c r="L248" s="32">
        <f t="shared" si="80"/>
        <v>0</v>
      </c>
      <c r="M248" s="32">
        <f t="shared" si="81"/>
        <v>0</v>
      </c>
      <c r="N248" s="34">
        <f>IF(L285=0,0,L248/L285)</f>
        <v>0</v>
      </c>
      <c r="O248" s="32">
        <v>7.7170000000000002E-2</v>
      </c>
      <c r="P248" s="32">
        <f t="shared" si="82"/>
        <v>0.94255438000000002</v>
      </c>
      <c r="Q248" s="35" t="s">
        <v>61</v>
      </c>
      <c r="Z248" s="32">
        <f t="shared" si="83"/>
        <v>0</v>
      </c>
      <c r="AB248" s="32">
        <f t="shared" si="84"/>
        <v>0</v>
      </c>
      <c r="AC248" s="32">
        <f t="shared" si="85"/>
        <v>0</v>
      </c>
      <c r="AD248" s="32">
        <f t="shared" si="86"/>
        <v>0</v>
      </c>
      <c r="AE248" s="32">
        <f t="shared" si="87"/>
        <v>0</v>
      </c>
      <c r="AF248" s="32">
        <f t="shared" si="88"/>
        <v>0</v>
      </c>
      <c r="AG248" s="32">
        <f t="shared" si="89"/>
        <v>0</v>
      </c>
      <c r="AH248" s="32">
        <f t="shared" si="90"/>
        <v>0</v>
      </c>
      <c r="AI248" s="12" t="s">
        <v>54</v>
      </c>
      <c r="AJ248" s="32">
        <f t="shared" si="91"/>
        <v>0</v>
      </c>
      <c r="AK248" s="32">
        <f t="shared" si="92"/>
        <v>0</v>
      </c>
      <c r="AL248" s="32">
        <f t="shared" si="93"/>
        <v>0</v>
      </c>
      <c r="AN248" s="32">
        <v>21</v>
      </c>
      <c r="AO248" s="32">
        <f>H248*0.066868546</f>
        <v>0</v>
      </c>
      <c r="AP248" s="32">
        <f>H248*(1-0.066868546)</f>
        <v>0</v>
      </c>
      <c r="AQ248" s="36" t="s">
        <v>57</v>
      </c>
      <c r="AV248" s="32">
        <f t="shared" si="94"/>
        <v>0</v>
      </c>
      <c r="AW248" s="32">
        <f t="shared" si="95"/>
        <v>0</v>
      </c>
      <c r="AX248" s="32">
        <f t="shared" si="96"/>
        <v>0</v>
      </c>
      <c r="AY248" s="36" t="s">
        <v>569</v>
      </c>
      <c r="AZ248" s="36" t="s">
        <v>548</v>
      </c>
      <c r="BA248" s="12" t="s">
        <v>63</v>
      </c>
      <c r="BC248" s="32">
        <f t="shared" si="97"/>
        <v>0</v>
      </c>
      <c r="BD248" s="32">
        <f t="shared" si="98"/>
        <v>0</v>
      </c>
      <c r="BE248" s="32">
        <v>0</v>
      </c>
      <c r="BF248" s="32">
        <f t="shared" si="99"/>
        <v>0.94255438000000002</v>
      </c>
      <c r="BH248" s="32">
        <f t="shared" si="100"/>
        <v>0</v>
      </c>
      <c r="BI248" s="32">
        <f t="shared" si="101"/>
        <v>0</v>
      </c>
      <c r="BJ248" s="32">
        <f t="shared" si="102"/>
        <v>0</v>
      </c>
      <c r="BK248" s="32"/>
      <c r="BL248" s="32">
        <v>96</v>
      </c>
      <c r="BW248" s="32">
        <f t="shared" si="103"/>
        <v>21</v>
      </c>
      <c r="BX248" s="4" t="s">
        <v>581</v>
      </c>
    </row>
    <row r="249" spans="1:76" x14ac:dyDescent="0.25">
      <c r="A249" s="2" t="s">
        <v>582</v>
      </c>
      <c r="B249" s="3" t="s">
        <v>54</v>
      </c>
      <c r="C249" s="3" t="s">
        <v>583</v>
      </c>
      <c r="D249" s="95" t="s">
        <v>584</v>
      </c>
      <c r="E249" s="96"/>
      <c r="F249" s="3" t="s">
        <v>90</v>
      </c>
      <c r="G249" s="32">
        <v>32.799999999999997</v>
      </c>
      <c r="H249" s="89">
        <v>0</v>
      </c>
      <c r="I249" s="33">
        <v>21</v>
      </c>
      <c r="J249" s="32">
        <f t="shared" si="78"/>
        <v>0</v>
      </c>
      <c r="K249" s="32">
        <f t="shared" si="79"/>
        <v>0</v>
      </c>
      <c r="L249" s="32">
        <f t="shared" si="80"/>
        <v>0</v>
      </c>
      <c r="M249" s="32">
        <f t="shared" si="81"/>
        <v>0</v>
      </c>
      <c r="N249" s="34">
        <f>IF(L285=0,0,L249/L285)</f>
        <v>0</v>
      </c>
      <c r="O249" s="32">
        <v>0.18467</v>
      </c>
      <c r="P249" s="32">
        <f t="shared" si="82"/>
        <v>6.0571759999999992</v>
      </c>
      <c r="Q249" s="35" t="s">
        <v>61</v>
      </c>
      <c r="Z249" s="32">
        <f t="shared" si="83"/>
        <v>0</v>
      </c>
      <c r="AB249" s="32">
        <f t="shared" si="84"/>
        <v>0</v>
      </c>
      <c r="AC249" s="32">
        <f t="shared" si="85"/>
        <v>0</v>
      </c>
      <c r="AD249" s="32">
        <f t="shared" si="86"/>
        <v>0</v>
      </c>
      <c r="AE249" s="32">
        <f t="shared" si="87"/>
        <v>0</v>
      </c>
      <c r="AF249" s="32">
        <f t="shared" si="88"/>
        <v>0</v>
      </c>
      <c r="AG249" s="32">
        <f t="shared" si="89"/>
        <v>0</v>
      </c>
      <c r="AH249" s="32">
        <f t="shared" si="90"/>
        <v>0</v>
      </c>
      <c r="AI249" s="12" t="s">
        <v>54</v>
      </c>
      <c r="AJ249" s="32">
        <f t="shared" si="91"/>
        <v>0</v>
      </c>
      <c r="AK249" s="32">
        <f t="shared" si="92"/>
        <v>0</v>
      </c>
      <c r="AL249" s="32">
        <f t="shared" si="93"/>
        <v>0</v>
      </c>
      <c r="AN249" s="32">
        <v>21</v>
      </c>
      <c r="AO249" s="32">
        <f>H249*0.122208224</f>
        <v>0</v>
      </c>
      <c r="AP249" s="32">
        <f>H249*(1-0.122208224)</f>
        <v>0</v>
      </c>
      <c r="AQ249" s="36" t="s">
        <v>57</v>
      </c>
      <c r="AV249" s="32">
        <f t="shared" si="94"/>
        <v>0</v>
      </c>
      <c r="AW249" s="32">
        <f t="shared" si="95"/>
        <v>0</v>
      </c>
      <c r="AX249" s="32">
        <f t="shared" si="96"/>
        <v>0</v>
      </c>
      <c r="AY249" s="36" t="s">
        <v>569</v>
      </c>
      <c r="AZ249" s="36" t="s">
        <v>548</v>
      </c>
      <c r="BA249" s="12" t="s">
        <v>63</v>
      </c>
      <c r="BC249" s="32">
        <f t="shared" si="97"/>
        <v>0</v>
      </c>
      <c r="BD249" s="32">
        <f t="shared" si="98"/>
        <v>0</v>
      </c>
      <c r="BE249" s="32">
        <v>0</v>
      </c>
      <c r="BF249" s="32">
        <f t="shared" si="99"/>
        <v>6.0571759999999992</v>
      </c>
      <c r="BH249" s="32">
        <f t="shared" si="100"/>
        <v>0</v>
      </c>
      <c r="BI249" s="32">
        <f t="shared" si="101"/>
        <v>0</v>
      </c>
      <c r="BJ249" s="32">
        <f t="shared" si="102"/>
        <v>0</v>
      </c>
      <c r="BK249" s="32"/>
      <c r="BL249" s="32">
        <v>96</v>
      </c>
      <c r="BW249" s="32">
        <f t="shared" si="103"/>
        <v>21</v>
      </c>
      <c r="BX249" s="4" t="s">
        <v>584</v>
      </c>
    </row>
    <row r="250" spans="1:76" x14ac:dyDescent="0.25">
      <c r="A250" s="2" t="s">
        <v>585</v>
      </c>
      <c r="B250" s="3" t="s">
        <v>54</v>
      </c>
      <c r="C250" s="3" t="s">
        <v>586</v>
      </c>
      <c r="D250" s="95" t="s">
        <v>587</v>
      </c>
      <c r="E250" s="96"/>
      <c r="F250" s="3" t="s">
        <v>90</v>
      </c>
      <c r="G250" s="32">
        <v>103.65</v>
      </c>
      <c r="H250" s="89">
        <v>0</v>
      </c>
      <c r="I250" s="33">
        <v>21</v>
      </c>
      <c r="J250" s="32">
        <f t="shared" si="78"/>
        <v>0</v>
      </c>
      <c r="K250" s="32">
        <f t="shared" si="79"/>
        <v>0</v>
      </c>
      <c r="L250" s="32">
        <f t="shared" si="80"/>
        <v>0</v>
      </c>
      <c r="M250" s="32">
        <f t="shared" si="81"/>
        <v>0</v>
      </c>
      <c r="N250" s="34">
        <f>IF(L285=0,0,L250/L285)</f>
        <v>0</v>
      </c>
      <c r="O250" s="32">
        <v>6.8000000000000005E-2</v>
      </c>
      <c r="P250" s="32">
        <f t="shared" si="82"/>
        <v>7.0482000000000005</v>
      </c>
      <c r="Q250" s="35" t="s">
        <v>61</v>
      </c>
      <c r="Z250" s="32">
        <f t="shared" si="83"/>
        <v>0</v>
      </c>
      <c r="AB250" s="32">
        <f t="shared" si="84"/>
        <v>0</v>
      </c>
      <c r="AC250" s="32">
        <f t="shared" si="85"/>
        <v>0</v>
      </c>
      <c r="AD250" s="32">
        <f t="shared" si="86"/>
        <v>0</v>
      </c>
      <c r="AE250" s="32">
        <f t="shared" si="87"/>
        <v>0</v>
      </c>
      <c r="AF250" s="32">
        <f t="shared" si="88"/>
        <v>0</v>
      </c>
      <c r="AG250" s="32">
        <f t="shared" si="89"/>
        <v>0</v>
      </c>
      <c r="AH250" s="32">
        <f t="shared" si="90"/>
        <v>0</v>
      </c>
      <c r="AI250" s="12" t="s">
        <v>54</v>
      </c>
      <c r="AJ250" s="32">
        <f t="shared" si="91"/>
        <v>0</v>
      </c>
      <c r="AK250" s="32">
        <f t="shared" si="92"/>
        <v>0</v>
      </c>
      <c r="AL250" s="32">
        <f t="shared" si="93"/>
        <v>0</v>
      </c>
      <c r="AN250" s="32">
        <v>21</v>
      </c>
      <c r="AO250" s="32">
        <f>H250*0</f>
        <v>0</v>
      </c>
      <c r="AP250" s="32">
        <f>H250*(1-0)</f>
        <v>0</v>
      </c>
      <c r="AQ250" s="36" t="s">
        <v>57</v>
      </c>
      <c r="AV250" s="32">
        <f t="shared" si="94"/>
        <v>0</v>
      </c>
      <c r="AW250" s="32">
        <f t="shared" si="95"/>
        <v>0</v>
      </c>
      <c r="AX250" s="32">
        <f t="shared" si="96"/>
        <v>0</v>
      </c>
      <c r="AY250" s="36" t="s">
        <v>569</v>
      </c>
      <c r="AZ250" s="36" t="s">
        <v>548</v>
      </c>
      <c r="BA250" s="12" t="s">
        <v>63</v>
      </c>
      <c r="BC250" s="32">
        <f t="shared" si="97"/>
        <v>0</v>
      </c>
      <c r="BD250" s="32">
        <f t="shared" si="98"/>
        <v>0</v>
      </c>
      <c r="BE250" s="32">
        <v>0</v>
      </c>
      <c r="BF250" s="32">
        <f t="shared" si="99"/>
        <v>7.0482000000000005</v>
      </c>
      <c r="BH250" s="32">
        <f t="shared" si="100"/>
        <v>0</v>
      </c>
      <c r="BI250" s="32">
        <f t="shared" si="101"/>
        <v>0</v>
      </c>
      <c r="BJ250" s="32">
        <f t="shared" si="102"/>
        <v>0</v>
      </c>
      <c r="BK250" s="32"/>
      <c r="BL250" s="32">
        <v>96</v>
      </c>
      <c r="BW250" s="32">
        <f t="shared" si="103"/>
        <v>21</v>
      </c>
      <c r="BX250" s="4" t="s">
        <v>587</v>
      </c>
    </row>
    <row r="251" spans="1:76" x14ac:dyDescent="0.25">
      <c r="A251" s="2" t="s">
        <v>588</v>
      </c>
      <c r="B251" s="3" t="s">
        <v>54</v>
      </c>
      <c r="C251" s="3" t="s">
        <v>589</v>
      </c>
      <c r="D251" s="95" t="s">
        <v>590</v>
      </c>
      <c r="E251" s="96"/>
      <c r="F251" s="3" t="s">
        <v>90</v>
      </c>
      <c r="G251" s="32">
        <v>57</v>
      </c>
      <c r="H251" s="89">
        <v>0</v>
      </c>
      <c r="I251" s="33">
        <v>21</v>
      </c>
      <c r="J251" s="32">
        <f>ROUND(G251*AO251,2)</f>
        <v>0</v>
      </c>
      <c r="K251" s="32">
        <f>ROUND(G251*AP251,2)</f>
        <v>0</v>
      </c>
      <c r="L251" s="32">
        <f>ROUND(G251*H251,2)</f>
        <v>0</v>
      </c>
      <c r="M251" s="32">
        <f>L251*(1+BW251/100)</f>
        <v>0</v>
      </c>
      <c r="N251" s="34">
        <f>IF(L285=0,0,L251/L285)</f>
        <v>0</v>
      </c>
      <c r="O251" s="32">
        <v>0.22</v>
      </c>
      <c r="P251" s="32">
        <f>G251*O251</f>
        <v>12.540000000000001</v>
      </c>
      <c r="Q251" s="35" t="s">
        <v>61</v>
      </c>
      <c r="Z251" s="32">
        <f>ROUND(IF(AQ251="5",BJ251,0),2)</f>
        <v>0</v>
      </c>
      <c r="AB251" s="32">
        <f>ROUND(IF(AQ251="1",BH251,0),2)</f>
        <v>0</v>
      </c>
      <c r="AC251" s="32">
        <f>ROUND(IF(AQ251="1",BI251,0),2)</f>
        <v>0</v>
      </c>
      <c r="AD251" s="32">
        <f>ROUND(IF(AQ251="7",BH251,0),2)</f>
        <v>0</v>
      </c>
      <c r="AE251" s="32">
        <f>ROUND(IF(AQ251="7",BI251,0),2)</f>
        <v>0</v>
      </c>
      <c r="AF251" s="32">
        <f>ROUND(IF(AQ251="2",BH251,0),2)</f>
        <v>0</v>
      </c>
      <c r="AG251" s="32">
        <f>ROUND(IF(AQ251="2",BI251,0),2)</f>
        <v>0</v>
      </c>
      <c r="AH251" s="32">
        <f>ROUND(IF(AQ251="0",BJ251,0),2)</f>
        <v>0</v>
      </c>
      <c r="AI251" s="12" t="s">
        <v>54</v>
      </c>
      <c r="AJ251" s="32">
        <f>IF(AN251=0,L251,0)</f>
        <v>0</v>
      </c>
      <c r="AK251" s="32">
        <f>IF(AN251=12,L251,0)</f>
        <v>0</v>
      </c>
      <c r="AL251" s="32">
        <f>IF(AN251=21,L251,0)</f>
        <v>0</v>
      </c>
      <c r="AN251" s="32">
        <v>21</v>
      </c>
      <c r="AO251" s="32">
        <f>H251*0</f>
        <v>0</v>
      </c>
      <c r="AP251" s="32">
        <f>H251*(1-0)</f>
        <v>0</v>
      </c>
      <c r="AQ251" s="36" t="s">
        <v>57</v>
      </c>
      <c r="AV251" s="32">
        <f>ROUND(AW251+AX251,2)</f>
        <v>0</v>
      </c>
      <c r="AW251" s="32">
        <f>ROUND(G251*AO251,2)</f>
        <v>0</v>
      </c>
      <c r="AX251" s="32">
        <f>ROUND(G251*AP251,2)</f>
        <v>0</v>
      </c>
      <c r="AY251" s="36" t="s">
        <v>569</v>
      </c>
      <c r="AZ251" s="36" t="s">
        <v>548</v>
      </c>
      <c r="BA251" s="12" t="s">
        <v>63</v>
      </c>
      <c r="BC251" s="32">
        <f>AW251+AX251</f>
        <v>0</v>
      </c>
      <c r="BD251" s="32">
        <f>H251/(100-BE251)*100</f>
        <v>0</v>
      </c>
      <c r="BE251" s="32">
        <v>0</v>
      </c>
      <c r="BF251" s="32">
        <f>P251</f>
        <v>12.540000000000001</v>
      </c>
      <c r="BH251" s="32">
        <f>G251*AO251</f>
        <v>0</v>
      </c>
      <c r="BI251" s="32">
        <f>G251*AP251</f>
        <v>0</v>
      </c>
      <c r="BJ251" s="32">
        <f>G251*H251</f>
        <v>0</v>
      </c>
      <c r="BK251" s="32"/>
      <c r="BL251" s="32">
        <v>96</v>
      </c>
      <c r="BW251" s="32">
        <f>I251</f>
        <v>21</v>
      </c>
      <c r="BX251" s="4" t="s">
        <v>590</v>
      </c>
    </row>
    <row r="252" spans="1:76" ht="13.5" customHeight="1" x14ac:dyDescent="0.25">
      <c r="A252" s="37"/>
      <c r="C252" s="38"/>
      <c r="D252" s="100" t="s">
        <v>591</v>
      </c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9"/>
    </row>
    <row r="253" spans="1:76" x14ac:dyDescent="0.25">
      <c r="A253" s="2" t="s">
        <v>592</v>
      </c>
      <c r="B253" s="3" t="s">
        <v>54</v>
      </c>
      <c r="C253" s="3" t="s">
        <v>593</v>
      </c>
      <c r="D253" s="95" t="s">
        <v>594</v>
      </c>
      <c r="E253" s="96"/>
      <c r="F253" s="3" t="s">
        <v>75</v>
      </c>
      <c r="G253" s="32">
        <v>0.75600000000000001</v>
      </c>
      <c r="H253" s="89">
        <v>0</v>
      </c>
      <c r="I253" s="33">
        <v>21</v>
      </c>
      <c r="J253" s="32">
        <f>ROUND(G253*AO253,2)</f>
        <v>0</v>
      </c>
      <c r="K253" s="32">
        <f>ROUND(G253*AP253,2)</f>
        <v>0</v>
      </c>
      <c r="L253" s="32">
        <f>ROUND(G253*H253,2)</f>
        <v>0</v>
      </c>
      <c r="M253" s="32">
        <f>L253*(1+BW253/100)</f>
        <v>0</v>
      </c>
      <c r="N253" s="34">
        <f>IF(L285=0,0,L253/L285)</f>
        <v>0</v>
      </c>
      <c r="O253" s="32">
        <v>1.9512799999999999</v>
      </c>
      <c r="P253" s="32">
        <f>G253*O253</f>
        <v>1.47516768</v>
      </c>
      <c r="Q253" s="35" t="s">
        <v>61</v>
      </c>
      <c r="Z253" s="32">
        <f>ROUND(IF(AQ253="5",BJ253,0),2)</f>
        <v>0</v>
      </c>
      <c r="AB253" s="32">
        <f>ROUND(IF(AQ253="1",BH253,0),2)</f>
        <v>0</v>
      </c>
      <c r="AC253" s="32">
        <f>ROUND(IF(AQ253="1",BI253,0),2)</f>
        <v>0</v>
      </c>
      <c r="AD253" s="32">
        <f>ROUND(IF(AQ253="7",BH253,0),2)</f>
        <v>0</v>
      </c>
      <c r="AE253" s="32">
        <f>ROUND(IF(AQ253="7",BI253,0),2)</f>
        <v>0</v>
      </c>
      <c r="AF253" s="32">
        <f>ROUND(IF(AQ253="2",BH253,0),2)</f>
        <v>0</v>
      </c>
      <c r="AG253" s="32">
        <f>ROUND(IF(AQ253="2",BI253,0),2)</f>
        <v>0</v>
      </c>
      <c r="AH253" s="32">
        <f>ROUND(IF(AQ253="0",BJ253,0),2)</f>
        <v>0</v>
      </c>
      <c r="AI253" s="12" t="s">
        <v>54</v>
      </c>
      <c r="AJ253" s="32">
        <f>IF(AN253=0,L253,0)</f>
        <v>0</v>
      </c>
      <c r="AK253" s="32">
        <f>IF(AN253=12,L253,0)</f>
        <v>0</v>
      </c>
      <c r="AL253" s="32">
        <f>IF(AN253=21,L253,0)</f>
        <v>0</v>
      </c>
      <c r="AN253" s="32">
        <v>21</v>
      </c>
      <c r="AO253" s="32">
        <f>H253*0.031600305</f>
        <v>0</v>
      </c>
      <c r="AP253" s="32">
        <f>H253*(1-0.031600305)</f>
        <v>0</v>
      </c>
      <c r="AQ253" s="36" t="s">
        <v>57</v>
      </c>
      <c r="AV253" s="32">
        <f>ROUND(AW253+AX253,2)</f>
        <v>0</v>
      </c>
      <c r="AW253" s="32">
        <f>ROUND(G253*AO253,2)</f>
        <v>0</v>
      </c>
      <c r="AX253" s="32">
        <f>ROUND(G253*AP253,2)</f>
        <v>0</v>
      </c>
      <c r="AY253" s="36" t="s">
        <v>569</v>
      </c>
      <c r="AZ253" s="36" t="s">
        <v>548</v>
      </c>
      <c r="BA253" s="12" t="s">
        <v>63</v>
      </c>
      <c r="BC253" s="32">
        <f>AW253+AX253</f>
        <v>0</v>
      </c>
      <c r="BD253" s="32">
        <f>H253/(100-BE253)*100</f>
        <v>0</v>
      </c>
      <c r="BE253" s="32">
        <v>0</v>
      </c>
      <c r="BF253" s="32">
        <f>P253</f>
        <v>1.47516768</v>
      </c>
      <c r="BH253" s="32">
        <f>G253*AO253</f>
        <v>0</v>
      </c>
      <c r="BI253" s="32">
        <f>G253*AP253</f>
        <v>0</v>
      </c>
      <c r="BJ253" s="32">
        <f>G253*H253</f>
        <v>0</v>
      </c>
      <c r="BK253" s="32"/>
      <c r="BL253" s="32">
        <v>96</v>
      </c>
      <c r="BW253" s="32">
        <f>I253</f>
        <v>21</v>
      </c>
      <c r="BX253" s="4" t="s">
        <v>594</v>
      </c>
    </row>
    <row r="254" spans="1:76" ht="13.5" customHeight="1" x14ac:dyDescent="0.25">
      <c r="A254" s="37"/>
      <c r="C254" s="38"/>
      <c r="D254" s="100" t="s">
        <v>595</v>
      </c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9"/>
    </row>
    <row r="255" spans="1:76" x14ac:dyDescent="0.25">
      <c r="A255" s="2" t="s">
        <v>596</v>
      </c>
      <c r="B255" s="3" t="s">
        <v>54</v>
      </c>
      <c r="C255" s="3" t="s">
        <v>597</v>
      </c>
      <c r="D255" s="95" t="s">
        <v>598</v>
      </c>
      <c r="E255" s="96"/>
      <c r="F255" s="3" t="s">
        <v>90</v>
      </c>
      <c r="G255" s="32">
        <v>7.2</v>
      </c>
      <c r="H255" s="89">
        <v>0</v>
      </c>
      <c r="I255" s="33">
        <v>21</v>
      </c>
      <c r="J255" s="32">
        <f>ROUND(G255*AO255,2)</f>
        <v>0</v>
      </c>
      <c r="K255" s="32">
        <f>ROUND(G255*AP255,2)</f>
        <v>0</v>
      </c>
      <c r="L255" s="32">
        <f>ROUND(G255*H255,2)</f>
        <v>0</v>
      </c>
      <c r="M255" s="32">
        <f>L255*(1+BW255/100)</f>
        <v>0</v>
      </c>
      <c r="N255" s="34">
        <f>IF(L285=0,0,L255/L285)</f>
        <v>0</v>
      </c>
      <c r="O255" s="32">
        <v>1.695E-2</v>
      </c>
      <c r="P255" s="32">
        <f>G255*O255</f>
        <v>0.12204</v>
      </c>
      <c r="Q255" s="35" t="s">
        <v>61</v>
      </c>
      <c r="Z255" s="32">
        <f>ROUND(IF(AQ255="5",BJ255,0),2)</f>
        <v>0</v>
      </c>
      <c r="AB255" s="32">
        <f>ROUND(IF(AQ255="1",BH255,0),2)</f>
        <v>0</v>
      </c>
      <c r="AC255" s="32">
        <f>ROUND(IF(AQ255="1",BI255,0),2)</f>
        <v>0</v>
      </c>
      <c r="AD255" s="32">
        <f>ROUND(IF(AQ255="7",BH255,0),2)</f>
        <v>0</v>
      </c>
      <c r="AE255" s="32">
        <f>ROUND(IF(AQ255="7",BI255,0),2)</f>
        <v>0</v>
      </c>
      <c r="AF255" s="32">
        <f>ROUND(IF(AQ255="2",BH255,0),2)</f>
        <v>0</v>
      </c>
      <c r="AG255" s="32">
        <f>ROUND(IF(AQ255="2",BI255,0),2)</f>
        <v>0</v>
      </c>
      <c r="AH255" s="32">
        <f>ROUND(IF(AQ255="0",BJ255,0),2)</f>
        <v>0</v>
      </c>
      <c r="AI255" s="12" t="s">
        <v>54</v>
      </c>
      <c r="AJ255" s="32">
        <f>IF(AN255=0,L255,0)</f>
        <v>0</v>
      </c>
      <c r="AK255" s="32">
        <f>IF(AN255=12,L255,0)</f>
        <v>0</v>
      </c>
      <c r="AL255" s="32">
        <f>IF(AN255=21,L255,0)</f>
        <v>0</v>
      </c>
      <c r="AN255" s="32">
        <v>21</v>
      </c>
      <c r="AO255" s="32">
        <f>H255*0</f>
        <v>0</v>
      </c>
      <c r="AP255" s="32">
        <f>H255*(1-0)</f>
        <v>0</v>
      </c>
      <c r="AQ255" s="36" t="s">
        <v>57</v>
      </c>
      <c r="AV255" s="32">
        <f>ROUND(AW255+AX255,2)</f>
        <v>0</v>
      </c>
      <c r="AW255" s="32">
        <f>ROUND(G255*AO255,2)</f>
        <v>0</v>
      </c>
      <c r="AX255" s="32">
        <f>ROUND(G255*AP255,2)</f>
        <v>0</v>
      </c>
      <c r="AY255" s="36" t="s">
        <v>569</v>
      </c>
      <c r="AZ255" s="36" t="s">
        <v>548</v>
      </c>
      <c r="BA255" s="12" t="s">
        <v>63</v>
      </c>
      <c r="BC255" s="32">
        <f>AW255+AX255</f>
        <v>0</v>
      </c>
      <c r="BD255" s="32">
        <f>H255/(100-BE255)*100</f>
        <v>0</v>
      </c>
      <c r="BE255" s="32">
        <v>0</v>
      </c>
      <c r="BF255" s="32">
        <f>P255</f>
        <v>0.12204</v>
      </c>
      <c r="BH255" s="32">
        <f>G255*AO255</f>
        <v>0</v>
      </c>
      <c r="BI255" s="32">
        <f>G255*AP255</f>
        <v>0</v>
      </c>
      <c r="BJ255" s="32">
        <f>G255*H255</f>
        <v>0</v>
      </c>
      <c r="BK255" s="32"/>
      <c r="BL255" s="32">
        <v>96</v>
      </c>
      <c r="BW255" s="32">
        <f>I255</f>
        <v>21</v>
      </c>
      <c r="BX255" s="4" t="s">
        <v>598</v>
      </c>
    </row>
    <row r="256" spans="1:76" x14ac:dyDescent="0.25">
      <c r="A256" s="2" t="s">
        <v>599</v>
      </c>
      <c r="B256" s="3" t="s">
        <v>54</v>
      </c>
      <c r="C256" s="3" t="s">
        <v>600</v>
      </c>
      <c r="D256" s="95" t="s">
        <v>601</v>
      </c>
      <c r="E256" s="96"/>
      <c r="F256" s="3" t="s">
        <v>143</v>
      </c>
      <c r="G256" s="32">
        <v>270.3</v>
      </c>
      <c r="H256" s="89">
        <v>0</v>
      </c>
      <c r="I256" s="33">
        <v>21</v>
      </c>
      <c r="J256" s="32">
        <f>ROUND(G256*AO256,2)</f>
        <v>0</v>
      </c>
      <c r="K256" s="32">
        <f>ROUND(G256*AP256,2)</f>
        <v>0</v>
      </c>
      <c r="L256" s="32">
        <f>ROUND(G256*H256,2)</f>
        <v>0</v>
      </c>
      <c r="M256" s="32">
        <f>L256*(1+BW256/100)</f>
        <v>0</v>
      </c>
      <c r="N256" s="34">
        <f>IF(L285=0,0,L256/L285)</f>
        <v>0</v>
      </c>
      <c r="O256" s="32">
        <v>0</v>
      </c>
      <c r="P256" s="32">
        <f>G256*O256</f>
        <v>0</v>
      </c>
      <c r="Q256" s="35" t="s">
        <v>61</v>
      </c>
      <c r="Z256" s="32">
        <f>ROUND(IF(AQ256="5",BJ256,0),2)</f>
        <v>0</v>
      </c>
      <c r="AB256" s="32">
        <f>ROUND(IF(AQ256="1",BH256,0),2)</f>
        <v>0</v>
      </c>
      <c r="AC256" s="32">
        <f>ROUND(IF(AQ256="1",BI256,0),2)</f>
        <v>0</v>
      </c>
      <c r="AD256" s="32">
        <f>ROUND(IF(AQ256="7",BH256,0),2)</f>
        <v>0</v>
      </c>
      <c r="AE256" s="32">
        <f>ROUND(IF(AQ256="7",BI256,0),2)</f>
        <v>0</v>
      </c>
      <c r="AF256" s="32">
        <f>ROUND(IF(AQ256="2",BH256,0),2)</f>
        <v>0</v>
      </c>
      <c r="AG256" s="32">
        <f>ROUND(IF(AQ256="2",BI256,0),2)</f>
        <v>0</v>
      </c>
      <c r="AH256" s="32">
        <f>ROUND(IF(AQ256="0",BJ256,0),2)</f>
        <v>0</v>
      </c>
      <c r="AI256" s="12" t="s">
        <v>54</v>
      </c>
      <c r="AJ256" s="32">
        <f>IF(AN256=0,L256,0)</f>
        <v>0</v>
      </c>
      <c r="AK256" s="32">
        <f>IF(AN256=12,L256,0)</f>
        <v>0</v>
      </c>
      <c r="AL256" s="32">
        <f>IF(AN256=21,L256,0)</f>
        <v>0</v>
      </c>
      <c r="AN256" s="32">
        <v>21</v>
      </c>
      <c r="AO256" s="32">
        <f>H256*0</f>
        <v>0</v>
      </c>
      <c r="AP256" s="32">
        <f>H256*(1-0)</f>
        <v>0</v>
      </c>
      <c r="AQ256" s="36" t="s">
        <v>65</v>
      </c>
      <c r="AV256" s="32">
        <f>ROUND(AW256+AX256,2)</f>
        <v>0</v>
      </c>
      <c r="AW256" s="32">
        <f>ROUND(G256*AO256,2)</f>
        <v>0</v>
      </c>
      <c r="AX256" s="32">
        <f>ROUND(G256*AP256,2)</f>
        <v>0</v>
      </c>
      <c r="AY256" s="36" t="s">
        <v>569</v>
      </c>
      <c r="AZ256" s="36" t="s">
        <v>548</v>
      </c>
      <c r="BA256" s="12" t="s">
        <v>63</v>
      </c>
      <c r="BC256" s="32">
        <f>AW256+AX256</f>
        <v>0</v>
      </c>
      <c r="BD256" s="32">
        <f>H256/(100-BE256)*100</f>
        <v>0</v>
      </c>
      <c r="BE256" s="32">
        <v>0</v>
      </c>
      <c r="BF256" s="32">
        <f>P256</f>
        <v>0</v>
      </c>
      <c r="BH256" s="32">
        <f>G256*AO256</f>
        <v>0</v>
      </c>
      <c r="BI256" s="32">
        <f>G256*AP256</f>
        <v>0</v>
      </c>
      <c r="BJ256" s="32">
        <f>G256*H256</f>
        <v>0</v>
      </c>
      <c r="BK256" s="32"/>
      <c r="BL256" s="32">
        <v>96</v>
      </c>
      <c r="BW256" s="32">
        <f>I256</f>
        <v>21</v>
      </c>
      <c r="BX256" s="4" t="s">
        <v>601</v>
      </c>
    </row>
    <row r="257" spans="1:76" x14ac:dyDescent="0.25">
      <c r="A257" s="2" t="s">
        <v>602</v>
      </c>
      <c r="B257" s="3" t="s">
        <v>54</v>
      </c>
      <c r="C257" s="3" t="s">
        <v>243</v>
      </c>
      <c r="D257" s="95" t="s">
        <v>603</v>
      </c>
      <c r="E257" s="96"/>
      <c r="F257" s="3" t="s">
        <v>245</v>
      </c>
      <c r="G257" s="32">
        <v>20</v>
      </c>
      <c r="H257" s="89">
        <v>0</v>
      </c>
      <c r="I257" s="33">
        <v>21</v>
      </c>
      <c r="J257" s="32">
        <f>ROUND(G257*AO257,2)</f>
        <v>0</v>
      </c>
      <c r="K257" s="32">
        <f>ROUND(G257*AP257,2)</f>
        <v>0</v>
      </c>
      <c r="L257" s="32">
        <f>ROUND(G257*H257,2)</f>
        <v>0</v>
      </c>
      <c r="M257" s="32">
        <f>L257*(1+BW257/100)</f>
        <v>0</v>
      </c>
      <c r="N257" s="34">
        <f>IF(L285=0,0,L257/L285)</f>
        <v>0</v>
      </c>
      <c r="O257" s="32">
        <v>0</v>
      </c>
      <c r="P257" s="32">
        <f>G257*O257</f>
        <v>0</v>
      </c>
      <c r="Q257" s="35" t="s">
        <v>61</v>
      </c>
      <c r="Z257" s="32">
        <f>ROUND(IF(AQ257="5",BJ257,0),2)</f>
        <v>0</v>
      </c>
      <c r="AB257" s="32">
        <f>ROUND(IF(AQ257="1",BH257,0),2)</f>
        <v>0</v>
      </c>
      <c r="AC257" s="32">
        <f>ROUND(IF(AQ257="1",BI257,0),2)</f>
        <v>0</v>
      </c>
      <c r="AD257" s="32">
        <f>ROUND(IF(AQ257="7",BH257,0),2)</f>
        <v>0</v>
      </c>
      <c r="AE257" s="32">
        <f>ROUND(IF(AQ257="7",BI257,0),2)</f>
        <v>0</v>
      </c>
      <c r="AF257" s="32">
        <f>ROUND(IF(AQ257="2",BH257,0),2)</f>
        <v>0</v>
      </c>
      <c r="AG257" s="32">
        <f>ROUND(IF(AQ257="2",BI257,0),2)</f>
        <v>0</v>
      </c>
      <c r="AH257" s="32">
        <f>ROUND(IF(AQ257="0",BJ257,0),2)</f>
        <v>0</v>
      </c>
      <c r="AI257" s="12" t="s">
        <v>54</v>
      </c>
      <c r="AJ257" s="32">
        <f>IF(AN257=0,L257,0)</f>
        <v>0</v>
      </c>
      <c r="AK257" s="32">
        <f>IF(AN257=12,L257,0)</f>
        <v>0</v>
      </c>
      <c r="AL257" s="32">
        <f>IF(AN257=21,L257,0)</f>
        <v>0</v>
      </c>
      <c r="AN257" s="32">
        <v>21</v>
      </c>
      <c r="AO257" s="32">
        <f>H257*0</f>
        <v>0</v>
      </c>
      <c r="AP257" s="32">
        <f>H257*(1-0)</f>
        <v>0</v>
      </c>
      <c r="AQ257" s="36" t="s">
        <v>57</v>
      </c>
      <c r="AV257" s="32">
        <f>ROUND(AW257+AX257,2)</f>
        <v>0</v>
      </c>
      <c r="AW257" s="32">
        <f>ROUND(G257*AO257,2)</f>
        <v>0</v>
      </c>
      <c r="AX257" s="32">
        <f>ROUND(G257*AP257,2)</f>
        <v>0</v>
      </c>
      <c r="AY257" s="36" t="s">
        <v>569</v>
      </c>
      <c r="AZ257" s="36" t="s">
        <v>548</v>
      </c>
      <c r="BA257" s="12" t="s">
        <v>63</v>
      </c>
      <c r="BC257" s="32">
        <f>AW257+AX257</f>
        <v>0</v>
      </c>
      <c r="BD257" s="32">
        <f>H257/(100-BE257)*100</f>
        <v>0</v>
      </c>
      <c r="BE257" s="32">
        <v>0</v>
      </c>
      <c r="BF257" s="32">
        <f>P257</f>
        <v>0</v>
      </c>
      <c r="BH257" s="32">
        <f>G257*AO257</f>
        <v>0</v>
      </c>
      <c r="BI257" s="32">
        <f>G257*AP257</f>
        <v>0</v>
      </c>
      <c r="BJ257" s="32">
        <f>G257*H257</f>
        <v>0</v>
      </c>
      <c r="BK257" s="32"/>
      <c r="BL257" s="32">
        <v>96</v>
      </c>
      <c r="BW257" s="32">
        <f>I257</f>
        <v>21</v>
      </c>
      <c r="BX257" s="4" t="s">
        <v>603</v>
      </c>
    </row>
    <row r="258" spans="1:76" ht="13.5" customHeight="1" x14ac:dyDescent="0.25">
      <c r="A258" s="37"/>
      <c r="C258" s="38"/>
      <c r="D258" s="100" t="s">
        <v>246</v>
      </c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9"/>
    </row>
    <row r="259" spans="1:76" x14ac:dyDescent="0.25">
      <c r="A259" s="2" t="s">
        <v>604</v>
      </c>
      <c r="B259" s="3" t="s">
        <v>54</v>
      </c>
      <c r="C259" s="3" t="s">
        <v>605</v>
      </c>
      <c r="D259" s="95" t="s">
        <v>606</v>
      </c>
      <c r="E259" s="96"/>
      <c r="F259" s="3" t="s">
        <v>607</v>
      </c>
      <c r="G259" s="32">
        <v>29.32</v>
      </c>
      <c r="H259" s="89">
        <v>0</v>
      </c>
      <c r="I259" s="33">
        <v>21</v>
      </c>
      <c r="J259" s="32">
        <f>ROUND(G259*AO259,2)</f>
        <v>0</v>
      </c>
      <c r="K259" s="32">
        <f>ROUND(G259*AP259,2)</f>
        <v>0</v>
      </c>
      <c r="L259" s="32">
        <f>ROUND(G259*H259,2)</f>
        <v>0</v>
      </c>
      <c r="M259" s="32">
        <f>L259*(1+BW259/100)</f>
        <v>0</v>
      </c>
      <c r="N259" s="34">
        <f>IF(L285=0,0,L259/L285)</f>
        <v>0</v>
      </c>
      <c r="O259" s="32">
        <v>0</v>
      </c>
      <c r="P259" s="32">
        <f>G259*O259</f>
        <v>0</v>
      </c>
      <c r="Q259" s="35" t="s">
        <v>61</v>
      </c>
      <c r="Z259" s="32">
        <f>ROUND(IF(AQ259="5",BJ259,0),2)</f>
        <v>0</v>
      </c>
      <c r="AB259" s="32">
        <f>ROUND(IF(AQ259="1",BH259,0),2)</f>
        <v>0</v>
      </c>
      <c r="AC259" s="32">
        <f>ROUND(IF(AQ259="1",BI259,0),2)</f>
        <v>0</v>
      </c>
      <c r="AD259" s="32">
        <f>ROUND(IF(AQ259="7",BH259,0),2)</f>
        <v>0</v>
      </c>
      <c r="AE259" s="32">
        <f>ROUND(IF(AQ259="7",BI259,0),2)</f>
        <v>0</v>
      </c>
      <c r="AF259" s="32">
        <f>ROUND(IF(AQ259="2",BH259,0),2)</f>
        <v>0</v>
      </c>
      <c r="AG259" s="32">
        <f>ROUND(IF(AQ259="2",BI259,0),2)</f>
        <v>0</v>
      </c>
      <c r="AH259" s="32">
        <f>ROUND(IF(AQ259="0",BJ259,0),2)</f>
        <v>0</v>
      </c>
      <c r="AI259" s="12" t="s">
        <v>54</v>
      </c>
      <c r="AJ259" s="32">
        <f>IF(AN259=0,L259,0)</f>
        <v>0</v>
      </c>
      <c r="AK259" s="32">
        <f>IF(AN259=12,L259,0)</f>
        <v>0</v>
      </c>
      <c r="AL259" s="32">
        <f>IF(AN259=21,L259,0)</f>
        <v>0</v>
      </c>
      <c r="AN259" s="32">
        <v>21</v>
      </c>
      <c r="AO259" s="32">
        <f>H259*0</f>
        <v>0</v>
      </c>
      <c r="AP259" s="32">
        <f>H259*(1-0)</f>
        <v>0</v>
      </c>
      <c r="AQ259" s="36" t="s">
        <v>79</v>
      </c>
      <c r="AV259" s="32">
        <f>ROUND(AW259+AX259,2)</f>
        <v>0</v>
      </c>
      <c r="AW259" s="32">
        <f>ROUND(G259*AO259,2)</f>
        <v>0</v>
      </c>
      <c r="AX259" s="32">
        <f>ROUND(G259*AP259,2)</f>
        <v>0</v>
      </c>
      <c r="AY259" s="36" t="s">
        <v>569</v>
      </c>
      <c r="AZ259" s="36" t="s">
        <v>548</v>
      </c>
      <c r="BA259" s="12" t="s">
        <v>63</v>
      </c>
      <c r="BC259" s="32">
        <f>AW259+AX259</f>
        <v>0</v>
      </c>
      <c r="BD259" s="32">
        <f>H259/(100-BE259)*100</f>
        <v>0</v>
      </c>
      <c r="BE259" s="32">
        <v>0</v>
      </c>
      <c r="BF259" s="32">
        <f>P259</f>
        <v>0</v>
      </c>
      <c r="BH259" s="32">
        <f>G259*AO259</f>
        <v>0</v>
      </c>
      <c r="BI259" s="32">
        <f>G259*AP259</f>
        <v>0</v>
      </c>
      <c r="BJ259" s="32">
        <f>G259*H259</f>
        <v>0</v>
      </c>
      <c r="BK259" s="32"/>
      <c r="BL259" s="32">
        <v>96</v>
      </c>
      <c r="BW259" s="32">
        <f>I259</f>
        <v>21</v>
      </c>
      <c r="BX259" s="4" t="s">
        <v>606</v>
      </c>
    </row>
    <row r="260" spans="1:76" x14ac:dyDescent="0.25">
      <c r="A260" s="37"/>
      <c r="C260" s="38"/>
      <c r="D260" s="97" t="s">
        <v>736</v>
      </c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9"/>
      <c r="BX260" s="39" t="s">
        <v>608</v>
      </c>
    </row>
    <row r="261" spans="1:76" x14ac:dyDescent="0.25">
      <c r="A261" s="2" t="s">
        <v>609</v>
      </c>
      <c r="B261" s="3" t="s">
        <v>54</v>
      </c>
      <c r="C261" s="3" t="s">
        <v>610</v>
      </c>
      <c r="D261" s="95" t="s">
        <v>611</v>
      </c>
      <c r="E261" s="96"/>
      <c r="F261" s="3" t="s">
        <v>607</v>
      </c>
      <c r="G261" s="32">
        <v>29.32</v>
      </c>
      <c r="H261" s="89">
        <v>0</v>
      </c>
      <c r="I261" s="33">
        <v>21</v>
      </c>
      <c r="J261" s="32">
        <f>ROUND(G261*AO261,2)</f>
        <v>0</v>
      </c>
      <c r="K261" s="32">
        <f>ROUND(G261*AP261,2)</f>
        <v>0</v>
      </c>
      <c r="L261" s="32">
        <f>ROUND(G261*H261,2)</f>
        <v>0</v>
      </c>
      <c r="M261" s="32">
        <f>L261*(1+BW261/100)</f>
        <v>0</v>
      </c>
      <c r="N261" s="34">
        <f>IF(L285=0,0,L261/L285)</f>
        <v>0</v>
      </c>
      <c r="O261" s="32">
        <v>0</v>
      </c>
      <c r="P261" s="32">
        <f>G261*O261</f>
        <v>0</v>
      </c>
      <c r="Q261" s="35" t="s">
        <v>61</v>
      </c>
      <c r="Z261" s="32">
        <f>ROUND(IF(AQ261="5",BJ261,0),2)</f>
        <v>0</v>
      </c>
      <c r="AB261" s="32">
        <f>ROUND(IF(AQ261="1",BH261,0),2)</f>
        <v>0</v>
      </c>
      <c r="AC261" s="32">
        <f>ROUND(IF(AQ261="1",BI261,0),2)</f>
        <v>0</v>
      </c>
      <c r="AD261" s="32">
        <f>ROUND(IF(AQ261="7",BH261,0),2)</f>
        <v>0</v>
      </c>
      <c r="AE261" s="32">
        <f>ROUND(IF(AQ261="7",BI261,0),2)</f>
        <v>0</v>
      </c>
      <c r="AF261" s="32">
        <f>ROUND(IF(AQ261="2",BH261,0),2)</f>
        <v>0</v>
      </c>
      <c r="AG261" s="32">
        <f>ROUND(IF(AQ261="2",BI261,0),2)</f>
        <v>0</v>
      </c>
      <c r="AH261" s="32">
        <f>ROUND(IF(AQ261="0",BJ261,0),2)</f>
        <v>0</v>
      </c>
      <c r="AI261" s="12" t="s">
        <v>54</v>
      </c>
      <c r="AJ261" s="32">
        <f>IF(AN261=0,L261,0)</f>
        <v>0</v>
      </c>
      <c r="AK261" s="32">
        <f>IF(AN261=12,L261,0)</f>
        <v>0</v>
      </c>
      <c r="AL261" s="32">
        <f>IF(AN261=21,L261,0)</f>
        <v>0</v>
      </c>
      <c r="AN261" s="32">
        <v>21</v>
      </c>
      <c r="AO261" s="32">
        <f>H261*0</f>
        <v>0</v>
      </c>
      <c r="AP261" s="32">
        <f>H261*(1-0)</f>
        <v>0</v>
      </c>
      <c r="AQ261" s="36" t="s">
        <v>79</v>
      </c>
      <c r="AV261" s="32">
        <f>ROUND(AW261+AX261,2)</f>
        <v>0</v>
      </c>
      <c r="AW261" s="32">
        <f>ROUND(G261*AO261,2)</f>
        <v>0</v>
      </c>
      <c r="AX261" s="32">
        <f>ROUND(G261*AP261,2)</f>
        <v>0</v>
      </c>
      <c r="AY261" s="36" t="s">
        <v>569</v>
      </c>
      <c r="AZ261" s="36" t="s">
        <v>548</v>
      </c>
      <c r="BA261" s="12" t="s">
        <v>63</v>
      </c>
      <c r="BC261" s="32">
        <f>AW261+AX261</f>
        <v>0</v>
      </c>
      <c r="BD261" s="32">
        <f>H261/(100-BE261)*100</f>
        <v>0</v>
      </c>
      <c r="BE261" s="32">
        <v>0</v>
      </c>
      <c r="BF261" s="32">
        <f>P261</f>
        <v>0</v>
      </c>
      <c r="BH261" s="32">
        <f>G261*AO261</f>
        <v>0</v>
      </c>
      <c r="BI261" s="32">
        <f>G261*AP261</f>
        <v>0</v>
      </c>
      <c r="BJ261" s="32">
        <f>G261*H261</f>
        <v>0</v>
      </c>
      <c r="BK261" s="32"/>
      <c r="BL261" s="32">
        <v>96</v>
      </c>
      <c r="BW261" s="32">
        <f>I261</f>
        <v>21</v>
      </c>
      <c r="BX261" s="4" t="s">
        <v>611</v>
      </c>
    </row>
    <row r="262" spans="1:76" ht="25.5" x14ac:dyDescent="0.25">
      <c r="A262" s="37"/>
      <c r="C262" s="38"/>
      <c r="D262" s="97" t="s">
        <v>738</v>
      </c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9"/>
      <c r="BX262" s="39" t="s">
        <v>612</v>
      </c>
    </row>
    <row r="263" spans="1:76" x14ac:dyDescent="0.25">
      <c r="A263" s="2" t="s">
        <v>613</v>
      </c>
      <c r="B263" s="3" t="s">
        <v>54</v>
      </c>
      <c r="C263" s="3" t="s">
        <v>614</v>
      </c>
      <c r="D263" s="95" t="s">
        <v>615</v>
      </c>
      <c r="E263" s="96"/>
      <c r="F263" s="3" t="s">
        <v>607</v>
      </c>
      <c r="G263" s="32">
        <v>29.32</v>
      </c>
      <c r="H263" s="89">
        <v>0</v>
      </c>
      <c r="I263" s="33">
        <v>21</v>
      </c>
      <c r="J263" s="32">
        <f>ROUND(G263*AO263,2)</f>
        <v>0</v>
      </c>
      <c r="K263" s="32">
        <f>ROUND(G263*AP263,2)</f>
        <v>0</v>
      </c>
      <c r="L263" s="32">
        <f>ROUND(G263*H263,2)</f>
        <v>0</v>
      </c>
      <c r="M263" s="32">
        <f>L263*(1+BW263/100)</f>
        <v>0</v>
      </c>
      <c r="N263" s="34">
        <f>IF(L285=0,0,L263/L285)</f>
        <v>0</v>
      </c>
      <c r="O263" s="32">
        <v>0</v>
      </c>
      <c r="P263" s="32">
        <f>G263*O263</f>
        <v>0</v>
      </c>
      <c r="Q263" s="35" t="s">
        <v>61</v>
      </c>
      <c r="Z263" s="32">
        <f>ROUND(IF(AQ263="5",BJ263,0),2)</f>
        <v>0</v>
      </c>
      <c r="AB263" s="32">
        <f>ROUND(IF(AQ263="1",BH263,0),2)</f>
        <v>0</v>
      </c>
      <c r="AC263" s="32">
        <f>ROUND(IF(AQ263="1",BI263,0),2)</f>
        <v>0</v>
      </c>
      <c r="AD263" s="32">
        <f>ROUND(IF(AQ263="7",BH263,0),2)</f>
        <v>0</v>
      </c>
      <c r="AE263" s="32">
        <f>ROUND(IF(AQ263="7",BI263,0),2)</f>
        <v>0</v>
      </c>
      <c r="AF263" s="32">
        <f>ROUND(IF(AQ263="2",BH263,0),2)</f>
        <v>0</v>
      </c>
      <c r="AG263" s="32">
        <f>ROUND(IF(AQ263="2",BI263,0),2)</f>
        <v>0</v>
      </c>
      <c r="AH263" s="32">
        <f>ROUND(IF(AQ263="0",BJ263,0),2)</f>
        <v>0</v>
      </c>
      <c r="AI263" s="12" t="s">
        <v>54</v>
      </c>
      <c r="AJ263" s="32">
        <f>IF(AN263=0,L263,0)</f>
        <v>0</v>
      </c>
      <c r="AK263" s="32">
        <f>IF(AN263=12,L263,0)</f>
        <v>0</v>
      </c>
      <c r="AL263" s="32">
        <f>IF(AN263=21,L263,0)</f>
        <v>0</v>
      </c>
      <c r="AN263" s="32">
        <v>21</v>
      </c>
      <c r="AO263" s="32">
        <f>H263*0</f>
        <v>0</v>
      </c>
      <c r="AP263" s="32">
        <f>H263*(1-0)</f>
        <v>0</v>
      </c>
      <c r="AQ263" s="36" t="s">
        <v>79</v>
      </c>
      <c r="AV263" s="32">
        <f>ROUND(AW263+AX263,2)</f>
        <v>0</v>
      </c>
      <c r="AW263" s="32">
        <f>ROUND(G263*AO263,2)</f>
        <v>0</v>
      </c>
      <c r="AX263" s="32">
        <f>ROUND(G263*AP263,2)</f>
        <v>0</v>
      </c>
      <c r="AY263" s="36" t="s">
        <v>569</v>
      </c>
      <c r="AZ263" s="36" t="s">
        <v>548</v>
      </c>
      <c r="BA263" s="12" t="s">
        <v>63</v>
      </c>
      <c r="BC263" s="32">
        <f>AW263+AX263</f>
        <v>0</v>
      </c>
      <c r="BD263" s="32">
        <f>H263/(100-BE263)*100</f>
        <v>0</v>
      </c>
      <c r="BE263" s="32">
        <v>0</v>
      </c>
      <c r="BF263" s="32">
        <f>P263</f>
        <v>0</v>
      </c>
      <c r="BH263" s="32">
        <f>G263*AO263</f>
        <v>0</v>
      </c>
      <c r="BI263" s="32">
        <f>G263*AP263</f>
        <v>0</v>
      </c>
      <c r="BJ263" s="32">
        <f>G263*H263</f>
        <v>0</v>
      </c>
      <c r="BK263" s="32"/>
      <c r="BL263" s="32">
        <v>96</v>
      </c>
      <c r="BW263" s="32">
        <f>I263</f>
        <v>21</v>
      </c>
      <c r="BX263" s="4" t="s">
        <v>615</v>
      </c>
    </row>
    <row r="264" spans="1:76" x14ac:dyDescent="0.25">
      <c r="A264" s="2" t="s">
        <v>616</v>
      </c>
      <c r="B264" s="3" t="s">
        <v>54</v>
      </c>
      <c r="C264" s="3" t="s">
        <v>617</v>
      </c>
      <c r="D264" s="95" t="s">
        <v>618</v>
      </c>
      <c r="E264" s="96"/>
      <c r="F264" s="3" t="s">
        <v>607</v>
      </c>
      <c r="G264" s="32">
        <v>586.4</v>
      </c>
      <c r="H264" s="89">
        <v>0</v>
      </c>
      <c r="I264" s="33">
        <v>21</v>
      </c>
      <c r="J264" s="32">
        <f>ROUND(G264*AO264,2)</f>
        <v>0</v>
      </c>
      <c r="K264" s="32">
        <f>ROUND(G264*AP264,2)</f>
        <v>0</v>
      </c>
      <c r="L264" s="32">
        <f>ROUND(G264*H264,2)</f>
        <v>0</v>
      </c>
      <c r="M264" s="32">
        <f>L264*(1+BW264/100)</f>
        <v>0</v>
      </c>
      <c r="N264" s="34">
        <f>IF(L285=0,0,L264/L285)</f>
        <v>0</v>
      </c>
      <c r="O264" s="32">
        <v>0</v>
      </c>
      <c r="P264" s="32">
        <f>G264*O264</f>
        <v>0</v>
      </c>
      <c r="Q264" s="35" t="s">
        <v>61</v>
      </c>
      <c r="Z264" s="32">
        <f>ROUND(IF(AQ264="5",BJ264,0),2)</f>
        <v>0</v>
      </c>
      <c r="AB264" s="32">
        <f>ROUND(IF(AQ264="1",BH264,0),2)</f>
        <v>0</v>
      </c>
      <c r="AC264" s="32">
        <f>ROUND(IF(AQ264="1",BI264,0),2)</f>
        <v>0</v>
      </c>
      <c r="AD264" s="32">
        <f>ROUND(IF(AQ264="7",BH264,0),2)</f>
        <v>0</v>
      </c>
      <c r="AE264" s="32">
        <f>ROUND(IF(AQ264="7",BI264,0),2)</f>
        <v>0</v>
      </c>
      <c r="AF264" s="32">
        <f>ROUND(IF(AQ264="2",BH264,0),2)</f>
        <v>0</v>
      </c>
      <c r="AG264" s="32">
        <f>ROUND(IF(AQ264="2",BI264,0),2)</f>
        <v>0</v>
      </c>
      <c r="AH264" s="32">
        <f>ROUND(IF(AQ264="0",BJ264,0),2)</f>
        <v>0</v>
      </c>
      <c r="AI264" s="12" t="s">
        <v>54</v>
      </c>
      <c r="AJ264" s="32">
        <f>IF(AN264=0,L264,0)</f>
        <v>0</v>
      </c>
      <c r="AK264" s="32">
        <f>IF(AN264=12,L264,0)</f>
        <v>0</v>
      </c>
      <c r="AL264" s="32">
        <f>IF(AN264=21,L264,0)</f>
        <v>0</v>
      </c>
      <c r="AN264" s="32">
        <v>21</v>
      </c>
      <c r="AO264" s="32">
        <f>H264*0</f>
        <v>0</v>
      </c>
      <c r="AP264" s="32">
        <f>H264*(1-0)</f>
        <v>0</v>
      </c>
      <c r="AQ264" s="36" t="s">
        <v>79</v>
      </c>
      <c r="AV264" s="32">
        <f>ROUND(AW264+AX264,2)</f>
        <v>0</v>
      </c>
      <c r="AW264" s="32">
        <f>ROUND(G264*AO264,2)</f>
        <v>0</v>
      </c>
      <c r="AX264" s="32">
        <f>ROUND(G264*AP264,2)</f>
        <v>0</v>
      </c>
      <c r="AY264" s="36" t="s">
        <v>569</v>
      </c>
      <c r="AZ264" s="36" t="s">
        <v>548</v>
      </c>
      <c r="BA264" s="12" t="s">
        <v>63</v>
      </c>
      <c r="BC264" s="32">
        <f>AW264+AX264</f>
        <v>0</v>
      </c>
      <c r="BD264" s="32">
        <f>H264/(100-BE264)*100</f>
        <v>0</v>
      </c>
      <c r="BE264" s="32">
        <v>0</v>
      </c>
      <c r="BF264" s="32">
        <f>P264</f>
        <v>0</v>
      </c>
      <c r="BH264" s="32">
        <f>G264*AO264</f>
        <v>0</v>
      </c>
      <c r="BI264" s="32">
        <f>G264*AP264</f>
        <v>0</v>
      </c>
      <c r="BJ264" s="32">
        <f>G264*H264</f>
        <v>0</v>
      </c>
      <c r="BK264" s="32"/>
      <c r="BL264" s="32">
        <v>96</v>
      </c>
      <c r="BW264" s="32">
        <f>I264</f>
        <v>21</v>
      </c>
      <c r="BX264" s="4" t="s">
        <v>618</v>
      </c>
    </row>
    <row r="265" spans="1:76" ht="25.5" customHeight="1" x14ac:dyDescent="0.25">
      <c r="A265" s="2" t="s">
        <v>619</v>
      </c>
      <c r="B265" s="3" t="s">
        <v>54</v>
      </c>
      <c r="C265" s="3" t="s">
        <v>620</v>
      </c>
      <c r="D265" s="95" t="s">
        <v>621</v>
      </c>
      <c r="E265" s="96"/>
      <c r="F265" s="3" t="s">
        <v>607</v>
      </c>
      <c r="G265" s="32">
        <v>29.32</v>
      </c>
      <c r="H265" s="89">
        <v>0</v>
      </c>
      <c r="I265" s="33">
        <v>21</v>
      </c>
      <c r="J265" s="32">
        <f>ROUND(G265*AO265,2)</f>
        <v>0</v>
      </c>
      <c r="K265" s="32">
        <f>ROUND(G265*AP265,2)</f>
        <v>0</v>
      </c>
      <c r="L265" s="32">
        <f>ROUND(G265*H265,2)</f>
        <v>0</v>
      </c>
      <c r="M265" s="32">
        <f>L265*(1+BW265/100)</f>
        <v>0</v>
      </c>
      <c r="N265" s="34">
        <f>IF(L285=0,0,L265/L285)</f>
        <v>0</v>
      </c>
      <c r="O265" s="32">
        <v>0</v>
      </c>
      <c r="P265" s="32">
        <f>G265*O265</f>
        <v>0</v>
      </c>
      <c r="Q265" s="35" t="s">
        <v>61</v>
      </c>
      <c r="Z265" s="32">
        <f>ROUND(IF(AQ265="5",BJ265,0),2)</f>
        <v>0</v>
      </c>
      <c r="AB265" s="32">
        <f>ROUND(IF(AQ265="1",BH265,0),2)</f>
        <v>0</v>
      </c>
      <c r="AC265" s="32">
        <f>ROUND(IF(AQ265="1",BI265,0),2)</f>
        <v>0</v>
      </c>
      <c r="AD265" s="32">
        <f>ROUND(IF(AQ265="7",BH265,0),2)</f>
        <v>0</v>
      </c>
      <c r="AE265" s="32">
        <f>ROUND(IF(AQ265="7",BI265,0),2)</f>
        <v>0</v>
      </c>
      <c r="AF265" s="32">
        <f>ROUND(IF(AQ265="2",BH265,0),2)</f>
        <v>0</v>
      </c>
      <c r="AG265" s="32">
        <f>ROUND(IF(AQ265="2",BI265,0),2)</f>
        <v>0</v>
      </c>
      <c r="AH265" s="32">
        <f>ROUND(IF(AQ265="0",BJ265,0),2)</f>
        <v>0</v>
      </c>
      <c r="AI265" s="12" t="s">
        <v>54</v>
      </c>
      <c r="AJ265" s="32">
        <f>IF(AN265=0,L265,0)</f>
        <v>0</v>
      </c>
      <c r="AK265" s="32">
        <f>IF(AN265=12,L265,0)</f>
        <v>0</v>
      </c>
      <c r="AL265" s="32">
        <f>IF(AN265=21,L265,0)</f>
        <v>0</v>
      </c>
      <c r="AN265" s="32">
        <v>21</v>
      </c>
      <c r="AO265" s="32">
        <f>H265*0</f>
        <v>0</v>
      </c>
      <c r="AP265" s="32">
        <f>H265*(1-0)</f>
        <v>0</v>
      </c>
      <c r="AQ265" s="36" t="s">
        <v>79</v>
      </c>
      <c r="AV265" s="32">
        <f>ROUND(AW265+AX265,2)</f>
        <v>0</v>
      </c>
      <c r="AW265" s="32">
        <f>ROUND(G265*AO265,2)</f>
        <v>0</v>
      </c>
      <c r="AX265" s="32">
        <f>ROUND(G265*AP265,2)</f>
        <v>0</v>
      </c>
      <c r="AY265" s="36" t="s">
        <v>569</v>
      </c>
      <c r="AZ265" s="36" t="s">
        <v>548</v>
      </c>
      <c r="BA265" s="12" t="s">
        <v>63</v>
      </c>
      <c r="BC265" s="32">
        <f>AW265+AX265</f>
        <v>0</v>
      </c>
      <c r="BD265" s="32">
        <f>H265/(100-BE265)*100</f>
        <v>0</v>
      </c>
      <c r="BE265" s="32">
        <v>0</v>
      </c>
      <c r="BF265" s="32">
        <f>P265</f>
        <v>0</v>
      </c>
      <c r="BH265" s="32">
        <f>G265*AO265</f>
        <v>0</v>
      </c>
      <c r="BI265" s="32">
        <f>G265*AP265</f>
        <v>0</v>
      </c>
      <c r="BJ265" s="32">
        <f>G265*H265</f>
        <v>0</v>
      </c>
      <c r="BK265" s="32"/>
      <c r="BL265" s="32">
        <v>96</v>
      </c>
      <c r="BW265" s="32">
        <f>I265</f>
        <v>21</v>
      </c>
      <c r="BX265" s="4" t="s">
        <v>621</v>
      </c>
    </row>
    <row r="266" spans="1:76" x14ac:dyDescent="0.25">
      <c r="A266" s="2" t="s">
        <v>622</v>
      </c>
      <c r="B266" s="3" t="s">
        <v>54</v>
      </c>
      <c r="C266" s="3" t="s">
        <v>623</v>
      </c>
      <c r="D266" s="95" t="s">
        <v>624</v>
      </c>
      <c r="E266" s="96"/>
      <c r="F266" s="3" t="s">
        <v>607</v>
      </c>
      <c r="G266" s="32">
        <v>29.32</v>
      </c>
      <c r="H266" s="89">
        <v>0</v>
      </c>
      <c r="I266" s="33">
        <v>21</v>
      </c>
      <c r="J266" s="32">
        <f>ROUND(G266*AO266,2)</f>
        <v>0</v>
      </c>
      <c r="K266" s="32">
        <f>ROUND(G266*AP266,2)</f>
        <v>0</v>
      </c>
      <c r="L266" s="32">
        <f>ROUND(G266*H266,2)</f>
        <v>0</v>
      </c>
      <c r="M266" s="32">
        <f>L266*(1+BW266/100)</f>
        <v>0</v>
      </c>
      <c r="N266" s="34">
        <f>IF(L285=0,0,L266/L285)</f>
        <v>0</v>
      </c>
      <c r="O266" s="32">
        <v>0</v>
      </c>
      <c r="P266" s="32">
        <f>G266*O266</f>
        <v>0</v>
      </c>
      <c r="Q266" s="35" t="s">
        <v>61</v>
      </c>
      <c r="Z266" s="32">
        <f>ROUND(IF(AQ266="5",BJ266,0),2)</f>
        <v>0</v>
      </c>
      <c r="AB266" s="32">
        <f>ROUND(IF(AQ266="1",BH266,0),2)</f>
        <v>0</v>
      </c>
      <c r="AC266" s="32">
        <f>ROUND(IF(AQ266="1",BI266,0),2)</f>
        <v>0</v>
      </c>
      <c r="AD266" s="32">
        <f>ROUND(IF(AQ266="7",BH266,0),2)</f>
        <v>0</v>
      </c>
      <c r="AE266" s="32">
        <f>ROUND(IF(AQ266="7",BI266,0),2)</f>
        <v>0</v>
      </c>
      <c r="AF266" s="32">
        <f>ROUND(IF(AQ266="2",BH266,0),2)</f>
        <v>0</v>
      </c>
      <c r="AG266" s="32">
        <f>ROUND(IF(AQ266="2",BI266,0),2)</f>
        <v>0</v>
      </c>
      <c r="AH266" s="32">
        <f>ROUND(IF(AQ266="0",BJ266,0),2)</f>
        <v>0</v>
      </c>
      <c r="AI266" s="12" t="s">
        <v>54</v>
      </c>
      <c r="AJ266" s="32">
        <f>IF(AN266=0,L266,0)</f>
        <v>0</v>
      </c>
      <c r="AK266" s="32">
        <f>IF(AN266=12,L266,0)</f>
        <v>0</v>
      </c>
      <c r="AL266" s="32">
        <f>IF(AN266=21,L266,0)</f>
        <v>0</v>
      </c>
      <c r="AN266" s="32">
        <v>21</v>
      </c>
      <c r="AO266" s="32">
        <f>H266*0</f>
        <v>0</v>
      </c>
      <c r="AP266" s="32">
        <f>H266*(1-0)</f>
        <v>0</v>
      </c>
      <c r="AQ266" s="36" t="s">
        <v>79</v>
      </c>
      <c r="AV266" s="32">
        <f>ROUND(AW266+AX266,2)</f>
        <v>0</v>
      </c>
      <c r="AW266" s="32">
        <f>ROUND(G266*AO266,2)</f>
        <v>0</v>
      </c>
      <c r="AX266" s="32">
        <f>ROUND(G266*AP266,2)</f>
        <v>0</v>
      </c>
      <c r="AY266" s="36" t="s">
        <v>569</v>
      </c>
      <c r="AZ266" s="36" t="s">
        <v>548</v>
      </c>
      <c r="BA266" s="12" t="s">
        <v>63</v>
      </c>
      <c r="BC266" s="32">
        <f>AW266+AX266</f>
        <v>0</v>
      </c>
      <c r="BD266" s="32">
        <f>H266/(100-BE266)*100</f>
        <v>0</v>
      </c>
      <c r="BE266" s="32">
        <v>0</v>
      </c>
      <c r="BF266" s="32">
        <f>P266</f>
        <v>0</v>
      </c>
      <c r="BH266" s="32">
        <f>G266*AO266</f>
        <v>0</v>
      </c>
      <c r="BI266" s="32">
        <f>G266*AP266</f>
        <v>0</v>
      </c>
      <c r="BJ266" s="32">
        <f>G266*H266</f>
        <v>0</v>
      </c>
      <c r="BK266" s="32"/>
      <c r="BL266" s="32">
        <v>96</v>
      </c>
      <c r="BW266" s="32">
        <f>I266</f>
        <v>21</v>
      </c>
      <c r="BX266" s="4" t="s">
        <v>624</v>
      </c>
    </row>
    <row r="267" spans="1:76" x14ac:dyDescent="0.25">
      <c r="A267" s="37"/>
      <c r="C267" s="38"/>
      <c r="D267" s="97" t="s">
        <v>737</v>
      </c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9"/>
      <c r="BX267" s="39" t="s">
        <v>625</v>
      </c>
    </row>
    <row r="268" spans="1:76" x14ac:dyDescent="0.25">
      <c r="A268" s="40" t="s">
        <v>54</v>
      </c>
      <c r="B268" s="41" t="s">
        <v>54</v>
      </c>
      <c r="C268" s="41" t="s">
        <v>626</v>
      </c>
      <c r="D268" s="101" t="s">
        <v>627</v>
      </c>
      <c r="E268" s="102"/>
      <c r="F268" s="42" t="s">
        <v>7</v>
      </c>
      <c r="G268" s="42" t="s">
        <v>7</v>
      </c>
      <c r="H268" s="42" t="s">
        <v>7</v>
      </c>
      <c r="I268" s="42" t="s">
        <v>7</v>
      </c>
      <c r="J268" s="1">
        <f>SUM(J269:J269)</f>
        <v>0</v>
      </c>
      <c r="K268" s="1">
        <f>SUM(K269:K269)</f>
        <v>0</v>
      </c>
      <c r="L268" s="1">
        <f>SUM(L269:L269)</f>
        <v>0</v>
      </c>
      <c r="M268" s="1">
        <f>SUM(M269:M269)</f>
        <v>0</v>
      </c>
      <c r="N268" s="43">
        <f>IF(L285=0,0,L268/L285)</f>
        <v>0</v>
      </c>
      <c r="O268" s="12" t="s">
        <v>54</v>
      </c>
      <c r="P268" s="1">
        <f>SUM(P269:P269)</f>
        <v>0</v>
      </c>
      <c r="Q268" s="44" t="s">
        <v>54</v>
      </c>
      <c r="AI268" s="12" t="s">
        <v>54</v>
      </c>
      <c r="AS268" s="1">
        <f>SUM(AJ269:AJ269)</f>
        <v>0</v>
      </c>
      <c r="AT268" s="1">
        <f>SUM(AK269:AK269)</f>
        <v>0</v>
      </c>
      <c r="AU268" s="1">
        <f>SUM(AL269:AL269)</f>
        <v>0</v>
      </c>
    </row>
    <row r="269" spans="1:76" x14ac:dyDescent="0.25">
      <c r="A269" s="2" t="s">
        <v>628</v>
      </c>
      <c r="B269" s="3" t="s">
        <v>54</v>
      </c>
      <c r="C269" s="3" t="s">
        <v>629</v>
      </c>
      <c r="D269" s="95" t="s">
        <v>630</v>
      </c>
      <c r="E269" s="96"/>
      <c r="F269" s="3" t="s">
        <v>607</v>
      </c>
      <c r="G269" s="32">
        <v>41.752000000000002</v>
      </c>
      <c r="H269" s="89">
        <v>0</v>
      </c>
      <c r="I269" s="33">
        <v>21</v>
      </c>
      <c r="J269" s="32">
        <f>ROUND(G269*AO269,2)</f>
        <v>0</v>
      </c>
      <c r="K269" s="32">
        <f>ROUND(G269*AP269,2)</f>
        <v>0</v>
      </c>
      <c r="L269" s="32">
        <f>ROUND(G269*H269,2)</f>
        <v>0</v>
      </c>
      <c r="M269" s="32">
        <f>L269*(1+BW269/100)</f>
        <v>0</v>
      </c>
      <c r="N269" s="34">
        <f>IF(L285=0,0,L269/L285)</f>
        <v>0</v>
      </c>
      <c r="O269" s="32">
        <v>0</v>
      </c>
      <c r="P269" s="32">
        <f>G269*O269</f>
        <v>0</v>
      </c>
      <c r="Q269" s="35" t="s">
        <v>61</v>
      </c>
      <c r="Z269" s="32">
        <f>ROUND(IF(AQ269="5",BJ269,0),2)</f>
        <v>0</v>
      </c>
      <c r="AB269" s="32">
        <f>ROUND(IF(AQ269="1",BH269,0),2)</f>
        <v>0</v>
      </c>
      <c r="AC269" s="32">
        <f>ROUND(IF(AQ269="1",BI269,0),2)</f>
        <v>0</v>
      </c>
      <c r="AD269" s="32">
        <f>ROUND(IF(AQ269="7",BH269,0),2)</f>
        <v>0</v>
      </c>
      <c r="AE269" s="32">
        <f>ROUND(IF(AQ269="7",BI269,0),2)</f>
        <v>0</v>
      </c>
      <c r="AF269" s="32">
        <f>ROUND(IF(AQ269="2",BH269,0),2)</f>
        <v>0</v>
      </c>
      <c r="AG269" s="32">
        <f>ROUND(IF(AQ269="2",BI269,0),2)</f>
        <v>0</v>
      </c>
      <c r="AH269" s="32">
        <f>ROUND(IF(AQ269="0",BJ269,0),2)</f>
        <v>0</v>
      </c>
      <c r="AI269" s="12" t="s">
        <v>54</v>
      </c>
      <c r="AJ269" s="32">
        <f>IF(AN269=0,L269,0)</f>
        <v>0</v>
      </c>
      <c r="AK269" s="32">
        <f>IF(AN269=12,L269,0)</f>
        <v>0</v>
      </c>
      <c r="AL269" s="32">
        <f>IF(AN269=21,L269,0)</f>
        <v>0</v>
      </c>
      <c r="AN269" s="32">
        <v>21</v>
      </c>
      <c r="AO269" s="32">
        <f>H269*0</f>
        <v>0</v>
      </c>
      <c r="AP269" s="32">
        <f>H269*(1-0)</f>
        <v>0</v>
      </c>
      <c r="AQ269" s="36" t="s">
        <v>79</v>
      </c>
      <c r="AV269" s="32">
        <f>ROUND(AW269+AX269,2)</f>
        <v>0</v>
      </c>
      <c r="AW269" s="32">
        <f>ROUND(G269*AO269,2)</f>
        <v>0</v>
      </c>
      <c r="AX269" s="32">
        <f>ROUND(G269*AP269,2)</f>
        <v>0</v>
      </c>
      <c r="AY269" s="36" t="s">
        <v>631</v>
      </c>
      <c r="AZ269" s="36" t="s">
        <v>548</v>
      </c>
      <c r="BA269" s="12" t="s">
        <v>63</v>
      </c>
      <c r="BC269" s="32">
        <f>AW269+AX269</f>
        <v>0</v>
      </c>
      <c r="BD269" s="32">
        <f>H269/(100-BE269)*100</f>
        <v>0</v>
      </c>
      <c r="BE269" s="32">
        <v>0</v>
      </c>
      <c r="BF269" s="32">
        <f>P269</f>
        <v>0</v>
      </c>
      <c r="BH269" s="32">
        <f>G269*AO269</f>
        <v>0</v>
      </c>
      <c r="BI269" s="32">
        <f>G269*AP269</f>
        <v>0</v>
      </c>
      <c r="BJ269" s="32">
        <f>G269*H269</f>
        <v>0</v>
      </c>
      <c r="BK269" s="32"/>
      <c r="BL269" s="32"/>
      <c r="BW269" s="32">
        <f>I269</f>
        <v>21</v>
      </c>
      <c r="BX269" s="4" t="s">
        <v>630</v>
      </c>
    </row>
    <row r="270" spans="1:76" x14ac:dyDescent="0.25">
      <c r="A270" s="40" t="s">
        <v>54</v>
      </c>
      <c r="B270" s="41" t="s">
        <v>54</v>
      </c>
      <c r="C270" s="41" t="s">
        <v>632</v>
      </c>
      <c r="D270" s="101" t="s">
        <v>633</v>
      </c>
      <c r="E270" s="102"/>
      <c r="F270" s="42" t="s">
        <v>7</v>
      </c>
      <c r="G270" s="42" t="s">
        <v>7</v>
      </c>
      <c r="H270" s="42" t="s">
        <v>7</v>
      </c>
      <c r="I270" s="42" t="s">
        <v>7</v>
      </c>
      <c r="J270" s="1">
        <f>SUM(J271:J284)</f>
        <v>0</v>
      </c>
      <c r="K270" s="1">
        <f>SUM(K271:K284)</f>
        <v>0</v>
      </c>
      <c r="L270" s="1">
        <f>SUM(L271:L284)</f>
        <v>0</v>
      </c>
      <c r="M270" s="1">
        <f>SUM(M271:M284)</f>
        <v>0</v>
      </c>
      <c r="N270" s="43">
        <f>IF(L285=0,0,L270/L285)</f>
        <v>0</v>
      </c>
      <c r="O270" s="12" t="s">
        <v>54</v>
      </c>
      <c r="P270" s="1">
        <f>SUM(P271:P284)</f>
        <v>5.2000000000000006E-4</v>
      </c>
      <c r="Q270" s="44" t="s">
        <v>54</v>
      </c>
      <c r="AI270" s="12" t="s">
        <v>54</v>
      </c>
      <c r="AS270" s="1">
        <f>SUM(AJ271:AJ284)</f>
        <v>0</v>
      </c>
      <c r="AT270" s="1">
        <f>SUM(AK271:AK284)</f>
        <v>0</v>
      </c>
      <c r="AU270" s="1">
        <f>SUM(AL271:AL284)</f>
        <v>0</v>
      </c>
    </row>
    <row r="271" spans="1:76" x14ac:dyDescent="0.25">
      <c r="A271" s="2" t="s">
        <v>634</v>
      </c>
      <c r="B271" s="3" t="s">
        <v>54</v>
      </c>
      <c r="C271" s="3" t="s">
        <v>635</v>
      </c>
      <c r="D271" s="95" t="s">
        <v>636</v>
      </c>
      <c r="E271" s="96"/>
      <c r="F271" s="3" t="s">
        <v>60</v>
      </c>
      <c r="G271" s="32">
        <v>26</v>
      </c>
      <c r="H271" s="89">
        <v>0</v>
      </c>
      <c r="I271" s="33">
        <v>21</v>
      </c>
      <c r="J271" s="32">
        <f>ROUND(G271*AO271,2)</f>
        <v>0</v>
      </c>
      <c r="K271" s="32">
        <f>ROUND(G271*AP271,2)</f>
        <v>0</v>
      </c>
      <c r="L271" s="32">
        <f>ROUND(G271*H271,2)</f>
        <v>0</v>
      </c>
      <c r="M271" s="32">
        <f>L271*(1+BW271/100)</f>
        <v>0</v>
      </c>
      <c r="N271" s="34">
        <f>IF(L285=0,0,L271/L285)</f>
        <v>0</v>
      </c>
      <c r="O271" s="32">
        <v>0</v>
      </c>
      <c r="P271" s="32">
        <f>G271*O271</f>
        <v>0</v>
      </c>
      <c r="Q271" s="35" t="s">
        <v>61</v>
      </c>
      <c r="Z271" s="32">
        <f>ROUND(IF(AQ271="5",BJ271,0),2)</f>
        <v>0</v>
      </c>
      <c r="AB271" s="32">
        <f>ROUND(IF(AQ271="1",BH271,0),2)</f>
        <v>0</v>
      </c>
      <c r="AC271" s="32">
        <f>ROUND(IF(AQ271="1",BI271,0),2)</f>
        <v>0</v>
      </c>
      <c r="AD271" s="32">
        <f>ROUND(IF(AQ271="7",BH271,0),2)</f>
        <v>0</v>
      </c>
      <c r="AE271" s="32">
        <f>ROUND(IF(AQ271="7",BI271,0),2)</f>
        <v>0</v>
      </c>
      <c r="AF271" s="32">
        <f>ROUND(IF(AQ271="2",BH271,0),2)</f>
        <v>0</v>
      </c>
      <c r="AG271" s="32">
        <f>ROUND(IF(AQ271="2",BI271,0),2)</f>
        <v>0</v>
      </c>
      <c r="AH271" s="32">
        <f>ROUND(IF(AQ271="0",BJ271,0),2)</f>
        <v>0</v>
      </c>
      <c r="AI271" s="12" t="s">
        <v>54</v>
      </c>
      <c r="AJ271" s="32">
        <f>IF(AN271=0,L271,0)</f>
        <v>0</v>
      </c>
      <c r="AK271" s="32">
        <f>IF(AN271=12,L271,0)</f>
        <v>0</v>
      </c>
      <c r="AL271" s="32">
        <f>IF(AN271=21,L271,0)</f>
        <v>0</v>
      </c>
      <c r="AN271" s="32">
        <v>21</v>
      </c>
      <c r="AO271" s="32">
        <f>H271*0</f>
        <v>0</v>
      </c>
      <c r="AP271" s="32">
        <f>H271*(1-0)</f>
        <v>0</v>
      </c>
      <c r="AQ271" s="36" t="s">
        <v>65</v>
      </c>
      <c r="AV271" s="32">
        <f>ROUND(AW271+AX271,2)</f>
        <v>0</v>
      </c>
      <c r="AW271" s="32">
        <f>ROUND(G271*AO271,2)</f>
        <v>0</v>
      </c>
      <c r="AX271" s="32">
        <f>ROUND(G271*AP271,2)</f>
        <v>0</v>
      </c>
      <c r="AY271" s="36" t="s">
        <v>637</v>
      </c>
      <c r="AZ271" s="36" t="s">
        <v>548</v>
      </c>
      <c r="BA271" s="12" t="s">
        <v>63</v>
      </c>
      <c r="BC271" s="32">
        <f>AW271+AX271</f>
        <v>0</v>
      </c>
      <c r="BD271" s="32">
        <f>H271/(100-BE271)*100</f>
        <v>0</v>
      </c>
      <c r="BE271" s="32">
        <v>0</v>
      </c>
      <c r="BF271" s="32">
        <f>P271</f>
        <v>0</v>
      </c>
      <c r="BH271" s="32">
        <f>G271*AO271</f>
        <v>0</v>
      </c>
      <c r="BI271" s="32">
        <f>G271*AP271</f>
        <v>0</v>
      </c>
      <c r="BJ271" s="32">
        <f>G271*H271</f>
        <v>0</v>
      </c>
      <c r="BK271" s="32"/>
      <c r="BL271" s="32"/>
      <c r="BW271" s="32">
        <f>I271</f>
        <v>21</v>
      </c>
      <c r="BX271" s="4" t="s">
        <v>636</v>
      </c>
    </row>
    <row r="272" spans="1:76" x14ac:dyDescent="0.25">
      <c r="A272" s="2" t="s">
        <v>638</v>
      </c>
      <c r="B272" s="3" t="s">
        <v>54</v>
      </c>
      <c r="C272" s="3" t="s">
        <v>639</v>
      </c>
      <c r="D272" s="95" t="s">
        <v>640</v>
      </c>
      <c r="E272" s="96"/>
      <c r="F272" s="3" t="s">
        <v>60</v>
      </c>
      <c r="G272" s="32">
        <v>4</v>
      </c>
      <c r="H272" s="89">
        <v>0</v>
      </c>
      <c r="I272" s="33">
        <v>21</v>
      </c>
      <c r="J272" s="32">
        <f>ROUND(G272*AO272,2)</f>
        <v>0</v>
      </c>
      <c r="K272" s="32">
        <f>ROUND(G272*AP272,2)</f>
        <v>0</v>
      </c>
      <c r="L272" s="32">
        <f>ROUND(G272*H272,2)</f>
        <v>0</v>
      </c>
      <c r="M272" s="32">
        <f>L272*(1+BW272/100)</f>
        <v>0</v>
      </c>
      <c r="N272" s="34">
        <f>IF(L285=0,0,L272/L285)</f>
        <v>0</v>
      </c>
      <c r="O272" s="32">
        <v>0</v>
      </c>
      <c r="P272" s="32">
        <f>G272*O272</f>
        <v>0</v>
      </c>
      <c r="Q272" s="35" t="s">
        <v>61</v>
      </c>
      <c r="Z272" s="32">
        <f>ROUND(IF(AQ272="5",BJ272,0),2)</f>
        <v>0</v>
      </c>
      <c r="AB272" s="32">
        <f>ROUND(IF(AQ272="1",BH272,0),2)</f>
        <v>0</v>
      </c>
      <c r="AC272" s="32">
        <f>ROUND(IF(AQ272="1",BI272,0),2)</f>
        <v>0</v>
      </c>
      <c r="AD272" s="32">
        <f>ROUND(IF(AQ272="7",BH272,0),2)</f>
        <v>0</v>
      </c>
      <c r="AE272" s="32">
        <f>ROUND(IF(AQ272="7",BI272,0),2)</f>
        <v>0</v>
      </c>
      <c r="AF272" s="32">
        <f>ROUND(IF(AQ272="2",BH272,0),2)</f>
        <v>0</v>
      </c>
      <c r="AG272" s="32">
        <f>ROUND(IF(AQ272="2",BI272,0),2)</f>
        <v>0</v>
      </c>
      <c r="AH272" s="32">
        <f>ROUND(IF(AQ272="0",BJ272,0),2)</f>
        <v>0</v>
      </c>
      <c r="AI272" s="12" t="s">
        <v>54</v>
      </c>
      <c r="AJ272" s="32">
        <f>IF(AN272=0,L272,0)</f>
        <v>0</v>
      </c>
      <c r="AK272" s="32">
        <f>IF(AN272=12,L272,0)</f>
        <v>0</v>
      </c>
      <c r="AL272" s="32">
        <f>IF(AN272=21,L272,0)</f>
        <v>0</v>
      </c>
      <c r="AN272" s="32">
        <v>21</v>
      </c>
      <c r="AO272" s="32">
        <f>H272*0</f>
        <v>0</v>
      </c>
      <c r="AP272" s="32">
        <f>H272*(1-0)</f>
        <v>0</v>
      </c>
      <c r="AQ272" s="36" t="s">
        <v>65</v>
      </c>
      <c r="AV272" s="32">
        <f>ROUND(AW272+AX272,2)</f>
        <v>0</v>
      </c>
      <c r="AW272" s="32">
        <f>ROUND(G272*AO272,2)</f>
        <v>0</v>
      </c>
      <c r="AX272" s="32">
        <f>ROUND(G272*AP272,2)</f>
        <v>0</v>
      </c>
      <c r="AY272" s="36" t="s">
        <v>637</v>
      </c>
      <c r="AZ272" s="36" t="s">
        <v>548</v>
      </c>
      <c r="BA272" s="12" t="s">
        <v>63</v>
      </c>
      <c r="BC272" s="32">
        <f>AW272+AX272</f>
        <v>0</v>
      </c>
      <c r="BD272" s="32">
        <f>H272/(100-BE272)*100</f>
        <v>0</v>
      </c>
      <c r="BE272" s="32">
        <v>0</v>
      </c>
      <c r="BF272" s="32">
        <f>P272</f>
        <v>0</v>
      </c>
      <c r="BH272" s="32">
        <f>G272*AO272</f>
        <v>0</v>
      </c>
      <c r="BI272" s="32">
        <f>G272*AP272</f>
        <v>0</v>
      </c>
      <c r="BJ272" s="32">
        <f>G272*H272</f>
        <v>0</v>
      </c>
      <c r="BK272" s="32"/>
      <c r="BL272" s="32"/>
      <c r="BW272" s="32">
        <f>I272</f>
        <v>21</v>
      </c>
      <c r="BX272" s="4" t="s">
        <v>640</v>
      </c>
    </row>
    <row r="273" spans="1:76" x14ac:dyDescent="0.25">
      <c r="A273" s="2" t="s">
        <v>641</v>
      </c>
      <c r="B273" s="3" t="s">
        <v>54</v>
      </c>
      <c r="C273" s="3" t="s">
        <v>642</v>
      </c>
      <c r="D273" s="95" t="s">
        <v>643</v>
      </c>
      <c r="E273" s="96"/>
      <c r="F273" s="3" t="s">
        <v>60</v>
      </c>
      <c r="G273" s="32">
        <v>30</v>
      </c>
      <c r="H273" s="89">
        <v>0</v>
      </c>
      <c r="I273" s="33">
        <v>21</v>
      </c>
      <c r="J273" s="32">
        <f>ROUND(G273*AO273,2)</f>
        <v>0</v>
      </c>
      <c r="K273" s="32">
        <f>ROUND(G273*AP273,2)</f>
        <v>0</v>
      </c>
      <c r="L273" s="32">
        <f>ROUND(G273*H273,2)</f>
        <v>0</v>
      </c>
      <c r="M273" s="32">
        <f>L273*(1+BW273/100)</f>
        <v>0</v>
      </c>
      <c r="N273" s="34">
        <f>IF(L285=0,0,L273/L285)</f>
        <v>0</v>
      </c>
      <c r="O273" s="32">
        <v>0</v>
      </c>
      <c r="P273" s="32">
        <f>G273*O273</f>
        <v>0</v>
      </c>
      <c r="Q273" s="35" t="s">
        <v>61</v>
      </c>
      <c r="Z273" s="32">
        <f>ROUND(IF(AQ273="5",BJ273,0),2)</f>
        <v>0</v>
      </c>
      <c r="AB273" s="32">
        <f>ROUND(IF(AQ273="1",BH273,0),2)</f>
        <v>0</v>
      </c>
      <c r="AC273" s="32">
        <f>ROUND(IF(AQ273="1",BI273,0),2)</f>
        <v>0</v>
      </c>
      <c r="AD273" s="32">
        <f>ROUND(IF(AQ273="7",BH273,0),2)</f>
        <v>0</v>
      </c>
      <c r="AE273" s="32">
        <f>ROUND(IF(AQ273="7",BI273,0),2)</f>
        <v>0</v>
      </c>
      <c r="AF273" s="32">
        <f>ROUND(IF(AQ273="2",BH273,0),2)</f>
        <v>0</v>
      </c>
      <c r="AG273" s="32">
        <f>ROUND(IF(AQ273="2",BI273,0),2)</f>
        <v>0</v>
      </c>
      <c r="AH273" s="32">
        <f>ROUND(IF(AQ273="0",BJ273,0),2)</f>
        <v>0</v>
      </c>
      <c r="AI273" s="12" t="s">
        <v>54</v>
      </c>
      <c r="AJ273" s="32">
        <f>IF(AN273=0,L273,0)</f>
        <v>0</v>
      </c>
      <c r="AK273" s="32">
        <f>IF(AN273=12,L273,0)</f>
        <v>0</v>
      </c>
      <c r="AL273" s="32">
        <f>IF(AN273=21,L273,0)</f>
        <v>0</v>
      </c>
      <c r="AN273" s="32">
        <v>21</v>
      </c>
      <c r="AO273" s="32">
        <f>H273*0</f>
        <v>0</v>
      </c>
      <c r="AP273" s="32">
        <f>H273*(1-0)</f>
        <v>0</v>
      </c>
      <c r="AQ273" s="36" t="s">
        <v>65</v>
      </c>
      <c r="AV273" s="32">
        <f>ROUND(AW273+AX273,2)</f>
        <v>0</v>
      </c>
      <c r="AW273" s="32">
        <f>ROUND(G273*AO273,2)</f>
        <v>0</v>
      </c>
      <c r="AX273" s="32">
        <f>ROUND(G273*AP273,2)</f>
        <v>0</v>
      </c>
      <c r="AY273" s="36" t="s">
        <v>637</v>
      </c>
      <c r="AZ273" s="36" t="s">
        <v>548</v>
      </c>
      <c r="BA273" s="12" t="s">
        <v>63</v>
      </c>
      <c r="BC273" s="32">
        <f>AW273+AX273</f>
        <v>0</v>
      </c>
      <c r="BD273" s="32">
        <f>H273/(100-BE273)*100</f>
        <v>0</v>
      </c>
      <c r="BE273" s="32">
        <v>0</v>
      </c>
      <c r="BF273" s="32">
        <f>P273</f>
        <v>0</v>
      </c>
      <c r="BH273" s="32">
        <f>G273*AO273</f>
        <v>0</v>
      </c>
      <c r="BI273" s="32">
        <f>G273*AP273</f>
        <v>0</v>
      </c>
      <c r="BJ273" s="32">
        <f>G273*H273</f>
        <v>0</v>
      </c>
      <c r="BK273" s="32"/>
      <c r="BL273" s="32"/>
      <c r="BW273" s="32">
        <f>I273</f>
        <v>21</v>
      </c>
      <c r="BX273" s="4" t="s">
        <v>643</v>
      </c>
    </row>
    <row r="274" spans="1:76" x14ac:dyDescent="0.25">
      <c r="A274" s="2" t="s">
        <v>644</v>
      </c>
      <c r="B274" s="3" t="s">
        <v>54</v>
      </c>
      <c r="C274" s="3" t="s">
        <v>645</v>
      </c>
      <c r="D274" s="95" t="s">
        <v>646</v>
      </c>
      <c r="E274" s="96"/>
      <c r="F274" s="3" t="s">
        <v>60</v>
      </c>
      <c r="G274" s="32">
        <v>4</v>
      </c>
      <c r="H274" s="89">
        <v>0</v>
      </c>
      <c r="I274" s="33">
        <v>21</v>
      </c>
      <c r="J274" s="32">
        <f>ROUND(G274*AO274,2)</f>
        <v>0</v>
      </c>
      <c r="K274" s="32">
        <f>ROUND(G274*AP274,2)</f>
        <v>0</v>
      </c>
      <c r="L274" s="32">
        <f>ROUND(G274*H274,2)</f>
        <v>0</v>
      </c>
      <c r="M274" s="32">
        <f>L274*(1+BW274/100)</f>
        <v>0</v>
      </c>
      <c r="N274" s="34">
        <f>IF(L285=0,0,L274/L285)</f>
        <v>0</v>
      </c>
      <c r="O274" s="32">
        <v>4.0000000000000003E-5</v>
      </c>
      <c r="P274" s="32">
        <f>G274*O274</f>
        <v>1.6000000000000001E-4</v>
      </c>
      <c r="Q274" s="35" t="s">
        <v>61</v>
      </c>
      <c r="Z274" s="32">
        <f>ROUND(IF(AQ274="5",BJ274,0),2)</f>
        <v>0</v>
      </c>
      <c r="AB274" s="32">
        <f>ROUND(IF(AQ274="1",BH274,0),2)</f>
        <v>0</v>
      </c>
      <c r="AC274" s="32">
        <f>ROUND(IF(AQ274="1",BI274,0),2)</f>
        <v>0</v>
      </c>
      <c r="AD274" s="32">
        <f>ROUND(IF(AQ274="7",BH274,0),2)</f>
        <v>0</v>
      </c>
      <c r="AE274" s="32">
        <f>ROUND(IF(AQ274="7",BI274,0),2)</f>
        <v>0</v>
      </c>
      <c r="AF274" s="32">
        <f>ROUND(IF(AQ274="2",BH274,0),2)</f>
        <v>0</v>
      </c>
      <c r="AG274" s="32">
        <f>ROUND(IF(AQ274="2",BI274,0),2)</f>
        <v>0</v>
      </c>
      <c r="AH274" s="32">
        <f>ROUND(IF(AQ274="0",BJ274,0),2)</f>
        <v>0</v>
      </c>
      <c r="AI274" s="12" t="s">
        <v>54</v>
      </c>
      <c r="AJ274" s="32">
        <f>IF(AN274=0,L274,0)</f>
        <v>0</v>
      </c>
      <c r="AK274" s="32">
        <f>IF(AN274=12,L274,0)</f>
        <v>0</v>
      </c>
      <c r="AL274" s="32">
        <f>IF(AN274=21,L274,0)</f>
        <v>0</v>
      </c>
      <c r="AN274" s="32">
        <v>21</v>
      </c>
      <c r="AO274" s="32">
        <f>H274*0.408180404</f>
        <v>0</v>
      </c>
      <c r="AP274" s="32">
        <f>H274*(1-0.408180404)</f>
        <v>0</v>
      </c>
      <c r="AQ274" s="36" t="s">
        <v>65</v>
      </c>
      <c r="AV274" s="32">
        <f>ROUND(AW274+AX274,2)</f>
        <v>0</v>
      </c>
      <c r="AW274" s="32">
        <f>ROUND(G274*AO274,2)</f>
        <v>0</v>
      </c>
      <c r="AX274" s="32">
        <f>ROUND(G274*AP274,2)</f>
        <v>0</v>
      </c>
      <c r="AY274" s="36" t="s">
        <v>637</v>
      </c>
      <c r="AZ274" s="36" t="s">
        <v>548</v>
      </c>
      <c r="BA274" s="12" t="s">
        <v>63</v>
      </c>
      <c r="BC274" s="32">
        <f>AW274+AX274</f>
        <v>0</v>
      </c>
      <c r="BD274" s="32">
        <f>H274/(100-BE274)*100</f>
        <v>0</v>
      </c>
      <c r="BE274" s="32">
        <v>0</v>
      </c>
      <c r="BF274" s="32">
        <f>P274</f>
        <v>1.6000000000000001E-4</v>
      </c>
      <c r="BH274" s="32">
        <f>G274*AO274</f>
        <v>0</v>
      </c>
      <c r="BI274" s="32">
        <f>G274*AP274</f>
        <v>0</v>
      </c>
      <c r="BJ274" s="32">
        <f>G274*H274</f>
        <v>0</v>
      </c>
      <c r="BK274" s="32"/>
      <c r="BL274" s="32"/>
      <c r="BW274" s="32">
        <f>I274</f>
        <v>21</v>
      </c>
      <c r="BX274" s="4" t="s">
        <v>646</v>
      </c>
    </row>
    <row r="275" spans="1:76" ht="13.5" customHeight="1" x14ac:dyDescent="0.25">
      <c r="A275" s="37"/>
      <c r="C275" s="38"/>
      <c r="D275" s="100" t="s">
        <v>647</v>
      </c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9"/>
    </row>
    <row r="276" spans="1:76" x14ac:dyDescent="0.25">
      <c r="A276" s="2" t="s">
        <v>648</v>
      </c>
      <c r="B276" s="3" t="s">
        <v>54</v>
      </c>
      <c r="C276" s="3" t="s">
        <v>649</v>
      </c>
      <c r="D276" s="95" t="s">
        <v>650</v>
      </c>
      <c r="E276" s="96"/>
      <c r="F276" s="3" t="s">
        <v>60</v>
      </c>
      <c r="G276" s="32">
        <v>4</v>
      </c>
      <c r="H276" s="89">
        <v>0</v>
      </c>
      <c r="I276" s="33">
        <v>21</v>
      </c>
      <c r="J276" s="32">
        <f>ROUND(G276*AO276,2)</f>
        <v>0</v>
      </c>
      <c r="K276" s="32">
        <f>ROUND(G276*AP276,2)</f>
        <v>0</v>
      </c>
      <c r="L276" s="32">
        <f>ROUND(G276*H276,2)</f>
        <v>0</v>
      </c>
      <c r="M276" s="32">
        <f>L276*(1+BW276/100)</f>
        <v>0</v>
      </c>
      <c r="N276" s="34">
        <f>IF(L285=0,0,L276/L285)</f>
        <v>0</v>
      </c>
      <c r="O276" s="32">
        <v>0</v>
      </c>
      <c r="P276" s="32">
        <f>G276*O276</f>
        <v>0</v>
      </c>
      <c r="Q276" s="35" t="s">
        <v>61</v>
      </c>
      <c r="Z276" s="32">
        <f>ROUND(IF(AQ276="5",BJ276,0),2)</f>
        <v>0</v>
      </c>
      <c r="AB276" s="32">
        <f>ROUND(IF(AQ276="1",BH276,0),2)</f>
        <v>0</v>
      </c>
      <c r="AC276" s="32">
        <f>ROUND(IF(AQ276="1",BI276,0),2)</f>
        <v>0</v>
      </c>
      <c r="AD276" s="32">
        <f>ROUND(IF(AQ276="7",BH276,0),2)</f>
        <v>0</v>
      </c>
      <c r="AE276" s="32">
        <f>ROUND(IF(AQ276="7",BI276,0),2)</f>
        <v>0</v>
      </c>
      <c r="AF276" s="32">
        <f>ROUND(IF(AQ276="2",BH276,0),2)</f>
        <v>0</v>
      </c>
      <c r="AG276" s="32">
        <f>ROUND(IF(AQ276="2",BI276,0),2)</f>
        <v>0</v>
      </c>
      <c r="AH276" s="32">
        <f>ROUND(IF(AQ276="0",BJ276,0),2)</f>
        <v>0</v>
      </c>
      <c r="AI276" s="12" t="s">
        <v>54</v>
      </c>
      <c r="AJ276" s="32">
        <f>IF(AN276=0,L276,0)</f>
        <v>0</v>
      </c>
      <c r="AK276" s="32">
        <f>IF(AN276=12,L276,0)</f>
        <v>0</v>
      </c>
      <c r="AL276" s="32">
        <f>IF(AN276=21,L276,0)</f>
        <v>0</v>
      </c>
      <c r="AN276" s="32">
        <v>21</v>
      </c>
      <c r="AO276" s="32">
        <f>H276*0</f>
        <v>0</v>
      </c>
      <c r="AP276" s="32">
        <f>H276*(1-0)</f>
        <v>0</v>
      </c>
      <c r="AQ276" s="36" t="s">
        <v>65</v>
      </c>
      <c r="AV276" s="32">
        <f>ROUND(AW276+AX276,2)</f>
        <v>0</v>
      </c>
      <c r="AW276" s="32">
        <f>ROUND(G276*AO276,2)</f>
        <v>0</v>
      </c>
      <c r="AX276" s="32">
        <f>ROUND(G276*AP276,2)</f>
        <v>0</v>
      </c>
      <c r="AY276" s="36" t="s">
        <v>637</v>
      </c>
      <c r="AZ276" s="36" t="s">
        <v>548</v>
      </c>
      <c r="BA276" s="12" t="s">
        <v>63</v>
      </c>
      <c r="BC276" s="32">
        <f>AW276+AX276</f>
        <v>0</v>
      </c>
      <c r="BD276" s="32">
        <f>H276/(100-BE276)*100</f>
        <v>0</v>
      </c>
      <c r="BE276" s="32">
        <v>0</v>
      </c>
      <c r="BF276" s="32">
        <f>P276</f>
        <v>0</v>
      </c>
      <c r="BH276" s="32">
        <f>G276*AO276</f>
        <v>0</v>
      </c>
      <c r="BI276" s="32">
        <f>G276*AP276</f>
        <v>0</v>
      </c>
      <c r="BJ276" s="32">
        <f>G276*H276</f>
        <v>0</v>
      </c>
      <c r="BK276" s="32"/>
      <c r="BL276" s="32"/>
      <c r="BW276" s="32">
        <f>I276</f>
        <v>21</v>
      </c>
      <c r="BX276" s="4" t="s">
        <v>650</v>
      </c>
    </row>
    <row r="277" spans="1:76" x14ac:dyDescent="0.25">
      <c r="A277" s="2" t="s">
        <v>651</v>
      </c>
      <c r="B277" s="3" t="s">
        <v>54</v>
      </c>
      <c r="C277" s="3" t="s">
        <v>652</v>
      </c>
      <c r="D277" s="95" t="s">
        <v>653</v>
      </c>
      <c r="E277" s="96"/>
      <c r="F277" s="3" t="s">
        <v>60</v>
      </c>
      <c r="G277" s="32">
        <v>4</v>
      </c>
      <c r="H277" s="89">
        <v>0</v>
      </c>
      <c r="I277" s="33">
        <v>21</v>
      </c>
      <c r="J277" s="32">
        <f>ROUND(G277*AO277,2)</f>
        <v>0</v>
      </c>
      <c r="K277" s="32">
        <f>ROUND(G277*AP277,2)</f>
        <v>0</v>
      </c>
      <c r="L277" s="32">
        <f>ROUND(G277*H277,2)</f>
        <v>0</v>
      </c>
      <c r="M277" s="32">
        <f>L277*(1+BW277/100)</f>
        <v>0</v>
      </c>
      <c r="N277" s="34">
        <f>IF(L285=0,0,L277/L285)</f>
        <v>0</v>
      </c>
      <c r="O277" s="32">
        <v>9.0000000000000006E-5</v>
      </c>
      <c r="P277" s="32">
        <f>G277*O277</f>
        <v>3.6000000000000002E-4</v>
      </c>
      <c r="Q277" s="35" t="s">
        <v>61</v>
      </c>
      <c r="Z277" s="32">
        <f>ROUND(IF(AQ277="5",BJ277,0),2)</f>
        <v>0</v>
      </c>
      <c r="AB277" s="32">
        <f>ROUND(IF(AQ277="1",BH277,0),2)</f>
        <v>0</v>
      </c>
      <c r="AC277" s="32">
        <f>ROUND(IF(AQ277="1",BI277,0),2)</f>
        <v>0</v>
      </c>
      <c r="AD277" s="32">
        <f>ROUND(IF(AQ277="7",BH277,0),2)</f>
        <v>0</v>
      </c>
      <c r="AE277" s="32">
        <f>ROUND(IF(AQ277="7",BI277,0),2)</f>
        <v>0</v>
      </c>
      <c r="AF277" s="32">
        <f>ROUND(IF(AQ277="2",BH277,0),2)</f>
        <v>0</v>
      </c>
      <c r="AG277" s="32">
        <f>ROUND(IF(AQ277="2",BI277,0),2)</f>
        <v>0</v>
      </c>
      <c r="AH277" s="32">
        <f>ROUND(IF(AQ277="0",BJ277,0),2)</f>
        <v>0</v>
      </c>
      <c r="AI277" s="12" t="s">
        <v>54</v>
      </c>
      <c r="AJ277" s="32">
        <f>IF(AN277=0,L277,0)</f>
        <v>0</v>
      </c>
      <c r="AK277" s="32">
        <f>IF(AN277=12,L277,0)</f>
        <v>0</v>
      </c>
      <c r="AL277" s="32">
        <f>IF(AN277=21,L277,0)</f>
        <v>0</v>
      </c>
      <c r="AN277" s="32">
        <v>21</v>
      </c>
      <c r="AO277" s="32">
        <f>H277*0.590292553</f>
        <v>0</v>
      </c>
      <c r="AP277" s="32">
        <f>H277*(1-0.590292553)</f>
        <v>0</v>
      </c>
      <c r="AQ277" s="36" t="s">
        <v>65</v>
      </c>
      <c r="AV277" s="32">
        <f>ROUND(AW277+AX277,2)</f>
        <v>0</v>
      </c>
      <c r="AW277" s="32">
        <f>ROUND(G277*AO277,2)</f>
        <v>0</v>
      </c>
      <c r="AX277" s="32">
        <f>ROUND(G277*AP277,2)</f>
        <v>0</v>
      </c>
      <c r="AY277" s="36" t="s">
        <v>637</v>
      </c>
      <c r="AZ277" s="36" t="s">
        <v>548</v>
      </c>
      <c r="BA277" s="12" t="s">
        <v>63</v>
      </c>
      <c r="BC277" s="32">
        <f>AW277+AX277</f>
        <v>0</v>
      </c>
      <c r="BD277" s="32">
        <f>H277/(100-BE277)*100</f>
        <v>0</v>
      </c>
      <c r="BE277" s="32">
        <v>0</v>
      </c>
      <c r="BF277" s="32">
        <f>P277</f>
        <v>3.6000000000000002E-4</v>
      </c>
      <c r="BH277" s="32">
        <f>G277*AO277</f>
        <v>0</v>
      </c>
      <c r="BI277" s="32">
        <f>G277*AP277</f>
        <v>0</v>
      </c>
      <c r="BJ277" s="32">
        <f>G277*H277</f>
        <v>0</v>
      </c>
      <c r="BK277" s="32"/>
      <c r="BL277" s="32"/>
      <c r="BW277" s="32">
        <f>I277</f>
        <v>21</v>
      </c>
      <c r="BX277" s="4" t="s">
        <v>653</v>
      </c>
    </row>
    <row r="278" spans="1:76" ht="13.5" customHeight="1" x14ac:dyDescent="0.25">
      <c r="A278" s="37"/>
      <c r="C278" s="38"/>
      <c r="D278" s="100" t="s">
        <v>654</v>
      </c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9"/>
    </row>
    <row r="279" spans="1:76" x14ac:dyDescent="0.25">
      <c r="A279" s="2" t="s">
        <v>655</v>
      </c>
      <c r="B279" s="3" t="s">
        <v>54</v>
      </c>
      <c r="C279" s="3" t="s">
        <v>656</v>
      </c>
      <c r="D279" s="95" t="s">
        <v>657</v>
      </c>
      <c r="E279" s="96"/>
      <c r="F279" s="3" t="s">
        <v>239</v>
      </c>
      <c r="G279" s="32">
        <v>4</v>
      </c>
      <c r="H279" s="89">
        <v>0</v>
      </c>
      <c r="I279" s="33">
        <v>21</v>
      </c>
      <c r="J279" s="32">
        <f>ROUND(G279*AO279,2)</f>
        <v>0</v>
      </c>
      <c r="K279" s="32">
        <f>ROUND(G279*AP279,2)</f>
        <v>0</v>
      </c>
      <c r="L279" s="32">
        <f>ROUND(G279*H279,2)</f>
        <v>0</v>
      </c>
      <c r="M279" s="32">
        <f>L279*(1+BW279/100)</f>
        <v>0</v>
      </c>
      <c r="N279" s="34">
        <f>IF(L285=0,0,L279/L285)</f>
        <v>0</v>
      </c>
      <c r="O279" s="32">
        <v>0</v>
      </c>
      <c r="P279" s="32">
        <f>G279*O279</f>
        <v>0</v>
      </c>
      <c r="Q279" s="35" t="s">
        <v>54</v>
      </c>
      <c r="Z279" s="32">
        <f>ROUND(IF(AQ279="5",BJ279,0),2)</f>
        <v>0</v>
      </c>
      <c r="AB279" s="32">
        <f>ROUND(IF(AQ279="1",BH279,0),2)</f>
        <v>0</v>
      </c>
      <c r="AC279" s="32">
        <f>ROUND(IF(AQ279="1",BI279,0),2)</f>
        <v>0</v>
      </c>
      <c r="AD279" s="32">
        <f>ROUND(IF(AQ279="7",BH279,0),2)</f>
        <v>0</v>
      </c>
      <c r="AE279" s="32">
        <f>ROUND(IF(AQ279="7",BI279,0),2)</f>
        <v>0</v>
      </c>
      <c r="AF279" s="32">
        <f>ROUND(IF(AQ279="2",BH279,0),2)</f>
        <v>0</v>
      </c>
      <c r="AG279" s="32">
        <f>ROUND(IF(AQ279="2",BI279,0),2)</f>
        <v>0</v>
      </c>
      <c r="AH279" s="32">
        <f>ROUND(IF(AQ279="0",BJ279,0),2)</f>
        <v>0</v>
      </c>
      <c r="AI279" s="12" t="s">
        <v>54</v>
      </c>
      <c r="AJ279" s="32">
        <f>IF(AN279=0,L279,0)</f>
        <v>0</v>
      </c>
      <c r="AK279" s="32">
        <f>IF(AN279=12,L279,0)</f>
        <v>0</v>
      </c>
      <c r="AL279" s="32">
        <f>IF(AN279=21,L279,0)</f>
        <v>0</v>
      </c>
      <c r="AN279" s="32">
        <v>21</v>
      </c>
      <c r="AO279" s="32">
        <f>H279*0</f>
        <v>0</v>
      </c>
      <c r="AP279" s="32">
        <f>H279*(1-0)</f>
        <v>0</v>
      </c>
      <c r="AQ279" s="36" t="s">
        <v>65</v>
      </c>
      <c r="AV279" s="32">
        <f>ROUND(AW279+AX279,2)</f>
        <v>0</v>
      </c>
      <c r="AW279" s="32">
        <f>ROUND(G279*AO279,2)</f>
        <v>0</v>
      </c>
      <c r="AX279" s="32">
        <f>ROUND(G279*AP279,2)</f>
        <v>0</v>
      </c>
      <c r="AY279" s="36" t="s">
        <v>637</v>
      </c>
      <c r="AZ279" s="36" t="s">
        <v>548</v>
      </c>
      <c r="BA279" s="12" t="s">
        <v>63</v>
      </c>
      <c r="BC279" s="32">
        <f>AW279+AX279</f>
        <v>0</v>
      </c>
      <c r="BD279" s="32">
        <f>H279/(100-BE279)*100</f>
        <v>0</v>
      </c>
      <c r="BE279" s="32">
        <v>0</v>
      </c>
      <c r="BF279" s="32">
        <f>P279</f>
        <v>0</v>
      </c>
      <c r="BH279" s="32">
        <f>G279*AO279</f>
        <v>0</v>
      </c>
      <c r="BI279" s="32">
        <f>G279*AP279</f>
        <v>0</v>
      </c>
      <c r="BJ279" s="32">
        <f>G279*H279</f>
        <v>0</v>
      </c>
      <c r="BK279" s="32"/>
      <c r="BL279" s="32"/>
      <c r="BW279" s="32">
        <f>I279</f>
        <v>21</v>
      </c>
      <c r="BX279" s="4" t="s">
        <v>657</v>
      </c>
    </row>
    <row r="280" spans="1:76" ht="13.5" customHeight="1" x14ac:dyDescent="0.25">
      <c r="A280" s="37"/>
      <c r="C280" s="38"/>
      <c r="D280" s="97" t="s">
        <v>735</v>
      </c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9"/>
    </row>
    <row r="281" spans="1:76" x14ac:dyDescent="0.25">
      <c r="A281" s="2" t="s">
        <v>658</v>
      </c>
      <c r="B281" s="3" t="s">
        <v>54</v>
      </c>
      <c r="C281" s="3" t="s">
        <v>243</v>
      </c>
      <c r="D281" s="95" t="s">
        <v>244</v>
      </c>
      <c r="E281" s="96"/>
      <c r="F281" s="3" t="s">
        <v>245</v>
      </c>
      <c r="G281" s="32">
        <v>30</v>
      </c>
      <c r="H281" s="89">
        <v>0</v>
      </c>
      <c r="I281" s="33">
        <v>21</v>
      </c>
      <c r="J281" s="32">
        <f>ROUND(G281*AO281,2)</f>
        <v>0</v>
      </c>
      <c r="K281" s="32">
        <f>ROUND(G281*AP281,2)</f>
        <v>0</v>
      </c>
      <c r="L281" s="32">
        <f>ROUND(G281*H281,2)</f>
        <v>0</v>
      </c>
      <c r="M281" s="32">
        <f>L281*(1+BW281/100)</f>
        <v>0</v>
      </c>
      <c r="N281" s="34">
        <f>IF(L285=0,0,L281/L285)</f>
        <v>0</v>
      </c>
      <c r="O281" s="32">
        <v>0</v>
      </c>
      <c r="P281" s="32">
        <f>G281*O281</f>
        <v>0</v>
      </c>
      <c r="Q281" s="35" t="s">
        <v>61</v>
      </c>
      <c r="Z281" s="32">
        <f>ROUND(IF(AQ281="5",BJ281,0),2)</f>
        <v>0</v>
      </c>
      <c r="AB281" s="32">
        <f>ROUND(IF(AQ281="1",BH281,0),2)</f>
        <v>0</v>
      </c>
      <c r="AC281" s="32">
        <f>ROUND(IF(AQ281="1",BI281,0),2)</f>
        <v>0</v>
      </c>
      <c r="AD281" s="32">
        <f>ROUND(IF(AQ281="7",BH281,0),2)</f>
        <v>0</v>
      </c>
      <c r="AE281" s="32">
        <f>ROUND(IF(AQ281="7",BI281,0),2)</f>
        <v>0</v>
      </c>
      <c r="AF281" s="32">
        <f>ROUND(IF(AQ281="2",BH281,0),2)</f>
        <v>0</v>
      </c>
      <c r="AG281" s="32">
        <f>ROUND(IF(AQ281="2",BI281,0),2)</f>
        <v>0</v>
      </c>
      <c r="AH281" s="32">
        <f>ROUND(IF(AQ281="0",BJ281,0),2)</f>
        <v>0</v>
      </c>
      <c r="AI281" s="12" t="s">
        <v>54</v>
      </c>
      <c r="AJ281" s="32">
        <f>IF(AN281=0,L281,0)</f>
        <v>0</v>
      </c>
      <c r="AK281" s="32">
        <f>IF(AN281=12,L281,0)</f>
        <v>0</v>
      </c>
      <c r="AL281" s="32">
        <f>IF(AN281=21,L281,0)</f>
        <v>0</v>
      </c>
      <c r="AN281" s="32">
        <v>21</v>
      </c>
      <c r="AO281" s="32">
        <f>H281*0.27173913</f>
        <v>0</v>
      </c>
      <c r="AP281" s="32">
        <f>H281*(1-0.27173913)</f>
        <v>0</v>
      </c>
      <c r="AQ281" s="36" t="s">
        <v>57</v>
      </c>
      <c r="AV281" s="32">
        <f>ROUND(AW281+AX281,2)</f>
        <v>0</v>
      </c>
      <c r="AW281" s="32">
        <f>ROUND(G281*AO281,2)</f>
        <v>0</v>
      </c>
      <c r="AX281" s="32">
        <f>ROUND(G281*AP281,2)</f>
        <v>0</v>
      </c>
      <c r="AY281" s="36" t="s">
        <v>637</v>
      </c>
      <c r="AZ281" s="36" t="s">
        <v>548</v>
      </c>
      <c r="BA281" s="12" t="s">
        <v>63</v>
      </c>
      <c r="BC281" s="32">
        <f>AW281+AX281</f>
        <v>0</v>
      </c>
      <c r="BD281" s="32">
        <f>H281/(100-BE281)*100</f>
        <v>0</v>
      </c>
      <c r="BE281" s="32">
        <v>0</v>
      </c>
      <c r="BF281" s="32">
        <f>P281</f>
        <v>0</v>
      </c>
      <c r="BH281" s="32">
        <f>G281*AO281</f>
        <v>0</v>
      </c>
      <c r="BI281" s="32">
        <f>G281*AP281</f>
        <v>0</v>
      </c>
      <c r="BJ281" s="32">
        <f>G281*H281</f>
        <v>0</v>
      </c>
      <c r="BK281" s="32"/>
      <c r="BL281" s="32"/>
      <c r="BW281" s="32">
        <f>I281</f>
        <v>21</v>
      </c>
      <c r="BX281" s="4" t="s">
        <v>244</v>
      </c>
    </row>
    <row r="282" spans="1:76" ht="13.5" customHeight="1" x14ac:dyDescent="0.25">
      <c r="A282" s="37"/>
      <c r="C282" s="38"/>
      <c r="D282" s="100" t="s">
        <v>246</v>
      </c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9"/>
    </row>
    <row r="283" spans="1:76" x14ac:dyDescent="0.25">
      <c r="A283" s="2" t="s">
        <v>659</v>
      </c>
      <c r="B283" s="3" t="s">
        <v>54</v>
      </c>
      <c r="C283" s="3" t="s">
        <v>660</v>
      </c>
      <c r="D283" s="95" t="s">
        <v>661</v>
      </c>
      <c r="E283" s="96"/>
      <c r="F283" s="3" t="s">
        <v>239</v>
      </c>
      <c r="G283" s="32">
        <v>1</v>
      </c>
      <c r="H283" s="89">
        <v>0</v>
      </c>
      <c r="I283" s="33">
        <v>21</v>
      </c>
      <c r="J283" s="32">
        <f>ROUND(G283*AO283,2)</f>
        <v>0</v>
      </c>
      <c r="K283" s="32">
        <f>ROUND(G283*AP283,2)</f>
        <v>0</v>
      </c>
      <c r="L283" s="32">
        <f>ROUND(G283*H283,2)</f>
        <v>0</v>
      </c>
      <c r="M283" s="32">
        <f>L283*(1+BW283/100)</f>
        <v>0</v>
      </c>
      <c r="N283" s="34">
        <f>IF(L285=0,0,L283/L285)</f>
        <v>0</v>
      </c>
      <c r="O283" s="32">
        <v>0</v>
      </c>
      <c r="P283" s="32">
        <f>G283*O283</f>
        <v>0</v>
      </c>
      <c r="Q283" s="35"/>
      <c r="Z283" s="32">
        <f>ROUND(IF(AQ283="5",BJ283,0),2)</f>
        <v>0</v>
      </c>
      <c r="AB283" s="32">
        <f>ROUND(IF(AQ283="1",BH283,0),2)</f>
        <v>0</v>
      </c>
      <c r="AC283" s="32">
        <f>ROUND(IF(AQ283="1",BI283,0),2)</f>
        <v>0</v>
      </c>
      <c r="AD283" s="32">
        <f>ROUND(IF(AQ283="7",BH283,0),2)</f>
        <v>0</v>
      </c>
      <c r="AE283" s="32">
        <f>ROUND(IF(AQ283="7",BI283,0),2)</f>
        <v>0</v>
      </c>
      <c r="AF283" s="32">
        <f>ROUND(IF(AQ283="2",BH283,0),2)</f>
        <v>0</v>
      </c>
      <c r="AG283" s="32">
        <f>ROUND(IF(AQ283="2",BI283,0),2)</f>
        <v>0</v>
      </c>
      <c r="AH283" s="32">
        <f>ROUND(IF(AQ283="0",BJ283,0),2)</f>
        <v>0</v>
      </c>
      <c r="AI283" s="12" t="s">
        <v>54</v>
      </c>
      <c r="AJ283" s="32">
        <f>IF(AN283=0,L283,0)</f>
        <v>0</v>
      </c>
      <c r="AK283" s="32">
        <f>IF(AN283=12,L283,0)</f>
        <v>0</v>
      </c>
      <c r="AL283" s="32">
        <f>IF(AN283=21,L283,0)</f>
        <v>0</v>
      </c>
      <c r="AN283" s="32">
        <v>21</v>
      </c>
      <c r="AO283" s="32">
        <f>H283*0.743809524</f>
        <v>0</v>
      </c>
      <c r="AP283" s="32">
        <f>H283*(1-0.743809524)</f>
        <v>0</v>
      </c>
      <c r="AQ283" s="36" t="s">
        <v>79</v>
      </c>
      <c r="AV283" s="32">
        <f>ROUND(AW283+AX283,2)</f>
        <v>0</v>
      </c>
      <c r="AW283" s="32">
        <f>ROUND(G283*AO283,2)</f>
        <v>0</v>
      </c>
      <c r="AX283" s="32">
        <f>ROUND(G283*AP283,2)</f>
        <v>0</v>
      </c>
      <c r="AY283" s="36" t="s">
        <v>637</v>
      </c>
      <c r="AZ283" s="36" t="s">
        <v>548</v>
      </c>
      <c r="BA283" s="12" t="s">
        <v>63</v>
      </c>
      <c r="BC283" s="32">
        <f>AW283+AX283</f>
        <v>0</v>
      </c>
      <c r="BD283" s="32">
        <f>H283/(100-BE283)*100</f>
        <v>0</v>
      </c>
      <c r="BE283" s="32">
        <v>0</v>
      </c>
      <c r="BF283" s="32">
        <f>P283</f>
        <v>0</v>
      </c>
      <c r="BH283" s="32">
        <f>G283*AO283</f>
        <v>0</v>
      </c>
      <c r="BI283" s="32">
        <f>G283*AP283</f>
        <v>0</v>
      </c>
      <c r="BJ283" s="32">
        <f>G283*H283</f>
        <v>0</v>
      </c>
      <c r="BK283" s="32"/>
      <c r="BL283" s="32"/>
      <c r="BW283" s="32">
        <f>I283</f>
        <v>21</v>
      </c>
      <c r="BX283" s="4" t="s">
        <v>661</v>
      </c>
    </row>
    <row r="284" spans="1:76" x14ac:dyDescent="0.25">
      <c r="A284" s="45" t="s">
        <v>662</v>
      </c>
      <c r="B284" s="46" t="s">
        <v>54</v>
      </c>
      <c r="C284" s="46" t="s">
        <v>663</v>
      </c>
      <c r="D284" s="92" t="s">
        <v>664</v>
      </c>
      <c r="E284" s="93"/>
      <c r="F284" s="46" t="s">
        <v>60</v>
      </c>
      <c r="G284" s="47">
        <v>1</v>
      </c>
      <c r="H284" s="90">
        <v>0</v>
      </c>
      <c r="I284" s="48">
        <v>21</v>
      </c>
      <c r="J284" s="47">
        <f>ROUND(G284*AO284,2)</f>
        <v>0</v>
      </c>
      <c r="K284" s="47">
        <f>ROUND(G284*AP284,2)</f>
        <v>0</v>
      </c>
      <c r="L284" s="47">
        <f>ROUND(G284*H284,2)</f>
        <v>0</v>
      </c>
      <c r="M284" s="47">
        <f>L284*(1+BW284/100)</f>
        <v>0</v>
      </c>
      <c r="N284" s="49">
        <f>IF(L285=0,0,L284/L285)</f>
        <v>0</v>
      </c>
      <c r="O284" s="47">
        <v>0</v>
      </c>
      <c r="P284" s="47">
        <f>G284*O284</f>
        <v>0</v>
      </c>
      <c r="Q284" s="50"/>
      <c r="Z284" s="32">
        <f>ROUND(IF(AQ284="5",BJ284,0),2)</f>
        <v>0</v>
      </c>
      <c r="AB284" s="32">
        <f>ROUND(IF(AQ284="1",BH284,0),2)</f>
        <v>0</v>
      </c>
      <c r="AC284" s="32">
        <f>ROUND(IF(AQ284="1",BI284,0),2)</f>
        <v>0</v>
      </c>
      <c r="AD284" s="32">
        <f>ROUND(IF(AQ284="7",BH284,0),2)</f>
        <v>0</v>
      </c>
      <c r="AE284" s="32">
        <f>ROUND(IF(AQ284="7",BI284,0),2)</f>
        <v>0</v>
      </c>
      <c r="AF284" s="32">
        <f>ROUND(IF(AQ284="2",BH284,0),2)</f>
        <v>0</v>
      </c>
      <c r="AG284" s="32">
        <f>ROUND(IF(AQ284="2",BI284,0),2)</f>
        <v>0</v>
      </c>
      <c r="AH284" s="32">
        <f>ROUND(IF(AQ284="0",BJ284,0),2)</f>
        <v>0</v>
      </c>
      <c r="AI284" s="12" t="s">
        <v>54</v>
      </c>
      <c r="AJ284" s="32">
        <f>IF(AN284=0,L284,0)</f>
        <v>0</v>
      </c>
      <c r="AK284" s="32">
        <f>IF(AN284=12,L284,0)</f>
        <v>0</v>
      </c>
      <c r="AL284" s="32">
        <f>IF(AN284=21,L284,0)</f>
        <v>0</v>
      </c>
      <c r="AN284" s="32">
        <v>21</v>
      </c>
      <c r="AO284" s="32">
        <f>H284*0</f>
        <v>0</v>
      </c>
      <c r="AP284" s="32">
        <f>H284*(1-0)</f>
        <v>0</v>
      </c>
      <c r="AQ284" s="36" t="s">
        <v>65</v>
      </c>
      <c r="AV284" s="32">
        <f>ROUND(AW284+AX284,2)</f>
        <v>0</v>
      </c>
      <c r="AW284" s="32">
        <f>ROUND(G284*AO284,2)</f>
        <v>0</v>
      </c>
      <c r="AX284" s="32">
        <f>ROUND(G284*AP284,2)</f>
        <v>0</v>
      </c>
      <c r="AY284" s="36" t="s">
        <v>637</v>
      </c>
      <c r="AZ284" s="36" t="s">
        <v>548</v>
      </c>
      <c r="BA284" s="12" t="s">
        <v>63</v>
      </c>
      <c r="BC284" s="32">
        <f>AW284+AX284</f>
        <v>0</v>
      </c>
      <c r="BD284" s="32">
        <f>H284/(100-BE284)*100</f>
        <v>0</v>
      </c>
      <c r="BE284" s="32">
        <v>0</v>
      </c>
      <c r="BF284" s="32">
        <f>P284</f>
        <v>0</v>
      </c>
      <c r="BH284" s="32">
        <f>G284*AO284</f>
        <v>0</v>
      </c>
      <c r="BI284" s="32">
        <f>G284*AP284</f>
        <v>0</v>
      </c>
      <c r="BJ284" s="32">
        <f>G284*H284</f>
        <v>0</v>
      </c>
      <c r="BK284" s="32"/>
      <c r="BL284" s="32"/>
      <c r="BW284" s="32">
        <f>I284</f>
        <v>21</v>
      </c>
      <c r="BX284" s="4" t="s">
        <v>664</v>
      </c>
    </row>
    <row r="285" spans="1:76" x14ac:dyDescent="0.25">
      <c r="J285" s="94" t="s">
        <v>665</v>
      </c>
      <c r="K285" s="94"/>
      <c r="L285" s="52">
        <f>ROUND(L12+L19+L35+L46+L50+L96+L139+L180+L183+L203+L221+L225+L233+L243+L268+L270,2)</f>
        <v>0</v>
      </c>
      <c r="M285" s="52">
        <f>ROUND(M12+M19+M35+M46+M50+M96+M139+M180+M183+M203+M221+M225+M233+M243+M268+M270,2)</f>
        <v>0</v>
      </c>
    </row>
    <row r="286" spans="1:76" x14ac:dyDescent="0.25">
      <c r="A286" s="91" t="s">
        <v>531</v>
      </c>
    </row>
    <row r="287" spans="1:76" ht="27" customHeight="1" x14ac:dyDescent="0.25">
      <c r="A287" s="95" t="s">
        <v>666</v>
      </c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</row>
  </sheetData>
  <mergeCells count="304">
    <mergeCell ref="A1:Q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Q3"/>
    <mergeCell ref="J4:Q5"/>
    <mergeCell ref="J6:Q7"/>
    <mergeCell ref="J8:Q9"/>
    <mergeCell ref="D10:E10"/>
    <mergeCell ref="D8:E9"/>
    <mergeCell ref="H2:H3"/>
    <mergeCell ref="H4:H5"/>
    <mergeCell ref="H6:H7"/>
    <mergeCell ref="H8:H9"/>
    <mergeCell ref="D14:Q14"/>
    <mergeCell ref="D15:E15"/>
    <mergeCell ref="D16:Q16"/>
    <mergeCell ref="D17:E17"/>
    <mergeCell ref="D18:Q18"/>
    <mergeCell ref="D11:E11"/>
    <mergeCell ref="J10:L10"/>
    <mergeCell ref="O10:P10"/>
    <mergeCell ref="D12:E12"/>
    <mergeCell ref="D13:E13"/>
    <mergeCell ref="D24:E24"/>
    <mergeCell ref="D25:Q25"/>
    <mergeCell ref="D26:E26"/>
    <mergeCell ref="D27:E27"/>
    <mergeCell ref="D28:Q28"/>
    <mergeCell ref="D19:E19"/>
    <mergeCell ref="D20:E20"/>
    <mergeCell ref="D21:Q21"/>
    <mergeCell ref="D22:E22"/>
    <mergeCell ref="D23:Q23"/>
    <mergeCell ref="D34:Q34"/>
    <mergeCell ref="D35:E35"/>
    <mergeCell ref="D36:E36"/>
    <mergeCell ref="D37:Q37"/>
    <mergeCell ref="D38:E38"/>
    <mergeCell ref="D29:E29"/>
    <mergeCell ref="D30:Q30"/>
    <mergeCell ref="D31:E31"/>
    <mergeCell ref="D32:Q32"/>
    <mergeCell ref="D33:E33"/>
    <mergeCell ref="D44:E44"/>
    <mergeCell ref="D45:Q45"/>
    <mergeCell ref="D46:E46"/>
    <mergeCell ref="D47:E47"/>
    <mergeCell ref="D48:Q48"/>
    <mergeCell ref="D39:Q39"/>
    <mergeCell ref="D40:E40"/>
    <mergeCell ref="D41:Q41"/>
    <mergeCell ref="D42:E42"/>
    <mergeCell ref="D43:Q43"/>
    <mergeCell ref="D54:Q54"/>
    <mergeCell ref="D55:E55"/>
    <mergeCell ref="D56:Q56"/>
    <mergeCell ref="D57:E57"/>
    <mergeCell ref="D58:E58"/>
    <mergeCell ref="D49:E49"/>
    <mergeCell ref="D50:E50"/>
    <mergeCell ref="D51:E51"/>
    <mergeCell ref="D52:Q52"/>
    <mergeCell ref="D53:E5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84:Q84"/>
    <mergeCell ref="D85:E85"/>
    <mergeCell ref="D86:Q86"/>
    <mergeCell ref="D87:E87"/>
    <mergeCell ref="D88:E88"/>
    <mergeCell ref="D79:E79"/>
    <mergeCell ref="D80:Q80"/>
    <mergeCell ref="D81:E81"/>
    <mergeCell ref="D82:Q82"/>
    <mergeCell ref="D83:E83"/>
    <mergeCell ref="D94:Q94"/>
    <mergeCell ref="D95:E95"/>
    <mergeCell ref="D96:E96"/>
    <mergeCell ref="D97:E97"/>
    <mergeCell ref="D98:Q98"/>
    <mergeCell ref="D89:E89"/>
    <mergeCell ref="D90:E90"/>
    <mergeCell ref="D91:E91"/>
    <mergeCell ref="D92:Q92"/>
    <mergeCell ref="D93:E93"/>
    <mergeCell ref="D104:E104"/>
    <mergeCell ref="D105:Q105"/>
    <mergeCell ref="D106:E106"/>
    <mergeCell ref="D107:E107"/>
    <mergeCell ref="D108:Q108"/>
    <mergeCell ref="D99:E99"/>
    <mergeCell ref="D100:Q100"/>
    <mergeCell ref="D101:E101"/>
    <mergeCell ref="D102:E102"/>
    <mergeCell ref="D103:Q103"/>
    <mergeCell ref="D114:Q114"/>
    <mergeCell ref="D115:E115"/>
    <mergeCell ref="D116:Q116"/>
    <mergeCell ref="D117:E117"/>
    <mergeCell ref="D118:Q118"/>
    <mergeCell ref="D109:E109"/>
    <mergeCell ref="D110:Q110"/>
    <mergeCell ref="D111:E111"/>
    <mergeCell ref="D112:Q112"/>
    <mergeCell ref="D113:E113"/>
    <mergeCell ref="D124:E124"/>
    <mergeCell ref="D125:E125"/>
    <mergeCell ref="D126:E126"/>
    <mergeCell ref="D127:E127"/>
    <mergeCell ref="D119:E119"/>
    <mergeCell ref="D120:E120"/>
    <mergeCell ref="D121:E121"/>
    <mergeCell ref="D122:E122"/>
    <mergeCell ref="D123:E123"/>
    <mergeCell ref="D132:E132"/>
    <mergeCell ref="D133:E133"/>
    <mergeCell ref="D134:E134"/>
    <mergeCell ref="D135:Q135"/>
    <mergeCell ref="D136:E136"/>
    <mergeCell ref="D128:E128"/>
    <mergeCell ref="D129:E129"/>
    <mergeCell ref="D130:E130"/>
    <mergeCell ref="D131:Q131"/>
    <mergeCell ref="D142:Q142"/>
    <mergeCell ref="D143:E143"/>
    <mergeCell ref="D144:E144"/>
    <mergeCell ref="D145:E145"/>
    <mergeCell ref="D146:E146"/>
    <mergeCell ref="D137:Q137"/>
    <mergeCell ref="D138:E138"/>
    <mergeCell ref="D139:E139"/>
    <mergeCell ref="D140:E140"/>
    <mergeCell ref="D141:E141"/>
    <mergeCell ref="D152:E152"/>
    <mergeCell ref="D153:E153"/>
    <mergeCell ref="D154:Q154"/>
    <mergeCell ref="D155:E155"/>
    <mergeCell ref="D156:E156"/>
    <mergeCell ref="D147:E147"/>
    <mergeCell ref="D148:E148"/>
    <mergeCell ref="D149:E149"/>
    <mergeCell ref="D150:Q150"/>
    <mergeCell ref="D151:E151"/>
    <mergeCell ref="D162:E162"/>
    <mergeCell ref="D163:Q163"/>
    <mergeCell ref="D164:E164"/>
    <mergeCell ref="D165:Q165"/>
    <mergeCell ref="D166:E166"/>
    <mergeCell ref="D157:E157"/>
    <mergeCell ref="D158:E158"/>
    <mergeCell ref="D159:Q159"/>
    <mergeCell ref="D160:E160"/>
    <mergeCell ref="D161:E161"/>
    <mergeCell ref="D172:Q172"/>
    <mergeCell ref="D173:E173"/>
    <mergeCell ref="D174:E174"/>
    <mergeCell ref="D175:Q175"/>
    <mergeCell ref="D176:E176"/>
    <mergeCell ref="D167:Q167"/>
    <mergeCell ref="D168:E168"/>
    <mergeCell ref="D169:E169"/>
    <mergeCell ref="D170:E170"/>
    <mergeCell ref="D171:E171"/>
    <mergeCell ref="D182:Q182"/>
    <mergeCell ref="D183:E183"/>
    <mergeCell ref="D184:E184"/>
    <mergeCell ref="D185:Q185"/>
    <mergeCell ref="D186:E186"/>
    <mergeCell ref="D177:E177"/>
    <mergeCell ref="D178:E178"/>
    <mergeCell ref="D179:E179"/>
    <mergeCell ref="D180:E180"/>
    <mergeCell ref="D181:E181"/>
    <mergeCell ref="D192:E192"/>
    <mergeCell ref="D193:Q193"/>
    <mergeCell ref="D194:E194"/>
    <mergeCell ref="D195:Q195"/>
    <mergeCell ref="D196:E196"/>
    <mergeCell ref="D187:Q187"/>
    <mergeCell ref="D188:E188"/>
    <mergeCell ref="D189:Q189"/>
    <mergeCell ref="D190:E190"/>
    <mergeCell ref="D191:Q191"/>
    <mergeCell ref="D202:E202"/>
    <mergeCell ref="D203:E203"/>
    <mergeCell ref="D204:E204"/>
    <mergeCell ref="D205:E205"/>
    <mergeCell ref="D206:Q206"/>
    <mergeCell ref="D197:Q197"/>
    <mergeCell ref="D198:E198"/>
    <mergeCell ref="D199:Q199"/>
    <mergeCell ref="D200:E200"/>
    <mergeCell ref="D201:E201"/>
    <mergeCell ref="D212:E212"/>
    <mergeCell ref="D213:Q213"/>
    <mergeCell ref="D214:E214"/>
    <mergeCell ref="D215:Q215"/>
    <mergeCell ref="D216:E216"/>
    <mergeCell ref="D207:E207"/>
    <mergeCell ref="D208:E208"/>
    <mergeCell ref="D209:E209"/>
    <mergeCell ref="D210:Q210"/>
    <mergeCell ref="D211:E211"/>
    <mergeCell ref="D222:E222"/>
    <mergeCell ref="D223:E223"/>
    <mergeCell ref="D224:Q224"/>
    <mergeCell ref="D225:E225"/>
    <mergeCell ref="D226:E226"/>
    <mergeCell ref="D217:Q217"/>
    <mergeCell ref="D218:E218"/>
    <mergeCell ref="D219:Q219"/>
    <mergeCell ref="D220:E220"/>
    <mergeCell ref="D221:E221"/>
    <mergeCell ref="D231:E231"/>
    <mergeCell ref="D232:Q232"/>
    <mergeCell ref="D233:E233"/>
    <mergeCell ref="D234:E234"/>
    <mergeCell ref="D235:E235"/>
    <mergeCell ref="D227:Q227"/>
    <mergeCell ref="D228:E228"/>
    <mergeCell ref="D229:E229"/>
    <mergeCell ref="D230:Q230"/>
    <mergeCell ref="D241:E241"/>
    <mergeCell ref="D242:Q242"/>
    <mergeCell ref="D243:E243"/>
    <mergeCell ref="D244:E244"/>
    <mergeCell ref="D245:E245"/>
    <mergeCell ref="D236:E236"/>
    <mergeCell ref="D237:E237"/>
    <mergeCell ref="D238:Q238"/>
    <mergeCell ref="D239:E239"/>
    <mergeCell ref="D240:Q240"/>
    <mergeCell ref="D251:E251"/>
    <mergeCell ref="D252:Q252"/>
    <mergeCell ref="D253:E253"/>
    <mergeCell ref="D254:Q254"/>
    <mergeCell ref="D246:E246"/>
    <mergeCell ref="D247:E247"/>
    <mergeCell ref="D248:E248"/>
    <mergeCell ref="D249:E249"/>
    <mergeCell ref="D250:E250"/>
    <mergeCell ref="D260:Q260"/>
    <mergeCell ref="D261:E261"/>
    <mergeCell ref="D262:Q262"/>
    <mergeCell ref="D263:E263"/>
    <mergeCell ref="D264:E264"/>
    <mergeCell ref="D255:E255"/>
    <mergeCell ref="D256:E256"/>
    <mergeCell ref="D257:E257"/>
    <mergeCell ref="D258:Q258"/>
    <mergeCell ref="D259:E259"/>
    <mergeCell ref="D270:E270"/>
    <mergeCell ref="D271:E271"/>
    <mergeCell ref="D272:E272"/>
    <mergeCell ref="D273:E273"/>
    <mergeCell ref="D274:E274"/>
    <mergeCell ref="D265:E265"/>
    <mergeCell ref="D266:E266"/>
    <mergeCell ref="D267:Q267"/>
    <mergeCell ref="D268:E268"/>
    <mergeCell ref="D269:E269"/>
    <mergeCell ref="D284:E284"/>
    <mergeCell ref="J285:K285"/>
    <mergeCell ref="A287:Q287"/>
    <mergeCell ref="D279:E279"/>
    <mergeCell ref="D280:Q280"/>
    <mergeCell ref="D281:E281"/>
    <mergeCell ref="D282:Q282"/>
    <mergeCell ref="D283:E283"/>
    <mergeCell ref="D275:Q275"/>
    <mergeCell ref="D276:E276"/>
    <mergeCell ref="D277:E277"/>
    <mergeCell ref="D278:Q278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workbookViewId="0">
      <pane ySplit="11" topLeftCell="A12" activePane="bottomLeft" state="frozen"/>
      <selection pane="bottomLeft" activeCell="E2" sqref="E2:E3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27.85546875" customWidth="1"/>
    <col min="7" max="7" width="37.140625" customWidth="1"/>
    <col min="8" max="9" width="0" hidden="1" customWidth="1"/>
  </cols>
  <sheetData>
    <row r="1" spans="1:9" ht="54.75" customHeight="1" x14ac:dyDescent="0.25">
      <c r="A1" s="126" t="s">
        <v>667</v>
      </c>
      <c r="B1" s="126"/>
      <c r="C1" s="126"/>
      <c r="D1" s="126"/>
      <c r="E1" s="126"/>
      <c r="F1" s="126"/>
      <c r="G1" s="126"/>
    </row>
    <row r="2" spans="1:9" x14ac:dyDescent="0.25">
      <c r="A2" s="127" t="s">
        <v>1</v>
      </c>
      <c r="B2" s="113"/>
      <c r="C2" s="131" t="str">
        <f>'Stavební rozpočet'!D2</f>
        <v>Stavební úpravy objektu 2. MŠ Stochov</v>
      </c>
      <c r="D2" s="113" t="s">
        <v>732</v>
      </c>
      <c r="E2" s="123"/>
      <c r="F2" s="112" t="s">
        <v>3</v>
      </c>
      <c r="G2" s="134" t="str">
        <f>'Stavební rozpočet'!J2</f>
        <v>Město Stochov</v>
      </c>
    </row>
    <row r="3" spans="1:9" ht="15" customHeight="1" x14ac:dyDescent="0.25">
      <c r="A3" s="128"/>
      <c r="B3" s="96"/>
      <c r="C3" s="133"/>
      <c r="D3" s="96"/>
      <c r="E3" s="116"/>
      <c r="F3" s="96"/>
      <c r="G3" s="115"/>
    </row>
    <row r="4" spans="1:9" x14ac:dyDescent="0.25">
      <c r="A4" s="129" t="s">
        <v>5</v>
      </c>
      <c r="B4" s="96"/>
      <c r="C4" s="95" t="str">
        <f>'Stavební rozpočet'!D4</f>
        <v>Rekonstrukce soc. zázemí a rozvodů TZB v 1.PP až 3.NP</v>
      </c>
      <c r="D4" s="96" t="s">
        <v>6</v>
      </c>
      <c r="E4" s="96" t="s">
        <v>7</v>
      </c>
      <c r="F4" s="95" t="s">
        <v>8</v>
      </c>
      <c r="G4" s="135" t="str">
        <f>'Stavební rozpočet'!J4</f>
        <v>ARIPROS s.r.o.</v>
      </c>
    </row>
    <row r="5" spans="1:9" ht="15" customHeight="1" x14ac:dyDescent="0.25">
      <c r="A5" s="128"/>
      <c r="B5" s="96"/>
      <c r="C5" s="96"/>
      <c r="D5" s="96"/>
      <c r="E5" s="96"/>
      <c r="F5" s="96"/>
      <c r="G5" s="115"/>
    </row>
    <row r="6" spans="1:9" x14ac:dyDescent="0.25">
      <c r="A6" s="129" t="s">
        <v>10</v>
      </c>
      <c r="B6" s="96"/>
      <c r="C6" s="95" t="str">
        <f>'Stavební rozpočet'!D6</f>
        <v>Jaroslava Šípka 347, 273 03 Stochov</v>
      </c>
      <c r="D6" s="96" t="s">
        <v>12</v>
      </c>
      <c r="E6" s="96"/>
      <c r="F6" s="95" t="s">
        <v>13</v>
      </c>
      <c r="G6" s="136" t="str">
        <f>'Stavební rozpočet'!J6</f>
        <v>Dle výběrového řízení</v>
      </c>
    </row>
    <row r="7" spans="1:9" ht="15" customHeight="1" x14ac:dyDescent="0.25">
      <c r="A7" s="128"/>
      <c r="B7" s="96"/>
      <c r="C7" s="96"/>
      <c r="D7" s="96"/>
      <c r="E7" s="96"/>
      <c r="F7" s="96"/>
      <c r="G7" s="117"/>
    </row>
    <row r="8" spans="1:9" x14ac:dyDescent="0.25">
      <c r="A8" s="129" t="s">
        <v>18</v>
      </c>
      <c r="B8" s="96"/>
      <c r="C8" s="138" t="str">
        <f>'Stavební rozpočet'!J8</f>
        <v> ARIPROS s.r.o.</v>
      </c>
      <c r="D8" s="96" t="s">
        <v>17</v>
      </c>
      <c r="E8" s="125">
        <v>45717</v>
      </c>
      <c r="F8" s="96"/>
      <c r="G8" s="135"/>
    </row>
    <row r="9" spans="1:9" x14ac:dyDescent="0.25">
      <c r="A9" s="130"/>
      <c r="B9" s="122"/>
      <c r="C9" s="118"/>
      <c r="D9" s="122"/>
      <c r="E9" s="118"/>
      <c r="F9" s="122"/>
      <c r="G9" s="137"/>
    </row>
    <row r="10" spans="1:9" x14ac:dyDescent="0.25">
      <c r="A10" s="53" t="s">
        <v>20</v>
      </c>
      <c r="B10" s="54" t="s">
        <v>21</v>
      </c>
      <c r="C10" s="55" t="s">
        <v>668</v>
      </c>
      <c r="D10" s="56" t="s">
        <v>669</v>
      </c>
      <c r="E10" s="56" t="s">
        <v>670</v>
      </c>
      <c r="F10" s="56" t="s">
        <v>671</v>
      </c>
      <c r="G10" s="57" t="s">
        <v>672</v>
      </c>
    </row>
    <row r="11" spans="1:9" x14ac:dyDescent="0.25">
      <c r="A11" s="58" t="s">
        <v>54</v>
      </c>
      <c r="B11" s="59" t="s">
        <v>55</v>
      </c>
      <c r="C11" s="59" t="s">
        <v>56</v>
      </c>
      <c r="D11" s="60">
        <f>ROUND('Stavební rozpočet'!J12,2)</f>
        <v>0</v>
      </c>
      <c r="E11" s="60">
        <f>ROUND('Stavební rozpočet'!K12,2)</f>
        <v>0</v>
      </c>
      <c r="F11" s="60">
        <f>ROUND('Stavební rozpočet'!L12,2)</f>
        <v>0</v>
      </c>
      <c r="G11" s="61">
        <f>'Stavební rozpočet'!P12</f>
        <v>0.44852999999999998</v>
      </c>
      <c r="H11" s="62" t="s">
        <v>673</v>
      </c>
      <c r="I11" s="32">
        <f t="shared" ref="I11:I26" si="0">IF(H11="F",0,F11)</f>
        <v>0</v>
      </c>
    </row>
    <row r="12" spans="1:9" x14ac:dyDescent="0.25">
      <c r="A12" s="2" t="s">
        <v>54</v>
      </c>
      <c r="B12" s="3" t="s">
        <v>70</v>
      </c>
      <c r="C12" s="3" t="s">
        <v>71</v>
      </c>
      <c r="D12" s="32">
        <f>ROUND('Stavební rozpočet'!J19,2)</f>
        <v>0</v>
      </c>
      <c r="E12" s="32">
        <f>ROUND('Stavební rozpočet'!K19,2)</f>
        <v>0</v>
      </c>
      <c r="F12" s="32">
        <f>ROUND('Stavební rozpočet'!L19,2)</f>
        <v>0</v>
      </c>
      <c r="G12" s="63">
        <f>'Stavební rozpočet'!P19</f>
        <v>9.5683512000000022</v>
      </c>
      <c r="H12" s="62" t="s">
        <v>673</v>
      </c>
      <c r="I12" s="32">
        <f t="shared" si="0"/>
        <v>0</v>
      </c>
    </row>
    <row r="13" spans="1:9" x14ac:dyDescent="0.25">
      <c r="A13" s="2" t="s">
        <v>54</v>
      </c>
      <c r="B13" s="3" t="s">
        <v>107</v>
      </c>
      <c r="C13" s="3" t="s">
        <v>108</v>
      </c>
      <c r="D13" s="32">
        <f>ROUND('Stavební rozpočet'!J35,2)</f>
        <v>0</v>
      </c>
      <c r="E13" s="32">
        <f>ROUND('Stavební rozpočet'!K35,2)</f>
        <v>0</v>
      </c>
      <c r="F13" s="32">
        <f>ROUND('Stavební rozpočet'!L35,2)</f>
        <v>0</v>
      </c>
      <c r="G13" s="63">
        <f>'Stavební rozpočet'!P35</f>
        <v>7.8238091599999997</v>
      </c>
      <c r="H13" s="62" t="s">
        <v>673</v>
      </c>
      <c r="I13" s="32">
        <f t="shared" si="0"/>
        <v>0</v>
      </c>
    </row>
    <row r="14" spans="1:9" x14ac:dyDescent="0.25">
      <c r="A14" s="2" t="s">
        <v>54</v>
      </c>
      <c r="B14" s="3" t="s">
        <v>129</v>
      </c>
      <c r="C14" s="3" t="s">
        <v>130</v>
      </c>
      <c r="D14" s="32">
        <f>ROUND('Stavební rozpočet'!J46,2)</f>
        <v>0</v>
      </c>
      <c r="E14" s="32">
        <f>ROUND('Stavební rozpočet'!K46,2)</f>
        <v>0</v>
      </c>
      <c r="F14" s="32">
        <f>ROUND('Stavební rozpočet'!L46,2)</f>
        <v>0</v>
      </c>
      <c r="G14" s="63">
        <f>'Stavební rozpočet'!P46</f>
        <v>11.696339199999999</v>
      </c>
      <c r="H14" s="62" t="s">
        <v>673</v>
      </c>
      <c r="I14" s="32">
        <f t="shared" si="0"/>
        <v>0</v>
      </c>
    </row>
    <row r="15" spans="1:9" x14ac:dyDescent="0.25">
      <c r="A15" s="2" t="s">
        <v>54</v>
      </c>
      <c r="B15" s="3" t="s">
        <v>138</v>
      </c>
      <c r="C15" s="3" t="s">
        <v>139</v>
      </c>
      <c r="D15" s="32">
        <f>ROUND('Stavební rozpočet'!J50,2)</f>
        <v>0</v>
      </c>
      <c r="E15" s="32">
        <f>ROUND('Stavební rozpočet'!K50,2)</f>
        <v>0</v>
      </c>
      <c r="F15" s="32">
        <f>ROUND('Stavební rozpočet'!L50,2)</f>
        <v>0</v>
      </c>
      <c r="G15" s="63">
        <f>'Stavební rozpočet'!P50</f>
        <v>0.16498200000000005</v>
      </c>
      <c r="H15" s="62" t="s">
        <v>673</v>
      </c>
      <c r="I15" s="32">
        <f t="shared" si="0"/>
        <v>0</v>
      </c>
    </row>
    <row r="16" spans="1:9" x14ac:dyDescent="0.25">
      <c r="A16" s="2" t="s">
        <v>54</v>
      </c>
      <c r="B16" s="3" t="s">
        <v>253</v>
      </c>
      <c r="C16" s="3" t="s">
        <v>254</v>
      </c>
      <c r="D16" s="32">
        <f>ROUND('Stavební rozpočet'!J96,2)</f>
        <v>0</v>
      </c>
      <c r="E16" s="32">
        <f>ROUND('Stavební rozpočet'!K96,2)</f>
        <v>0</v>
      </c>
      <c r="F16" s="32">
        <f>ROUND('Stavební rozpočet'!L96,2)</f>
        <v>0</v>
      </c>
      <c r="G16" s="63">
        <f>'Stavební rozpočet'!P96</f>
        <v>0.280918</v>
      </c>
      <c r="H16" s="62" t="s">
        <v>673</v>
      </c>
      <c r="I16" s="32">
        <f t="shared" si="0"/>
        <v>0</v>
      </c>
    </row>
    <row r="17" spans="1:9" x14ac:dyDescent="0.25">
      <c r="A17" s="2" t="s">
        <v>54</v>
      </c>
      <c r="B17" s="3" t="s">
        <v>335</v>
      </c>
      <c r="C17" s="3" t="s">
        <v>336</v>
      </c>
      <c r="D17" s="32">
        <f>ROUND('Stavební rozpočet'!J139,2)</f>
        <v>0</v>
      </c>
      <c r="E17" s="32">
        <f>ROUND('Stavební rozpočet'!K139,2)</f>
        <v>0</v>
      </c>
      <c r="F17" s="32">
        <f>ROUND('Stavební rozpočet'!L139,2)</f>
        <v>0</v>
      </c>
      <c r="G17" s="63">
        <f>'Stavební rozpočet'!P139</f>
        <v>2.0190799999999998</v>
      </c>
      <c r="H17" s="62" t="s">
        <v>673</v>
      </c>
      <c r="I17" s="32">
        <f t="shared" si="0"/>
        <v>0</v>
      </c>
    </row>
    <row r="18" spans="1:9" x14ac:dyDescent="0.25">
      <c r="A18" s="2" t="s">
        <v>54</v>
      </c>
      <c r="B18" s="3" t="s">
        <v>430</v>
      </c>
      <c r="C18" s="3" t="s">
        <v>431</v>
      </c>
      <c r="D18" s="32">
        <f>ROUND('Stavební rozpočet'!J180,2)</f>
        <v>0</v>
      </c>
      <c r="E18" s="32">
        <f>ROUND('Stavební rozpočet'!K180,2)</f>
        <v>0</v>
      </c>
      <c r="F18" s="32">
        <f>ROUND('Stavební rozpočet'!L180,2)</f>
        <v>0</v>
      </c>
      <c r="G18" s="63">
        <f>'Stavební rozpočet'!P180</f>
        <v>0</v>
      </c>
      <c r="H18" s="62" t="s">
        <v>673</v>
      </c>
      <c r="I18" s="32">
        <f t="shared" si="0"/>
        <v>0</v>
      </c>
    </row>
    <row r="19" spans="1:9" x14ac:dyDescent="0.25">
      <c r="A19" s="2" t="s">
        <v>54</v>
      </c>
      <c r="B19" s="3" t="s">
        <v>437</v>
      </c>
      <c r="C19" s="3" t="s">
        <v>438</v>
      </c>
      <c r="D19" s="32">
        <f>ROUND('Stavební rozpočet'!J183,2)</f>
        <v>0</v>
      </c>
      <c r="E19" s="32">
        <f>ROUND('Stavební rozpočet'!K183,2)</f>
        <v>0</v>
      </c>
      <c r="F19" s="32">
        <f>ROUND('Stavební rozpočet'!L183,2)</f>
        <v>0</v>
      </c>
      <c r="G19" s="63">
        <f>'Stavební rozpočet'!P183</f>
        <v>9.5899999999999999E-2</v>
      </c>
      <c r="H19" s="62" t="s">
        <v>673</v>
      </c>
      <c r="I19" s="32">
        <f t="shared" si="0"/>
        <v>0</v>
      </c>
    </row>
    <row r="20" spans="1:9" x14ac:dyDescent="0.25">
      <c r="A20" s="2" t="s">
        <v>54</v>
      </c>
      <c r="B20" s="3" t="s">
        <v>476</v>
      </c>
      <c r="C20" s="3" t="s">
        <v>477</v>
      </c>
      <c r="D20" s="32">
        <f>ROUND('Stavební rozpočet'!J203,2)</f>
        <v>0</v>
      </c>
      <c r="E20" s="32">
        <f>ROUND('Stavební rozpočet'!K203,2)</f>
        <v>0</v>
      </c>
      <c r="F20" s="32">
        <f>ROUND('Stavební rozpočet'!L203,2)</f>
        <v>0</v>
      </c>
      <c r="G20" s="63">
        <f>'Stavební rozpočet'!P203</f>
        <v>0.11188000000000001</v>
      </c>
      <c r="H20" s="62" t="s">
        <v>673</v>
      </c>
      <c r="I20" s="32">
        <f t="shared" si="0"/>
        <v>0</v>
      </c>
    </row>
    <row r="21" spans="1:9" x14ac:dyDescent="0.25">
      <c r="A21" s="2" t="s">
        <v>54</v>
      </c>
      <c r="B21" s="3" t="s">
        <v>513</v>
      </c>
      <c r="C21" s="3" t="s">
        <v>514</v>
      </c>
      <c r="D21" s="32">
        <f>ROUND('Stavební rozpočet'!J221,2)</f>
        <v>0</v>
      </c>
      <c r="E21" s="32">
        <f>ROUND('Stavební rozpočet'!K221,2)</f>
        <v>0</v>
      </c>
      <c r="F21" s="32">
        <f>ROUND('Stavební rozpočet'!L221,2)</f>
        <v>0</v>
      </c>
      <c r="G21" s="63">
        <f>'Stavební rozpočet'!P221</f>
        <v>0.28919520000000004</v>
      </c>
      <c r="H21" s="62" t="s">
        <v>673</v>
      </c>
      <c r="I21" s="32">
        <f t="shared" si="0"/>
        <v>0</v>
      </c>
    </row>
    <row r="22" spans="1:9" x14ac:dyDescent="0.25">
      <c r="A22" s="2" t="s">
        <v>54</v>
      </c>
      <c r="B22" s="3" t="s">
        <v>524</v>
      </c>
      <c r="C22" s="3" t="s">
        <v>525</v>
      </c>
      <c r="D22" s="32">
        <f>ROUND('Stavební rozpočet'!J225,2)</f>
        <v>0</v>
      </c>
      <c r="E22" s="32">
        <f>ROUND('Stavební rozpočet'!K225,2)</f>
        <v>0</v>
      </c>
      <c r="F22" s="32">
        <f>ROUND('Stavební rozpočet'!L225,2)</f>
        <v>0</v>
      </c>
      <c r="G22" s="63">
        <f>'Stavební rozpočet'!P225</f>
        <v>4.0887923700000002</v>
      </c>
      <c r="H22" s="62" t="s">
        <v>673</v>
      </c>
      <c r="I22" s="32">
        <f t="shared" si="0"/>
        <v>0</v>
      </c>
    </row>
    <row r="23" spans="1:9" x14ac:dyDescent="0.25">
      <c r="A23" s="2" t="s">
        <v>54</v>
      </c>
      <c r="B23" s="3" t="s">
        <v>370</v>
      </c>
      <c r="C23" s="3" t="s">
        <v>543</v>
      </c>
      <c r="D23" s="32">
        <f>ROUND('Stavební rozpočet'!J233,2)</f>
        <v>0</v>
      </c>
      <c r="E23" s="32">
        <f>ROUND('Stavební rozpočet'!K233,2)</f>
        <v>0</v>
      </c>
      <c r="F23" s="32">
        <f>ROUND('Stavební rozpočet'!L233,2)</f>
        <v>0</v>
      </c>
      <c r="G23" s="63">
        <f>'Stavební rozpočet'!P233</f>
        <v>1.2342659999999999</v>
      </c>
      <c r="H23" s="62" t="s">
        <v>673</v>
      </c>
      <c r="I23" s="32">
        <f t="shared" si="0"/>
        <v>0</v>
      </c>
    </row>
    <row r="24" spans="1:9" x14ac:dyDescent="0.25">
      <c r="A24" s="2" t="s">
        <v>54</v>
      </c>
      <c r="B24" s="3" t="s">
        <v>373</v>
      </c>
      <c r="C24" s="3" t="s">
        <v>565</v>
      </c>
      <c r="D24" s="32">
        <f>ROUND('Stavební rozpočet'!J243,2)</f>
        <v>0</v>
      </c>
      <c r="E24" s="32">
        <f>ROUND('Stavební rozpočet'!K243,2)</f>
        <v>0</v>
      </c>
      <c r="F24" s="32">
        <f>ROUND('Stavební rozpočet'!L243,2)</f>
        <v>0</v>
      </c>
      <c r="G24" s="63">
        <f>'Stavební rozpočet'!P243</f>
        <v>29.319538059999999</v>
      </c>
      <c r="H24" s="62" t="s">
        <v>673</v>
      </c>
      <c r="I24" s="32">
        <f t="shared" si="0"/>
        <v>0</v>
      </c>
    </row>
    <row r="25" spans="1:9" x14ac:dyDescent="0.25">
      <c r="A25" s="2" t="s">
        <v>54</v>
      </c>
      <c r="B25" s="3" t="s">
        <v>626</v>
      </c>
      <c r="C25" s="3" t="s">
        <v>627</v>
      </c>
      <c r="D25" s="32">
        <f>ROUND('Stavební rozpočet'!J268,2)</f>
        <v>0</v>
      </c>
      <c r="E25" s="32">
        <f>ROUND('Stavební rozpočet'!K268,2)</f>
        <v>0</v>
      </c>
      <c r="F25" s="32">
        <f>ROUND('Stavební rozpočet'!L268,2)</f>
        <v>0</v>
      </c>
      <c r="G25" s="63">
        <f>'Stavební rozpočet'!P268</f>
        <v>0</v>
      </c>
      <c r="H25" s="62" t="s">
        <v>673</v>
      </c>
      <c r="I25" s="32">
        <f t="shared" si="0"/>
        <v>0</v>
      </c>
    </row>
    <row r="26" spans="1:9" x14ac:dyDescent="0.25">
      <c r="A26" s="45" t="s">
        <v>54</v>
      </c>
      <c r="B26" s="46" t="s">
        <v>632</v>
      </c>
      <c r="C26" s="46" t="s">
        <v>633</v>
      </c>
      <c r="D26" s="47">
        <f>ROUND('Stavební rozpočet'!J270,2)</f>
        <v>0</v>
      </c>
      <c r="E26" s="47">
        <f>ROUND('Stavební rozpočet'!K270,2)</f>
        <v>0</v>
      </c>
      <c r="F26" s="47">
        <f>ROUND('Stavební rozpočet'!L270,2)</f>
        <v>0</v>
      </c>
      <c r="G26" s="64">
        <f>'Stavební rozpočet'!P270</f>
        <v>5.2000000000000006E-4</v>
      </c>
      <c r="H26" s="62" t="s">
        <v>673</v>
      </c>
      <c r="I26" s="32">
        <f t="shared" si="0"/>
        <v>0</v>
      </c>
    </row>
    <row r="27" spans="1:9" x14ac:dyDescent="0.25">
      <c r="E27" s="51" t="s">
        <v>665</v>
      </c>
      <c r="F27" s="52">
        <f>ROUND(SUM(I11:I26),2)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N20" sqref="N20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76" t="s">
        <v>674</v>
      </c>
      <c r="B1" s="126"/>
      <c r="C1" s="126"/>
      <c r="D1" s="126"/>
      <c r="E1" s="126"/>
      <c r="F1" s="126"/>
      <c r="G1" s="126"/>
      <c r="H1" s="126"/>
      <c r="I1" s="126"/>
    </row>
    <row r="2" spans="1:9" x14ac:dyDescent="0.25">
      <c r="A2" s="127" t="s">
        <v>1</v>
      </c>
      <c r="B2" s="113"/>
      <c r="C2" s="131" t="str">
        <f>'Stavební rozpočet'!D2</f>
        <v>Stavební úpravy objektu 2. MŠ Stochov</v>
      </c>
      <c r="D2" s="132"/>
      <c r="E2" s="112" t="s">
        <v>3</v>
      </c>
      <c r="F2" s="112" t="str">
        <f>'Stavební rozpočet'!J2</f>
        <v>Město Stochov</v>
      </c>
      <c r="G2" s="113"/>
      <c r="H2" s="112" t="s">
        <v>675</v>
      </c>
      <c r="I2" s="114" t="s">
        <v>676</v>
      </c>
    </row>
    <row r="3" spans="1:9" ht="15" customHeight="1" x14ac:dyDescent="0.25">
      <c r="A3" s="128"/>
      <c r="B3" s="96"/>
      <c r="C3" s="133"/>
      <c r="D3" s="133"/>
      <c r="E3" s="96"/>
      <c r="F3" s="96"/>
      <c r="G3" s="96"/>
      <c r="H3" s="96"/>
      <c r="I3" s="115"/>
    </row>
    <row r="4" spans="1:9" x14ac:dyDescent="0.25">
      <c r="A4" s="129" t="s">
        <v>5</v>
      </c>
      <c r="B4" s="96"/>
      <c r="C4" s="95" t="str">
        <f>'Stavební rozpočet'!D4</f>
        <v>Rekonstrukce soc. zázemí a rozvodů TZB v 1.PP až 3.NP</v>
      </c>
      <c r="D4" s="96"/>
      <c r="E4" s="95" t="s">
        <v>8</v>
      </c>
      <c r="F4" s="95" t="str">
        <f>'Stavební rozpočet'!J4</f>
        <v>ARIPROS s.r.o.</v>
      </c>
      <c r="G4" s="96"/>
      <c r="H4" s="95" t="s">
        <v>675</v>
      </c>
      <c r="I4" s="115" t="s">
        <v>677</v>
      </c>
    </row>
    <row r="5" spans="1:9" ht="15" customHeight="1" x14ac:dyDescent="0.25">
      <c r="A5" s="128"/>
      <c r="B5" s="96"/>
      <c r="C5" s="96"/>
      <c r="D5" s="96"/>
      <c r="E5" s="96"/>
      <c r="F5" s="96"/>
      <c r="G5" s="96"/>
      <c r="H5" s="96"/>
      <c r="I5" s="115"/>
    </row>
    <row r="6" spans="1:9" x14ac:dyDescent="0.25">
      <c r="A6" s="129" t="s">
        <v>10</v>
      </c>
      <c r="B6" s="96"/>
      <c r="C6" s="95" t="str">
        <f>'Stavební rozpočet'!D6</f>
        <v>Jaroslava Šípka 347, 273 03 Stochov</v>
      </c>
      <c r="D6" s="96"/>
      <c r="E6" s="95" t="s">
        <v>13</v>
      </c>
      <c r="F6" s="138" t="str">
        <f>'Stavební rozpočet'!J6</f>
        <v>Dle výběrového řízení</v>
      </c>
      <c r="G6" s="116"/>
      <c r="H6" s="95" t="s">
        <v>675</v>
      </c>
      <c r="I6" s="117" t="s">
        <v>54</v>
      </c>
    </row>
    <row r="7" spans="1:9" ht="15" customHeight="1" x14ac:dyDescent="0.25">
      <c r="A7" s="128"/>
      <c r="B7" s="96"/>
      <c r="C7" s="96"/>
      <c r="D7" s="96"/>
      <c r="E7" s="96"/>
      <c r="F7" s="116"/>
      <c r="G7" s="116"/>
      <c r="H7" s="96"/>
      <c r="I7" s="117"/>
    </row>
    <row r="8" spans="1:9" x14ac:dyDescent="0.25">
      <c r="A8" s="177" t="s">
        <v>15</v>
      </c>
      <c r="B8" s="96"/>
      <c r="C8" s="95" t="str">
        <f>'Stavební rozpočet'!D8</f>
        <v>80131</v>
      </c>
      <c r="D8" s="96"/>
      <c r="E8" s="95" t="s">
        <v>733</v>
      </c>
      <c r="F8" s="95"/>
      <c r="G8" s="96"/>
      <c r="H8" s="96" t="s">
        <v>678</v>
      </c>
      <c r="I8" s="178">
        <v>178</v>
      </c>
    </row>
    <row r="9" spans="1:9" x14ac:dyDescent="0.25">
      <c r="A9" s="128"/>
      <c r="B9" s="96"/>
      <c r="C9" s="96"/>
      <c r="D9" s="96"/>
      <c r="E9" s="96"/>
      <c r="F9" s="96"/>
      <c r="G9" s="96"/>
      <c r="H9" s="96"/>
      <c r="I9" s="115"/>
    </row>
    <row r="10" spans="1:9" x14ac:dyDescent="0.25">
      <c r="A10" s="129"/>
      <c r="B10" s="96"/>
      <c r="C10" s="95"/>
      <c r="D10" s="96"/>
      <c r="E10" s="95" t="s">
        <v>18</v>
      </c>
      <c r="F10" s="138" t="str">
        <f>'Stavební rozpočet'!J8</f>
        <v> ARIPROS s.r.o.</v>
      </c>
      <c r="G10" s="116"/>
      <c r="H10" s="96" t="s">
        <v>679</v>
      </c>
      <c r="I10" s="169">
        <v>45717</v>
      </c>
    </row>
    <row r="11" spans="1:9" x14ac:dyDescent="0.25">
      <c r="A11" s="175"/>
      <c r="B11" s="93"/>
      <c r="C11" s="93"/>
      <c r="D11" s="93"/>
      <c r="E11" s="93"/>
      <c r="F11" s="174"/>
      <c r="G11" s="174"/>
      <c r="H11" s="93"/>
      <c r="I11" s="170"/>
    </row>
    <row r="12" spans="1:9" ht="30" customHeight="1" x14ac:dyDescent="0.25">
      <c r="A12" s="171" t="s">
        <v>680</v>
      </c>
      <c r="B12" s="171"/>
      <c r="C12" s="171"/>
      <c r="D12" s="171"/>
      <c r="E12" s="171"/>
      <c r="F12" s="171"/>
      <c r="G12" s="171"/>
      <c r="H12" s="171"/>
      <c r="I12" s="171"/>
    </row>
    <row r="13" spans="1:9" ht="26.25" customHeight="1" x14ac:dyDescent="0.25">
      <c r="A13" s="84" t="s">
        <v>681</v>
      </c>
      <c r="B13" s="172" t="s">
        <v>682</v>
      </c>
      <c r="C13" s="173"/>
      <c r="D13" s="85" t="s">
        <v>683</v>
      </c>
      <c r="E13" s="172" t="s">
        <v>684</v>
      </c>
      <c r="F13" s="173"/>
      <c r="G13" s="85" t="s">
        <v>685</v>
      </c>
      <c r="H13" s="172" t="s">
        <v>686</v>
      </c>
      <c r="I13" s="173"/>
    </row>
    <row r="14" spans="1:9" x14ac:dyDescent="0.25">
      <c r="A14" s="73" t="s">
        <v>687</v>
      </c>
      <c r="B14" s="74" t="s">
        <v>688</v>
      </c>
      <c r="C14" s="75">
        <f>SUM('Stavební rozpočet'!AB12:AB284)</f>
        <v>0</v>
      </c>
      <c r="D14" s="159" t="s">
        <v>689</v>
      </c>
      <c r="E14" s="160"/>
      <c r="F14" s="75">
        <f>VORN!I15</f>
        <v>0</v>
      </c>
      <c r="G14" s="159" t="s">
        <v>690</v>
      </c>
      <c r="H14" s="160"/>
      <c r="I14" s="88">
        <v>0</v>
      </c>
    </row>
    <row r="15" spans="1:9" x14ac:dyDescent="0.25">
      <c r="A15" s="76" t="s">
        <v>54</v>
      </c>
      <c r="B15" s="74" t="s">
        <v>37</v>
      </c>
      <c r="C15" s="75">
        <f>SUM('Stavební rozpočet'!AC12:AC284)</f>
        <v>0</v>
      </c>
      <c r="D15" s="159" t="s">
        <v>691</v>
      </c>
      <c r="E15" s="160"/>
      <c r="F15" s="75">
        <f>VORN!I16</f>
        <v>0</v>
      </c>
      <c r="G15" s="159" t="s">
        <v>692</v>
      </c>
      <c r="H15" s="160"/>
      <c r="I15" s="88">
        <v>0</v>
      </c>
    </row>
    <row r="16" spans="1:9" x14ac:dyDescent="0.25">
      <c r="A16" s="73" t="s">
        <v>693</v>
      </c>
      <c r="B16" s="74" t="s">
        <v>688</v>
      </c>
      <c r="C16" s="75">
        <f>SUM('Stavební rozpočet'!AD12:AD284)</f>
        <v>0</v>
      </c>
      <c r="D16" s="159" t="s">
        <v>694</v>
      </c>
      <c r="E16" s="160"/>
      <c r="F16" s="75">
        <f>VORN!I17</f>
        <v>0</v>
      </c>
      <c r="G16" s="159" t="s">
        <v>695</v>
      </c>
      <c r="H16" s="160"/>
      <c r="I16" s="88">
        <v>0</v>
      </c>
    </row>
    <row r="17" spans="1:9" x14ac:dyDescent="0.25">
      <c r="A17" s="76" t="s">
        <v>54</v>
      </c>
      <c r="B17" s="74" t="s">
        <v>37</v>
      </c>
      <c r="C17" s="75">
        <f>SUM('Stavební rozpočet'!AE12:AE284)</f>
        <v>0</v>
      </c>
      <c r="D17" s="159" t="s">
        <v>54</v>
      </c>
      <c r="E17" s="160"/>
      <c r="F17" s="77" t="s">
        <v>54</v>
      </c>
      <c r="G17" s="159" t="s">
        <v>696</v>
      </c>
      <c r="H17" s="160"/>
      <c r="I17" s="88">
        <v>0</v>
      </c>
    </row>
    <row r="18" spans="1:9" x14ac:dyDescent="0.25">
      <c r="A18" s="73" t="s">
        <v>697</v>
      </c>
      <c r="B18" s="74" t="s">
        <v>688</v>
      </c>
      <c r="C18" s="75">
        <f>SUM('Stavební rozpočet'!AF12:AF284)</f>
        <v>0</v>
      </c>
      <c r="D18" s="159" t="s">
        <v>54</v>
      </c>
      <c r="E18" s="160"/>
      <c r="F18" s="77" t="s">
        <v>54</v>
      </c>
      <c r="G18" s="159" t="s">
        <v>698</v>
      </c>
      <c r="H18" s="160"/>
      <c r="I18" s="88">
        <v>0</v>
      </c>
    </row>
    <row r="19" spans="1:9" x14ac:dyDescent="0.25">
      <c r="A19" s="76" t="s">
        <v>54</v>
      </c>
      <c r="B19" s="74" t="s">
        <v>37</v>
      </c>
      <c r="C19" s="75">
        <f>SUM('Stavební rozpočet'!AG12:AG284)</f>
        <v>0</v>
      </c>
      <c r="D19" s="159" t="s">
        <v>54</v>
      </c>
      <c r="E19" s="160"/>
      <c r="F19" s="77" t="s">
        <v>54</v>
      </c>
      <c r="G19" s="159" t="s">
        <v>699</v>
      </c>
      <c r="H19" s="160"/>
      <c r="I19" s="88">
        <v>0</v>
      </c>
    </row>
    <row r="20" spans="1:9" x14ac:dyDescent="0.25">
      <c r="A20" s="151" t="s">
        <v>700</v>
      </c>
      <c r="B20" s="152"/>
      <c r="C20" s="75">
        <f>SUM('Stavební rozpočet'!AH12:AH284)</f>
        <v>0</v>
      </c>
      <c r="D20" s="159" t="s">
        <v>54</v>
      </c>
      <c r="E20" s="160"/>
      <c r="F20" s="77" t="s">
        <v>54</v>
      </c>
      <c r="G20" s="159" t="s">
        <v>54</v>
      </c>
      <c r="H20" s="160"/>
      <c r="I20" s="77" t="s">
        <v>54</v>
      </c>
    </row>
    <row r="21" spans="1:9" x14ac:dyDescent="0.25">
      <c r="A21" s="166" t="s">
        <v>701</v>
      </c>
      <c r="B21" s="167"/>
      <c r="C21" s="78">
        <f>SUM('Stavební rozpočet'!Z12:Z284)</f>
        <v>0</v>
      </c>
      <c r="D21" s="161" t="s">
        <v>54</v>
      </c>
      <c r="E21" s="162"/>
      <c r="F21" s="79" t="s">
        <v>54</v>
      </c>
      <c r="G21" s="161" t="s">
        <v>54</v>
      </c>
      <c r="H21" s="162"/>
      <c r="I21" s="79" t="s">
        <v>54</v>
      </c>
    </row>
    <row r="22" spans="1:9" ht="16.5" customHeight="1" x14ac:dyDescent="0.25">
      <c r="A22" s="168" t="s">
        <v>702</v>
      </c>
      <c r="B22" s="164"/>
      <c r="C22" s="80">
        <f>ROUND(SUM(C14:C21),2)</f>
        <v>0</v>
      </c>
      <c r="D22" s="163" t="s">
        <v>703</v>
      </c>
      <c r="E22" s="164"/>
      <c r="F22" s="80">
        <f>SUM(F14:F21)</f>
        <v>0</v>
      </c>
      <c r="G22" s="163" t="s">
        <v>704</v>
      </c>
      <c r="H22" s="164"/>
      <c r="I22" s="80">
        <f>SUM(I14:I21)</f>
        <v>0</v>
      </c>
    </row>
    <row r="23" spans="1:9" x14ac:dyDescent="0.25">
      <c r="A23" s="81"/>
      <c r="B23" s="81"/>
      <c r="C23" s="81"/>
      <c r="D23" s="151" t="s">
        <v>705</v>
      </c>
      <c r="E23" s="152"/>
      <c r="F23" s="86">
        <v>0</v>
      </c>
      <c r="G23" s="165" t="s">
        <v>706</v>
      </c>
      <c r="H23" s="152"/>
      <c r="I23" s="75">
        <v>0</v>
      </c>
    </row>
    <row r="24" spans="1:9" x14ac:dyDescent="0.25">
      <c r="A24" s="81"/>
      <c r="B24" s="81"/>
      <c r="C24" s="81"/>
      <c r="D24" s="81"/>
      <c r="E24" s="81"/>
      <c r="F24" s="81"/>
      <c r="G24" s="151" t="s">
        <v>707</v>
      </c>
      <c r="H24" s="152"/>
      <c r="I24" s="75">
        <f>vorn_sum</f>
        <v>0</v>
      </c>
    </row>
    <row r="25" spans="1:9" x14ac:dyDescent="0.25">
      <c r="A25" s="81"/>
      <c r="B25" s="81"/>
      <c r="C25" s="81"/>
      <c r="D25" s="81"/>
      <c r="E25" s="81"/>
      <c r="F25" s="81"/>
      <c r="G25" s="151" t="s">
        <v>708</v>
      </c>
      <c r="H25" s="152"/>
      <c r="I25" s="75">
        <v>0</v>
      </c>
    </row>
    <row r="26" spans="1:9" ht="15" customHeight="1" x14ac:dyDescent="0.25">
      <c r="A26" s="81"/>
      <c r="B26" s="81"/>
      <c r="C26" s="81"/>
      <c r="D26" s="81"/>
      <c r="E26" s="81"/>
      <c r="F26" s="81"/>
      <c r="G26" s="81"/>
      <c r="H26" s="81"/>
      <c r="I26" s="81"/>
    </row>
    <row r="27" spans="1:9" x14ac:dyDescent="0.25">
      <c r="A27" s="153" t="s">
        <v>709</v>
      </c>
      <c r="B27" s="154"/>
      <c r="C27" s="82">
        <f>ROUND(SUM('Stavební rozpočet'!AJ12:AJ284),2)</f>
        <v>0</v>
      </c>
      <c r="D27" s="81"/>
      <c r="E27" s="81"/>
      <c r="F27" s="81"/>
      <c r="G27" s="81"/>
      <c r="H27" s="81"/>
      <c r="I27" s="81"/>
    </row>
    <row r="28" spans="1:9" x14ac:dyDescent="0.25">
      <c r="A28" s="155" t="s">
        <v>710</v>
      </c>
      <c r="B28" s="156"/>
      <c r="C28" s="83">
        <f>ROUND(SUM('Stavební rozpočet'!AK12:AK284),2)</f>
        <v>0</v>
      </c>
      <c r="D28" s="157" t="s">
        <v>711</v>
      </c>
      <c r="E28" s="154"/>
      <c r="F28" s="82">
        <f>ROUND(C28*(12/100),2)</f>
        <v>0</v>
      </c>
      <c r="G28" s="157" t="s">
        <v>712</v>
      </c>
      <c r="H28" s="154"/>
      <c r="I28" s="82">
        <f>ROUND(SUM(C27:C29),2)</f>
        <v>0</v>
      </c>
    </row>
    <row r="29" spans="1:9" x14ac:dyDescent="0.25">
      <c r="A29" s="155" t="s">
        <v>713</v>
      </c>
      <c r="B29" s="156"/>
      <c r="C29" s="83">
        <f>ROUND(SUM('Stavební rozpočet'!AL12:AL284)+(F22+I22+F23+I23+I24+I25),2)</f>
        <v>0</v>
      </c>
      <c r="D29" s="158" t="s">
        <v>714</v>
      </c>
      <c r="E29" s="156"/>
      <c r="F29" s="83">
        <f>ROUND(C29*(21/100),2)</f>
        <v>0</v>
      </c>
      <c r="G29" s="158" t="s">
        <v>715</v>
      </c>
      <c r="H29" s="156"/>
      <c r="I29" s="83">
        <f>ROUND(SUM(F28:F29)+I28,2)</f>
        <v>0</v>
      </c>
    </row>
    <row r="30" spans="1:9" ht="15" customHeight="1" x14ac:dyDescent="0.25">
      <c r="A30" s="81"/>
      <c r="B30" s="81"/>
      <c r="C30" s="81"/>
      <c r="D30" s="81"/>
      <c r="E30" s="81"/>
      <c r="F30" s="81"/>
      <c r="G30" s="81"/>
      <c r="H30" s="81"/>
      <c r="I30" s="81"/>
    </row>
    <row r="31" spans="1:9" x14ac:dyDescent="0.25">
      <c r="A31" s="148" t="s">
        <v>716</v>
      </c>
      <c r="B31" s="140"/>
      <c r="C31" s="141"/>
      <c r="D31" s="139" t="s">
        <v>717</v>
      </c>
      <c r="E31" s="140"/>
      <c r="F31" s="141"/>
      <c r="G31" s="139" t="s">
        <v>718</v>
      </c>
      <c r="H31" s="140"/>
      <c r="I31" s="141"/>
    </row>
    <row r="32" spans="1:9" x14ac:dyDescent="0.25">
      <c r="A32" s="149" t="s">
        <v>54</v>
      </c>
      <c r="B32" s="143"/>
      <c r="C32" s="144"/>
      <c r="D32" s="142" t="s">
        <v>54</v>
      </c>
      <c r="E32" s="143"/>
      <c r="F32" s="144"/>
      <c r="G32" s="142" t="s">
        <v>54</v>
      </c>
      <c r="H32" s="143"/>
      <c r="I32" s="144"/>
    </row>
    <row r="33" spans="1:9" x14ac:dyDescent="0.25">
      <c r="A33" s="149" t="s">
        <v>54</v>
      </c>
      <c r="B33" s="143"/>
      <c r="C33" s="144"/>
      <c r="D33" s="142" t="s">
        <v>54</v>
      </c>
      <c r="E33" s="143"/>
      <c r="F33" s="144"/>
      <c r="G33" s="142" t="s">
        <v>54</v>
      </c>
      <c r="H33" s="143"/>
      <c r="I33" s="144"/>
    </row>
    <row r="34" spans="1:9" x14ac:dyDescent="0.25">
      <c r="A34" s="149" t="s">
        <v>54</v>
      </c>
      <c r="B34" s="143"/>
      <c r="C34" s="144"/>
      <c r="D34" s="142" t="s">
        <v>54</v>
      </c>
      <c r="E34" s="143"/>
      <c r="F34" s="144"/>
      <c r="G34" s="142" t="s">
        <v>54</v>
      </c>
      <c r="H34" s="143"/>
      <c r="I34" s="144"/>
    </row>
    <row r="35" spans="1:9" x14ac:dyDescent="0.25">
      <c r="A35" s="150" t="s">
        <v>719</v>
      </c>
      <c r="B35" s="146"/>
      <c r="C35" s="147"/>
      <c r="D35" s="145" t="s">
        <v>719</v>
      </c>
      <c r="E35" s="146"/>
      <c r="F35" s="147"/>
      <c r="G35" s="145" t="s">
        <v>719</v>
      </c>
      <c r="H35" s="146"/>
      <c r="I35" s="147"/>
    </row>
    <row r="36" spans="1:9" x14ac:dyDescent="0.25">
      <c r="A36" s="87" t="s">
        <v>531</v>
      </c>
    </row>
    <row r="37" spans="1:9" ht="44.25" customHeight="1" x14ac:dyDescent="0.25">
      <c r="A37" s="103" t="s">
        <v>666</v>
      </c>
      <c r="B37" s="96"/>
      <c r="C37" s="96"/>
      <c r="D37" s="96"/>
      <c r="E37" s="96"/>
      <c r="F37" s="96"/>
      <c r="G37" s="96"/>
      <c r="H37" s="96"/>
      <c r="I37" s="96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99" t="s">
        <v>720</v>
      </c>
      <c r="B1" s="200"/>
      <c r="C1" s="200"/>
      <c r="D1" s="200"/>
      <c r="E1" s="200"/>
      <c r="F1" s="200"/>
      <c r="G1" s="200"/>
      <c r="H1" s="200"/>
      <c r="I1" s="200"/>
    </row>
    <row r="2" spans="1:9" x14ac:dyDescent="0.25">
      <c r="A2" s="127" t="s">
        <v>1</v>
      </c>
      <c r="B2" s="113"/>
      <c r="C2" s="131" t="str">
        <f>'Stavební rozpočet'!D2</f>
        <v>Stavební úpravy objektu 2. MŠ Stochov</v>
      </c>
      <c r="D2" s="132"/>
      <c r="E2" s="112" t="s">
        <v>3</v>
      </c>
      <c r="F2" s="112" t="str">
        <f>'Stavební rozpočet'!J2</f>
        <v>Město Stochov</v>
      </c>
      <c r="G2" s="113"/>
      <c r="H2" s="112" t="s">
        <v>675</v>
      </c>
      <c r="I2" s="114" t="s">
        <v>676</v>
      </c>
    </row>
    <row r="3" spans="1:9" ht="15" customHeight="1" x14ac:dyDescent="0.25">
      <c r="A3" s="128"/>
      <c r="B3" s="96"/>
      <c r="C3" s="133"/>
      <c r="D3" s="133"/>
      <c r="E3" s="96"/>
      <c r="F3" s="96"/>
      <c r="G3" s="96"/>
      <c r="H3" s="96"/>
      <c r="I3" s="115"/>
    </row>
    <row r="4" spans="1:9" x14ac:dyDescent="0.25">
      <c r="A4" s="129" t="s">
        <v>5</v>
      </c>
      <c r="B4" s="96"/>
      <c r="C4" s="95" t="str">
        <f>'Stavební rozpočet'!D4</f>
        <v>Rekonstrukce soc. zázemí a rozvodů TZB v 1.PP až 3.NP</v>
      </c>
      <c r="D4" s="96"/>
      <c r="E4" s="95" t="s">
        <v>8</v>
      </c>
      <c r="F4" s="95" t="str">
        <f>'Stavební rozpočet'!J4</f>
        <v>ARIPROS s.r.o.</v>
      </c>
      <c r="G4" s="96"/>
      <c r="H4" s="95" t="s">
        <v>675</v>
      </c>
      <c r="I4" s="115" t="s">
        <v>677</v>
      </c>
    </row>
    <row r="5" spans="1:9" ht="15" customHeight="1" x14ac:dyDescent="0.25">
      <c r="A5" s="128"/>
      <c r="B5" s="96"/>
      <c r="C5" s="96"/>
      <c r="D5" s="96"/>
      <c r="E5" s="96"/>
      <c r="F5" s="96"/>
      <c r="G5" s="96"/>
      <c r="H5" s="96"/>
      <c r="I5" s="115"/>
    </row>
    <row r="6" spans="1:9" x14ac:dyDescent="0.25">
      <c r="A6" s="129" t="s">
        <v>10</v>
      </c>
      <c r="B6" s="96"/>
      <c r="C6" s="95" t="str">
        <f>'Stavební rozpočet'!D6</f>
        <v>Jaroslava Šípka 347, 273 03 Stochov</v>
      </c>
      <c r="D6" s="96"/>
      <c r="E6" s="95" t="s">
        <v>13</v>
      </c>
      <c r="F6" s="95" t="str">
        <f>'Stavební rozpočet'!J6</f>
        <v>Dle výběrového řízení</v>
      </c>
      <c r="G6" s="96"/>
      <c r="H6" s="95" t="s">
        <v>675</v>
      </c>
      <c r="I6" s="115" t="s">
        <v>54</v>
      </c>
    </row>
    <row r="7" spans="1:9" ht="15" customHeight="1" x14ac:dyDescent="0.25">
      <c r="A7" s="128"/>
      <c r="B7" s="96"/>
      <c r="C7" s="96"/>
      <c r="D7" s="96"/>
      <c r="E7" s="96"/>
      <c r="F7" s="96"/>
      <c r="G7" s="96"/>
      <c r="H7" s="96"/>
      <c r="I7" s="115"/>
    </row>
    <row r="8" spans="1:9" x14ac:dyDescent="0.25">
      <c r="A8" s="129" t="s">
        <v>6</v>
      </c>
      <c r="B8" s="96"/>
      <c r="C8" s="95">
        <f>'Stavební rozpočet'!H4</f>
        <v>0</v>
      </c>
      <c r="D8" s="96"/>
      <c r="E8" s="95" t="s">
        <v>12</v>
      </c>
      <c r="F8" s="95">
        <f>'Stavební rozpočet'!H6</f>
        <v>0</v>
      </c>
      <c r="G8" s="96"/>
      <c r="H8" s="96" t="s">
        <v>678</v>
      </c>
      <c r="I8" s="178">
        <v>178</v>
      </c>
    </row>
    <row r="9" spans="1:9" x14ac:dyDescent="0.25">
      <c r="A9" s="128"/>
      <c r="B9" s="96"/>
      <c r="C9" s="96"/>
      <c r="D9" s="96"/>
      <c r="E9" s="96"/>
      <c r="F9" s="96"/>
      <c r="G9" s="96"/>
      <c r="H9" s="96"/>
      <c r="I9" s="115"/>
    </row>
    <row r="10" spans="1:9" x14ac:dyDescent="0.25">
      <c r="A10" s="129" t="s">
        <v>15</v>
      </c>
      <c r="B10" s="96"/>
      <c r="C10" s="95" t="str">
        <f>'Stavební rozpočet'!D8</f>
        <v>80131</v>
      </c>
      <c r="D10" s="96"/>
      <c r="E10" s="95" t="s">
        <v>18</v>
      </c>
      <c r="F10" s="95" t="str">
        <f>'Stavební rozpočet'!J8</f>
        <v> ARIPROS s.r.o.</v>
      </c>
      <c r="G10" s="96"/>
      <c r="H10" s="96" t="s">
        <v>679</v>
      </c>
      <c r="I10" s="135">
        <f>'Stavební rozpočet'!H8</f>
        <v>45717</v>
      </c>
    </row>
    <row r="11" spans="1:9" x14ac:dyDescent="0.25">
      <c r="A11" s="175"/>
      <c r="B11" s="93"/>
      <c r="C11" s="93"/>
      <c r="D11" s="93"/>
      <c r="E11" s="93"/>
      <c r="F11" s="93"/>
      <c r="G11" s="93"/>
      <c r="H11" s="93"/>
      <c r="I11" s="198"/>
    </row>
    <row r="13" spans="1:9" ht="15.75" x14ac:dyDescent="0.25">
      <c r="A13" s="188" t="s">
        <v>721</v>
      </c>
      <c r="B13" s="188"/>
      <c r="C13" s="188"/>
      <c r="D13" s="188"/>
      <c r="E13" s="188"/>
    </row>
    <row r="14" spans="1:9" x14ac:dyDescent="0.25">
      <c r="A14" s="189" t="s">
        <v>722</v>
      </c>
      <c r="B14" s="190"/>
      <c r="C14" s="190"/>
      <c r="D14" s="190"/>
      <c r="E14" s="191"/>
      <c r="F14" s="65" t="s">
        <v>723</v>
      </c>
      <c r="G14" s="65" t="s">
        <v>28</v>
      </c>
      <c r="H14" s="65" t="s">
        <v>724</v>
      </c>
      <c r="I14" s="65" t="s">
        <v>723</v>
      </c>
    </row>
    <row r="15" spans="1:9" x14ac:dyDescent="0.25">
      <c r="A15" s="195" t="s">
        <v>689</v>
      </c>
      <c r="B15" s="196"/>
      <c r="C15" s="196"/>
      <c r="D15" s="196"/>
      <c r="E15" s="197"/>
      <c r="F15" s="66">
        <v>0</v>
      </c>
      <c r="G15" s="67" t="s">
        <v>54</v>
      </c>
      <c r="H15" s="67" t="s">
        <v>54</v>
      </c>
      <c r="I15" s="66">
        <f>F15</f>
        <v>0</v>
      </c>
    </row>
    <row r="16" spans="1:9" x14ac:dyDescent="0.25">
      <c r="A16" s="195" t="s">
        <v>691</v>
      </c>
      <c r="B16" s="196"/>
      <c r="C16" s="196"/>
      <c r="D16" s="196"/>
      <c r="E16" s="197"/>
      <c r="F16" s="66">
        <v>0</v>
      </c>
      <c r="G16" s="67" t="s">
        <v>54</v>
      </c>
      <c r="H16" s="67" t="s">
        <v>54</v>
      </c>
      <c r="I16" s="66">
        <f>F16</f>
        <v>0</v>
      </c>
    </row>
    <row r="17" spans="1:9" x14ac:dyDescent="0.25">
      <c r="A17" s="192" t="s">
        <v>694</v>
      </c>
      <c r="B17" s="193"/>
      <c r="C17" s="193"/>
      <c r="D17" s="193"/>
      <c r="E17" s="194"/>
      <c r="F17" s="68">
        <v>0</v>
      </c>
      <c r="G17" s="69" t="s">
        <v>54</v>
      </c>
      <c r="H17" s="69" t="s">
        <v>54</v>
      </c>
      <c r="I17" s="68">
        <f>F17</f>
        <v>0</v>
      </c>
    </row>
    <row r="18" spans="1:9" x14ac:dyDescent="0.25">
      <c r="A18" s="179" t="s">
        <v>725</v>
      </c>
      <c r="B18" s="180"/>
      <c r="C18" s="180"/>
      <c r="D18" s="180"/>
      <c r="E18" s="181"/>
      <c r="F18" s="70" t="s">
        <v>54</v>
      </c>
      <c r="G18" s="71" t="s">
        <v>54</v>
      </c>
      <c r="H18" s="71" t="s">
        <v>54</v>
      </c>
      <c r="I18" s="72">
        <f>SUM(I15:I17)</f>
        <v>0</v>
      </c>
    </row>
    <row r="20" spans="1:9" x14ac:dyDescent="0.25">
      <c r="A20" s="189" t="s">
        <v>686</v>
      </c>
      <c r="B20" s="190"/>
      <c r="C20" s="190"/>
      <c r="D20" s="190"/>
      <c r="E20" s="191"/>
      <c r="F20" s="65" t="s">
        <v>723</v>
      </c>
      <c r="G20" s="65" t="s">
        <v>28</v>
      </c>
      <c r="H20" s="65" t="s">
        <v>724</v>
      </c>
      <c r="I20" s="65" t="s">
        <v>723</v>
      </c>
    </row>
    <row r="21" spans="1:9" x14ac:dyDescent="0.25">
      <c r="A21" s="195" t="s">
        <v>690</v>
      </c>
      <c r="B21" s="196"/>
      <c r="C21" s="196"/>
      <c r="D21" s="196"/>
      <c r="E21" s="197"/>
      <c r="F21" s="66">
        <v>11000</v>
      </c>
      <c r="G21" s="67" t="s">
        <v>54</v>
      </c>
      <c r="H21" s="67" t="s">
        <v>54</v>
      </c>
      <c r="I21" s="66">
        <f t="shared" ref="I21:I26" si="0">F21</f>
        <v>11000</v>
      </c>
    </row>
    <row r="22" spans="1:9" x14ac:dyDescent="0.25">
      <c r="A22" s="195" t="s">
        <v>692</v>
      </c>
      <c r="B22" s="196"/>
      <c r="C22" s="196"/>
      <c r="D22" s="196"/>
      <c r="E22" s="197"/>
      <c r="F22" s="66">
        <v>5500</v>
      </c>
      <c r="G22" s="67" t="s">
        <v>54</v>
      </c>
      <c r="H22" s="67" t="s">
        <v>54</v>
      </c>
      <c r="I22" s="66">
        <f t="shared" si="0"/>
        <v>5500</v>
      </c>
    </row>
    <row r="23" spans="1:9" x14ac:dyDescent="0.25">
      <c r="A23" s="195" t="s">
        <v>695</v>
      </c>
      <c r="B23" s="196"/>
      <c r="C23" s="196"/>
      <c r="D23" s="196"/>
      <c r="E23" s="197"/>
      <c r="F23" s="66">
        <v>0</v>
      </c>
      <c r="G23" s="67" t="s">
        <v>54</v>
      </c>
      <c r="H23" s="67" t="s">
        <v>54</v>
      </c>
      <c r="I23" s="66">
        <f t="shared" si="0"/>
        <v>0</v>
      </c>
    </row>
    <row r="24" spans="1:9" x14ac:dyDescent="0.25">
      <c r="A24" s="195" t="s">
        <v>696</v>
      </c>
      <c r="B24" s="196"/>
      <c r="C24" s="196"/>
      <c r="D24" s="196"/>
      <c r="E24" s="197"/>
      <c r="F24" s="66">
        <v>0</v>
      </c>
      <c r="G24" s="67" t="s">
        <v>54</v>
      </c>
      <c r="H24" s="67" t="s">
        <v>54</v>
      </c>
      <c r="I24" s="66">
        <f t="shared" si="0"/>
        <v>0</v>
      </c>
    </row>
    <row r="25" spans="1:9" x14ac:dyDescent="0.25">
      <c r="A25" s="195" t="s">
        <v>698</v>
      </c>
      <c r="B25" s="196"/>
      <c r="C25" s="196"/>
      <c r="D25" s="196"/>
      <c r="E25" s="197"/>
      <c r="F25" s="66">
        <v>0</v>
      </c>
      <c r="G25" s="67" t="s">
        <v>54</v>
      </c>
      <c r="H25" s="67" t="s">
        <v>54</v>
      </c>
      <c r="I25" s="66">
        <f t="shared" si="0"/>
        <v>0</v>
      </c>
    </row>
    <row r="26" spans="1:9" x14ac:dyDescent="0.25">
      <c r="A26" s="192" t="s">
        <v>699</v>
      </c>
      <c r="B26" s="193"/>
      <c r="C26" s="193"/>
      <c r="D26" s="193"/>
      <c r="E26" s="194"/>
      <c r="F26" s="68">
        <v>0</v>
      </c>
      <c r="G26" s="69" t="s">
        <v>54</v>
      </c>
      <c r="H26" s="69" t="s">
        <v>54</v>
      </c>
      <c r="I26" s="68">
        <f t="shared" si="0"/>
        <v>0</v>
      </c>
    </row>
    <row r="27" spans="1:9" x14ac:dyDescent="0.25">
      <c r="A27" s="179" t="s">
        <v>726</v>
      </c>
      <c r="B27" s="180"/>
      <c r="C27" s="180"/>
      <c r="D27" s="180"/>
      <c r="E27" s="181"/>
      <c r="F27" s="70" t="s">
        <v>54</v>
      </c>
      <c r="G27" s="71" t="s">
        <v>54</v>
      </c>
      <c r="H27" s="71" t="s">
        <v>54</v>
      </c>
      <c r="I27" s="72">
        <f>SUM(I21:I26)</f>
        <v>16500</v>
      </c>
    </row>
    <row r="29" spans="1:9" ht="15.75" x14ac:dyDescent="0.25">
      <c r="A29" s="182" t="s">
        <v>727</v>
      </c>
      <c r="B29" s="183"/>
      <c r="C29" s="183"/>
      <c r="D29" s="183"/>
      <c r="E29" s="184"/>
      <c r="F29" s="185">
        <f>I18+I27</f>
        <v>16500</v>
      </c>
      <c r="G29" s="186"/>
      <c r="H29" s="186"/>
      <c r="I29" s="187"/>
    </row>
    <row r="33" spans="1:9" ht="15.75" x14ac:dyDescent="0.25">
      <c r="A33" s="188" t="s">
        <v>728</v>
      </c>
      <c r="B33" s="188"/>
      <c r="C33" s="188"/>
      <c r="D33" s="188"/>
      <c r="E33" s="188"/>
    </row>
    <row r="34" spans="1:9" x14ac:dyDescent="0.25">
      <c r="A34" s="189" t="s">
        <v>729</v>
      </c>
      <c r="B34" s="190"/>
      <c r="C34" s="190"/>
      <c r="D34" s="190"/>
      <c r="E34" s="191"/>
      <c r="F34" s="65" t="s">
        <v>723</v>
      </c>
      <c r="G34" s="65" t="s">
        <v>28</v>
      </c>
      <c r="H34" s="65" t="s">
        <v>724</v>
      </c>
      <c r="I34" s="65" t="s">
        <v>723</v>
      </c>
    </row>
    <row r="35" spans="1:9" x14ac:dyDescent="0.25">
      <c r="A35" s="192" t="s">
        <v>54</v>
      </c>
      <c r="B35" s="193"/>
      <c r="C35" s="193"/>
      <c r="D35" s="193"/>
      <c r="E35" s="194"/>
      <c r="F35" s="68">
        <v>0</v>
      </c>
      <c r="G35" s="69" t="s">
        <v>54</v>
      </c>
      <c r="H35" s="69" t="s">
        <v>54</v>
      </c>
      <c r="I35" s="68">
        <f>F35</f>
        <v>0</v>
      </c>
    </row>
    <row r="36" spans="1:9" x14ac:dyDescent="0.25">
      <c r="A36" s="179" t="s">
        <v>730</v>
      </c>
      <c r="B36" s="180"/>
      <c r="C36" s="180"/>
      <c r="D36" s="180"/>
      <c r="E36" s="181"/>
      <c r="F36" s="70" t="s">
        <v>54</v>
      </c>
      <c r="G36" s="71" t="s">
        <v>54</v>
      </c>
      <c r="H36" s="71" t="s">
        <v>54</v>
      </c>
      <c r="I36" s="72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2025-03-01T11:54:03Z</cp:lastPrinted>
  <dcterms:created xsi:type="dcterms:W3CDTF">2021-06-10T20:06:38Z</dcterms:created>
  <dcterms:modified xsi:type="dcterms:W3CDTF">2025-03-01T12:21:38Z</dcterms:modified>
</cp:coreProperties>
</file>