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Stavební rozpočet" sheetId="1" r:id="rId1"/>
    <sheet name="Výkaz výměr" sheetId="2" r:id="rId2"/>
    <sheet name="Krycí list rozpočtu" sheetId="3" r:id="rId3"/>
    <sheet name="VORN" sheetId="4" state="hidden" r:id="rId4"/>
  </sheets>
  <definedNames>
    <definedName name="vorn_sum">VORN!$I$45</definedName>
  </definedNames>
  <calcPr refMode="A1"/>
</workbook>
</file>

<file path=xl/sharedStrings.xml><?xml version="1.0" encoding="utf-8"?>
<sst xmlns="http://schemas.openxmlformats.org/spreadsheetml/2006/main" count="592" uniqueCount="592">
  <si>
    <t>Slepý stavební rozpočet</t>
  </si>
  <si>
    <t>Název stavby:</t>
  </si>
  <si>
    <t>ZLIV nad Mží - VODOVOD</t>
  </si>
  <si>
    <t>Doba výstavby:</t>
  </si>
  <si>
    <t>153 dní</t>
  </si>
  <si>
    <t>Objednatel:</t>
  </si>
  <si>
    <t>Město Planá, náměstí Svobody 1, 348 15 Planá</t>
  </si>
  <si>
    <t>Druh stavby:</t>
  </si>
  <si>
    <t>Technická infrastruktura - vodovod</t>
  </si>
  <si>
    <t>Začátek výstavby:</t>
  </si>
  <si>
    <t>01.05.2025</t>
  </si>
  <si>
    <t>Projektant:</t>
  </si>
  <si>
    <t>Václav Říha, Tuněchody 9, 349 01 Stříbro</t>
  </si>
  <si>
    <t>Lokalita:</t>
  </si>
  <si>
    <t>Svahy, SO-101 Vestavba technologie ÚV do objektu ATS Svahy</t>
  </si>
  <si>
    <t>Konec výstavby:</t>
  </si>
  <si>
    <t>30.09.2025</t>
  </si>
  <si>
    <t>Zhotovitel:</t>
  </si>
  <si>
    <t> </t>
  </si>
  <si>
    <t>JKSO:</t>
  </si>
  <si>
    <t>8123211</t>
  </si>
  <si>
    <t>Zpracováno dne:</t>
  </si>
  <si>
    <t>30.11.2024</t>
  </si>
  <si>
    <t>Zpracoval:</t>
  </si>
  <si>
    <t>Václav Říha</t>
  </si>
  <si>
    <t>Č</t>
  </si>
  <si>
    <t>Kód</t>
  </si>
  <si>
    <t>Zkrácený popis</t>
  </si>
  <si>
    <t>MJ</t>
  </si>
  <si>
    <t>Množství</t>
  </si>
  <si>
    <t>Cena/MJ</t>
  </si>
  <si>
    <t>Náklady (Kč)</t>
  </si>
  <si>
    <t>Cenová</t>
  </si>
  <si>
    <t>ISWORK</t>
  </si>
  <si>
    <t>GROUPCODE</t>
  </si>
  <si>
    <t>VATTAX</t>
  </si>
  <si>
    <t xml:space="preserve"> </t>
  </si>
  <si>
    <t>Rozměry</t>
  </si>
  <si>
    <t>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</si>
  <si>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</si>
  <si>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</si>
  <si>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</si>
  <si>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</si>
  <si>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</si>
  <si>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</si>
  <si>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</si>
  <si>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</si>
  <si>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</si>
  <si>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</si>
  <si>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</si>
  <si>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</si>
  <si>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</si>
  <si>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</si>
  <si>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</si>
  <si>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</si>
  <si>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/>
  </si>
  <si>
    <t>11</t>
  </si>
  <si>
    <t>Přípravné a přidružené práce</t>
  </si>
  <si>
    <t>1</t>
  </si>
  <si>
    <t>113108315R00</t>
  </si>
  <si>
    <t>Odstranění asfaltové vrstvy pl. do 50 m2, tl.15 cm</t>
  </si>
  <si>
    <t>m2</t>
  </si>
  <si>
    <t>RTS II / 2023</t>
  </si>
  <si>
    <t>11_</t>
  </si>
  <si>
    <t>1_</t>
  </si>
  <si>
    <t>_</t>
  </si>
  <si>
    <t>2</t>
  </si>
  <si>
    <t>119001411R00</t>
  </si>
  <si>
    <t>Dočasné zajištění beton.a plast. potrubí do DN 200 - vodovod</t>
  </si>
  <si>
    <t>m</t>
  </si>
  <si>
    <t>RTS II / 2024</t>
  </si>
  <si>
    <t>3</t>
  </si>
  <si>
    <t>119001421R00</t>
  </si>
  <si>
    <t>Dočasné zajištění kabelů - do počtu 3 kabelů</t>
  </si>
  <si>
    <t>12</t>
  </si>
  <si>
    <t>Odkopávky a prokopávky</t>
  </si>
  <si>
    <t>4</t>
  </si>
  <si>
    <t>121101101R00</t>
  </si>
  <si>
    <t>Sejmutí ornice s přemístěním do 50 m</t>
  </si>
  <si>
    <t>m3</t>
  </si>
  <si>
    <t>12_</t>
  </si>
  <si>
    <t>13</t>
  </si>
  <si>
    <t>Hloubené vykopávky</t>
  </si>
  <si>
    <t>5</t>
  </si>
  <si>
    <t>132201212R00</t>
  </si>
  <si>
    <t>Hloubení rýh š.do 200 cm hor.3 do 1000m3,STROJNĚ</t>
  </si>
  <si>
    <t>13_</t>
  </si>
  <si>
    <t>6</t>
  </si>
  <si>
    <t>132301212R00</t>
  </si>
  <si>
    <t>Hloubení rýh š.do 200 cm hor.4 do 1000 m3, STROJNĚ</t>
  </si>
  <si>
    <t>7</t>
  </si>
  <si>
    <t>133201102R00</t>
  </si>
  <si>
    <t>Hloubení šachet v hor.3 nad 100 m3</t>
  </si>
  <si>
    <t>8</t>
  </si>
  <si>
    <t>133301102R00</t>
  </si>
  <si>
    <t>Hloubení šachet v hor.4 nad 100 m3</t>
  </si>
  <si>
    <t>9</t>
  </si>
  <si>
    <t>130001101R00</t>
  </si>
  <si>
    <t>Příplatek za ztížené hloubení v blízkosti vedení</t>
  </si>
  <si>
    <t>16</t>
  </si>
  <si>
    <t>Přemístění výkopku</t>
  </si>
  <si>
    <t>10</t>
  </si>
  <si>
    <t>162601102R00</t>
  </si>
  <si>
    <t>Vodorovné přemístění výkopku z hor.1-4 do 5000 m - zemina</t>
  </si>
  <si>
    <t>16_</t>
  </si>
  <si>
    <t>162701105R00</t>
  </si>
  <si>
    <t>Vodorovné přemístění odstraněného asfaltu k recyklaci - do 10000 m</t>
  </si>
  <si>
    <t>162702199R00</t>
  </si>
  <si>
    <t>Poplatek za recyklaci odstraněného asfaltového krytu</t>
  </si>
  <si>
    <t>t</t>
  </si>
  <si>
    <t>17</t>
  </si>
  <si>
    <t>Konstrukce ze zemin</t>
  </si>
  <si>
    <t>171206111R00</t>
  </si>
  <si>
    <t>Uložení zemin do násypů předeps. tvarů s urovnáním - skládka</t>
  </si>
  <si>
    <t>17_</t>
  </si>
  <si>
    <t>14</t>
  </si>
  <si>
    <t>174101101R00</t>
  </si>
  <si>
    <t>Zásyp jam, rýh, šachet se zhutněním</t>
  </si>
  <si>
    <t>15</t>
  </si>
  <si>
    <t>175101101R00</t>
  </si>
  <si>
    <t>Obsyp potrubí bez prohození sypaniny</t>
  </si>
  <si>
    <t>18</t>
  </si>
  <si>
    <t>Povrchové úpravy terénu</t>
  </si>
  <si>
    <t>181301102R00</t>
  </si>
  <si>
    <t>Rozprostření ornice, rovina, tl. 10-15 cm,do 500m2</t>
  </si>
  <si>
    <t>18_</t>
  </si>
  <si>
    <t>180401211R00</t>
  </si>
  <si>
    <t>Založení trávníku lučního výsevem v rovině</t>
  </si>
  <si>
    <t>27</t>
  </si>
  <si>
    <t>Základy</t>
  </si>
  <si>
    <t>271531113R00</t>
  </si>
  <si>
    <t>Polštář základu z kameniva hr. drceného 16-32 mm</t>
  </si>
  <si>
    <t>27_</t>
  </si>
  <si>
    <t>2_</t>
  </si>
  <si>
    <t>19</t>
  </si>
  <si>
    <t>273321311R00</t>
  </si>
  <si>
    <t>Železobeton základových desek C 16/20 (B 20)</t>
  </si>
  <si>
    <t>20</t>
  </si>
  <si>
    <t>273361921RT9</t>
  </si>
  <si>
    <t>Výztuž základových desek ze svařovaných sítí</t>
  </si>
  <si>
    <t>45</t>
  </si>
  <si>
    <t>Podkladní a vedlejší konstrukce (inženýr. stavby kromě vozovek a železnič. svršku)</t>
  </si>
  <si>
    <t>21</t>
  </si>
  <si>
    <t>451572111R00</t>
  </si>
  <si>
    <t>Lože pod potrubí z kameniva těženého 0 - 4 mm</t>
  </si>
  <si>
    <t>45_</t>
  </si>
  <si>
    <t>4_</t>
  </si>
  <si>
    <t>56</t>
  </si>
  <si>
    <t>Podkladní vrstvy komunikací a zpevněných ploch</t>
  </si>
  <si>
    <t>22</t>
  </si>
  <si>
    <t>564861111RT4</t>
  </si>
  <si>
    <t>Podklad ze štěrkodrti 0/63 mm po zhutnění tloušťky 20 cm - oprava výkopů</t>
  </si>
  <si>
    <t>56_</t>
  </si>
  <si>
    <t>5_</t>
  </si>
  <si>
    <t>23</t>
  </si>
  <si>
    <t>567122114R00</t>
  </si>
  <si>
    <t>Podklad z kameniva zpev.cementem SC C8/10 tl.15 cm</t>
  </si>
  <si>
    <t>57</t>
  </si>
  <si>
    <t>Kryty pozemních komunikací, letišť a ploch z kameniva nebo živičné</t>
  </si>
  <si>
    <t>24</t>
  </si>
  <si>
    <t>577141112R00</t>
  </si>
  <si>
    <t>Beton asfalt. ACO 11+,nebo ACO 16+,do 3 m, tl.5 cm</t>
  </si>
  <si>
    <t>57_</t>
  </si>
  <si>
    <t>25</t>
  </si>
  <si>
    <t>577161224R00</t>
  </si>
  <si>
    <t>Beton asfalt. ACL 22 ložný, š. do 3 m, tl. 7 cm</t>
  </si>
  <si>
    <t>722</t>
  </si>
  <si>
    <t>Vnitřní vodovod</t>
  </si>
  <si>
    <t>26</t>
  </si>
  <si>
    <t>722300012RA0</t>
  </si>
  <si>
    <t>Rozvody v objektu ATS+ÚV - kompletní technologické rozvody včetně materiálu</t>
  </si>
  <si>
    <t>soubor</t>
  </si>
  <si>
    <t>722_</t>
  </si>
  <si>
    <t>72_</t>
  </si>
  <si>
    <t>724</t>
  </si>
  <si>
    <t>Strojní vybavení</t>
  </si>
  <si>
    <t>724399101R00</t>
  </si>
  <si>
    <t>Denitratační filtr dle tech. specifikace - dodávka a komplet montáž</t>
  </si>
  <si>
    <t>kus</t>
  </si>
  <si>
    <t>724_</t>
  </si>
  <si>
    <t>28</t>
  </si>
  <si>
    <t>724399103R00</t>
  </si>
  <si>
    <t>Dávkovací čerpadlo hyg. zabezpečení dle tech. specifikace - dodávka a komplet montáž</t>
  </si>
  <si>
    <t>29</t>
  </si>
  <si>
    <t>724399104R00</t>
  </si>
  <si>
    <t>Podávací čerpadla nátoku denitratačního filtru dle tech. specifikace - dodávka a komplet montáž</t>
  </si>
  <si>
    <t>30</t>
  </si>
  <si>
    <t>Provozní čerpadla na výstupu ATS dle tech. specifikace - dodávka a komplet montáž</t>
  </si>
  <si>
    <t>767</t>
  </si>
  <si>
    <t>Konstrukce doplňkové stavební (zámečnické)</t>
  </si>
  <si>
    <t>31</t>
  </si>
  <si>
    <t>767221210R00</t>
  </si>
  <si>
    <t>Zámečnické konstrukce ATS kompl. vč. montáže - žebřík do akumulace</t>
  </si>
  <si>
    <t>767_</t>
  </si>
  <si>
    <t>76_</t>
  </si>
  <si>
    <t>783</t>
  </si>
  <si>
    <t>Nátěry</t>
  </si>
  <si>
    <t>32</t>
  </si>
  <si>
    <t>783893232R00</t>
  </si>
  <si>
    <t>Nátěr betonových podlah zpevňující, protiprašný</t>
  </si>
  <si>
    <t>783_</t>
  </si>
  <si>
    <t>78_</t>
  </si>
  <si>
    <t>784</t>
  </si>
  <si>
    <t>Malby</t>
  </si>
  <si>
    <t>33</t>
  </si>
  <si>
    <t>784191201R00</t>
  </si>
  <si>
    <t>Penetrace podkladu hloubková Primalex 1x</t>
  </si>
  <si>
    <t>784_</t>
  </si>
  <si>
    <t>34</t>
  </si>
  <si>
    <t>784195212R00</t>
  </si>
  <si>
    <t>Malba tekutá Primalex Plus, bílá, 2 x</t>
  </si>
  <si>
    <t>85</t>
  </si>
  <si>
    <t>Potrubí z trub litinových</t>
  </si>
  <si>
    <t>35</t>
  </si>
  <si>
    <t>857244121R00</t>
  </si>
  <si>
    <t>Montáž tvarovek litin. odboč. přír. výkop DN 50-80</t>
  </si>
  <si>
    <t>85_</t>
  </si>
  <si>
    <t>8_</t>
  </si>
  <si>
    <t>87</t>
  </si>
  <si>
    <t>Potrubí z trub z plastických hmot, skleněných a čedičových</t>
  </si>
  <si>
    <t>36</t>
  </si>
  <si>
    <t>871181121R00</t>
  </si>
  <si>
    <t>Montáž trubek polyetylenových ve výkopu d 63</t>
  </si>
  <si>
    <t>87_</t>
  </si>
  <si>
    <t>37</t>
  </si>
  <si>
    <t>871313121R00</t>
  </si>
  <si>
    <t>Montáž trub z plastu, gumový kroužek, DN 150</t>
  </si>
  <si>
    <t>38</t>
  </si>
  <si>
    <t>877373121RT3</t>
  </si>
  <si>
    <t>Dodatečné napojení přípojky DN 150 do akumul. jímky</t>
  </si>
  <si>
    <t>89</t>
  </si>
  <si>
    <t>Ostatní konstrukce</t>
  </si>
  <si>
    <t>39</t>
  </si>
  <si>
    <t>894423116R00</t>
  </si>
  <si>
    <t>Osazení prefabrikátů akumulačních jímek - dna</t>
  </si>
  <si>
    <t>89_</t>
  </si>
  <si>
    <t>40</t>
  </si>
  <si>
    <t>894423114R00</t>
  </si>
  <si>
    <t>Osazení prefabrikátů akumulačních jímek - víka</t>
  </si>
  <si>
    <t>41</t>
  </si>
  <si>
    <t>894421111R00</t>
  </si>
  <si>
    <t>Osazení betonových dílců šachet - komínky jímek</t>
  </si>
  <si>
    <t>42</t>
  </si>
  <si>
    <t>894423111RT1</t>
  </si>
  <si>
    <t>Osazení betonových dílců šachet - šachtové dno</t>
  </si>
  <si>
    <t>43</t>
  </si>
  <si>
    <t>894421111RT1</t>
  </si>
  <si>
    <t>Osazení betonových dílců šachet - skruž 250, 500</t>
  </si>
  <si>
    <t>44</t>
  </si>
  <si>
    <t>894421112R00</t>
  </si>
  <si>
    <t>Osazení betonových dílců šachet - skruž 1000</t>
  </si>
  <si>
    <t>894422111RT1</t>
  </si>
  <si>
    <t>Osazení betonových dílců šachet - zákrytová deska</t>
  </si>
  <si>
    <t>46</t>
  </si>
  <si>
    <t>Osazení betonových dílců šachet - konus</t>
  </si>
  <si>
    <t>47</t>
  </si>
  <si>
    <t>Osazení vyrovnávacích prstenců šachet dle DIN 4034</t>
  </si>
  <si>
    <t>48</t>
  </si>
  <si>
    <t>899101111R00</t>
  </si>
  <si>
    <t>Osazení poklopu s rámem do 50 kg</t>
  </si>
  <si>
    <t>49</t>
  </si>
  <si>
    <t>899102111R00</t>
  </si>
  <si>
    <t>Osazení poklopu s rámem do 100 kg</t>
  </si>
  <si>
    <t>50</t>
  </si>
  <si>
    <t>891241111R00</t>
  </si>
  <si>
    <t>Montáž vodovodních šoupátek ve výkopu DN 50</t>
  </si>
  <si>
    <t>51</t>
  </si>
  <si>
    <t>891261111R00</t>
  </si>
  <si>
    <t>Montáž vodovodních šoupátek ve výkopu DN 100</t>
  </si>
  <si>
    <t>52</t>
  </si>
  <si>
    <t>899401112R00</t>
  </si>
  <si>
    <t>Osazení poklopů litinových šoupátkových</t>
  </si>
  <si>
    <t>53</t>
  </si>
  <si>
    <t>899713111R00</t>
  </si>
  <si>
    <t>Orientační tabulky na sloupku ocelovém, včetně sloupku Dl. 2,5 m</t>
  </si>
  <si>
    <t>54</t>
  </si>
  <si>
    <t>899731113R00</t>
  </si>
  <si>
    <t>Vodič signalizační CYY 4 mm2</t>
  </si>
  <si>
    <t>55</t>
  </si>
  <si>
    <t>892681111R00</t>
  </si>
  <si>
    <t>Zkouška zhutnění zásypu statická</t>
  </si>
  <si>
    <t>ks</t>
  </si>
  <si>
    <t>90</t>
  </si>
  <si>
    <t>Hodinové zúčtovací sazby (HZS)</t>
  </si>
  <si>
    <t>900      R04</t>
  </si>
  <si>
    <t>HZS - demontáž stávající technologie ATS, zajištění provizorního zásobování pitnou vodou</t>
  </si>
  <si>
    <t>h</t>
  </si>
  <si>
    <t>90_</t>
  </si>
  <si>
    <t>9_</t>
  </si>
  <si>
    <t>91</t>
  </si>
  <si>
    <t>Doplňující konstrukce a práce pozemních komunikací, letišť a ploch</t>
  </si>
  <si>
    <t>916561111R00</t>
  </si>
  <si>
    <t>Osazení záhon.obrubníků do lože z B 12,5 s opěrou</t>
  </si>
  <si>
    <t>91_</t>
  </si>
  <si>
    <t>58</t>
  </si>
  <si>
    <t>919735113R00</t>
  </si>
  <si>
    <t>Řezání stávajícího živičného krytu tl. 10 - 15 cm</t>
  </si>
  <si>
    <t>59</t>
  </si>
  <si>
    <t>919722212R00</t>
  </si>
  <si>
    <t>Zálivka pracovních spár živičného krytu, za tepla</t>
  </si>
  <si>
    <t>93</t>
  </si>
  <si>
    <t>Různé dokončovací konstrukce a práce inženýrských staveb</t>
  </si>
  <si>
    <t>60</t>
  </si>
  <si>
    <t>931981015R00</t>
  </si>
  <si>
    <t>Těsnění trubních prostupů bentonit.páskou 20x5 mm</t>
  </si>
  <si>
    <t>93_</t>
  </si>
  <si>
    <t>97</t>
  </si>
  <si>
    <t>Prorážení otvorů a ostatní bourací práce</t>
  </si>
  <si>
    <t>61</t>
  </si>
  <si>
    <t>970051100R00</t>
  </si>
  <si>
    <t>Vrtání jádrové do ŽB do D 100 mm</t>
  </si>
  <si>
    <t>97_</t>
  </si>
  <si>
    <t>62</t>
  </si>
  <si>
    <t>970051200R00</t>
  </si>
  <si>
    <t>Vrtání jádrové do ŽB do D 200 mm</t>
  </si>
  <si>
    <t>M21</t>
  </si>
  <si>
    <t>Elektromontáže</t>
  </si>
  <si>
    <t>63</t>
  </si>
  <si>
    <t>210100010RAA</t>
  </si>
  <si>
    <t>Kabelová projení objektu ATS+ÚV a VDJ, kabely CYKY 4x10 + CYKY 5x1,5 v kabelové chráničce</t>
  </si>
  <si>
    <t>M21_</t>
  </si>
  <si>
    <t>64</t>
  </si>
  <si>
    <t>210190041RU5</t>
  </si>
  <si>
    <t>Elekromontáže v objektu ATS+ÚV - technologický rozvaděč + rozvody a instalace</t>
  </si>
  <si>
    <t>M46</t>
  </si>
  <si>
    <t>Zemní práce při montážích</t>
  </si>
  <si>
    <t>65</t>
  </si>
  <si>
    <t>460200153RT1</t>
  </si>
  <si>
    <t>Výkop kabelové rýhy 35/70 cm  hor.3</t>
  </si>
  <si>
    <t>M46_</t>
  </si>
  <si>
    <t>66</t>
  </si>
  <si>
    <t>460420010RT1</t>
  </si>
  <si>
    <t>Zřízení kabelového lože v rýze š.do 15 cm z písku</t>
  </si>
  <si>
    <t>67</t>
  </si>
  <si>
    <t>460490012RT1</t>
  </si>
  <si>
    <t>Fólie výstražná z PVC, šířka 33 cm</t>
  </si>
  <si>
    <t>68</t>
  </si>
  <si>
    <t>460300002RT1</t>
  </si>
  <si>
    <t>Záhrn rýh strojem ve volném terénu</t>
  </si>
  <si>
    <t>69</t>
  </si>
  <si>
    <t>460300006RT1</t>
  </si>
  <si>
    <t>Hutnění zeminy po vrstvách 20 cm</t>
  </si>
  <si>
    <t>70</t>
  </si>
  <si>
    <t>460680022RT4</t>
  </si>
  <si>
    <t>Průraz zdivem v cihlové zdi tloušťky 30 cm</t>
  </si>
  <si>
    <t>M</t>
  </si>
  <si>
    <t>Ostatní materiál</t>
  </si>
  <si>
    <t>71</t>
  </si>
  <si>
    <t>59226100</t>
  </si>
  <si>
    <t>Prefabrikáty vnější akumulační jímky odpadní vody - např. SL 215-8,6</t>
  </si>
  <si>
    <t>0</t>
  </si>
  <si>
    <t>Z99999_</t>
  </si>
  <si>
    <t>Z_</t>
  </si>
  <si>
    <t>72</t>
  </si>
  <si>
    <t>Prefabrikáty vnější akumulační jímky surové vody - např. SL 150-5,9</t>
  </si>
  <si>
    <t>73</t>
  </si>
  <si>
    <t>59224367.AR</t>
  </si>
  <si>
    <t>Dno šachetní TBZ-Q 1000/500 - DN 150, PVC-KG</t>
  </si>
  <si>
    <t>74</t>
  </si>
  <si>
    <t>59224364.A</t>
  </si>
  <si>
    <t>Skruž šachtová TBS-Q 100/100/12 SP</t>
  </si>
  <si>
    <t>75</t>
  </si>
  <si>
    <t>59224152</t>
  </si>
  <si>
    <t>Skruž šachtová TBS-Q 100/50/12 SP</t>
  </si>
  <si>
    <t>76</t>
  </si>
  <si>
    <t>59224150</t>
  </si>
  <si>
    <t>Skruž šachtová TBS-Q 100/25/12 SP</t>
  </si>
  <si>
    <t>77</t>
  </si>
  <si>
    <t>59224355.A</t>
  </si>
  <si>
    <t>Deska zákrytová přechodová TZK-Q1000(600)/200</t>
  </si>
  <si>
    <t>78</t>
  </si>
  <si>
    <t>59224172</t>
  </si>
  <si>
    <t>Skruž přechodová TBR-Q 100/60/12/SPK</t>
  </si>
  <si>
    <t>79</t>
  </si>
  <si>
    <t>59224346</t>
  </si>
  <si>
    <t>Prstenec vyrovnávací TBW-Q 625/40/120</t>
  </si>
  <si>
    <t>80</t>
  </si>
  <si>
    <t>59224175</t>
  </si>
  <si>
    <t>Prstenec vyrovnávací TBW-Q 625/60/120</t>
  </si>
  <si>
    <t>81</t>
  </si>
  <si>
    <t>59224176</t>
  </si>
  <si>
    <t>Prstenec vyrovnávací TBW-Q 625/80/120</t>
  </si>
  <si>
    <t>82</t>
  </si>
  <si>
    <t>59224349.AR</t>
  </si>
  <si>
    <t>Prstenec vyrovnávací TBW-Q 625/100/120</t>
  </si>
  <si>
    <t>83</t>
  </si>
  <si>
    <t>55243344.A</t>
  </si>
  <si>
    <t>Poklop litinový d600 mm bez odvětrání, zatížení B125</t>
  </si>
  <si>
    <t>84</t>
  </si>
  <si>
    <t>28697445</t>
  </si>
  <si>
    <t>Poklop kompozitní s odv. komínkem, 700x700x40 mm</t>
  </si>
  <si>
    <t>59217509</t>
  </si>
  <si>
    <t>Obrubník parkový přírodní 500x50x200 mm</t>
  </si>
  <si>
    <t>86</t>
  </si>
  <si>
    <t>286134321</t>
  </si>
  <si>
    <t>Trubka vodovodní PE100 RC-2 s ochr. vrstvou, SDR 11, PN 16, 63x5,8 mm</t>
  </si>
  <si>
    <t>286134129</t>
  </si>
  <si>
    <t>Trubka vodovodní PE100RC-1, SDR 11, PN 16, 90x8,2 mm</t>
  </si>
  <si>
    <t>88</t>
  </si>
  <si>
    <t>286134133</t>
  </si>
  <si>
    <t>Trubka vodovodní PE100RC-1, SDR 11, PN 16, 110x10,0 mm</t>
  </si>
  <si>
    <t>286538005</t>
  </si>
  <si>
    <t>Elektrotvarovka - spojka d63, SDR 11, PE 100</t>
  </si>
  <si>
    <t>286538109</t>
  </si>
  <si>
    <t>Elektrotvarovka - koleno 45° d63, SDR 11, PE 100</t>
  </si>
  <si>
    <t>28653596</t>
  </si>
  <si>
    <t>Nákružek lemový tlakový PEHD d63 mm + příruba DN 50</t>
  </si>
  <si>
    <t>92</t>
  </si>
  <si>
    <t>28650102</t>
  </si>
  <si>
    <t>Tvarovka tlaková PVC příruba přesuvná ENPL DN 100 mm</t>
  </si>
  <si>
    <t>42227202</t>
  </si>
  <si>
    <t>Šoupátko přírubové DN 50 měkcetěsnící, F4, PN 10, č. 4000E1CZ</t>
  </si>
  <si>
    <t>94</t>
  </si>
  <si>
    <t>42227205</t>
  </si>
  <si>
    <t>Šoupátko přírubové DN 100 měkcetěsnící, F4, PN 10, č. 4000E1CZ</t>
  </si>
  <si>
    <t>95</t>
  </si>
  <si>
    <t>552599932</t>
  </si>
  <si>
    <t>Litinová přírubová odbočka T DN 50/50, tvárná litina</t>
  </si>
  <si>
    <t>96</t>
  </si>
  <si>
    <t>422935320</t>
  </si>
  <si>
    <t>Spojka Synoflex s přírubou č.7994, DN 50</t>
  </si>
  <si>
    <t>55260046</t>
  </si>
  <si>
    <t>Příruba zaslepovací XG DN50mm, vnitř. závit 2"</t>
  </si>
  <si>
    <t>98</t>
  </si>
  <si>
    <t>42291020</t>
  </si>
  <si>
    <t>Souprava zemní teleskopická 1,3-1,8 m pro šoupátka DN 50, č. 9500E1CZ</t>
  </si>
  <si>
    <t>99</t>
  </si>
  <si>
    <t>422913308</t>
  </si>
  <si>
    <t>Souprava zemní teleskopická 1,3-1,8 m pro šoupátka DN 100, č.9500E1CZ</t>
  </si>
  <si>
    <t>100</t>
  </si>
  <si>
    <t>42291352</t>
  </si>
  <si>
    <t>Poklop litinový šoupátkový</t>
  </si>
  <si>
    <t>101</t>
  </si>
  <si>
    <t>592110050000</t>
  </si>
  <si>
    <t>Podkladní deska šoupatového poklopu</t>
  </si>
  <si>
    <t>102</t>
  </si>
  <si>
    <t>27322613</t>
  </si>
  <si>
    <t>Těsnění ploché přírubových spojů DN 50</t>
  </si>
  <si>
    <t>103</t>
  </si>
  <si>
    <t>27322619</t>
  </si>
  <si>
    <t>Těsnění ploché přírubových spojů DN 100</t>
  </si>
  <si>
    <t>104</t>
  </si>
  <si>
    <t>309001160000</t>
  </si>
  <si>
    <t>Šroub M16x80 mm + matice M16 nerez A2</t>
  </si>
  <si>
    <t>105</t>
  </si>
  <si>
    <t>311240220000</t>
  </si>
  <si>
    <t>Podložka nerez M16, A2</t>
  </si>
  <si>
    <t>106</t>
  </si>
  <si>
    <t>28611141.A</t>
  </si>
  <si>
    <t>Trubka kanalizační KGEM SN 4 PVC 110x3,2x1000 mm</t>
  </si>
  <si>
    <t>107</t>
  </si>
  <si>
    <t>28611142.A</t>
  </si>
  <si>
    <t>Trubka kanalizační KGEM SN 4 PVC 110x3,2x2000 mm</t>
  </si>
  <si>
    <t>108</t>
  </si>
  <si>
    <t>28651650.A</t>
  </si>
  <si>
    <t>Koleno kanalizační KGB 110/ 45° PVC</t>
  </si>
  <si>
    <t>109</t>
  </si>
  <si>
    <t>28611260.A</t>
  </si>
  <si>
    <t>Trubka kanalizační KGEM SN 8 PVC 160x4,7x1000</t>
  </si>
  <si>
    <t>110</t>
  </si>
  <si>
    <t>28611262.A</t>
  </si>
  <si>
    <t>Trubka kanalizační KGEM SN 8 PVC 160x4,7x5000</t>
  </si>
  <si>
    <t>111</t>
  </si>
  <si>
    <t>58337320R</t>
  </si>
  <si>
    <t>Štěrkopísek nebo recyklát frakce 0-8</t>
  </si>
  <si>
    <t>T</t>
  </si>
  <si>
    <t>VORN</t>
  </si>
  <si>
    <t>Vedlejší a ostatní rozpočtové náklady</t>
  </si>
  <si>
    <t>01VRN</t>
  </si>
  <si>
    <t>Průzkumy, geodetické a projektové práce</t>
  </si>
  <si>
    <t>112</t>
  </si>
  <si>
    <t>012002VRN</t>
  </si>
  <si>
    <t>Geodetické práce - vytýčení a zaměření stavby, skutečné provedení</t>
  </si>
  <si>
    <t>Soubor</t>
  </si>
  <si>
    <t>RTS I / 2023</t>
  </si>
  <si>
    <t>01VRN_</t>
  </si>
  <si>
    <t>Â _</t>
  </si>
  <si>
    <t>03VRN</t>
  </si>
  <si>
    <t>Zařízení staveniště</t>
  </si>
  <si>
    <t>113</t>
  </si>
  <si>
    <t>030001VRN</t>
  </si>
  <si>
    <t>03VRN_</t>
  </si>
  <si>
    <t>04VRN</t>
  </si>
  <si>
    <t>Inženýrské činnosti</t>
  </si>
  <si>
    <t>114</t>
  </si>
  <si>
    <t>043002VRN</t>
  </si>
  <si>
    <t>Komplexní provozní zkouška technologie ATS+ÚV, včetně laboratotního rozboru</t>
  </si>
  <si>
    <t>04VRN_</t>
  </si>
  <si>
    <t>115</t>
  </si>
  <si>
    <t>044002VRN</t>
  </si>
  <si>
    <t>Výchozí revize elektroinstalace</t>
  </si>
  <si>
    <t>06VRN</t>
  </si>
  <si>
    <t>Územní vlivy</t>
  </si>
  <si>
    <t>116</t>
  </si>
  <si>
    <t>062002VRN</t>
  </si>
  <si>
    <t>Dopravní vlivy - dopravní opatření + DIO</t>
  </si>
  <si>
    <t>06VRN_</t>
  </si>
  <si>
    <t>Celkem:</t>
  </si>
  <si>
    <t>Poznámka:</t>
  </si>
  <si>
    <t>Výkaz výměr</t>
  </si>
  <si>
    <t>Objekt</t>
  </si>
  <si>
    <t>Potřebné množství</t>
  </si>
  <si>
    <t>10*1,2</t>
  </si>
  <si>
    <t>(51*2,0+24*2,0+74*1,0+3,0*4,0+3,0*4,0)*0,15</t>
  </si>
  <si>
    <t>(61*0,80*1,64+24*0,80*1,35)*0,40</t>
  </si>
  <si>
    <t>(61*0,80*1,64+24*0,80*1,35)*0,60</t>
  </si>
  <si>
    <t>(3,0*2,5*2,15+3,0*2,5*2,80)*0,40</t>
  </si>
  <si>
    <t>(3,0*2,5*2,15+3,0*2,5*2,80)*0,60</t>
  </si>
  <si>
    <t>15*0,8*1,35</t>
  </si>
  <si>
    <t>52,97+79,46+10,5+8,32+12,48-59,9-41,47+1,36+13,28</t>
  </si>
  <si>
    <t>12*0,15</t>
  </si>
  <si>
    <t>12*0,15*2,5</t>
  </si>
  <si>
    <t>42,38+63,57+14,85+22,27-91,66</t>
  </si>
  <si>
    <t>42,38+63,57+14,85+22,27-8,28-14,12-8,20-(2,55*2,05*1,74+2,55*2,05*2,24)</t>
  </si>
  <si>
    <t>61*0,8*0,25+24*0,8*0,1</t>
  </si>
  <si>
    <t>51*2,0+24*2,0+74*1,0+3,0*4,0+3,0*4,0</t>
  </si>
  <si>
    <t>248</t>
  </si>
  <si>
    <t>2*(3,0*2,5*0,10)</t>
  </si>
  <si>
    <t>2*(2,85*2,35*0,15)</t>
  </si>
  <si>
    <t>0,25</t>
  </si>
  <si>
    <t>61*0,8*0,15+24*0,8*0,05</t>
  </si>
  <si>
    <t>10*0,8</t>
  </si>
  <si>
    <t>10*1,0</t>
  </si>
  <si>
    <t>3,1*4,15</t>
  </si>
  <si>
    <t>3,10*4,15+((2*4,15+2*3,10)*2,50)</t>
  </si>
  <si>
    <t>2*24</t>
  </si>
  <si>
    <t>2+1</t>
  </si>
  <si>
    <t>98*0,35*0,55</t>
  </si>
  <si>
    <t>18,86</t>
  </si>
  <si>
    <t>18*2</t>
  </si>
  <si>
    <t>8*4+2*8</t>
  </si>
  <si>
    <t>(8*4+2*8)*2</t>
  </si>
  <si>
    <t>14,12*1,8</t>
  </si>
  <si>
    <t>Krycí list slepého rozpočtu</t>
  </si>
  <si>
    <t>IČO/DIČ:</t>
  </si>
  <si>
    <t>00260096/CZ00260096</t>
  </si>
  <si>
    <t>61130494/CZ7305252306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</si>
  <si>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</si>
  <si>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</si>
  <si>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</si>
  <si>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</si>
  <si>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</si>
  <si>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</si>
  <si>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</si>
  <si>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</si>
  <si>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</si>
  <si>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</si>
  <si>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</si>
  <si>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</si>
  <si>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Bez pevné podl.</t>
  </si>
  <si>
    <t>Mimostav. doprava</t>
  </si>
  <si>
    <t>PSV</t>
  </si>
  <si>
    <t>Kulturní památka</t>
  </si>
  <si>
    <t>Provozní vlivy</t>
  </si>
  <si>
    <t>"M"</t>
  </si>
  <si>
    <t>Ostatní</t>
  </si>
  <si>
    <t>NUS z rozpočtu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</si>
  <si>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</si>
  <si>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</si>
  <si>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</si>
  <si>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</si>
  <si>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</si>
  <si>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</si>
  <si>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</si>
  <si>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</si>
  <si>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</si>
  <si>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</si>
  <si>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</si>
  <si>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</si>
  <si>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</si>
  <si>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</si>
  <si>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</si>
  <si>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</si>
  <si>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</si>
  <si>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</si>
  <si>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</si>
  <si>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rozpočtové náklady VRN</t>
  </si>
  <si>
    <t>Doplňkové náklady DN</t>
  </si>
  <si>
    <t>Kč</t>
  </si>
  <si>
    <t>%</t>
  </si>
  <si>
    <t>Základna</t>
  </si>
  <si>
    <t>Celkem DN</t>
  </si>
  <si>
    <t>Celkem NUS</t>
  </si>
  <si>
    <t>Celkem VRN</t>
  </si>
  <si>
    <t>Vedlejší a ostatní rozpočtové náklady VORN</t>
  </si>
  <si>
    <t>Ostatní rozpočtové náklady (VORN)</t>
  </si>
  <si>
    <t>Příprava staveniště</t>
  </si>
  <si>
    <t>Finanční náklady</t>
  </si>
  <si>
    <t>Náklady na pracovníky</t>
  </si>
  <si>
    <t>Ostatní náklady</t>
  </si>
  <si>
    <t>Vlastní VORN</t>
  </si>
  <si>
    <t>Celkem VORN</t>
  </si>
</sst>
</file>

<file path=xl/styles.xml><?xml version="1.0" encoding="utf-8"?>
<styleSheet xmlns="http://schemas.openxmlformats.org/spreadsheetml/2006/main">
  <numFmts count="0"/>
  <fonts count="11">
    <font>
      <sz val="11"/>
      <name val="Calibri"/>
      <charset val="1"/>
    </font>
    <font>
      <color rgb="FF000000"/>
      <sz val="18"/>
      <name val="Arial"/>
      <charset val="238"/>
    </font>
    <font>
      <color rgb="FF000000"/>
      <sz val="10"/>
      <name val="Arial"/>
      <charset val="238"/>
      <b/>
    </font>
    <font>
      <color rgb="FF000000"/>
      <sz val="10"/>
      <name val="Arial"/>
      <charset val="238"/>
    </font>
    <font>
      <color rgb="FF000000"/>
      <sz val="8"/>
      <name val="Arial"/>
      <charset val="238"/>
      <i/>
    </font>
    <font>
      <color rgb="FF000000"/>
      <sz val="9"/>
      <name val="Arial"/>
      <charset val="238"/>
      <i/>
    </font>
    <font>
      <color rgb="FF000000"/>
      <sz val="18"/>
      <name val="Arial"/>
      <charset val="238"/>
      <b/>
    </font>
    <font>
      <color rgb="FF000000"/>
      <sz val="20"/>
      <name val="Arial"/>
      <charset val="238"/>
      <b/>
    </font>
    <font>
      <color rgb="FF000000"/>
      <sz val="11"/>
      <name val="Arial"/>
      <charset val="238"/>
      <b/>
    </font>
    <font>
      <color rgb="FF000000"/>
      <sz val="12"/>
      <name val="Arial"/>
      <charset val="238"/>
      <b/>
    </font>
    <font>
      <color rgb="FF000000"/>
      <sz val="12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borderId="0" fillId="0" fontId="0" numFmtId="0"/>
  </cellStyleXfs>
  <cellXfs count="15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8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1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1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2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3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4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6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7" fillId="0" fontId="2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9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2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0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2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2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4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9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0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1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32" fillId="0" fontId="5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33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3" numFmtId="1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1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2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8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2" fontId="7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0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2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4" fillId="0" fontId="10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5" fillId="0" fontId="10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6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7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4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2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3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8" fillId="2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1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2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3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4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5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6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7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8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69" fillId="0" fontId="10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29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5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58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9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47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1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2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3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4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8" fillId="0" fontId="2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5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79" fillId="0" fontId="9" numFmtId="4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6" fillId="0" fontId="9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77" fillId="0" fontId="9" numFmtId="0" xfId="0">
      <alignment horizontal="right" vertical="center" textRotation="0" shrinkToFit="false" wrapText="false"/>
      <protection hidden="false" locked="true"/>
    </xf>
  </cellXfs>
  <dxfs count="0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/xl/media/image1.jpeg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4.xml><?xml version="1.0" encoding="utf-8"?>
<xdr:wsDr xmlns:a="http://schemas.openxmlformats.org/drawingml/2006/main" xmlns:xdr="http://schemas.openxmlformats.org/drawingml/2006/spreadsheetDrawing">
  <xdr:absoluteAnchor>
    <xdr:pos x="0" y="0"/>
    <xdr:ext cx="666750" cy="666750"/>
    <xdr:pic>
      <xdr:nvPicPr>
        <xdr:cNvPr id="1" name="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BX160"/>
  <sheetViews>
    <sheetView workbookViewId="0" tabSelected="true" showZeros="true" showFormulas="false" showGridLines="true" showRowColHeaders="true">
      <pane topLeftCell="A12" state="frozen" activePane="bottomLeft" ySplit="11"/>
      <selection pane="bottomLeft" sqref="A160:K160" activeCell="A160"/>
    </sheetView>
  </sheetViews>
  <sheetFormatPr defaultColWidth="12.140625" customHeight="true" defaultRowHeight="15"/>
  <cols>
    <col max="1" min="1" style="0" width="3.99609375" customWidth="true"/>
    <col max="2" min="2" style="0" width="17.85546875" customWidth="true"/>
    <col max="3" min="3" style="0" width="42.85546875" customWidth="true"/>
    <col max="4" min="4" style="0" width="35.7109375" customWidth="true"/>
    <col max="5" min="5" style="0" width="6.7109375" customWidth="true"/>
    <col max="6" min="6" style="0" width="12.85546875" customWidth="true"/>
    <col max="7" min="7" style="0" width="12" customWidth="true"/>
    <col max="10" min="8" style="0" width="15.7109375" customWidth="true"/>
    <col max="11" min="11" style="0" width="13.42578125" customWidth="true"/>
    <col max="75" min="25" style="0" width="12.140625" hidden="true"/>
    <col max="76" min="76" style="0" width="78.5703125" customWidth="true" hidden="true"/>
    <col max="78" min="77" style="0" width="12.140625" hidden="true"/>
  </cols>
  <sheetData>
    <row r="1" customHeight="true" ht="54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S1" s="2">
        <f>SUM(AJ1:AJ2)</f>
      </c>
      <c r="AT1" s="2">
        <f>SUM(AK1:AK2)</f>
      </c>
      <c r="AU1" s="2">
        <f>SUM(AL1:AL2)</f>
      </c>
    </row>
    <row r="2">
      <c r="A2" s="3" t="s">
        <v>1</v>
      </c>
      <c r="B2" s="4"/>
      <c r="C2" s="5" t="s">
        <v>2</v>
      </c>
      <c r="D2" s="6"/>
      <c r="E2" s="4" t="s">
        <v>3</v>
      </c>
      <c r="F2" s="4"/>
      <c r="G2" s="4" t="s">
        <v>4</v>
      </c>
      <c r="H2" s="7" t="s">
        <v>5</v>
      </c>
      <c r="I2" s="7" t="s">
        <v>6</v>
      </c>
      <c r="J2" s="4"/>
      <c r="K2" s="8"/>
    </row>
    <row r="3">
      <c r="A3" s="9"/>
      <c r="B3" s="10"/>
      <c r="C3" s="11"/>
      <c r="D3" s="11"/>
      <c r="E3" s="10"/>
      <c r="F3" s="10"/>
      <c r="G3" s="10"/>
      <c r="H3" s="10"/>
      <c r="I3" s="10"/>
      <c r="J3" s="10"/>
      <c r="K3" s="12"/>
    </row>
    <row r="4">
      <c r="A4" s="13" t="s">
        <v>7</v>
      </c>
      <c r="B4" s="10"/>
      <c r="C4" s="14" t="s">
        <v>8</v>
      </c>
      <c r="D4" s="10"/>
      <c r="E4" s="10" t="s">
        <v>9</v>
      </c>
      <c r="F4" s="10"/>
      <c r="G4" s="10" t="s">
        <v>10</v>
      </c>
      <c r="H4" s="14" t="s">
        <v>11</v>
      </c>
      <c r="I4" s="14" t="s">
        <v>12</v>
      </c>
      <c r="J4" s="10"/>
      <c r="K4" s="12"/>
    </row>
    <row r="5">
      <c r="A5" s="9"/>
      <c r="B5" s="10"/>
      <c r="C5" s="10"/>
      <c r="D5" s="10"/>
      <c r="E5" s="10"/>
      <c r="F5" s="10"/>
      <c r="G5" s="10"/>
      <c r="H5" s="10"/>
      <c r="I5" s="10"/>
      <c r="J5" s="10"/>
      <c r="K5" s="12"/>
    </row>
    <row r="6">
      <c r="A6" s="13" t="s">
        <v>13</v>
      </c>
      <c r="B6" s="10"/>
      <c r="C6" s="14" t="s">
        <v>14</v>
      </c>
      <c r="D6" s="10"/>
      <c r="E6" s="10" t="s">
        <v>15</v>
      </c>
      <c r="F6" s="10"/>
      <c r="G6" s="10" t="s">
        <v>16</v>
      </c>
      <c r="H6" s="14" t="s">
        <v>17</v>
      </c>
      <c r="I6" s="10" t="s">
        <v>18</v>
      </c>
      <c r="J6" s="10"/>
      <c r="K6" s="12"/>
    </row>
    <row r="7">
      <c r="A7" s="9"/>
      <c r="B7" s="10"/>
      <c r="C7" s="10"/>
      <c r="D7" s="10"/>
      <c r="E7" s="10"/>
      <c r="F7" s="10"/>
      <c r="G7" s="10"/>
      <c r="H7" s="10"/>
      <c r="I7" s="10"/>
      <c r="J7" s="10"/>
      <c r="K7" s="12"/>
    </row>
    <row r="8">
      <c r="A8" s="13" t="s">
        <v>19</v>
      </c>
      <c r="B8" s="10"/>
      <c r="C8" s="14" t="s">
        <v>20</v>
      </c>
      <c r="D8" s="10"/>
      <c r="E8" s="10" t="s">
        <v>21</v>
      </c>
      <c r="F8" s="10"/>
      <c r="G8" s="10" t="s">
        <v>22</v>
      </c>
      <c r="H8" s="14" t="s">
        <v>23</v>
      </c>
      <c r="I8" s="14" t="s">
        <v>24</v>
      </c>
      <c r="J8" s="10"/>
      <c r="K8" s="12"/>
    </row>
    <row r="9">
      <c r="A9" s="15"/>
      <c r="B9" s="16"/>
      <c r="C9" s="16"/>
      <c r="D9" s="16"/>
      <c r="E9" s="16"/>
      <c r="F9" s="16"/>
      <c r="G9" s="16"/>
      <c r="H9" s="16"/>
      <c r="I9" s="16"/>
      <c r="J9" s="16"/>
      <c r="K9" s="17"/>
    </row>
    <row r="10">
      <c r="A10" s="18" t="s">
        <v>25</v>
      </c>
      <c r="B10" s="19" t="s">
        <v>26</v>
      </c>
      <c r="C10" s="20" t="s">
        <v>27</v>
      </c>
      <c r="D10" s="21"/>
      <c r="E10" s="19" t="s">
        <v>28</v>
      </c>
      <c r="F10" s="22" t="s">
        <v>29</v>
      </c>
      <c r="G10" s="23" t="s">
        <v>30</v>
      </c>
      <c r="H10" s="24" t="s">
        <v>31</v>
      </c>
      <c r="I10" s="25"/>
      <c r="J10" s="26"/>
      <c r="K10" s="27" t="s">
        <v>32</v>
      </c>
      <c r="BK10" s="28" t="s">
        <v>33</v>
      </c>
      <c r="BL10" s="29" t="s">
        <v>34</v>
      </c>
      <c r="BW10" s="29" t="s">
        <v>35</v>
      </c>
    </row>
    <row r="11">
      <c r="A11" s="30" t="s">
        <v>36</v>
      </c>
      <c r="B11" s="31" t="s">
        <v>36</v>
      </c>
      <c r="C11" s="32" t="s">
        <v>37</v>
      </c>
      <c r="D11" s="33"/>
      <c r="E11" s="31" t="s">
        <v>36</v>
      </c>
      <c r="F11" s="31" t="s">
        <v>36</v>
      </c>
      <c r="G11" s="34" t="s">
        <v>38</v>
      </c>
      <c r="H11" s="35" t="s">
        <v>39</v>
      </c>
      <c r="I11" s="36" t="s">
        <v>40</v>
      </c>
      <c r="J11" s="37" t="s">
        <v>41</v>
      </c>
      <c r="K11" s="38" t="s">
        <v>42</v>
      </c>
      <c r="Z11" s="28" t="s">
        <v>43</v>
      </c>
      <c r="AA11" s="28" t="s">
        <v>44</v>
      </c>
      <c r="AB11" s="28" t="s">
        <v>45</v>
      </c>
      <c r="AC11" s="28" t="s">
        <v>46</v>
      </c>
      <c r="AD11" s="28" t="s">
        <v>47</v>
      </c>
      <c r="AE11" s="28" t="s">
        <v>48</v>
      </c>
      <c r="AF11" s="28" t="s">
        <v>49</v>
      </c>
      <c r="AG11" s="28" t="s">
        <v>50</v>
      </c>
      <c r="AH11" s="28" t="s">
        <v>51</v>
      </c>
      <c r="BH11" s="28" t="s">
        <v>52</v>
      </c>
      <c r="BI11" s="28" t="s">
        <v>53</v>
      </c>
      <c r="BJ11" s="28" t="s">
        <v>54</v>
      </c>
    </row>
    <row r="12">
      <c r="A12" s="39" t="s">
        <v>55</v>
      </c>
      <c r="B12" s="40" t="s">
        <v>56</v>
      </c>
      <c r="C12" s="41" t="s">
        <v>57</v>
      </c>
      <c r="D12" s="40"/>
      <c r="E12" s="42" t="s">
        <v>36</v>
      </c>
      <c r="F12" s="42" t="s">
        <v>36</v>
      </c>
      <c r="G12" s="42" t="s">
        <v>36</v>
      </c>
      <c r="H12" s="43">
        <f>SUM(H13:H15)</f>
      </c>
      <c r="I12" s="43">
        <f>SUM(I13:I15)</f>
      </c>
      <c r="J12" s="43">
        <f>SUM(J13:J15)</f>
      </c>
      <c r="K12" s="44" t="s">
        <v>55</v>
      </c>
      <c r="AI12" s="28" t="s">
        <v>55</v>
      </c>
      <c r="AS12" s="2">
        <f>SUM(AJ13:AJ15)</f>
      </c>
      <c r="AT12" s="2">
        <f>SUM(AK13:AK15)</f>
      </c>
      <c r="AU12" s="2">
        <f>SUM(AL13:AL15)</f>
      </c>
    </row>
    <row r="13">
      <c r="A13" s="9" t="s">
        <v>58</v>
      </c>
      <c r="B13" s="10" t="s">
        <v>59</v>
      </c>
      <c r="C13" s="14" t="s">
        <v>60</v>
      </c>
      <c r="D13" s="10"/>
      <c r="E13" s="10" t="s">
        <v>61</v>
      </c>
      <c r="F13" s="45" t="n">
        <v>12</v>
      </c>
      <c r="G13" s="45" t="n">
        <v>0</v>
      </c>
      <c r="H13" s="45">
        <f>F13*AO13</f>
      </c>
      <c r="I13" s="45">
        <f>F13*AP13</f>
      </c>
      <c r="J13" s="45">
        <f>F13*G13</f>
      </c>
      <c r="K13" s="46" t="s">
        <v>62</v>
      </c>
      <c r="Z13" s="45">
        <f>IF(AQ13="5",BJ13,0)</f>
      </c>
      <c r="AB13" s="45">
        <f>IF(AQ13="1",BH13,0)</f>
      </c>
      <c r="AC13" s="45">
        <f>IF(AQ13="1",BI13,0)</f>
      </c>
      <c r="AD13" s="45">
        <f>IF(AQ13="7",BH13,0)</f>
      </c>
      <c r="AE13" s="45">
        <f>IF(AQ13="7",BI13,0)</f>
      </c>
      <c r="AF13" s="45">
        <f>IF(AQ13="2",BH13,0)</f>
      </c>
      <c r="AG13" s="45">
        <f>IF(AQ13="2",BI13,0)</f>
      </c>
      <c r="AH13" s="45">
        <f>IF(AQ13="0",BJ13,0)</f>
      </c>
      <c r="AI13" s="28" t="s">
        <v>55</v>
      </c>
      <c r="AJ13" s="45">
        <f>IF(AN13=0,J13,0)</f>
      </c>
      <c r="AK13" s="45">
        <f>IF(AN13=12,J13,0)</f>
      </c>
      <c r="AL13" s="45">
        <f>IF(AN13=21,J13,0)</f>
      </c>
      <c r="AN13" s="45" t="n">
        <v>21</v>
      </c>
      <c r="AO13" s="45">
        <f>G13*0</f>
      </c>
      <c r="AP13" s="45">
        <f>G13*(1-0)</f>
      </c>
      <c r="AQ13" s="47" t="s">
        <v>58</v>
      </c>
      <c r="AV13" s="45">
        <f>AW13+AX13</f>
      </c>
      <c r="AW13" s="45">
        <f>F13*AO13</f>
      </c>
      <c r="AX13" s="45">
        <f>F13*AP13</f>
      </c>
      <c r="AY13" s="47" t="s">
        <v>63</v>
      </c>
      <c r="AZ13" s="47" t="s">
        <v>64</v>
      </c>
      <c r="BA13" s="28" t="s">
        <v>65</v>
      </c>
      <c r="BC13" s="45">
        <f>AW13+AX13</f>
      </c>
      <c r="BD13" s="45">
        <f>G13/(100-BE13)*100</f>
      </c>
      <c r="BE13" s="45" t="n">
        <v>0</v>
      </c>
      <c r="BF13" s="45">
        <f>13</f>
      </c>
      <c r="BH13" s="45">
        <f>F13*AO13</f>
      </c>
      <c r="BI13" s="45">
        <f>F13*AP13</f>
      </c>
      <c r="BJ13" s="45">
        <f>F13*G13</f>
      </c>
      <c r="BK13" s="45"/>
      <c r="BL13" s="45" t="n">
        <v>11</v>
      </c>
      <c r="BW13" s="45" t="n">
        <v>21</v>
      </c>
      <c r="BX13" s="14" t="s">
        <v>60</v>
      </c>
    </row>
    <row r="14">
      <c r="A14" s="9" t="s">
        <v>66</v>
      </c>
      <c r="B14" s="10" t="s">
        <v>67</v>
      </c>
      <c r="C14" s="14" t="s">
        <v>68</v>
      </c>
      <c r="D14" s="10"/>
      <c r="E14" s="10" t="s">
        <v>69</v>
      </c>
      <c r="F14" s="45" t="n">
        <v>8</v>
      </c>
      <c r="G14" s="45" t="n">
        <v>0</v>
      </c>
      <c r="H14" s="45">
        <f>F14*AO14</f>
      </c>
      <c r="I14" s="45">
        <f>F14*AP14</f>
      </c>
      <c r="J14" s="45">
        <f>F14*G14</f>
      </c>
      <c r="K14" s="46" t="s">
        <v>70</v>
      </c>
      <c r="Z14" s="45">
        <f>IF(AQ14="5",BJ14,0)</f>
      </c>
      <c r="AB14" s="45">
        <f>IF(AQ14="1",BH14,0)</f>
      </c>
      <c r="AC14" s="45">
        <f>IF(AQ14="1",BI14,0)</f>
      </c>
      <c r="AD14" s="45">
        <f>IF(AQ14="7",BH14,0)</f>
      </c>
      <c r="AE14" s="45">
        <f>IF(AQ14="7",BI14,0)</f>
      </c>
      <c r="AF14" s="45">
        <f>IF(AQ14="2",BH14,0)</f>
      </c>
      <c r="AG14" s="45">
        <f>IF(AQ14="2",BI14,0)</f>
      </c>
      <c r="AH14" s="45">
        <f>IF(AQ14="0",BJ14,0)</f>
      </c>
      <c r="AI14" s="28" t="s">
        <v>55</v>
      </c>
      <c r="AJ14" s="45">
        <f>IF(AN14=0,J14,0)</f>
      </c>
      <c r="AK14" s="45">
        <f>IF(AN14=12,J14,0)</f>
      </c>
      <c r="AL14" s="45">
        <f>IF(AN14=21,J14,0)</f>
      </c>
      <c r="AN14" s="45" t="n">
        <v>21</v>
      </c>
      <c r="AO14" s="45">
        <f>G14*0.256971609</f>
      </c>
      <c r="AP14" s="45">
        <f>G14*(1-0.256971609)</f>
      </c>
      <c r="AQ14" s="47" t="s">
        <v>58</v>
      </c>
      <c r="AV14" s="45">
        <f>AW14+AX14</f>
      </c>
      <c r="AW14" s="45">
        <f>F14*AO14</f>
      </c>
      <c r="AX14" s="45">
        <f>F14*AP14</f>
      </c>
      <c r="AY14" s="47" t="s">
        <v>63</v>
      </c>
      <c r="AZ14" s="47" t="s">
        <v>64</v>
      </c>
      <c r="BA14" s="28" t="s">
        <v>65</v>
      </c>
      <c r="BC14" s="45">
        <f>AW14+AX14</f>
      </c>
      <c r="BD14" s="45">
        <f>G14/(100-BE14)*100</f>
      </c>
      <c r="BE14" s="45" t="n">
        <v>0</v>
      </c>
      <c r="BF14" s="45">
        <f>14</f>
      </c>
      <c r="BH14" s="45">
        <f>F14*AO14</f>
      </c>
      <c r="BI14" s="45">
        <f>F14*AP14</f>
      </c>
      <c r="BJ14" s="45">
        <f>F14*G14</f>
      </c>
      <c r="BK14" s="45"/>
      <c r="BL14" s="45" t="n">
        <v>11</v>
      </c>
      <c r="BW14" s="45" t="n">
        <v>21</v>
      </c>
      <c r="BX14" s="14" t="s">
        <v>68</v>
      </c>
    </row>
    <row r="15">
      <c r="A15" s="9" t="s">
        <v>71</v>
      </c>
      <c r="B15" s="10" t="s">
        <v>72</v>
      </c>
      <c r="C15" s="14" t="s">
        <v>73</v>
      </c>
      <c r="D15" s="10"/>
      <c r="E15" s="10" t="s">
        <v>69</v>
      </c>
      <c r="F15" s="45" t="n">
        <v>7</v>
      </c>
      <c r="G15" s="45" t="n">
        <v>0</v>
      </c>
      <c r="H15" s="45">
        <f>F15*AO15</f>
      </c>
      <c r="I15" s="45">
        <f>F15*AP15</f>
      </c>
      <c r="J15" s="45">
        <f>F15*G15</f>
      </c>
      <c r="K15" s="46" t="s">
        <v>70</v>
      </c>
      <c r="Z15" s="45">
        <f>IF(AQ15="5",BJ15,0)</f>
      </c>
      <c r="AB15" s="45">
        <f>IF(AQ15="1",BH15,0)</f>
      </c>
      <c r="AC15" s="45">
        <f>IF(AQ15="1",BI15,0)</f>
      </c>
      <c r="AD15" s="45">
        <f>IF(AQ15="7",BH15,0)</f>
      </c>
      <c r="AE15" s="45">
        <f>IF(AQ15="7",BI15,0)</f>
      </c>
      <c r="AF15" s="45">
        <f>IF(AQ15="2",BH15,0)</f>
      </c>
      <c r="AG15" s="45">
        <f>IF(AQ15="2",BI15,0)</f>
      </c>
      <c r="AH15" s="45">
        <f>IF(AQ15="0",BJ15,0)</f>
      </c>
      <c r="AI15" s="28" t="s">
        <v>55</v>
      </c>
      <c r="AJ15" s="45">
        <f>IF(AN15=0,J15,0)</f>
      </c>
      <c r="AK15" s="45">
        <f>IF(AN15=12,J15,0)</f>
      </c>
      <c r="AL15" s="45">
        <f>IF(AN15=21,J15,0)</f>
      </c>
      <c r="AN15" s="45" t="n">
        <v>21</v>
      </c>
      <c r="AO15" s="45">
        <f>G15*0.278076923</f>
      </c>
      <c r="AP15" s="45">
        <f>G15*(1-0.278076923)</f>
      </c>
      <c r="AQ15" s="47" t="s">
        <v>58</v>
      </c>
      <c r="AV15" s="45">
        <f>AW15+AX15</f>
      </c>
      <c r="AW15" s="45">
        <f>F15*AO15</f>
      </c>
      <c r="AX15" s="45">
        <f>F15*AP15</f>
      </c>
      <c r="AY15" s="47" t="s">
        <v>63</v>
      </c>
      <c r="AZ15" s="47" t="s">
        <v>64</v>
      </c>
      <c r="BA15" s="28" t="s">
        <v>65</v>
      </c>
      <c r="BC15" s="45">
        <f>AW15+AX15</f>
      </c>
      <c r="BD15" s="45">
        <f>G15/(100-BE15)*100</f>
      </c>
      <c r="BE15" s="45" t="n">
        <v>0</v>
      </c>
      <c r="BF15" s="45">
        <f>15</f>
      </c>
      <c r="BH15" s="45">
        <f>F15*AO15</f>
      </c>
      <c r="BI15" s="45">
        <f>F15*AP15</f>
      </c>
      <c r="BJ15" s="45">
        <f>F15*G15</f>
      </c>
      <c r="BK15" s="45"/>
      <c r="BL15" s="45" t="n">
        <v>11</v>
      </c>
      <c r="BW15" s="45" t="n">
        <v>21</v>
      </c>
      <c r="BX15" s="14" t="s">
        <v>73</v>
      </c>
    </row>
    <row r="16">
      <c r="A16" s="48" t="s">
        <v>55</v>
      </c>
      <c r="B16" s="49" t="s">
        <v>74</v>
      </c>
      <c r="C16" s="50" t="s">
        <v>75</v>
      </c>
      <c r="D16" s="49"/>
      <c r="E16" s="51" t="s">
        <v>36</v>
      </c>
      <c r="F16" s="51" t="s">
        <v>36</v>
      </c>
      <c r="G16" s="51" t="s">
        <v>36</v>
      </c>
      <c r="H16" s="2">
        <f>SUM(H17:H17)</f>
      </c>
      <c r="I16" s="2">
        <f>SUM(I17:I17)</f>
      </c>
      <c r="J16" s="2">
        <f>SUM(J17:J17)</f>
      </c>
      <c r="K16" s="52" t="s">
        <v>55</v>
      </c>
      <c r="AI16" s="28" t="s">
        <v>55</v>
      </c>
      <c r="AS16" s="2">
        <f>SUM(AJ17:AJ17)</f>
      </c>
      <c r="AT16" s="2">
        <f>SUM(AK17:AK17)</f>
      </c>
      <c r="AU16" s="2">
        <f>SUM(AL17:AL17)</f>
      </c>
    </row>
    <row r="17">
      <c r="A17" s="9" t="s">
        <v>76</v>
      </c>
      <c r="B17" s="10" t="s">
        <v>77</v>
      </c>
      <c r="C17" s="14" t="s">
        <v>78</v>
      </c>
      <c r="D17" s="10"/>
      <c r="E17" s="10" t="s">
        <v>79</v>
      </c>
      <c r="F17" s="45" t="n">
        <v>37.2</v>
      </c>
      <c r="G17" s="45" t="n">
        <v>0</v>
      </c>
      <c r="H17" s="45">
        <f>F17*AO17</f>
      </c>
      <c r="I17" s="45">
        <f>F17*AP17</f>
      </c>
      <c r="J17" s="45">
        <f>F17*G17</f>
      </c>
      <c r="K17" s="46" t="s">
        <v>70</v>
      </c>
      <c r="Z17" s="45">
        <f>IF(AQ17="5",BJ17,0)</f>
      </c>
      <c r="AB17" s="45">
        <f>IF(AQ17="1",BH17,0)</f>
      </c>
      <c r="AC17" s="45">
        <f>IF(AQ17="1",BI17,0)</f>
      </c>
      <c r="AD17" s="45">
        <f>IF(AQ17="7",BH17,0)</f>
      </c>
      <c r="AE17" s="45">
        <f>IF(AQ17="7",BI17,0)</f>
      </c>
      <c r="AF17" s="45">
        <f>IF(AQ17="2",BH17,0)</f>
      </c>
      <c r="AG17" s="45">
        <f>IF(AQ17="2",BI17,0)</f>
      </c>
      <c r="AH17" s="45">
        <f>IF(AQ17="0",BJ17,0)</f>
      </c>
      <c r="AI17" s="28" t="s">
        <v>55</v>
      </c>
      <c r="AJ17" s="45">
        <f>IF(AN17=0,J17,0)</f>
      </c>
      <c r="AK17" s="45">
        <f>IF(AN17=12,J17,0)</f>
      </c>
      <c r="AL17" s="45">
        <f>IF(AN17=21,J17,0)</f>
      </c>
      <c r="AN17" s="45" t="n">
        <v>21</v>
      </c>
      <c r="AO17" s="45">
        <f>G17*0</f>
      </c>
      <c r="AP17" s="45">
        <f>G17*(1-0)</f>
      </c>
      <c r="AQ17" s="47" t="s">
        <v>58</v>
      </c>
      <c r="AV17" s="45">
        <f>AW17+AX17</f>
      </c>
      <c r="AW17" s="45">
        <f>F17*AO17</f>
      </c>
      <c r="AX17" s="45">
        <f>F17*AP17</f>
      </c>
      <c r="AY17" s="47" t="s">
        <v>80</v>
      </c>
      <c r="AZ17" s="47" t="s">
        <v>64</v>
      </c>
      <c r="BA17" s="28" t="s">
        <v>65</v>
      </c>
      <c r="BC17" s="45">
        <f>AW17+AX17</f>
      </c>
      <c r="BD17" s="45">
        <f>G17/(100-BE17)*100</f>
      </c>
      <c r="BE17" s="45" t="n">
        <v>0</v>
      </c>
      <c r="BF17" s="45">
        <f>17</f>
      </c>
      <c r="BH17" s="45">
        <f>F17*AO17</f>
      </c>
      <c r="BI17" s="45">
        <f>F17*AP17</f>
      </c>
      <c r="BJ17" s="45">
        <f>F17*G17</f>
      </c>
      <c r="BK17" s="45"/>
      <c r="BL17" s="45" t="n">
        <v>12</v>
      </c>
      <c r="BW17" s="45" t="n">
        <v>21</v>
      </c>
      <c r="BX17" s="14" t="s">
        <v>78</v>
      </c>
    </row>
    <row r="18">
      <c r="A18" s="48" t="s">
        <v>55</v>
      </c>
      <c r="B18" s="49" t="s">
        <v>81</v>
      </c>
      <c r="C18" s="50" t="s">
        <v>82</v>
      </c>
      <c r="D18" s="49"/>
      <c r="E18" s="51" t="s">
        <v>36</v>
      </c>
      <c r="F18" s="51" t="s">
        <v>36</v>
      </c>
      <c r="G18" s="51" t="s">
        <v>36</v>
      </c>
      <c r="H18" s="2">
        <f>SUM(H19:H23)</f>
      </c>
      <c r="I18" s="2">
        <f>SUM(I19:I23)</f>
      </c>
      <c r="J18" s="2">
        <f>SUM(J19:J23)</f>
      </c>
      <c r="K18" s="52" t="s">
        <v>55</v>
      </c>
      <c r="AI18" s="28" t="s">
        <v>55</v>
      </c>
      <c r="AS18" s="2">
        <f>SUM(AJ19:AJ23)</f>
      </c>
      <c r="AT18" s="2">
        <f>SUM(AK19:AK23)</f>
      </c>
      <c r="AU18" s="2">
        <f>SUM(AL19:AL23)</f>
      </c>
    </row>
    <row r="19">
      <c r="A19" s="9" t="s">
        <v>83</v>
      </c>
      <c r="B19" s="10" t="s">
        <v>84</v>
      </c>
      <c r="C19" s="14" t="s">
        <v>85</v>
      </c>
      <c r="D19" s="10"/>
      <c r="E19" s="10" t="s">
        <v>79</v>
      </c>
      <c r="F19" s="45" t="n">
        <v>42.38</v>
      </c>
      <c r="G19" s="45" t="n">
        <v>0</v>
      </c>
      <c r="H19" s="45">
        <f>F19*AO19</f>
      </c>
      <c r="I19" s="45">
        <f>F19*AP19</f>
      </c>
      <c r="J19" s="45">
        <f>F19*G19</f>
      </c>
      <c r="K19" s="46" t="s">
        <v>70</v>
      </c>
      <c r="Z19" s="45">
        <f>IF(AQ19="5",BJ19,0)</f>
      </c>
      <c r="AB19" s="45">
        <f>IF(AQ19="1",BH19,0)</f>
      </c>
      <c r="AC19" s="45">
        <f>IF(AQ19="1",BI19,0)</f>
      </c>
      <c r="AD19" s="45">
        <f>IF(AQ19="7",BH19,0)</f>
      </c>
      <c r="AE19" s="45">
        <f>IF(AQ19="7",BI19,0)</f>
      </c>
      <c r="AF19" s="45">
        <f>IF(AQ19="2",BH19,0)</f>
      </c>
      <c r="AG19" s="45">
        <f>IF(AQ19="2",BI19,0)</f>
      </c>
      <c r="AH19" s="45">
        <f>IF(AQ19="0",BJ19,0)</f>
      </c>
      <c r="AI19" s="28" t="s">
        <v>55</v>
      </c>
      <c r="AJ19" s="45">
        <f>IF(AN19=0,J19,0)</f>
      </c>
      <c r="AK19" s="45">
        <f>IF(AN19=12,J19,0)</f>
      </c>
      <c r="AL19" s="45">
        <f>IF(AN19=21,J19,0)</f>
      </c>
      <c r="AN19" s="45" t="n">
        <v>21</v>
      </c>
      <c r="AO19" s="45">
        <f>G19*0</f>
      </c>
      <c r="AP19" s="45">
        <f>G19*(1-0)</f>
      </c>
      <c r="AQ19" s="47" t="s">
        <v>58</v>
      </c>
      <c r="AV19" s="45">
        <f>AW19+AX19</f>
      </c>
      <c r="AW19" s="45">
        <f>F19*AO19</f>
      </c>
      <c r="AX19" s="45">
        <f>F19*AP19</f>
      </c>
      <c r="AY19" s="47" t="s">
        <v>86</v>
      </c>
      <c r="AZ19" s="47" t="s">
        <v>64</v>
      </c>
      <c r="BA19" s="28" t="s">
        <v>65</v>
      </c>
      <c r="BC19" s="45">
        <f>AW19+AX19</f>
      </c>
      <c r="BD19" s="45">
        <f>G19/(100-BE19)*100</f>
      </c>
      <c r="BE19" s="45" t="n">
        <v>0</v>
      </c>
      <c r="BF19" s="45">
        <f>19</f>
      </c>
      <c r="BH19" s="45">
        <f>F19*AO19</f>
      </c>
      <c r="BI19" s="45">
        <f>F19*AP19</f>
      </c>
      <c r="BJ19" s="45">
        <f>F19*G19</f>
      </c>
      <c r="BK19" s="45"/>
      <c r="BL19" s="45" t="n">
        <v>13</v>
      </c>
      <c r="BW19" s="45" t="n">
        <v>21</v>
      </c>
      <c r="BX19" s="14" t="s">
        <v>85</v>
      </c>
    </row>
    <row r="20">
      <c r="A20" s="9" t="s">
        <v>87</v>
      </c>
      <c r="B20" s="10" t="s">
        <v>88</v>
      </c>
      <c r="C20" s="14" t="s">
        <v>89</v>
      </c>
      <c r="D20" s="10"/>
      <c r="E20" s="10" t="s">
        <v>79</v>
      </c>
      <c r="F20" s="45" t="n">
        <v>63.57</v>
      </c>
      <c r="G20" s="45" t="n">
        <v>0</v>
      </c>
      <c r="H20" s="45">
        <f>F20*AO20</f>
      </c>
      <c r="I20" s="45">
        <f>F20*AP20</f>
      </c>
      <c r="J20" s="45">
        <f>F20*G20</f>
      </c>
      <c r="K20" s="46" t="s">
        <v>70</v>
      </c>
      <c r="Z20" s="45">
        <f>IF(AQ20="5",BJ20,0)</f>
      </c>
      <c r="AB20" s="45">
        <f>IF(AQ20="1",BH20,0)</f>
      </c>
      <c r="AC20" s="45">
        <f>IF(AQ20="1",BI20,0)</f>
      </c>
      <c r="AD20" s="45">
        <f>IF(AQ20="7",BH20,0)</f>
      </c>
      <c r="AE20" s="45">
        <f>IF(AQ20="7",BI20,0)</f>
      </c>
      <c r="AF20" s="45">
        <f>IF(AQ20="2",BH20,0)</f>
      </c>
      <c r="AG20" s="45">
        <f>IF(AQ20="2",BI20,0)</f>
      </c>
      <c r="AH20" s="45">
        <f>IF(AQ20="0",BJ20,0)</f>
      </c>
      <c r="AI20" s="28" t="s">
        <v>55</v>
      </c>
      <c r="AJ20" s="45">
        <f>IF(AN20=0,J20,0)</f>
      </c>
      <c r="AK20" s="45">
        <f>IF(AN20=12,J20,0)</f>
      </c>
      <c r="AL20" s="45">
        <f>IF(AN20=21,J20,0)</f>
      </c>
      <c r="AN20" s="45" t="n">
        <v>21</v>
      </c>
      <c r="AO20" s="45">
        <f>G20*0</f>
      </c>
      <c r="AP20" s="45">
        <f>G20*(1-0)</f>
      </c>
      <c r="AQ20" s="47" t="s">
        <v>58</v>
      </c>
      <c r="AV20" s="45">
        <f>AW20+AX20</f>
      </c>
      <c r="AW20" s="45">
        <f>F20*AO20</f>
      </c>
      <c r="AX20" s="45">
        <f>F20*AP20</f>
      </c>
      <c r="AY20" s="47" t="s">
        <v>86</v>
      </c>
      <c r="AZ20" s="47" t="s">
        <v>64</v>
      </c>
      <c r="BA20" s="28" t="s">
        <v>65</v>
      </c>
      <c r="BC20" s="45">
        <f>AW20+AX20</f>
      </c>
      <c r="BD20" s="45">
        <f>G20/(100-BE20)*100</f>
      </c>
      <c r="BE20" s="45" t="n">
        <v>0</v>
      </c>
      <c r="BF20" s="45">
        <f>20</f>
      </c>
      <c r="BH20" s="45">
        <f>F20*AO20</f>
      </c>
      <c r="BI20" s="45">
        <f>F20*AP20</f>
      </c>
      <c r="BJ20" s="45">
        <f>F20*G20</f>
      </c>
      <c r="BK20" s="45"/>
      <c r="BL20" s="45" t="n">
        <v>13</v>
      </c>
      <c r="BW20" s="45" t="n">
        <v>21</v>
      </c>
      <c r="BX20" s="14" t="s">
        <v>89</v>
      </c>
    </row>
    <row r="21">
      <c r="A21" s="9" t="s">
        <v>90</v>
      </c>
      <c r="B21" s="10" t="s">
        <v>91</v>
      </c>
      <c r="C21" s="14" t="s">
        <v>92</v>
      </c>
      <c r="D21" s="10"/>
      <c r="E21" s="10" t="s">
        <v>79</v>
      </c>
      <c r="F21" s="45" t="n">
        <v>14.85</v>
      </c>
      <c r="G21" s="45" t="n">
        <v>0</v>
      </c>
      <c r="H21" s="45">
        <f>F21*AO21</f>
      </c>
      <c r="I21" s="45">
        <f>F21*AP21</f>
      </c>
      <c r="J21" s="45">
        <f>F21*G21</f>
      </c>
      <c r="K21" s="46" t="s">
        <v>70</v>
      </c>
      <c r="Z21" s="45">
        <f>IF(AQ21="5",BJ21,0)</f>
      </c>
      <c r="AB21" s="45">
        <f>IF(AQ21="1",BH21,0)</f>
      </c>
      <c r="AC21" s="45">
        <f>IF(AQ21="1",BI21,0)</f>
      </c>
      <c r="AD21" s="45">
        <f>IF(AQ21="7",BH21,0)</f>
      </c>
      <c r="AE21" s="45">
        <f>IF(AQ21="7",BI21,0)</f>
      </c>
      <c r="AF21" s="45">
        <f>IF(AQ21="2",BH21,0)</f>
      </c>
      <c r="AG21" s="45">
        <f>IF(AQ21="2",BI21,0)</f>
      </c>
      <c r="AH21" s="45">
        <f>IF(AQ21="0",BJ21,0)</f>
      </c>
      <c r="AI21" s="28" t="s">
        <v>55</v>
      </c>
      <c r="AJ21" s="45">
        <f>IF(AN21=0,J21,0)</f>
      </c>
      <c r="AK21" s="45">
        <f>IF(AN21=12,J21,0)</f>
      </c>
      <c r="AL21" s="45">
        <f>IF(AN21=21,J21,0)</f>
      </c>
      <c r="AN21" s="45" t="n">
        <v>21</v>
      </c>
      <c r="AO21" s="45">
        <f>G21*0</f>
      </c>
      <c r="AP21" s="45">
        <f>G21*(1-0)</f>
      </c>
      <c r="AQ21" s="47" t="s">
        <v>58</v>
      </c>
      <c r="AV21" s="45">
        <f>AW21+AX21</f>
      </c>
      <c r="AW21" s="45">
        <f>F21*AO21</f>
      </c>
      <c r="AX21" s="45">
        <f>F21*AP21</f>
      </c>
      <c r="AY21" s="47" t="s">
        <v>86</v>
      </c>
      <c r="AZ21" s="47" t="s">
        <v>64</v>
      </c>
      <c r="BA21" s="28" t="s">
        <v>65</v>
      </c>
      <c r="BC21" s="45">
        <f>AW21+AX21</f>
      </c>
      <c r="BD21" s="45">
        <f>G21/(100-BE21)*100</f>
      </c>
      <c r="BE21" s="45" t="n">
        <v>0</v>
      </c>
      <c r="BF21" s="45">
        <f>21</f>
      </c>
      <c r="BH21" s="45">
        <f>F21*AO21</f>
      </c>
      <c r="BI21" s="45">
        <f>F21*AP21</f>
      </c>
      <c r="BJ21" s="45">
        <f>F21*G21</f>
      </c>
      <c r="BK21" s="45"/>
      <c r="BL21" s="45" t="n">
        <v>13</v>
      </c>
      <c r="BW21" s="45" t="n">
        <v>21</v>
      </c>
      <c r="BX21" s="14" t="s">
        <v>92</v>
      </c>
    </row>
    <row r="22">
      <c r="A22" s="9" t="s">
        <v>93</v>
      </c>
      <c r="B22" s="10" t="s">
        <v>94</v>
      </c>
      <c r="C22" s="14" t="s">
        <v>95</v>
      </c>
      <c r="D22" s="10"/>
      <c r="E22" s="10" t="s">
        <v>79</v>
      </c>
      <c r="F22" s="45" t="n">
        <v>22.27</v>
      </c>
      <c r="G22" s="45" t="n">
        <v>0</v>
      </c>
      <c r="H22" s="45">
        <f>F22*AO22</f>
      </c>
      <c r="I22" s="45">
        <f>F22*AP22</f>
      </c>
      <c r="J22" s="45">
        <f>F22*G22</f>
      </c>
      <c r="K22" s="46" t="s">
        <v>70</v>
      </c>
      <c r="Z22" s="45">
        <f>IF(AQ22="5",BJ22,0)</f>
      </c>
      <c r="AB22" s="45">
        <f>IF(AQ22="1",BH22,0)</f>
      </c>
      <c r="AC22" s="45">
        <f>IF(AQ22="1",BI22,0)</f>
      </c>
      <c r="AD22" s="45">
        <f>IF(AQ22="7",BH22,0)</f>
      </c>
      <c r="AE22" s="45">
        <f>IF(AQ22="7",BI22,0)</f>
      </c>
      <c r="AF22" s="45">
        <f>IF(AQ22="2",BH22,0)</f>
      </c>
      <c r="AG22" s="45">
        <f>IF(AQ22="2",BI22,0)</f>
      </c>
      <c r="AH22" s="45">
        <f>IF(AQ22="0",BJ22,0)</f>
      </c>
      <c r="AI22" s="28" t="s">
        <v>55</v>
      </c>
      <c r="AJ22" s="45">
        <f>IF(AN22=0,J22,0)</f>
      </c>
      <c r="AK22" s="45">
        <f>IF(AN22=12,J22,0)</f>
      </c>
      <c r="AL22" s="45">
        <f>IF(AN22=21,J22,0)</f>
      </c>
      <c r="AN22" s="45" t="n">
        <v>21</v>
      </c>
      <c r="AO22" s="45">
        <f>G22*0</f>
      </c>
      <c r="AP22" s="45">
        <f>G22*(1-0)</f>
      </c>
      <c r="AQ22" s="47" t="s">
        <v>58</v>
      </c>
      <c r="AV22" s="45">
        <f>AW22+AX22</f>
      </c>
      <c r="AW22" s="45">
        <f>F22*AO22</f>
      </c>
      <c r="AX22" s="45">
        <f>F22*AP22</f>
      </c>
      <c r="AY22" s="47" t="s">
        <v>86</v>
      </c>
      <c r="AZ22" s="47" t="s">
        <v>64</v>
      </c>
      <c r="BA22" s="28" t="s">
        <v>65</v>
      </c>
      <c r="BC22" s="45">
        <f>AW22+AX22</f>
      </c>
      <c r="BD22" s="45">
        <f>G22/(100-BE22)*100</f>
      </c>
      <c r="BE22" s="45" t="n">
        <v>0</v>
      </c>
      <c r="BF22" s="45">
        <f>22</f>
      </c>
      <c r="BH22" s="45">
        <f>F22*AO22</f>
      </c>
      <c r="BI22" s="45">
        <f>F22*AP22</f>
      </c>
      <c r="BJ22" s="45">
        <f>F22*G22</f>
      </c>
      <c r="BK22" s="45"/>
      <c r="BL22" s="45" t="n">
        <v>13</v>
      </c>
      <c r="BW22" s="45" t="n">
        <v>21</v>
      </c>
      <c r="BX22" s="14" t="s">
        <v>95</v>
      </c>
    </row>
    <row r="23">
      <c r="A23" s="9" t="s">
        <v>96</v>
      </c>
      <c r="B23" s="10" t="s">
        <v>97</v>
      </c>
      <c r="C23" s="14" t="s">
        <v>98</v>
      </c>
      <c r="D23" s="10"/>
      <c r="E23" s="10" t="s">
        <v>79</v>
      </c>
      <c r="F23" s="45" t="n">
        <v>16.2</v>
      </c>
      <c r="G23" s="45" t="n">
        <v>0</v>
      </c>
      <c r="H23" s="45">
        <f>F23*AO23</f>
      </c>
      <c r="I23" s="45">
        <f>F23*AP23</f>
      </c>
      <c r="J23" s="45">
        <f>F23*G23</f>
      </c>
      <c r="K23" s="46" t="s">
        <v>70</v>
      </c>
      <c r="Z23" s="45">
        <f>IF(AQ23="5",BJ23,0)</f>
      </c>
      <c r="AB23" s="45">
        <f>IF(AQ23="1",BH23,0)</f>
      </c>
      <c r="AC23" s="45">
        <f>IF(AQ23="1",BI23,0)</f>
      </c>
      <c r="AD23" s="45">
        <f>IF(AQ23="7",BH23,0)</f>
      </c>
      <c r="AE23" s="45">
        <f>IF(AQ23="7",BI23,0)</f>
      </c>
      <c r="AF23" s="45">
        <f>IF(AQ23="2",BH23,0)</f>
      </c>
      <c r="AG23" s="45">
        <f>IF(AQ23="2",BI23,0)</f>
      </c>
      <c r="AH23" s="45">
        <f>IF(AQ23="0",BJ23,0)</f>
      </c>
      <c r="AI23" s="28" t="s">
        <v>55</v>
      </c>
      <c r="AJ23" s="45">
        <f>IF(AN23=0,J23,0)</f>
      </c>
      <c r="AK23" s="45">
        <f>IF(AN23=12,J23,0)</f>
      </c>
      <c r="AL23" s="45">
        <f>IF(AN23=21,J23,0)</f>
      </c>
      <c r="AN23" s="45" t="n">
        <v>21</v>
      </c>
      <c r="AO23" s="45">
        <f>G23*0</f>
      </c>
      <c r="AP23" s="45">
        <f>G23*(1-0)</f>
      </c>
      <c r="AQ23" s="47" t="s">
        <v>58</v>
      </c>
      <c r="AV23" s="45">
        <f>AW23+AX23</f>
      </c>
      <c r="AW23" s="45">
        <f>F23*AO23</f>
      </c>
      <c r="AX23" s="45">
        <f>F23*AP23</f>
      </c>
      <c r="AY23" s="47" t="s">
        <v>86</v>
      </c>
      <c r="AZ23" s="47" t="s">
        <v>64</v>
      </c>
      <c r="BA23" s="28" t="s">
        <v>65</v>
      </c>
      <c r="BC23" s="45">
        <f>AW23+AX23</f>
      </c>
      <c r="BD23" s="45">
        <f>G23/(100-BE23)*100</f>
      </c>
      <c r="BE23" s="45" t="n">
        <v>0</v>
      </c>
      <c r="BF23" s="45">
        <f>23</f>
      </c>
      <c r="BH23" s="45">
        <f>F23*AO23</f>
      </c>
      <c r="BI23" s="45">
        <f>F23*AP23</f>
      </c>
      <c r="BJ23" s="45">
        <f>F23*G23</f>
      </c>
      <c r="BK23" s="45"/>
      <c r="BL23" s="45" t="n">
        <v>13</v>
      </c>
      <c r="BW23" s="45" t="n">
        <v>21</v>
      </c>
      <c r="BX23" s="14" t="s">
        <v>98</v>
      </c>
    </row>
    <row r="24">
      <c r="A24" s="48" t="s">
        <v>55</v>
      </c>
      <c r="B24" s="49" t="s">
        <v>99</v>
      </c>
      <c r="C24" s="50" t="s">
        <v>100</v>
      </c>
      <c r="D24" s="49"/>
      <c r="E24" s="51" t="s">
        <v>36</v>
      </c>
      <c r="F24" s="51" t="s">
        <v>36</v>
      </c>
      <c r="G24" s="51" t="s">
        <v>36</v>
      </c>
      <c r="H24" s="2">
        <f>SUM(H25:H27)</f>
      </c>
      <c r="I24" s="2">
        <f>SUM(I25:I27)</f>
      </c>
      <c r="J24" s="2">
        <f>SUM(J25:J27)</f>
      </c>
      <c r="K24" s="52" t="s">
        <v>55</v>
      </c>
      <c r="AI24" s="28" t="s">
        <v>55</v>
      </c>
      <c r="AS24" s="2">
        <f>SUM(AJ25:AJ27)</f>
      </c>
      <c r="AT24" s="2">
        <f>SUM(AK25:AK27)</f>
      </c>
      <c r="AU24" s="2">
        <f>SUM(AL25:AL27)</f>
      </c>
    </row>
    <row r="25">
      <c r="A25" s="9" t="s">
        <v>101</v>
      </c>
      <c r="B25" s="10" t="s">
        <v>102</v>
      </c>
      <c r="C25" s="14" t="s">
        <v>103</v>
      </c>
      <c r="D25" s="10"/>
      <c r="E25" s="10" t="s">
        <v>79</v>
      </c>
      <c r="F25" s="45" t="n">
        <v>77</v>
      </c>
      <c r="G25" s="45" t="n">
        <v>0</v>
      </c>
      <c r="H25" s="45">
        <f>F25*AO25</f>
      </c>
      <c r="I25" s="45">
        <f>F25*AP25</f>
      </c>
      <c r="J25" s="45">
        <f>F25*G25</f>
      </c>
      <c r="K25" s="46" t="s">
        <v>70</v>
      </c>
      <c r="Z25" s="45">
        <f>IF(AQ25="5",BJ25,0)</f>
      </c>
      <c r="AB25" s="45">
        <f>IF(AQ25="1",BH25,0)</f>
      </c>
      <c r="AC25" s="45">
        <f>IF(AQ25="1",BI25,0)</f>
      </c>
      <c r="AD25" s="45">
        <f>IF(AQ25="7",BH25,0)</f>
      </c>
      <c r="AE25" s="45">
        <f>IF(AQ25="7",BI25,0)</f>
      </c>
      <c r="AF25" s="45">
        <f>IF(AQ25="2",BH25,0)</f>
      </c>
      <c r="AG25" s="45">
        <f>IF(AQ25="2",BI25,0)</f>
      </c>
      <c r="AH25" s="45">
        <f>IF(AQ25="0",BJ25,0)</f>
      </c>
      <c r="AI25" s="28" t="s">
        <v>55</v>
      </c>
      <c r="AJ25" s="45">
        <f>IF(AN25=0,J25,0)</f>
      </c>
      <c r="AK25" s="45">
        <f>IF(AN25=12,J25,0)</f>
      </c>
      <c r="AL25" s="45">
        <f>IF(AN25=21,J25,0)</f>
      </c>
      <c r="AN25" s="45" t="n">
        <v>21</v>
      </c>
      <c r="AO25" s="45">
        <f>G25*0</f>
      </c>
      <c r="AP25" s="45">
        <f>G25*(1-0)</f>
      </c>
      <c r="AQ25" s="47" t="s">
        <v>58</v>
      </c>
      <c r="AV25" s="45">
        <f>AW25+AX25</f>
      </c>
      <c r="AW25" s="45">
        <f>F25*AO25</f>
      </c>
      <c r="AX25" s="45">
        <f>F25*AP25</f>
      </c>
      <c r="AY25" s="47" t="s">
        <v>104</v>
      </c>
      <c r="AZ25" s="47" t="s">
        <v>64</v>
      </c>
      <c r="BA25" s="28" t="s">
        <v>65</v>
      </c>
      <c r="BC25" s="45">
        <f>AW25+AX25</f>
      </c>
      <c r="BD25" s="45">
        <f>G25/(100-BE25)*100</f>
      </c>
      <c r="BE25" s="45" t="n">
        <v>0</v>
      </c>
      <c r="BF25" s="45">
        <f>25</f>
      </c>
      <c r="BH25" s="45">
        <f>F25*AO25</f>
      </c>
      <c r="BI25" s="45">
        <f>F25*AP25</f>
      </c>
      <c r="BJ25" s="45">
        <f>F25*G25</f>
      </c>
      <c r="BK25" s="45"/>
      <c r="BL25" s="45" t="n">
        <v>16</v>
      </c>
      <c r="BW25" s="45" t="n">
        <v>21</v>
      </c>
      <c r="BX25" s="14" t="s">
        <v>103</v>
      </c>
    </row>
    <row r="26">
      <c r="A26" s="9" t="s">
        <v>56</v>
      </c>
      <c r="B26" s="10" t="s">
        <v>105</v>
      </c>
      <c r="C26" s="14" t="s">
        <v>106</v>
      </c>
      <c r="D26" s="10"/>
      <c r="E26" s="10" t="s">
        <v>79</v>
      </c>
      <c r="F26" s="45" t="n">
        <v>1.8</v>
      </c>
      <c r="G26" s="45" t="n">
        <v>0</v>
      </c>
      <c r="H26" s="45">
        <f>F26*AO26</f>
      </c>
      <c r="I26" s="45">
        <f>F26*AP26</f>
      </c>
      <c r="J26" s="45">
        <f>F26*G26</f>
      </c>
      <c r="K26" s="46" t="s">
        <v>70</v>
      </c>
      <c r="Z26" s="45">
        <f>IF(AQ26="5",BJ26,0)</f>
      </c>
      <c r="AB26" s="45">
        <f>IF(AQ26="1",BH26,0)</f>
      </c>
      <c r="AC26" s="45">
        <f>IF(AQ26="1",BI26,0)</f>
      </c>
      <c r="AD26" s="45">
        <f>IF(AQ26="7",BH26,0)</f>
      </c>
      <c r="AE26" s="45">
        <f>IF(AQ26="7",BI26,0)</f>
      </c>
      <c r="AF26" s="45">
        <f>IF(AQ26="2",BH26,0)</f>
      </c>
      <c r="AG26" s="45">
        <f>IF(AQ26="2",BI26,0)</f>
      </c>
      <c r="AH26" s="45">
        <f>IF(AQ26="0",BJ26,0)</f>
      </c>
      <c r="AI26" s="28" t="s">
        <v>55</v>
      </c>
      <c r="AJ26" s="45">
        <f>IF(AN26=0,J26,0)</f>
      </c>
      <c r="AK26" s="45">
        <f>IF(AN26=12,J26,0)</f>
      </c>
      <c r="AL26" s="45">
        <f>IF(AN26=21,J26,0)</f>
      </c>
      <c r="AN26" s="45" t="n">
        <v>21</v>
      </c>
      <c r="AO26" s="45">
        <f>G26*0</f>
      </c>
      <c r="AP26" s="45">
        <f>G26*(1-0)</f>
      </c>
      <c r="AQ26" s="47" t="s">
        <v>58</v>
      </c>
      <c r="AV26" s="45">
        <f>AW26+AX26</f>
      </c>
      <c r="AW26" s="45">
        <f>F26*AO26</f>
      </c>
      <c r="AX26" s="45">
        <f>F26*AP26</f>
      </c>
      <c r="AY26" s="47" t="s">
        <v>104</v>
      </c>
      <c r="AZ26" s="47" t="s">
        <v>64</v>
      </c>
      <c r="BA26" s="28" t="s">
        <v>65</v>
      </c>
      <c r="BC26" s="45">
        <f>AW26+AX26</f>
      </c>
      <c r="BD26" s="45">
        <f>G26/(100-BE26)*100</f>
      </c>
      <c r="BE26" s="45" t="n">
        <v>0</v>
      </c>
      <c r="BF26" s="45">
        <f>26</f>
      </c>
      <c r="BH26" s="45">
        <f>F26*AO26</f>
      </c>
      <c r="BI26" s="45">
        <f>F26*AP26</f>
      </c>
      <c r="BJ26" s="45">
        <f>F26*G26</f>
      </c>
      <c r="BK26" s="45"/>
      <c r="BL26" s="45" t="n">
        <v>16</v>
      </c>
      <c r="BW26" s="45" t="n">
        <v>21</v>
      </c>
      <c r="BX26" s="14" t="s">
        <v>106</v>
      </c>
    </row>
    <row r="27">
      <c r="A27" s="9" t="s">
        <v>74</v>
      </c>
      <c r="B27" s="10" t="s">
        <v>107</v>
      </c>
      <c r="C27" s="14" t="s">
        <v>108</v>
      </c>
      <c r="D27" s="10"/>
      <c r="E27" s="10" t="s">
        <v>109</v>
      </c>
      <c r="F27" s="45" t="n">
        <v>4.5</v>
      </c>
      <c r="G27" s="45" t="n">
        <v>0</v>
      </c>
      <c r="H27" s="45">
        <f>F27*AO27</f>
      </c>
      <c r="I27" s="45">
        <f>F27*AP27</f>
      </c>
      <c r="J27" s="45">
        <f>F27*G27</f>
      </c>
      <c r="K27" s="46" t="s">
        <v>70</v>
      </c>
      <c r="Z27" s="45">
        <f>IF(AQ27="5",BJ27,0)</f>
      </c>
      <c r="AB27" s="45">
        <f>IF(AQ27="1",BH27,0)</f>
      </c>
      <c r="AC27" s="45">
        <f>IF(AQ27="1",BI27,0)</f>
      </c>
      <c r="AD27" s="45">
        <f>IF(AQ27="7",BH27,0)</f>
      </c>
      <c r="AE27" s="45">
        <f>IF(AQ27="7",BI27,0)</f>
      </c>
      <c r="AF27" s="45">
        <f>IF(AQ27="2",BH27,0)</f>
      </c>
      <c r="AG27" s="45">
        <f>IF(AQ27="2",BI27,0)</f>
      </c>
      <c r="AH27" s="45">
        <f>IF(AQ27="0",BJ27,0)</f>
      </c>
      <c r="AI27" s="28" t="s">
        <v>55</v>
      </c>
      <c r="AJ27" s="45">
        <f>IF(AN27=0,J27,0)</f>
      </c>
      <c r="AK27" s="45">
        <f>IF(AN27=12,J27,0)</f>
      </c>
      <c r="AL27" s="45">
        <f>IF(AN27=21,J27,0)</f>
      </c>
      <c r="AN27" s="45" t="n">
        <v>21</v>
      </c>
      <c r="AO27" s="45">
        <f>G27*0</f>
      </c>
      <c r="AP27" s="45">
        <f>G27*(1-0)</f>
      </c>
      <c r="AQ27" s="47" t="s">
        <v>58</v>
      </c>
      <c r="AV27" s="45">
        <f>AW27+AX27</f>
      </c>
      <c r="AW27" s="45">
        <f>F27*AO27</f>
      </c>
      <c r="AX27" s="45">
        <f>F27*AP27</f>
      </c>
      <c r="AY27" s="47" t="s">
        <v>104</v>
      </c>
      <c r="AZ27" s="47" t="s">
        <v>64</v>
      </c>
      <c r="BA27" s="28" t="s">
        <v>65</v>
      </c>
      <c r="BC27" s="45">
        <f>AW27+AX27</f>
      </c>
      <c r="BD27" s="45">
        <f>G27/(100-BE27)*100</f>
      </c>
      <c r="BE27" s="45" t="n">
        <v>0</v>
      </c>
      <c r="BF27" s="45">
        <f>27</f>
      </c>
      <c r="BH27" s="45">
        <f>F27*AO27</f>
      </c>
      <c r="BI27" s="45">
        <f>F27*AP27</f>
      </c>
      <c r="BJ27" s="45">
        <f>F27*G27</f>
      </c>
      <c r="BK27" s="45"/>
      <c r="BL27" s="45" t="n">
        <v>16</v>
      </c>
      <c r="BW27" s="45" t="n">
        <v>21</v>
      </c>
      <c r="BX27" s="14" t="s">
        <v>108</v>
      </c>
    </row>
    <row r="28">
      <c r="A28" s="48" t="s">
        <v>55</v>
      </c>
      <c r="B28" s="49" t="s">
        <v>110</v>
      </c>
      <c r="C28" s="50" t="s">
        <v>111</v>
      </c>
      <c r="D28" s="49"/>
      <c r="E28" s="51" t="s">
        <v>36</v>
      </c>
      <c r="F28" s="51" t="s">
        <v>36</v>
      </c>
      <c r="G28" s="51" t="s">
        <v>36</v>
      </c>
      <c r="H28" s="2">
        <f>SUM(H29:H31)</f>
      </c>
      <c r="I28" s="2">
        <f>SUM(I29:I31)</f>
      </c>
      <c r="J28" s="2">
        <f>SUM(J29:J31)</f>
      </c>
      <c r="K28" s="52" t="s">
        <v>55</v>
      </c>
      <c r="AI28" s="28" t="s">
        <v>55</v>
      </c>
      <c r="AS28" s="2">
        <f>SUM(AJ29:AJ31)</f>
      </c>
      <c r="AT28" s="2">
        <f>SUM(AK29:AK31)</f>
      </c>
      <c r="AU28" s="2">
        <f>SUM(AL29:AL31)</f>
      </c>
    </row>
    <row r="29">
      <c r="A29" s="9" t="s">
        <v>81</v>
      </c>
      <c r="B29" s="10" t="s">
        <v>112</v>
      </c>
      <c r="C29" s="14" t="s">
        <v>113</v>
      </c>
      <c r="D29" s="10"/>
      <c r="E29" s="10" t="s">
        <v>79</v>
      </c>
      <c r="F29" s="45" t="n">
        <v>51.41</v>
      </c>
      <c r="G29" s="45" t="n">
        <v>0</v>
      </c>
      <c r="H29" s="45">
        <f>F29*AO29</f>
      </c>
      <c r="I29" s="45">
        <f>F29*AP29</f>
      </c>
      <c r="J29" s="45">
        <f>F29*G29</f>
      </c>
      <c r="K29" s="46" t="s">
        <v>70</v>
      </c>
      <c r="Z29" s="45">
        <f>IF(AQ29="5",BJ29,0)</f>
      </c>
      <c r="AB29" s="45">
        <f>IF(AQ29="1",BH29,0)</f>
      </c>
      <c r="AC29" s="45">
        <f>IF(AQ29="1",BI29,0)</f>
      </c>
      <c r="AD29" s="45">
        <f>IF(AQ29="7",BH29,0)</f>
      </c>
      <c r="AE29" s="45">
        <f>IF(AQ29="7",BI29,0)</f>
      </c>
      <c r="AF29" s="45">
        <f>IF(AQ29="2",BH29,0)</f>
      </c>
      <c r="AG29" s="45">
        <f>IF(AQ29="2",BI29,0)</f>
      </c>
      <c r="AH29" s="45">
        <f>IF(AQ29="0",BJ29,0)</f>
      </c>
      <c r="AI29" s="28" t="s">
        <v>55</v>
      </c>
      <c r="AJ29" s="45">
        <f>IF(AN29=0,J29,0)</f>
      </c>
      <c r="AK29" s="45">
        <f>IF(AN29=12,J29,0)</f>
      </c>
      <c r="AL29" s="45">
        <f>IF(AN29=21,J29,0)</f>
      </c>
      <c r="AN29" s="45" t="n">
        <v>21</v>
      </c>
      <c r="AO29" s="45">
        <f>G29*0</f>
      </c>
      <c r="AP29" s="45">
        <f>G29*(1-0)</f>
      </c>
      <c r="AQ29" s="47" t="s">
        <v>58</v>
      </c>
      <c r="AV29" s="45">
        <f>AW29+AX29</f>
      </c>
      <c r="AW29" s="45">
        <f>F29*AO29</f>
      </c>
      <c r="AX29" s="45">
        <f>F29*AP29</f>
      </c>
      <c r="AY29" s="47" t="s">
        <v>114</v>
      </c>
      <c r="AZ29" s="47" t="s">
        <v>64</v>
      </c>
      <c r="BA29" s="28" t="s">
        <v>65</v>
      </c>
      <c r="BC29" s="45">
        <f>AW29+AX29</f>
      </c>
      <c r="BD29" s="45">
        <f>G29/(100-BE29)*100</f>
      </c>
      <c r="BE29" s="45" t="n">
        <v>0</v>
      </c>
      <c r="BF29" s="45">
        <f>29</f>
      </c>
      <c r="BH29" s="45">
        <f>F29*AO29</f>
      </c>
      <c r="BI29" s="45">
        <f>F29*AP29</f>
      </c>
      <c r="BJ29" s="45">
        <f>F29*G29</f>
      </c>
      <c r="BK29" s="45"/>
      <c r="BL29" s="45" t="n">
        <v>17</v>
      </c>
      <c r="BW29" s="45" t="n">
        <v>21</v>
      </c>
      <c r="BX29" s="14" t="s">
        <v>113</v>
      </c>
    </row>
    <row r="30">
      <c r="A30" s="9" t="s">
        <v>115</v>
      </c>
      <c r="B30" s="10" t="s">
        <v>116</v>
      </c>
      <c r="C30" s="14" t="s">
        <v>117</v>
      </c>
      <c r="D30" s="10"/>
      <c r="E30" s="10" t="s">
        <v>79</v>
      </c>
      <c r="F30" s="45" t="n">
        <v>91.66</v>
      </c>
      <c r="G30" s="45" t="n">
        <v>0</v>
      </c>
      <c r="H30" s="45">
        <f>F30*AO30</f>
      </c>
      <c r="I30" s="45">
        <f>F30*AP30</f>
      </c>
      <c r="J30" s="45">
        <f>F30*G30</f>
      </c>
      <c r="K30" s="46" t="s">
        <v>70</v>
      </c>
      <c r="Z30" s="45">
        <f>IF(AQ30="5",BJ30,0)</f>
      </c>
      <c r="AB30" s="45">
        <f>IF(AQ30="1",BH30,0)</f>
      </c>
      <c r="AC30" s="45">
        <f>IF(AQ30="1",BI30,0)</f>
      </c>
      <c r="AD30" s="45">
        <f>IF(AQ30="7",BH30,0)</f>
      </c>
      <c r="AE30" s="45">
        <f>IF(AQ30="7",BI30,0)</f>
      </c>
      <c r="AF30" s="45">
        <f>IF(AQ30="2",BH30,0)</f>
      </c>
      <c r="AG30" s="45">
        <f>IF(AQ30="2",BI30,0)</f>
      </c>
      <c r="AH30" s="45">
        <f>IF(AQ30="0",BJ30,0)</f>
      </c>
      <c r="AI30" s="28" t="s">
        <v>55</v>
      </c>
      <c r="AJ30" s="45">
        <f>IF(AN30=0,J30,0)</f>
      </c>
      <c r="AK30" s="45">
        <f>IF(AN30=12,J30,0)</f>
      </c>
      <c r="AL30" s="45">
        <f>IF(AN30=21,J30,0)</f>
      </c>
      <c r="AN30" s="45" t="n">
        <v>21</v>
      </c>
      <c r="AO30" s="45">
        <f>G30*0</f>
      </c>
      <c r="AP30" s="45">
        <f>G30*(1-0)</f>
      </c>
      <c r="AQ30" s="47" t="s">
        <v>58</v>
      </c>
      <c r="AV30" s="45">
        <f>AW30+AX30</f>
      </c>
      <c r="AW30" s="45">
        <f>F30*AO30</f>
      </c>
      <c r="AX30" s="45">
        <f>F30*AP30</f>
      </c>
      <c r="AY30" s="47" t="s">
        <v>114</v>
      </c>
      <c r="AZ30" s="47" t="s">
        <v>64</v>
      </c>
      <c r="BA30" s="28" t="s">
        <v>65</v>
      </c>
      <c r="BC30" s="45">
        <f>AW30+AX30</f>
      </c>
      <c r="BD30" s="45">
        <f>G30/(100-BE30)*100</f>
      </c>
      <c r="BE30" s="45" t="n">
        <v>0</v>
      </c>
      <c r="BF30" s="45">
        <f>30</f>
      </c>
      <c r="BH30" s="45">
        <f>F30*AO30</f>
      </c>
      <c r="BI30" s="45">
        <f>F30*AP30</f>
      </c>
      <c r="BJ30" s="45">
        <f>F30*G30</f>
      </c>
      <c r="BK30" s="45"/>
      <c r="BL30" s="45" t="n">
        <v>17</v>
      </c>
      <c r="BW30" s="45" t="n">
        <v>21</v>
      </c>
      <c r="BX30" s="14" t="s">
        <v>117</v>
      </c>
    </row>
    <row r="31">
      <c r="A31" s="9" t="s">
        <v>118</v>
      </c>
      <c r="B31" s="10" t="s">
        <v>119</v>
      </c>
      <c r="C31" s="14" t="s">
        <v>120</v>
      </c>
      <c r="D31" s="10"/>
      <c r="E31" s="10" t="s">
        <v>79</v>
      </c>
      <c r="F31" s="45" t="n">
        <v>14.12</v>
      </c>
      <c r="G31" s="45" t="n">
        <v>0</v>
      </c>
      <c r="H31" s="45">
        <f>F31*AO31</f>
      </c>
      <c r="I31" s="45">
        <f>F31*AP31</f>
      </c>
      <c r="J31" s="45">
        <f>F31*G31</f>
      </c>
      <c r="K31" s="46" t="s">
        <v>70</v>
      </c>
      <c r="Z31" s="45">
        <f>IF(AQ31="5",BJ31,0)</f>
      </c>
      <c r="AB31" s="45">
        <f>IF(AQ31="1",BH31,0)</f>
      </c>
      <c r="AC31" s="45">
        <f>IF(AQ31="1",BI31,0)</f>
      </c>
      <c r="AD31" s="45">
        <f>IF(AQ31="7",BH31,0)</f>
      </c>
      <c r="AE31" s="45">
        <f>IF(AQ31="7",BI31,0)</f>
      </c>
      <c r="AF31" s="45">
        <f>IF(AQ31="2",BH31,0)</f>
      </c>
      <c r="AG31" s="45">
        <f>IF(AQ31="2",BI31,0)</f>
      </c>
      <c r="AH31" s="45">
        <f>IF(AQ31="0",BJ31,0)</f>
      </c>
      <c r="AI31" s="28" t="s">
        <v>55</v>
      </c>
      <c r="AJ31" s="45">
        <f>IF(AN31=0,J31,0)</f>
      </c>
      <c r="AK31" s="45">
        <f>IF(AN31=12,J31,0)</f>
      </c>
      <c r="AL31" s="45">
        <f>IF(AN31=21,J31,0)</f>
      </c>
      <c r="AN31" s="45" t="n">
        <v>21</v>
      </c>
      <c r="AO31" s="45">
        <f>G31*0</f>
      </c>
      <c r="AP31" s="45">
        <f>G31*(1-0)</f>
      </c>
      <c r="AQ31" s="47" t="s">
        <v>58</v>
      </c>
      <c r="AV31" s="45">
        <f>AW31+AX31</f>
      </c>
      <c r="AW31" s="45">
        <f>F31*AO31</f>
      </c>
      <c r="AX31" s="45">
        <f>F31*AP31</f>
      </c>
      <c r="AY31" s="47" t="s">
        <v>114</v>
      </c>
      <c r="AZ31" s="47" t="s">
        <v>64</v>
      </c>
      <c r="BA31" s="28" t="s">
        <v>65</v>
      </c>
      <c r="BC31" s="45">
        <f>AW31+AX31</f>
      </c>
      <c r="BD31" s="45">
        <f>G31/(100-BE31)*100</f>
      </c>
      <c r="BE31" s="45" t="n">
        <v>0</v>
      </c>
      <c r="BF31" s="45">
        <f>31</f>
      </c>
      <c r="BH31" s="45">
        <f>F31*AO31</f>
      </c>
      <c r="BI31" s="45">
        <f>F31*AP31</f>
      </c>
      <c r="BJ31" s="45">
        <f>F31*G31</f>
      </c>
      <c r="BK31" s="45"/>
      <c r="BL31" s="45" t="n">
        <v>17</v>
      </c>
      <c r="BW31" s="45" t="n">
        <v>21</v>
      </c>
      <c r="BX31" s="14" t="s">
        <v>120</v>
      </c>
    </row>
    <row r="32">
      <c r="A32" s="48" t="s">
        <v>55</v>
      </c>
      <c r="B32" s="49" t="s">
        <v>121</v>
      </c>
      <c r="C32" s="50" t="s">
        <v>122</v>
      </c>
      <c r="D32" s="49"/>
      <c r="E32" s="51" t="s">
        <v>36</v>
      </c>
      <c r="F32" s="51" t="s">
        <v>36</v>
      </c>
      <c r="G32" s="51" t="s">
        <v>36</v>
      </c>
      <c r="H32" s="2">
        <f>SUM(H33:H34)</f>
      </c>
      <c r="I32" s="2">
        <f>SUM(I33:I34)</f>
      </c>
      <c r="J32" s="2">
        <f>SUM(J33:J34)</f>
      </c>
      <c r="K32" s="52" t="s">
        <v>55</v>
      </c>
      <c r="AI32" s="28" t="s">
        <v>55</v>
      </c>
      <c r="AS32" s="2">
        <f>SUM(AJ33:AJ34)</f>
      </c>
      <c r="AT32" s="2">
        <f>SUM(AK33:AK34)</f>
      </c>
      <c r="AU32" s="2">
        <f>SUM(AL33:AL34)</f>
      </c>
    </row>
    <row r="33">
      <c r="A33" s="9" t="s">
        <v>99</v>
      </c>
      <c r="B33" s="10" t="s">
        <v>123</v>
      </c>
      <c r="C33" s="14" t="s">
        <v>124</v>
      </c>
      <c r="D33" s="10"/>
      <c r="E33" s="10" t="s">
        <v>61</v>
      </c>
      <c r="F33" s="45" t="n">
        <v>248</v>
      </c>
      <c r="G33" s="45" t="n">
        <v>0</v>
      </c>
      <c r="H33" s="45">
        <f>F33*AO33</f>
      </c>
      <c r="I33" s="45">
        <f>F33*AP33</f>
      </c>
      <c r="J33" s="45">
        <f>F33*G33</f>
      </c>
      <c r="K33" s="46" t="s">
        <v>70</v>
      </c>
      <c r="Z33" s="45">
        <f>IF(AQ33="5",BJ33,0)</f>
      </c>
      <c r="AB33" s="45">
        <f>IF(AQ33="1",BH33,0)</f>
      </c>
      <c r="AC33" s="45">
        <f>IF(AQ33="1",BI33,0)</f>
      </c>
      <c r="AD33" s="45">
        <f>IF(AQ33="7",BH33,0)</f>
      </c>
      <c r="AE33" s="45">
        <f>IF(AQ33="7",BI33,0)</f>
      </c>
      <c r="AF33" s="45">
        <f>IF(AQ33="2",BH33,0)</f>
      </c>
      <c r="AG33" s="45">
        <f>IF(AQ33="2",BI33,0)</f>
      </c>
      <c r="AH33" s="45">
        <f>IF(AQ33="0",BJ33,0)</f>
      </c>
      <c r="AI33" s="28" t="s">
        <v>55</v>
      </c>
      <c r="AJ33" s="45">
        <f>IF(AN33=0,J33,0)</f>
      </c>
      <c r="AK33" s="45">
        <f>IF(AN33=12,J33,0)</f>
      </c>
      <c r="AL33" s="45">
        <f>IF(AN33=21,J33,0)</f>
      </c>
      <c r="AN33" s="45" t="n">
        <v>21</v>
      </c>
      <c r="AO33" s="45">
        <f>G33*0</f>
      </c>
      <c r="AP33" s="45">
        <f>G33*(1-0)</f>
      </c>
      <c r="AQ33" s="47" t="s">
        <v>58</v>
      </c>
      <c r="AV33" s="45">
        <f>AW33+AX33</f>
      </c>
      <c r="AW33" s="45">
        <f>F33*AO33</f>
      </c>
      <c r="AX33" s="45">
        <f>F33*AP33</f>
      </c>
      <c r="AY33" s="47" t="s">
        <v>125</v>
      </c>
      <c r="AZ33" s="47" t="s">
        <v>64</v>
      </c>
      <c r="BA33" s="28" t="s">
        <v>65</v>
      </c>
      <c r="BC33" s="45">
        <f>AW33+AX33</f>
      </c>
      <c r="BD33" s="45">
        <f>G33/(100-BE33)*100</f>
      </c>
      <c r="BE33" s="45" t="n">
        <v>0</v>
      </c>
      <c r="BF33" s="45">
        <f>33</f>
      </c>
      <c r="BH33" s="45">
        <f>F33*AO33</f>
      </c>
      <c r="BI33" s="45">
        <f>F33*AP33</f>
      </c>
      <c r="BJ33" s="45">
        <f>F33*G33</f>
      </c>
      <c r="BK33" s="45"/>
      <c r="BL33" s="45" t="n">
        <v>18</v>
      </c>
      <c r="BW33" s="45" t="n">
        <v>21</v>
      </c>
      <c r="BX33" s="14" t="s">
        <v>124</v>
      </c>
    </row>
    <row r="34">
      <c r="A34" s="9" t="s">
        <v>110</v>
      </c>
      <c r="B34" s="10" t="s">
        <v>126</v>
      </c>
      <c r="C34" s="14" t="s">
        <v>127</v>
      </c>
      <c r="D34" s="10"/>
      <c r="E34" s="10" t="s">
        <v>61</v>
      </c>
      <c r="F34" s="45" t="n">
        <v>248</v>
      </c>
      <c r="G34" s="45" t="n">
        <v>0</v>
      </c>
      <c r="H34" s="45">
        <f>F34*AO34</f>
      </c>
      <c r="I34" s="45">
        <f>F34*AP34</f>
      </c>
      <c r="J34" s="45">
        <f>F34*G34</f>
      </c>
      <c r="K34" s="46" t="s">
        <v>70</v>
      </c>
      <c r="Z34" s="45">
        <f>IF(AQ34="5",BJ34,0)</f>
      </c>
      <c r="AB34" s="45">
        <f>IF(AQ34="1",BH34,0)</f>
      </c>
      <c r="AC34" s="45">
        <f>IF(AQ34="1",BI34,0)</f>
      </c>
      <c r="AD34" s="45">
        <f>IF(AQ34="7",BH34,0)</f>
      </c>
      <c r="AE34" s="45">
        <f>IF(AQ34="7",BI34,0)</f>
      </c>
      <c r="AF34" s="45">
        <f>IF(AQ34="2",BH34,0)</f>
      </c>
      <c r="AG34" s="45">
        <f>IF(AQ34="2",BI34,0)</f>
      </c>
      <c r="AH34" s="45">
        <f>IF(AQ34="0",BJ34,0)</f>
      </c>
      <c r="AI34" s="28" t="s">
        <v>55</v>
      </c>
      <c r="AJ34" s="45">
        <f>IF(AN34=0,J34,0)</f>
      </c>
      <c r="AK34" s="45">
        <f>IF(AN34=12,J34,0)</f>
      </c>
      <c r="AL34" s="45">
        <f>IF(AN34=21,J34,0)</f>
      </c>
      <c r="AN34" s="45" t="n">
        <v>21</v>
      </c>
      <c r="AO34" s="45">
        <f>G34*0.068205948</f>
      </c>
      <c r="AP34" s="45">
        <f>G34*(1-0.068205948)</f>
      </c>
      <c r="AQ34" s="47" t="s">
        <v>58</v>
      </c>
      <c r="AV34" s="45">
        <f>AW34+AX34</f>
      </c>
      <c r="AW34" s="45">
        <f>F34*AO34</f>
      </c>
      <c r="AX34" s="45">
        <f>F34*AP34</f>
      </c>
      <c r="AY34" s="47" t="s">
        <v>125</v>
      </c>
      <c r="AZ34" s="47" t="s">
        <v>64</v>
      </c>
      <c r="BA34" s="28" t="s">
        <v>65</v>
      </c>
      <c r="BC34" s="45">
        <f>AW34+AX34</f>
      </c>
      <c r="BD34" s="45">
        <f>G34/(100-BE34)*100</f>
      </c>
      <c r="BE34" s="45" t="n">
        <v>0</v>
      </c>
      <c r="BF34" s="45">
        <f>34</f>
      </c>
      <c r="BH34" s="45">
        <f>F34*AO34</f>
      </c>
      <c r="BI34" s="45">
        <f>F34*AP34</f>
      </c>
      <c r="BJ34" s="45">
        <f>F34*G34</f>
      </c>
      <c r="BK34" s="45"/>
      <c r="BL34" s="45" t="n">
        <v>18</v>
      </c>
      <c r="BW34" s="45" t="n">
        <v>21</v>
      </c>
      <c r="BX34" s="14" t="s">
        <v>127</v>
      </c>
    </row>
    <row r="35">
      <c r="A35" s="48" t="s">
        <v>55</v>
      </c>
      <c r="B35" s="49" t="s">
        <v>128</v>
      </c>
      <c r="C35" s="50" t="s">
        <v>129</v>
      </c>
      <c r="D35" s="49"/>
      <c r="E35" s="51" t="s">
        <v>36</v>
      </c>
      <c r="F35" s="51" t="s">
        <v>36</v>
      </c>
      <c r="G35" s="51" t="s">
        <v>36</v>
      </c>
      <c r="H35" s="2">
        <f>SUM(H36:H38)</f>
      </c>
      <c r="I35" s="2">
        <f>SUM(I36:I38)</f>
      </c>
      <c r="J35" s="2">
        <f>SUM(J36:J38)</f>
      </c>
      <c r="K35" s="52" t="s">
        <v>55</v>
      </c>
      <c r="AI35" s="28" t="s">
        <v>55</v>
      </c>
      <c r="AS35" s="2">
        <f>SUM(AJ36:AJ38)</f>
      </c>
      <c r="AT35" s="2">
        <f>SUM(AK36:AK38)</f>
      </c>
      <c r="AU35" s="2">
        <f>SUM(AL36:AL38)</f>
      </c>
    </row>
    <row r="36">
      <c r="A36" s="9" t="s">
        <v>121</v>
      </c>
      <c r="B36" s="10" t="s">
        <v>130</v>
      </c>
      <c r="C36" s="14" t="s">
        <v>131</v>
      </c>
      <c r="D36" s="10"/>
      <c r="E36" s="10" t="s">
        <v>79</v>
      </c>
      <c r="F36" s="45" t="n">
        <v>1.5</v>
      </c>
      <c r="G36" s="45" t="n">
        <v>0</v>
      </c>
      <c r="H36" s="45">
        <f>F36*AO36</f>
      </c>
      <c r="I36" s="45">
        <f>F36*AP36</f>
      </c>
      <c r="J36" s="45">
        <f>F36*G36</f>
      </c>
      <c r="K36" s="46" t="s">
        <v>70</v>
      </c>
      <c r="Z36" s="45">
        <f>IF(AQ36="5",BJ36,0)</f>
      </c>
      <c r="AB36" s="45">
        <f>IF(AQ36="1",BH36,0)</f>
      </c>
      <c r="AC36" s="45">
        <f>IF(AQ36="1",BI36,0)</f>
      </c>
      <c r="AD36" s="45">
        <f>IF(AQ36="7",BH36,0)</f>
      </c>
      <c r="AE36" s="45">
        <f>IF(AQ36="7",BI36,0)</f>
      </c>
      <c r="AF36" s="45">
        <f>IF(AQ36="2",BH36,0)</f>
      </c>
      <c r="AG36" s="45">
        <f>IF(AQ36="2",BI36,0)</f>
      </c>
      <c r="AH36" s="45">
        <f>IF(AQ36="0",BJ36,0)</f>
      </c>
      <c r="AI36" s="28" t="s">
        <v>55</v>
      </c>
      <c r="AJ36" s="45">
        <f>IF(AN36=0,J36,0)</f>
      </c>
      <c r="AK36" s="45">
        <f>IF(AN36=12,J36,0)</f>
      </c>
      <c r="AL36" s="45">
        <f>IF(AN36=21,J36,0)</f>
      </c>
      <c r="AN36" s="45" t="n">
        <v>21</v>
      </c>
      <c r="AO36" s="45">
        <f>G36*0.666172414</f>
      </c>
      <c r="AP36" s="45">
        <f>G36*(1-0.666172414)</f>
      </c>
      <c r="AQ36" s="47" t="s">
        <v>58</v>
      </c>
      <c r="AV36" s="45">
        <f>AW36+AX36</f>
      </c>
      <c r="AW36" s="45">
        <f>F36*AO36</f>
      </c>
      <c r="AX36" s="45">
        <f>F36*AP36</f>
      </c>
      <c r="AY36" s="47" t="s">
        <v>132</v>
      </c>
      <c r="AZ36" s="47" t="s">
        <v>133</v>
      </c>
      <c r="BA36" s="28" t="s">
        <v>65</v>
      </c>
      <c r="BC36" s="45">
        <f>AW36+AX36</f>
      </c>
      <c r="BD36" s="45">
        <f>G36/(100-BE36)*100</f>
      </c>
      <c r="BE36" s="45" t="n">
        <v>0</v>
      </c>
      <c r="BF36" s="45">
        <f>36</f>
      </c>
      <c r="BH36" s="45">
        <f>F36*AO36</f>
      </c>
      <c r="BI36" s="45">
        <f>F36*AP36</f>
      </c>
      <c r="BJ36" s="45">
        <f>F36*G36</f>
      </c>
      <c r="BK36" s="45"/>
      <c r="BL36" s="45" t="n">
        <v>27</v>
      </c>
      <c r="BW36" s="45" t="n">
        <v>21</v>
      </c>
      <c r="BX36" s="14" t="s">
        <v>131</v>
      </c>
    </row>
    <row r="37">
      <c r="A37" s="9" t="s">
        <v>134</v>
      </c>
      <c r="B37" s="10" t="s">
        <v>135</v>
      </c>
      <c r="C37" s="14" t="s">
        <v>136</v>
      </c>
      <c r="D37" s="10"/>
      <c r="E37" s="10" t="s">
        <v>79</v>
      </c>
      <c r="F37" s="45" t="n">
        <v>2.01</v>
      </c>
      <c r="G37" s="45" t="n">
        <v>0</v>
      </c>
      <c r="H37" s="45">
        <f>F37*AO37</f>
      </c>
      <c r="I37" s="45">
        <f>F37*AP37</f>
      </c>
      <c r="J37" s="45">
        <f>F37*G37</f>
      </c>
      <c r="K37" s="46" t="s">
        <v>70</v>
      </c>
      <c r="Z37" s="45">
        <f>IF(AQ37="5",BJ37,0)</f>
      </c>
      <c r="AB37" s="45">
        <f>IF(AQ37="1",BH37,0)</f>
      </c>
      <c r="AC37" s="45">
        <f>IF(AQ37="1",BI37,0)</f>
      </c>
      <c r="AD37" s="45">
        <f>IF(AQ37="7",BH37,0)</f>
      </c>
      <c r="AE37" s="45">
        <f>IF(AQ37="7",BI37,0)</f>
      </c>
      <c r="AF37" s="45">
        <f>IF(AQ37="2",BH37,0)</f>
      </c>
      <c r="AG37" s="45">
        <f>IF(AQ37="2",BI37,0)</f>
      </c>
      <c r="AH37" s="45">
        <f>IF(AQ37="0",BJ37,0)</f>
      </c>
      <c r="AI37" s="28" t="s">
        <v>55</v>
      </c>
      <c r="AJ37" s="45">
        <f>IF(AN37=0,J37,0)</f>
      </c>
      <c r="AK37" s="45">
        <f>IF(AN37=12,J37,0)</f>
      </c>
      <c r="AL37" s="45">
        <f>IF(AN37=21,J37,0)</f>
      </c>
      <c r="AN37" s="45" t="n">
        <v>21</v>
      </c>
      <c r="AO37" s="45">
        <f>G37*0.899640058</f>
      </c>
      <c r="AP37" s="45">
        <f>G37*(1-0.899640058)</f>
      </c>
      <c r="AQ37" s="47" t="s">
        <v>58</v>
      </c>
      <c r="AV37" s="45">
        <f>AW37+AX37</f>
      </c>
      <c r="AW37" s="45">
        <f>F37*AO37</f>
      </c>
      <c r="AX37" s="45">
        <f>F37*AP37</f>
      </c>
      <c r="AY37" s="47" t="s">
        <v>132</v>
      </c>
      <c r="AZ37" s="47" t="s">
        <v>133</v>
      </c>
      <c r="BA37" s="28" t="s">
        <v>65</v>
      </c>
      <c r="BC37" s="45">
        <f>AW37+AX37</f>
      </c>
      <c r="BD37" s="45">
        <f>G37/(100-BE37)*100</f>
      </c>
      <c r="BE37" s="45" t="n">
        <v>0</v>
      </c>
      <c r="BF37" s="45">
        <f>37</f>
      </c>
      <c r="BH37" s="45">
        <f>F37*AO37</f>
      </c>
      <c r="BI37" s="45">
        <f>F37*AP37</f>
      </c>
      <c r="BJ37" s="45">
        <f>F37*G37</f>
      </c>
      <c r="BK37" s="45"/>
      <c r="BL37" s="45" t="n">
        <v>27</v>
      </c>
      <c r="BW37" s="45" t="n">
        <v>21</v>
      </c>
      <c r="BX37" s="14" t="s">
        <v>136</v>
      </c>
    </row>
    <row r="38">
      <c r="A38" s="9" t="s">
        <v>137</v>
      </c>
      <c r="B38" s="10" t="s">
        <v>138</v>
      </c>
      <c r="C38" s="14" t="s">
        <v>139</v>
      </c>
      <c r="D38" s="10"/>
      <c r="E38" s="10" t="s">
        <v>109</v>
      </c>
      <c r="F38" s="45" t="n">
        <v>0.25</v>
      </c>
      <c r="G38" s="45" t="n">
        <v>0</v>
      </c>
      <c r="H38" s="45">
        <f>F38*AO38</f>
      </c>
      <c r="I38" s="45">
        <f>F38*AP38</f>
      </c>
      <c r="J38" s="45">
        <f>F38*G38</f>
      </c>
      <c r="K38" s="46" t="s">
        <v>70</v>
      </c>
      <c r="Z38" s="45">
        <f>IF(AQ38="5",BJ38,0)</f>
      </c>
      <c r="AB38" s="45">
        <f>IF(AQ38="1",BH38,0)</f>
      </c>
      <c r="AC38" s="45">
        <f>IF(AQ38="1",BI38,0)</f>
      </c>
      <c r="AD38" s="45">
        <f>IF(AQ38="7",BH38,0)</f>
      </c>
      <c r="AE38" s="45">
        <f>IF(AQ38="7",BI38,0)</f>
      </c>
      <c r="AF38" s="45">
        <f>IF(AQ38="2",BH38,0)</f>
      </c>
      <c r="AG38" s="45">
        <f>IF(AQ38="2",BI38,0)</f>
      </c>
      <c r="AH38" s="45">
        <f>IF(AQ38="0",BJ38,0)</f>
      </c>
      <c r="AI38" s="28" t="s">
        <v>55</v>
      </c>
      <c r="AJ38" s="45">
        <f>IF(AN38=0,J38,0)</f>
      </c>
      <c r="AK38" s="45">
        <f>IF(AN38=12,J38,0)</f>
      </c>
      <c r="AL38" s="45">
        <f>IF(AN38=21,J38,0)</f>
      </c>
      <c r="AN38" s="45" t="n">
        <v>21</v>
      </c>
      <c r="AO38" s="45">
        <f>G38*0.781456739</f>
      </c>
      <c r="AP38" s="45">
        <f>G38*(1-0.781456739)</f>
      </c>
      <c r="AQ38" s="47" t="s">
        <v>58</v>
      </c>
      <c r="AV38" s="45">
        <f>AW38+AX38</f>
      </c>
      <c r="AW38" s="45">
        <f>F38*AO38</f>
      </c>
      <c r="AX38" s="45">
        <f>F38*AP38</f>
      </c>
      <c r="AY38" s="47" t="s">
        <v>132</v>
      </c>
      <c r="AZ38" s="47" t="s">
        <v>133</v>
      </c>
      <c r="BA38" s="28" t="s">
        <v>65</v>
      </c>
      <c r="BC38" s="45">
        <f>AW38+AX38</f>
      </c>
      <c r="BD38" s="45">
        <f>G38/(100-BE38)*100</f>
      </c>
      <c r="BE38" s="45" t="n">
        <v>0</v>
      </c>
      <c r="BF38" s="45">
        <f>38</f>
      </c>
      <c r="BH38" s="45">
        <f>F38*AO38</f>
      </c>
      <c r="BI38" s="45">
        <f>F38*AP38</f>
      </c>
      <c r="BJ38" s="45">
        <f>F38*G38</f>
      </c>
      <c r="BK38" s="45"/>
      <c r="BL38" s="45" t="n">
        <v>27</v>
      </c>
      <c r="BW38" s="45" t="n">
        <v>21</v>
      </c>
      <c r="BX38" s="14" t="s">
        <v>139</v>
      </c>
    </row>
    <row r="39">
      <c r="A39" s="48" t="s">
        <v>55</v>
      </c>
      <c r="B39" s="49" t="s">
        <v>140</v>
      </c>
      <c r="C39" s="50" t="s">
        <v>141</v>
      </c>
      <c r="D39" s="49"/>
      <c r="E39" s="51" t="s">
        <v>36</v>
      </c>
      <c r="F39" s="51" t="s">
        <v>36</v>
      </c>
      <c r="G39" s="51" t="s">
        <v>36</v>
      </c>
      <c r="H39" s="2">
        <f>SUM(H40:H40)</f>
      </c>
      <c r="I39" s="2">
        <f>SUM(I40:I40)</f>
      </c>
      <c r="J39" s="2">
        <f>SUM(J40:J40)</f>
      </c>
      <c r="K39" s="52" t="s">
        <v>55</v>
      </c>
      <c r="AI39" s="28" t="s">
        <v>55</v>
      </c>
      <c r="AS39" s="2">
        <f>SUM(AJ40:AJ40)</f>
      </c>
      <c r="AT39" s="2">
        <f>SUM(AK40:AK40)</f>
      </c>
      <c r="AU39" s="2">
        <f>SUM(AL40:AL40)</f>
      </c>
    </row>
    <row r="40">
      <c r="A40" s="9" t="s">
        <v>142</v>
      </c>
      <c r="B40" s="10" t="s">
        <v>143</v>
      </c>
      <c r="C40" s="14" t="s">
        <v>144</v>
      </c>
      <c r="D40" s="10"/>
      <c r="E40" s="10" t="s">
        <v>79</v>
      </c>
      <c r="F40" s="45" t="n">
        <v>8.28</v>
      </c>
      <c r="G40" s="45" t="n">
        <v>0</v>
      </c>
      <c r="H40" s="45">
        <f>F40*AO40</f>
      </c>
      <c r="I40" s="45">
        <f>F40*AP40</f>
      </c>
      <c r="J40" s="45">
        <f>F40*G40</f>
      </c>
      <c r="K40" s="46" t="s">
        <v>70</v>
      </c>
      <c r="Z40" s="45">
        <f>IF(AQ40="5",BJ40,0)</f>
      </c>
      <c r="AB40" s="45">
        <f>IF(AQ40="1",BH40,0)</f>
      </c>
      <c r="AC40" s="45">
        <f>IF(AQ40="1",BI40,0)</f>
      </c>
      <c r="AD40" s="45">
        <f>IF(AQ40="7",BH40,0)</f>
      </c>
      <c r="AE40" s="45">
        <f>IF(AQ40="7",BI40,0)</f>
      </c>
      <c r="AF40" s="45">
        <f>IF(AQ40="2",BH40,0)</f>
      </c>
      <c r="AG40" s="45">
        <f>IF(AQ40="2",BI40,0)</f>
      </c>
      <c r="AH40" s="45">
        <f>IF(AQ40="0",BJ40,0)</f>
      </c>
      <c r="AI40" s="28" t="s">
        <v>55</v>
      </c>
      <c r="AJ40" s="45">
        <f>IF(AN40=0,J40,0)</f>
      </c>
      <c r="AK40" s="45">
        <f>IF(AN40=12,J40,0)</f>
      </c>
      <c r="AL40" s="45">
        <f>IF(AN40=21,J40,0)</f>
      </c>
      <c r="AN40" s="45" t="n">
        <v>21</v>
      </c>
      <c r="AO40" s="45">
        <f>G40*0.46710184</f>
      </c>
      <c r="AP40" s="45">
        <f>G40*(1-0.46710184)</f>
      </c>
      <c r="AQ40" s="47" t="s">
        <v>58</v>
      </c>
      <c r="AV40" s="45">
        <f>AW40+AX40</f>
      </c>
      <c r="AW40" s="45">
        <f>F40*AO40</f>
      </c>
      <c r="AX40" s="45">
        <f>F40*AP40</f>
      </c>
      <c r="AY40" s="47" t="s">
        <v>145</v>
      </c>
      <c r="AZ40" s="47" t="s">
        <v>146</v>
      </c>
      <c r="BA40" s="28" t="s">
        <v>65</v>
      </c>
      <c r="BC40" s="45">
        <f>AW40+AX40</f>
      </c>
      <c r="BD40" s="45">
        <f>G40/(100-BE40)*100</f>
      </c>
      <c r="BE40" s="45" t="n">
        <v>0</v>
      </c>
      <c r="BF40" s="45">
        <f>40</f>
      </c>
      <c r="BH40" s="45">
        <f>F40*AO40</f>
      </c>
      <c r="BI40" s="45">
        <f>F40*AP40</f>
      </c>
      <c r="BJ40" s="45">
        <f>F40*G40</f>
      </c>
      <c r="BK40" s="45"/>
      <c r="BL40" s="45" t="n">
        <v>45</v>
      </c>
      <c r="BW40" s="45" t="n">
        <v>21</v>
      </c>
      <c r="BX40" s="14" t="s">
        <v>144</v>
      </c>
    </row>
    <row r="41">
      <c r="A41" s="48" t="s">
        <v>55</v>
      </c>
      <c r="B41" s="49" t="s">
        <v>147</v>
      </c>
      <c r="C41" s="50" t="s">
        <v>148</v>
      </c>
      <c r="D41" s="49"/>
      <c r="E41" s="51" t="s">
        <v>36</v>
      </c>
      <c r="F41" s="51" t="s">
        <v>36</v>
      </c>
      <c r="G41" s="51" t="s">
        <v>36</v>
      </c>
      <c r="H41" s="2">
        <f>SUM(H42:H43)</f>
      </c>
      <c r="I41" s="2">
        <f>SUM(I42:I43)</f>
      </c>
      <c r="J41" s="2">
        <f>SUM(J42:J43)</f>
      </c>
      <c r="K41" s="52" t="s">
        <v>55</v>
      </c>
      <c r="AI41" s="28" t="s">
        <v>55</v>
      </c>
      <c r="AS41" s="2">
        <f>SUM(AJ42:AJ43)</f>
      </c>
      <c r="AT41" s="2">
        <f>SUM(AK42:AK43)</f>
      </c>
      <c r="AU41" s="2">
        <f>SUM(AL42:AL43)</f>
      </c>
    </row>
    <row r="42">
      <c r="A42" s="9" t="s">
        <v>149</v>
      </c>
      <c r="B42" s="10" t="s">
        <v>150</v>
      </c>
      <c r="C42" s="14" t="s">
        <v>151</v>
      </c>
      <c r="D42" s="10"/>
      <c r="E42" s="10" t="s">
        <v>61</v>
      </c>
      <c r="F42" s="45" t="n">
        <v>8</v>
      </c>
      <c r="G42" s="45" t="n">
        <v>0</v>
      </c>
      <c r="H42" s="45">
        <f>F42*AO42</f>
      </c>
      <c r="I42" s="45">
        <f>F42*AP42</f>
      </c>
      <c r="J42" s="45">
        <f>F42*G42</f>
      </c>
      <c r="K42" s="46" t="s">
        <v>70</v>
      </c>
      <c r="Z42" s="45">
        <f>IF(AQ42="5",BJ42,0)</f>
      </c>
      <c r="AB42" s="45">
        <f>IF(AQ42="1",BH42,0)</f>
      </c>
      <c r="AC42" s="45">
        <f>IF(AQ42="1",BI42,0)</f>
      </c>
      <c r="AD42" s="45">
        <f>IF(AQ42="7",BH42,0)</f>
      </c>
      <c r="AE42" s="45">
        <f>IF(AQ42="7",BI42,0)</f>
      </c>
      <c r="AF42" s="45">
        <f>IF(AQ42="2",BH42,0)</f>
      </c>
      <c r="AG42" s="45">
        <f>IF(AQ42="2",BI42,0)</f>
      </c>
      <c r="AH42" s="45">
        <f>IF(AQ42="0",BJ42,0)</f>
      </c>
      <c r="AI42" s="28" t="s">
        <v>55</v>
      </c>
      <c r="AJ42" s="45">
        <f>IF(AN42=0,J42,0)</f>
      </c>
      <c r="AK42" s="45">
        <f>IF(AN42=12,J42,0)</f>
      </c>
      <c r="AL42" s="45">
        <f>IF(AN42=21,J42,0)</f>
      </c>
      <c r="AN42" s="45" t="n">
        <v>21</v>
      </c>
      <c r="AO42" s="45">
        <f>G42*0.844888889</f>
      </c>
      <c r="AP42" s="45">
        <f>G42*(1-0.844888889)</f>
      </c>
      <c r="AQ42" s="47" t="s">
        <v>58</v>
      </c>
      <c r="AV42" s="45">
        <f>AW42+AX42</f>
      </c>
      <c r="AW42" s="45">
        <f>F42*AO42</f>
      </c>
      <c r="AX42" s="45">
        <f>F42*AP42</f>
      </c>
      <c r="AY42" s="47" t="s">
        <v>152</v>
      </c>
      <c r="AZ42" s="47" t="s">
        <v>153</v>
      </c>
      <c r="BA42" s="28" t="s">
        <v>65</v>
      </c>
      <c r="BC42" s="45">
        <f>AW42+AX42</f>
      </c>
      <c r="BD42" s="45">
        <f>G42/(100-BE42)*100</f>
      </c>
      <c r="BE42" s="45" t="n">
        <v>0</v>
      </c>
      <c r="BF42" s="45">
        <f>42</f>
      </c>
      <c r="BH42" s="45">
        <f>F42*AO42</f>
      </c>
      <c r="BI42" s="45">
        <f>F42*AP42</f>
      </c>
      <c r="BJ42" s="45">
        <f>F42*G42</f>
      </c>
      <c r="BK42" s="45"/>
      <c r="BL42" s="45" t="n">
        <v>56</v>
      </c>
      <c r="BW42" s="45" t="n">
        <v>21</v>
      </c>
      <c r="BX42" s="14" t="s">
        <v>151</v>
      </c>
    </row>
    <row r="43">
      <c r="A43" s="9" t="s">
        <v>154</v>
      </c>
      <c r="B43" s="10" t="s">
        <v>155</v>
      </c>
      <c r="C43" s="14" t="s">
        <v>156</v>
      </c>
      <c r="D43" s="10"/>
      <c r="E43" s="10" t="s">
        <v>61</v>
      </c>
      <c r="F43" s="45" t="n">
        <v>10</v>
      </c>
      <c r="G43" s="45" t="n">
        <v>0</v>
      </c>
      <c r="H43" s="45">
        <f>F43*AO43</f>
      </c>
      <c r="I43" s="45">
        <f>F43*AP43</f>
      </c>
      <c r="J43" s="45">
        <f>F43*G43</f>
      </c>
      <c r="K43" s="46" t="s">
        <v>70</v>
      </c>
      <c r="Z43" s="45">
        <f>IF(AQ43="5",BJ43,0)</f>
      </c>
      <c r="AB43" s="45">
        <f>IF(AQ43="1",BH43,0)</f>
      </c>
      <c r="AC43" s="45">
        <f>IF(AQ43="1",BI43,0)</f>
      </c>
      <c r="AD43" s="45">
        <f>IF(AQ43="7",BH43,0)</f>
      </c>
      <c r="AE43" s="45">
        <f>IF(AQ43="7",BI43,0)</f>
      </c>
      <c r="AF43" s="45">
        <f>IF(AQ43="2",BH43,0)</f>
      </c>
      <c r="AG43" s="45">
        <f>IF(AQ43="2",BI43,0)</f>
      </c>
      <c r="AH43" s="45">
        <f>IF(AQ43="0",BJ43,0)</f>
      </c>
      <c r="AI43" s="28" t="s">
        <v>55</v>
      </c>
      <c r="AJ43" s="45">
        <f>IF(AN43=0,J43,0)</f>
      </c>
      <c r="AK43" s="45">
        <f>IF(AN43=12,J43,0)</f>
      </c>
      <c r="AL43" s="45">
        <f>IF(AN43=21,J43,0)</f>
      </c>
      <c r="AN43" s="45" t="n">
        <v>21</v>
      </c>
      <c r="AO43" s="45">
        <f>G43*0.908666667</f>
      </c>
      <c r="AP43" s="45">
        <f>G43*(1-0.908666667)</f>
      </c>
      <c r="AQ43" s="47" t="s">
        <v>58</v>
      </c>
      <c r="AV43" s="45">
        <f>AW43+AX43</f>
      </c>
      <c r="AW43" s="45">
        <f>F43*AO43</f>
      </c>
      <c r="AX43" s="45">
        <f>F43*AP43</f>
      </c>
      <c r="AY43" s="47" t="s">
        <v>152</v>
      </c>
      <c r="AZ43" s="47" t="s">
        <v>153</v>
      </c>
      <c r="BA43" s="28" t="s">
        <v>65</v>
      </c>
      <c r="BC43" s="45">
        <f>AW43+AX43</f>
      </c>
      <c r="BD43" s="45">
        <f>G43/(100-BE43)*100</f>
      </c>
      <c r="BE43" s="45" t="n">
        <v>0</v>
      </c>
      <c r="BF43" s="45">
        <f>43</f>
      </c>
      <c r="BH43" s="45">
        <f>F43*AO43</f>
      </c>
      <c r="BI43" s="45">
        <f>F43*AP43</f>
      </c>
      <c r="BJ43" s="45">
        <f>F43*G43</f>
      </c>
      <c r="BK43" s="45"/>
      <c r="BL43" s="45" t="n">
        <v>56</v>
      </c>
      <c r="BW43" s="45" t="n">
        <v>21</v>
      </c>
      <c r="BX43" s="14" t="s">
        <v>156</v>
      </c>
    </row>
    <row r="44">
      <c r="A44" s="48" t="s">
        <v>55</v>
      </c>
      <c r="B44" s="49" t="s">
        <v>157</v>
      </c>
      <c r="C44" s="50" t="s">
        <v>158</v>
      </c>
      <c r="D44" s="49"/>
      <c r="E44" s="51" t="s">
        <v>36</v>
      </c>
      <c r="F44" s="51" t="s">
        <v>36</v>
      </c>
      <c r="G44" s="51" t="s">
        <v>36</v>
      </c>
      <c r="H44" s="2">
        <f>SUM(H45:H46)</f>
      </c>
      <c r="I44" s="2">
        <f>SUM(I45:I46)</f>
      </c>
      <c r="J44" s="2">
        <f>SUM(J45:J46)</f>
      </c>
      <c r="K44" s="52" t="s">
        <v>55</v>
      </c>
      <c r="AI44" s="28" t="s">
        <v>55</v>
      </c>
      <c r="AS44" s="2">
        <f>SUM(AJ45:AJ46)</f>
      </c>
      <c r="AT44" s="2">
        <f>SUM(AK45:AK46)</f>
      </c>
      <c r="AU44" s="2">
        <f>SUM(AL45:AL46)</f>
      </c>
    </row>
    <row r="45">
      <c r="A45" s="9" t="s">
        <v>159</v>
      </c>
      <c r="B45" s="10" t="s">
        <v>160</v>
      </c>
      <c r="C45" s="14" t="s">
        <v>161</v>
      </c>
      <c r="D45" s="10"/>
      <c r="E45" s="10" t="s">
        <v>61</v>
      </c>
      <c r="F45" s="45" t="n">
        <v>12</v>
      </c>
      <c r="G45" s="45" t="n">
        <v>0</v>
      </c>
      <c r="H45" s="45">
        <f>F45*AO45</f>
      </c>
      <c r="I45" s="45">
        <f>F45*AP45</f>
      </c>
      <c r="J45" s="45">
        <f>F45*G45</f>
      </c>
      <c r="K45" s="46" t="s">
        <v>70</v>
      </c>
      <c r="Z45" s="45">
        <f>IF(AQ45="5",BJ45,0)</f>
      </c>
      <c r="AB45" s="45">
        <f>IF(AQ45="1",BH45,0)</f>
      </c>
      <c r="AC45" s="45">
        <f>IF(AQ45="1",BI45,0)</f>
      </c>
      <c r="AD45" s="45">
        <f>IF(AQ45="7",BH45,0)</f>
      </c>
      <c r="AE45" s="45">
        <f>IF(AQ45="7",BI45,0)</f>
      </c>
      <c r="AF45" s="45">
        <f>IF(AQ45="2",BH45,0)</f>
      </c>
      <c r="AG45" s="45">
        <f>IF(AQ45="2",BI45,0)</f>
      </c>
      <c r="AH45" s="45">
        <f>IF(AQ45="0",BJ45,0)</f>
      </c>
      <c r="AI45" s="28" t="s">
        <v>55</v>
      </c>
      <c r="AJ45" s="45">
        <f>IF(AN45=0,J45,0)</f>
      </c>
      <c r="AK45" s="45">
        <f>IF(AN45=12,J45,0)</f>
      </c>
      <c r="AL45" s="45">
        <f>IF(AN45=21,J45,0)</f>
      </c>
      <c r="AN45" s="45" t="n">
        <v>21</v>
      </c>
      <c r="AO45" s="45">
        <f>G45*0.785733333</f>
      </c>
      <c r="AP45" s="45">
        <f>G45*(1-0.785733333)</f>
      </c>
      <c r="AQ45" s="47" t="s">
        <v>58</v>
      </c>
      <c r="AV45" s="45">
        <f>AW45+AX45</f>
      </c>
      <c r="AW45" s="45">
        <f>F45*AO45</f>
      </c>
      <c r="AX45" s="45">
        <f>F45*AP45</f>
      </c>
      <c r="AY45" s="47" t="s">
        <v>162</v>
      </c>
      <c r="AZ45" s="47" t="s">
        <v>153</v>
      </c>
      <c r="BA45" s="28" t="s">
        <v>65</v>
      </c>
      <c r="BC45" s="45">
        <f>AW45+AX45</f>
      </c>
      <c r="BD45" s="45">
        <f>G45/(100-BE45)*100</f>
      </c>
      <c r="BE45" s="45" t="n">
        <v>0</v>
      </c>
      <c r="BF45" s="45">
        <f>45</f>
      </c>
      <c r="BH45" s="45">
        <f>F45*AO45</f>
      </c>
      <c r="BI45" s="45">
        <f>F45*AP45</f>
      </c>
      <c r="BJ45" s="45">
        <f>F45*G45</f>
      </c>
      <c r="BK45" s="45"/>
      <c r="BL45" s="45" t="n">
        <v>57</v>
      </c>
      <c r="BW45" s="45" t="n">
        <v>21</v>
      </c>
      <c r="BX45" s="14" t="s">
        <v>161</v>
      </c>
    </row>
    <row r="46">
      <c r="A46" s="9" t="s">
        <v>163</v>
      </c>
      <c r="B46" s="10" t="s">
        <v>164</v>
      </c>
      <c r="C46" s="14" t="s">
        <v>165</v>
      </c>
      <c r="D46" s="10"/>
      <c r="E46" s="10" t="s">
        <v>61</v>
      </c>
      <c r="F46" s="45" t="n">
        <v>10</v>
      </c>
      <c r="G46" s="45" t="n">
        <v>0</v>
      </c>
      <c r="H46" s="45">
        <f>F46*AO46</f>
      </c>
      <c r="I46" s="45">
        <f>F46*AP46</f>
      </c>
      <c r="J46" s="45">
        <f>F46*G46</f>
      </c>
      <c r="K46" s="46" t="s">
        <v>70</v>
      </c>
      <c r="Z46" s="45">
        <f>IF(AQ46="5",BJ46,0)</f>
      </c>
      <c r="AB46" s="45">
        <f>IF(AQ46="1",BH46,0)</f>
      </c>
      <c r="AC46" s="45">
        <f>IF(AQ46="1",BI46,0)</f>
      </c>
      <c r="AD46" s="45">
        <f>IF(AQ46="7",BH46,0)</f>
      </c>
      <c r="AE46" s="45">
        <f>IF(AQ46="7",BI46,0)</f>
      </c>
      <c r="AF46" s="45">
        <f>IF(AQ46="2",BH46,0)</f>
      </c>
      <c r="AG46" s="45">
        <f>IF(AQ46="2",BI46,0)</f>
      </c>
      <c r="AH46" s="45">
        <f>IF(AQ46="0",BJ46,0)</f>
      </c>
      <c r="AI46" s="28" t="s">
        <v>55</v>
      </c>
      <c r="AJ46" s="45">
        <f>IF(AN46=0,J46,0)</f>
      </c>
      <c r="AK46" s="45">
        <f>IF(AN46=12,J46,0)</f>
      </c>
      <c r="AL46" s="45">
        <f>IF(AN46=21,J46,0)</f>
      </c>
      <c r="AN46" s="45" t="n">
        <v>21</v>
      </c>
      <c r="AO46" s="45">
        <f>G46*0.815358932</f>
      </c>
      <c r="AP46" s="45">
        <f>G46*(1-0.815358932)</f>
      </c>
      <c r="AQ46" s="47" t="s">
        <v>58</v>
      </c>
      <c r="AV46" s="45">
        <f>AW46+AX46</f>
      </c>
      <c r="AW46" s="45">
        <f>F46*AO46</f>
      </c>
      <c r="AX46" s="45">
        <f>F46*AP46</f>
      </c>
      <c r="AY46" s="47" t="s">
        <v>162</v>
      </c>
      <c r="AZ46" s="47" t="s">
        <v>153</v>
      </c>
      <c r="BA46" s="28" t="s">
        <v>65</v>
      </c>
      <c r="BC46" s="45">
        <f>AW46+AX46</f>
      </c>
      <c r="BD46" s="45">
        <f>G46/(100-BE46)*100</f>
      </c>
      <c r="BE46" s="45" t="n">
        <v>0</v>
      </c>
      <c r="BF46" s="45">
        <f>46</f>
      </c>
      <c r="BH46" s="45">
        <f>F46*AO46</f>
      </c>
      <c r="BI46" s="45">
        <f>F46*AP46</f>
      </c>
      <c r="BJ46" s="45">
        <f>F46*G46</f>
      </c>
      <c r="BK46" s="45"/>
      <c r="BL46" s="45" t="n">
        <v>57</v>
      </c>
      <c r="BW46" s="45" t="n">
        <v>21</v>
      </c>
      <c r="BX46" s="14" t="s">
        <v>165</v>
      </c>
    </row>
    <row r="47">
      <c r="A47" s="48" t="s">
        <v>55</v>
      </c>
      <c r="B47" s="49" t="s">
        <v>166</v>
      </c>
      <c r="C47" s="50" t="s">
        <v>167</v>
      </c>
      <c r="D47" s="49"/>
      <c r="E47" s="51" t="s">
        <v>36</v>
      </c>
      <c r="F47" s="51" t="s">
        <v>36</v>
      </c>
      <c r="G47" s="51" t="s">
        <v>36</v>
      </c>
      <c r="H47" s="2">
        <f>SUM(H48:H48)</f>
      </c>
      <c r="I47" s="2">
        <f>SUM(I48:I48)</f>
      </c>
      <c r="J47" s="2">
        <f>SUM(J48:J48)</f>
      </c>
      <c r="K47" s="52" t="s">
        <v>55</v>
      </c>
      <c r="AI47" s="28" t="s">
        <v>55</v>
      </c>
      <c r="AS47" s="2">
        <f>SUM(AJ48:AJ48)</f>
      </c>
      <c r="AT47" s="2">
        <f>SUM(AK48:AK48)</f>
      </c>
      <c r="AU47" s="2">
        <f>SUM(AL48:AL48)</f>
      </c>
    </row>
    <row r="48">
      <c r="A48" s="9" t="s">
        <v>168</v>
      </c>
      <c r="B48" s="10" t="s">
        <v>169</v>
      </c>
      <c r="C48" s="14" t="s">
        <v>170</v>
      </c>
      <c r="D48" s="10"/>
      <c r="E48" s="10" t="s">
        <v>171</v>
      </c>
      <c r="F48" s="45" t="n">
        <v>1</v>
      </c>
      <c r="G48" s="45" t="n">
        <v>0</v>
      </c>
      <c r="H48" s="45">
        <f>F48*AO48</f>
      </c>
      <c r="I48" s="45">
        <f>F48*AP48</f>
      </c>
      <c r="J48" s="45">
        <f>F48*G48</f>
      </c>
      <c r="K48" s="46" t="s">
        <v>55</v>
      </c>
      <c r="Z48" s="45">
        <f>IF(AQ48="5",BJ48,0)</f>
      </c>
      <c r="AB48" s="45">
        <f>IF(AQ48="1",BH48,0)</f>
      </c>
      <c r="AC48" s="45">
        <f>IF(AQ48="1",BI48,0)</f>
      </c>
      <c r="AD48" s="45">
        <f>IF(AQ48="7",BH48,0)</f>
      </c>
      <c r="AE48" s="45">
        <f>IF(AQ48="7",BI48,0)</f>
      </c>
      <c r="AF48" s="45">
        <f>IF(AQ48="2",BH48,0)</f>
      </c>
      <c r="AG48" s="45">
        <f>IF(AQ48="2",BI48,0)</f>
      </c>
      <c r="AH48" s="45">
        <f>IF(AQ48="0",BJ48,0)</f>
      </c>
      <c r="AI48" s="28" t="s">
        <v>55</v>
      </c>
      <c r="AJ48" s="45">
        <f>IF(AN48=0,J48,0)</f>
      </c>
      <c r="AK48" s="45">
        <f>IF(AN48=12,J48,0)</f>
      </c>
      <c r="AL48" s="45">
        <f>IF(AN48=21,J48,0)</f>
      </c>
      <c r="AN48" s="45" t="n">
        <v>21</v>
      </c>
      <c r="AO48" s="45">
        <f>G48*0.541656882</f>
      </c>
      <c r="AP48" s="45">
        <f>G48*(1-0.541656882)</f>
      </c>
      <c r="AQ48" s="47" t="s">
        <v>90</v>
      </c>
      <c r="AV48" s="45">
        <f>AW48+AX48</f>
      </c>
      <c r="AW48" s="45">
        <f>F48*AO48</f>
      </c>
      <c r="AX48" s="45">
        <f>F48*AP48</f>
      </c>
      <c r="AY48" s="47" t="s">
        <v>172</v>
      </c>
      <c r="AZ48" s="47" t="s">
        <v>173</v>
      </c>
      <c r="BA48" s="28" t="s">
        <v>65</v>
      </c>
      <c r="BC48" s="45">
        <f>AW48+AX48</f>
      </c>
      <c r="BD48" s="45">
        <f>G48/(100-BE48)*100</f>
      </c>
      <c r="BE48" s="45" t="n">
        <v>0</v>
      </c>
      <c r="BF48" s="45">
        <f>48</f>
      </c>
      <c r="BH48" s="45">
        <f>F48*AO48</f>
      </c>
      <c r="BI48" s="45">
        <f>F48*AP48</f>
      </c>
      <c r="BJ48" s="45">
        <f>F48*G48</f>
      </c>
      <c r="BK48" s="45"/>
      <c r="BL48" s="45" t="n">
        <v>722</v>
      </c>
      <c r="BW48" s="45" t="n">
        <v>21</v>
      </c>
      <c r="BX48" s="14" t="s">
        <v>170</v>
      </c>
    </row>
    <row r="49">
      <c r="A49" s="48" t="s">
        <v>55</v>
      </c>
      <c r="B49" s="49" t="s">
        <v>174</v>
      </c>
      <c r="C49" s="50" t="s">
        <v>175</v>
      </c>
      <c r="D49" s="49"/>
      <c r="E49" s="51" t="s">
        <v>36</v>
      </c>
      <c r="F49" s="51" t="s">
        <v>36</v>
      </c>
      <c r="G49" s="51" t="s">
        <v>36</v>
      </c>
      <c r="H49" s="2">
        <f>SUM(H50:H53)</f>
      </c>
      <c r="I49" s="2">
        <f>SUM(I50:I53)</f>
      </c>
      <c r="J49" s="2">
        <f>SUM(J50:J53)</f>
      </c>
      <c r="K49" s="52" t="s">
        <v>55</v>
      </c>
      <c r="AI49" s="28" t="s">
        <v>55</v>
      </c>
      <c r="AS49" s="2">
        <f>SUM(AJ50:AJ53)</f>
      </c>
      <c r="AT49" s="2">
        <f>SUM(AK50:AK53)</f>
      </c>
      <c r="AU49" s="2">
        <f>SUM(AL50:AL53)</f>
      </c>
    </row>
    <row r="50">
      <c r="A50" s="9" t="s">
        <v>128</v>
      </c>
      <c r="B50" s="10" t="s">
        <v>176</v>
      </c>
      <c r="C50" s="14" t="s">
        <v>177</v>
      </c>
      <c r="D50" s="10"/>
      <c r="E50" s="10" t="s">
        <v>178</v>
      </c>
      <c r="F50" s="45" t="n">
        <v>1</v>
      </c>
      <c r="G50" s="45" t="n">
        <v>0</v>
      </c>
      <c r="H50" s="45">
        <f>F50*AO50</f>
      </c>
      <c r="I50" s="45">
        <f>F50*AP50</f>
      </c>
      <c r="J50" s="45">
        <f>F50*G50</f>
      </c>
      <c r="K50" s="46" t="s">
        <v>55</v>
      </c>
      <c r="Z50" s="45">
        <f>IF(AQ50="5",BJ50,0)</f>
      </c>
      <c r="AB50" s="45">
        <f>IF(AQ50="1",BH50,0)</f>
      </c>
      <c r="AC50" s="45">
        <f>IF(AQ50="1",BI50,0)</f>
      </c>
      <c r="AD50" s="45">
        <f>IF(AQ50="7",BH50,0)</f>
      </c>
      <c r="AE50" s="45">
        <f>IF(AQ50="7",BI50,0)</f>
      </c>
      <c r="AF50" s="45">
        <f>IF(AQ50="2",BH50,0)</f>
      </c>
      <c r="AG50" s="45">
        <f>IF(AQ50="2",BI50,0)</f>
      </c>
      <c r="AH50" s="45">
        <f>IF(AQ50="0",BJ50,0)</f>
      </c>
      <c r="AI50" s="28" t="s">
        <v>55</v>
      </c>
      <c r="AJ50" s="45">
        <f>IF(AN50=0,J50,0)</f>
      </c>
      <c r="AK50" s="45">
        <f>IF(AN50=12,J50,0)</f>
      </c>
      <c r="AL50" s="45">
        <f>IF(AN50=21,J50,0)</f>
      </c>
      <c r="AN50" s="45" t="n">
        <v>21</v>
      </c>
      <c r="AO50" s="45">
        <f>G50*0.593376714</f>
      </c>
      <c r="AP50" s="45">
        <f>G50*(1-0.593376714)</f>
      </c>
      <c r="AQ50" s="47" t="s">
        <v>90</v>
      </c>
      <c r="AV50" s="45">
        <f>AW50+AX50</f>
      </c>
      <c r="AW50" s="45">
        <f>F50*AO50</f>
      </c>
      <c r="AX50" s="45">
        <f>F50*AP50</f>
      </c>
      <c r="AY50" s="47" t="s">
        <v>179</v>
      </c>
      <c r="AZ50" s="47" t="s">
        <v>173</v>
      </c>
      <c r="BA50" s="28" t="s">
        <v>65</v>
      </c>
      <c r="BC50" s="45">
        <f>AW50+AX50</f>
      </c>
      <c r="BD50" s="45">
        <f>G50/(100-BE50)*100</f>
      </c>
      <c r="BE50" s="45" t="n">
        <v>0</v>
      </c>
      <c r="BF50" s="45">
        <f>50</f>
      </c>
      <c r="BH50" s="45">
        <f>F50*AO50</f>
      </c>
      <c r="BI50" s="45">
        <f>F50*AP50</f>
      </c>
      <c r="BJ50" s="45">
        <f>F50*G50</f>
      </c>
      <c r="BK50" s="45"/>
      <c r="BL50" s="45" t="n">
        <v>724</v>
      </c>
      <c r="BW50" s="45" t="n">
        <v>21</v>
      </c>
      <c r="BX50" s="14" t="s">
        <v>177</v>
      </c>
    </row>
    <row r="51">
      <c r="A51" s="9" t="s">
        <v>180</v>
      </c>
      <c r="B51" s="10" t="s">
        <v>181</v>
      </c>
      <c r="C51" s="14" t="s">
        <v>182</v>
      </c>
      <c r="D51" s="10"/>
      <c r="E51" s="10" t="s">
        <v>178</v>
      </c>
      <c r="F51" s="45" t="n">
        <v>1</v>
      </c>
      <c r="G51" s="45" t="n">
        <v>0</v>
      </c>
      <c r="H51" s="45">
        <f>F51*AO51</f>
      </c>
      <c r="I51" s="45">
        <f>F51*AP51</f>
      </c>
      <c r="J51" s="45">
        <f>F51*G51</f>
      </c>
      <c r="K51" s="46" t="s">
        <v>55</v>
      </c>
      <c r="Z51" s="45">
        <f>IF(AQ51="5",BJ51,0)</f>
      </c>
      <c r="AB51" s="45">
        <f>IF(AQ51="1",BH51,0)</f>
      </c>
      <c r="AC51" s="45">
        <f>IF(AQ51="1",BI51,0)</f>
      </c>
      <c r="AD51" s="45">
        <f>IF(AQ51="7",BH51,0)</f>
      </c>
      <c r="AE51" s="45">
        <f>IF(AQ51="7",BI51,0)</f>
      </c>
      <c r="AF51" s="45">
        <f>IF(AQ51="2",BH51,0)</f>
      </c>
      <c r="AG51" s="45">
        <f>IF(AQ51="2",BI51,0)</f>
      </c>
      <c r="AH51" s="45">
        <f>IF(AQ51="0",BJ51,0)</f>
      </c>
      <c r="AI51" s="28" t="s">
        <v>55</v>
      </c>
      <c r="AJ51" s="45">
        <f>IF(AN51=0,J51,0)</f>
      </c>
      <c r="AK51" s="45">
        <f>IF(AN51=12,J51,0)</f>
      </c>
      <c r="AL51" s="45">
        <f>IF(AN51=21,J51,0)</f>
      </c>
      <c r="AN51" s="45" t="n">
        <v>21</v>
      </c>
      <c r="AO51" s="45">
        <f>G51*0.715585167</f>
      </c>
      <c r="AP51" s="45">
        <f>G51*(1-0.715585167)</f>
      </c>
      <c r="AQ51" s="47" t="s">
        <v>90</v>
      </c>
      <c r="AV51" s="45">
        <f>AW51+AX51</f>
      </c>
      <c r="AW51" s="45">
        <f>F51*AO51</f>
      </c>
      <c r="AX51" s="45">
        <f>F51*AP51</f>
      </c>
      <c r="AY51" s="47" t="s">
        <v>179</v>
      </c>
      <c r="AZ51" s="47" t="s">
        <v>173</v>
      </c>
      <c r="BA51" s="28" t="s">
        <v>65</v>
      </c>
      <c r="BC51" s="45">
        <f>AW51+AX51</f>
      </c>
      <c r="BD51" s="45">
        <f>G51/(100-BE51)*100</f>
      </c>
      <c r="BE51" s="45" t="n">
        <v>0</v>
      </c>
      <c r="BF51" s="45">
        <f>51</f>
      </c>
      <c r="BH51" s="45">
        <f>F51*AO51</f>
      </c>
      <c r="BI51" s="45">
        <f>F51*AP51</f>
      </c>
      <c r="BJ51" s="45">
        <f>F51*G51</f>
      </c>
      <c r="BK51" s="45"/>
      <c r="BL51" s="45" t="n">
        <v>724</v>
      </c>
      <c r="BW51" s="45" t="n">
        <v>21</v>
      </c>
      <c r="BX51" s="14" t="s">
        <v>182</v>
      </c>
    </row>
    <row r="52" ht="24.75">
      <c r="A52" s="9" t="s">
        <v>183</v>
      </c>
      <c r="B52" s="10" t="s">
        <v>184</v>
      </c>
      <c r="C52" s="14" t="s">
        <v>185</v>
      </c>
      <c r="D52" s="10"/>
      <c r="E52" s="10" t="s">
        <v>178</v>
      </c>
      <c r="F52" s="45" t="n">
        <v>2</v>
      </c>
      <c r="G52" s="45" t="n">
        <v>0</v>
      </c>
      <c r="H52" s="45">
        <f>F52*AO52</f>
      </c>
      <c r="I52" s="45">
        <f>F52*AP52</f>
      </c>
      <c r="J52" s="45">
        <f>F52*G52</f>
      </c>
      <c r="K52" s="46" t="s">
        <v>55</v>
      </c>
      <c r="Z52" s="45">
        <f>IF(AQ52="5",BJ52,0)</f>
      </c>
      <c r="AB52" s="45">
        <f>IF(AQ52="1",BH52,0)</f>
      </c>
      <c r="AC52" s="45">
        <f>IF(AQ52="1",BI52,0)</f>
      </c>
      <c r="AD52" s="45">
        <f>IF(AQ52="7",BH52,0)</f>
      </c>
      <c r="AE52" s="45">
        <f>IF(AQ52="7",BI52,0)</f>
      </c>
      <c r="AF52" s="45">
        <f>IF(AQ52="2",BH52,0)</f>
      </c>
      <c r="AG52" s="45">
        <f>IF(AQ52="2",BI52,0)</f>
      </c>
      <c r="AH52" s="45">
        <f>IF(AQ52="0",BJ52,0)</f>
      </c>
      <c r="AI52" s="28" t="s">
        <v>55</v>
      </c>
      <c r="AJ52" s="45">
        <f>IF(AN52=0,J52,0)</f>
      </c>
      <c r="AK52" s="45">
        <f>IF(AN52=12,J52,0)</f>
      </c>
      <c r="AL52" s="45">
        <f>IF(AN52=21,J52,0)</f>
      </c>
      <c r="AN52" s="45" t="n">
        <v>21</v>
      </c>
      <c r="AO52" s="45">
        <f>G52*0.069569286</f>
      </c>
      <c r="AP52" s="45">
        <f>G52*(1-0.069569286)</f>
      </c>
      <c r="AQ52" s="47" t="s">
        <v>90</v>
      </c>
      <c r="AV52" s="45">
        <f>AW52+AX52</f>
      </c>
      <c r="AW52" s="45">
        <f>F52*AO52</f>
      </c>
      <c r="AX52" s="45">
        <f>F52*AP52</f>
      </c>
      <c r="AY52" s="47" t="s">
        <v>179</v>
      </c>
      <c r="AZ52" s="47" t="s">
        <v>173</v>
      </c>
      <c r="BA52" s="28" t="s">
        <v>65</v>
      </c>
      <c r="BC52" s="45">
        <f>AW52+AX52</f>
      </c>
      <c r="BD52" s="45">
        <f>G52/(100-BE52)*100</f>
      </c>
      <c r="BE52" s="45" t="n">
        <v>0</v>
      </c>
      <c r="BF52" s="45">
        <f>52</f>
      </c>
      <c r="BH52" s="45">
        <f>F52*AO52</f>
      </c>
      <c r="BI52" s="45">
        <f>F52*AP52</f>
      </c>
      <c r="BJ52" s="45">
        <f>F52*G52</f>
      </c>
      <c r="BK52" s="45"/>
      <c r="BL52" s="45" t="n">
        <v>724</v>
      </c>
      <c r="BW52" s="45" t="n">
        <v>21</v>
      </c>
      <c r="BX52" s="14" t="s">
        <v>185</v>
      </c>
    </row>
    <row r="53">
      <c r="A53" s="9" t="s">
        <v>186</v>
      </c>
      <c r="B53" s="10" t="s">
        <v>184</v>
      </c>
      <c r="C53" s="14" t="s">
        <v>187</v>
      </c>
      <c r="D53" s="10"/>
      <c r="E53" s="10" t="s">
        <v>178</v>
      </c>
      <c r="F53" s="45" t="n">
        <v>1</v>
      </c>
      <c r="G53" s="45" t="n">
        <v>0</v>
      </c>
      <c r="H53" s="45">
        <f>F53*AO53</f>
      </c>
      <c r="I53" s="45">
        <f>F53*AP53</f>
      </c>
      <c r="J53" s="45">
        <f>F53*G53</f>
      </c>
      <c r="K53" s="46" t="s">
        <v>55</v>
      </c>
      <c r="Z53" s="45">
        <f>IF(AQ53="5",BJ53,0)</f>
      </c>
      <c r="AB53" s="45">
        <f>IF(AQ53="1",BH53,0)</f>
      </c>
      <c r="AC53" s="45">
        <f>IF(AQ53="1",BI53,0)</f>
      </c>
      <c r="AD53" s="45">
        <f>IF(AQ53="7",BH53,0)</f>
      </c>
      <c r="AE53" s="45">
        <f>IF(AQ53="7",BI53,0)</f>
      </c>
      <c r="AF53" s="45">
        <f>IF(AQ53="2",BH53,0)</f>
      </c>
      <c r="AG53" s="45">
        <f>IF(AQ53="2",BI53,0)</f>
      </c>
      <c r="AH53" s="45">
        <f>IF(AQ53="0",BJ53,0)</f>
      </c>
      <c r="AI53" s="28" t="s">
        <v>55</v>
      </c>
      <c r="AJ53" s="45">
        <f>IF(AN53=0,J53,0)</f>
      </c>
      <c r="AK53" s="45">
        <f>IF(AN53=12,J53,0)</f>
      </c>
      <c r="AL53" s="45">
        <f>IF(AN53=21,J53,0)</f>
      </c>
      <c r="AN53" s="45" t="n">
        <v>21</v>
      </c>
      <c r="AO53" s="45">
        <f>G53*0.069569545</f>
      </c>
      <c r="AP53" s="45">
        <f>G53*(1-0.069569545)</f>
      </c>
      <c r="AQ53" s="47" t="s">
        <v>90</v>
      </c>
      <c r="AV53" s="45">
        <f>AW53+AX53</f>
      </c>
      <c r="AW53" s="45">
        <f>F53*AO53</f>
      </c>
      <c r="AX53" s="45">
        <f>F53*AP53</f>
      </c>
      <c r="AY53" s="47" t="s">
        <v>179</v>
      </c>
      <c r="AZ53" s="47" t="s">
        <v>173</v>
      </c>
      <c r="BA53" s="28" t="s">
        <v>65</v>
      </c>
      <c r="BC53" s="45">
        <f>AW53+AX53</f>
      </c>
      <c r="BD53" s="45">
        <f>G53/(100-BE53)*100</f>
      </c>
      <c r="BE53" s="45" t="n">
        <v>0</v>
      </c>
      <c r="BF53" s="45">
        <f>53</f>
      </c>
      <c r="BH53" s="45">
        <f>F53*AO53</f>
      </c>
      <c r="BI53" s="45">
        <f>F53*AP53</f>
      </c>
      <c r="BJ53" s="45">
        <f>F53*G53</f>
      </c>
      <c r="BK53" s="45"/>
      <c r="BL53" s="45" t="n">
        <v>724</v>
      </c>
      <c r="BW53" s="45" t="n">
        <v>21</v>
      </c>
      <c r="BX53" s="14" t="s">
        <v>187</v>
      </c>
    </row>
    <row r="54">
      <c r="A54" s="48" t="s">
        <v>55</v>
      </c>
      <c r="B54" s="49" t="s">
        <v>188</v>
      </c>
      <c r="C54" s="50" t="s">
        <v>189</v>
      </c>
      <c r="D54" s="49"/>
      <c r="E54" s="51" t="s">
        <v>36</v>
      </c>
      <c r="F54" s="51" t="s">
        <v>36</v>
      </c>
      <c r="G54" s="51" t="s">
        <v>36</v>
      </c>
      <c r="H54" s="2">
        <f>SUM(H55:H55)</f>
      </c>
      <c r="I54" s="2">
        <f>SUM(I55:I55)</f>
      </c>
      <c r="J54" s="2">
        <f>SUM(J55:J55)</f>
      </c>
      <c r="K54" s="52" t="s">
        <v>55</v>
      </c>
      <c r="AI54" s="28" t="s">
        <v>55</v>
      </c>
      <c r="AS54" s="2">
        <f>SUM(AJ55:AJ55)</f>
      </c>
      <c r="AT54" s="2">
        <f>SUM(AK55:AK55)</f>
      </c>
      <c r="AU54" s="2">
        <f>SUM(AL55:AL55)</f>
      </c>
    </row>
    <row r="55">
      <c r="A55" s="9" t="s">
        <v>190</v>
      </c>
      <c r="B55" s="10" t="s">
        <v>191</v>
      </c>
      <c r="C55" s="14" t="s">
        <v>192</v>
      </c>
      <c r="D55" s="10"/>
      <c r="E55" s="10" t="s">
        <v>178</v>
      </c>
      <c r="F55" s="45" t="n">
        <v>1</v>
      </c>
      <c r="G55" s="45" t="n">
        <v>0</v>
      </c>
      <c r="H55" s="45">
        <f>F55*AO55</f>
      </c>
      <c r="I55" s="45">
        <f>F55*AP55</f>
      </c>
      <c r="J55" s="45">
        <f>F55*G55</f>
      </c>
      <c r="K55" s="46" t="s">
        <v>70</v>
      </c>
      <c r="Z55" s="45">
        <f>IF(AQ55="5",BJ55,0)</f>
      </c>
      <c r="AB55" s="45">
        <f>IF(AQ55="1",BH55,0)</f>
      </c>
      <c r="AC55" s="45">
        <f>IF(AQ55="1",BI55,0)</f>
      </c>
      <c r="AD55" s="45">
        <f>IF(AQ55="7",BH55,0)</f>
      </c>
      <c r="AE55" s="45">
        <f>IF(AQ55="7",BI55,0)</f>
      </c>
      <c r="AF55" s="45">
        <f>IF(AQ55="2",BH55,0)</f>
      </c>
      <c r="AG55" s="45">
        <f>IF(AQ55="2",BI55,0)</f>
      </c>
      <c r="AH55" s="45">
        <f>IF(AQ55="0",BJ55,0)</f>
      </c>
      <c r="AI55" s="28" t="s">
        <v>55</v>
      </c>
      <c r="AJ55" s="45">
        <f>IF(AN55=0,J55,0)</f>
      </c>
      <c r="AK55" s="45">
        <f>IF(AN55=12,J55,0)</f>
      </c>
      <c r="AL55" s="45">
        <f>IF(AN55=21,J55,0)</f>
      </c>
      <c r="AN55" s="45" t="n">
        <v>21</v>
      </c>
      <c r="AO55" s="45">
        <f>G55*0.35</f>
      </c>
      <c r="AP55" s="45">
        <f>G55*(1-0.35)</f>
      </c>
      <c r="AQ55" s="47" t="s">
        <v>90</v>
      </c>
      <c r="AV55" s="45">
        <f>AW55+AX55</f>
      </c>
      <c r="AW55" s="45">
        <f>F55*AO55</f>
      </c>
      <c r="AX55" s="45">
        <f>F55*AP55</f>
      </c>
      <c r="AY55" s="47" t="s">
        <v>193</v>
      </c>
      <c r="AZ55" s="47" t="s">
        <v>194</v>
      </c>
      <c r="BA55" s="28" t="s">
        <v>65</v>
      </c>
      <c r="BC55" s="45">
        <f>AW55+AX55</f>
      </c>
      <c r="BD55" s="45">
        <f>G55/(100-BE55)*100</f>
      </c>
      <c r="BE55" s="45" t="n">
        <v>0</v>
      </c>
      <c r="BF55" s="45">
        <f>55</f>
      </c>
      <c r="BH55" s="45">
        <f>F55*AO55</f>
      </c>
      <c r="BI55" s="45">
        <f>F55*AP55</f>
      </c>
      <c r="BJ55" s="45">
        <f>F55*G55</f>
      </c>
      <c r="BK55" s="45"/>
      <c r="BL55" s="45" t="n">
        <v>767</v>
      </c>
      <c r="BW55" s="45" t="n">
        <v>21</v>
      </c>
      <c r="BX55" s="14" t="s">
        <v>192</v>
      </c>
    </row>
    <row r="56">
      <c r="A56" s="48" t="s">
        <v>55</v>
      </c>
      <c r="B56" s="49" t="s">
        <v>195</v>
      </c>
      <c r="C56" s="50" t="s">
        <v>196</v>
      </c>
      <c r="D56" s="49"/>
      <c r="E56" s="51" t="s">
        <v>36</v>
      </c>
      <c r="F56" s="51" t="s">
        <v>36</v>
      </c>
      <c r="G56" s="51" t="s">
        <v>36</v>
      </c>
      <c r="H56" s="2">
        <f>SUM(H57:H57)</f>
      </c>
      <c r="I56" s="2">
        <f>SUM(I57:I57)</f>
      </c>
      <c r="J56" s="2">
        <f>SUM(J57:J57)</f>
      </c>
      <c r="K56" s="52" t="s">
        <v>55</v>
      </c>
      <c r="AI56" s="28" t="s">
        <v>55</v>
      </c>
      <c r="AS56" s="2">
        <f>SUM(AJ57:AJ57)</f>
      </c>
      <c r="AT56" s="2">
        <f>SUM(AK57:AK57)</f>
      </c>
      <c r="AU56" s="2">
        <f>SUM(AL57:AL57)</f>
      </c>
    </row>
    <row r="57">
      <c r="A57" s="9" t="s">
        <v>197</v>
      </c>
      <c r="B57" s="10" t="s">
        <v>198</v>
      </c>
      <c r="C57" s="14" t="s">
        <v>199</v>
      </c>
      <c r="D57" s="10"/>
      <c r="E57" s="10" t="s">
        <v>61</v>
      </c>
      <c r="F57" s="45" t="n">
        <v>12.87</v>
      </c>
      <c r="G57" s="45" t="n">
        <v>0</v>
      </c>
      <c r="H57" s="45">
        <f>F57*AO57</f>
      </c>
      <c r="I57" s="45">
        <f>F57*AP57</f>
      </c>
      <c r="J57" s="45">
        <f>F57*G57</f>
      </c>
      <c r="K57" s="46" t="s">
        <v>70</v>
      </c>
      <c r="Z57" s="45">
        <f>IF(AQ57="5",BJ57,0)</f>
      </c>
      <c r="AB57" s="45">
        <f>IF(AQ57="1",BH57,0)</f>
      </c>
      <c r="AC57" s="45">
        <f>IF(AQ57="1",BI57,0)</f>
      </c>
      <c r="AD57" s="45">
        <f>IF(AQ57="7",BH57,0)</f>
      </c>
      <c r="AE57" s="45">
        <f>IF(AQ57="7",BI57,0)</f>
      </c>
      <c r="AF57" s="45">
        <f>IF(AQ57="2",BH57,0)</f>
      </c>
      <c r="AG57" s="45">
        <f>IF(AQ57="2",BI57,0)</f>
      </c>
      <c r="AH57" s="45">
        <f>IF(AQ57="0",BJ57,0)</f>
      </c>
      <c r="AI57" s="28" t="s">
        <v>55</v>
      </c>
      <c r="AJ57" s="45">
        <f>IF(AN57=0,J57,0)</f>
      </c>
      <c r="AK57" s="45">
        <f>IF(AN57=12,J57,0)</f>
      </c>
      <c r="AL57" s="45">
        <f>IF(AN57=21,J57,0)</f>
      </c>
      <c r="AN57" s="45" t="n">
        <v>21</v>
      </c>
      <c r="AO57" s="45">
        <f>G57*0.452652544</f>
      </c>
      <c r="AP57" s="45">
        <f>G57*(1-0.452652544)</f>
      </c>
      <c r="AQ57" s="47" t="s">
        <v>90</v>
      </c>
      <c r="AV57" s="45">
        <f>AW57+AX57</f>
      </c>
      <c r="AW57" s="45">
        <f>F57*AO57</f>
      </c>
      <c r="AX57" s="45">
        <f>F57*AP57</f>
      </c>
      <c r="AY57" s="47" t="s">
        <v>200</v>
      </c>
      <c r="AZ57" s="47" t="s">
        <v>201</v>
      </c>
      <c r="BA57" s="28" t="s">
        <v>65</v>
      </c>
      <c r="BC57" s="45">
        <f>AW57+AX57</f>
      </c>
      <c r="BD57" s="45">
        <f>G57/(100-BE57)*100</f>
      </c>
      <c r="BE57" s="45" t="n">
        <v>0</v>
      </c>
      <c r="BF57" s="45">
        <f>57</f>
      </c>
      <c r="BH57" s="45">
        <f>F57*AO57</f>
      </c>
      <c r="BI57" s="45">
        <f>F57*AP57</f>
      </c>
      <c r="BJ57" s="45">
        <f>F57*G57</f>
      </c>
      <c r="BK57" s="45"/>
      <c r="BL57" s="45" t="n">
        <v>783</v>
      </c>
      <c r="BW57" s="45" t="n">
        <v>21</v>
      </c>
      <c r="BX57" s="14" t="s">
        <v>199</v>
      </c>
    </row>
    <row r="58">
      <c r="A58" s="48" t="s">
        <v>55</v>
      </c>
      <c r="B58" s="49" t="s">
        <v>202</v>
      </c>
      <c r="C58" s="50" t="s">
        <v>203</v>
      </c>
      <c r="D58" s="49"/>
      <c r="E58" s="51" t="s">
        <v>36</v>
      </c>
      <c r="F58" s="51" t="s">
        <v>36</v>
      </c>
      <c r="G58" s="51" t="s">
        <v>36</v>
      </c>
      <c r="H58" s="2">
        <f>SUM(H59:H60)</f>
      </c>
      <c r="I58" s="2">
        <f>SUM(I59:I60)</f>
      </c>
      <c r="J58" s="2">
        <f>SUM(J59:J60)</f>
      </c>
      <c r="K58" s="52" t="s">
        <v>55</v>
      </c>
      <c r="AI58" s="28" t="s">
        <v>55</v>
      </c>
      <c r="AS58" s="2">
        <f>SUM(AJ59:AJ60)</f>
      </c>
      <c r="AT58" s="2">
        <f>SUM(AK59:AK60)</f>
      </c>
      <c r="AU58" s="2">
        <f>SUM(AL59:AL60)</f>
      </c>
    </row>
    <row r="59">
      <c r="A59" s="9" t="s">
        <v>204</v>
      </c>
      <c r="B59" s="10" t="s">
        <v>205</v>
      </c>
      <c r="C59" s="14" t="s">
        <v>206</v>
      </c>
      <c r="D59" s="10"/>
      <c r="E59" s="10" t="s">
        <v>61</v>
      </c>
      <c r="F59" s="45" t="n">
        <v>49.12</v>
      </c>
      <c r="G59" s="45" t="n">
        <v>0</v>
      </c>
      <c r="H59" s="45">
        <f>F59*AO59</f>
      </c>
      <c r="I59" s="45">
        <f>F59*AP59</f>
      </c>
      <c r="J59" s="45">
        <f>F59*G59</f>
      </c>
      <c r="K59" s="46" t="s">
        <v>70</v>
      </c>
      <c r="Z59" s="45">
        <f>IF(AQ59="5",BJ59,0)</f>
      </c>
      <c r="AB59" s="45">
        <f>IF(AQ59="1",BH59,0)</f>
      </c>
      <c r="AC59" s="45">
        <f>IF(AQ59="1",BI59,0)</f>
      </c>
      <c r="AD59" s="45">
        <f>IF(AQ59="7",BH59,0)</f>
      </c>
      <c r="AE59" s="45">
        <f>IF(AQ59="7",BI59,0)</f>
      </c>
      <c r="AF59" s="45">
        <f>IF(AQ59="2",BH59,0)</f>
      </c>
      <c r="AG59" s="45">
        <f>IF(AQ59="2",BI59,0)</f>
      </c>
      <c r="AH59" s="45">
        <f>IF(AQ59="0",BJ59,0)</f>
      </c>
      <c r="AI59" s="28" t="s">
        <v>55</v>
      </c>
      <c r="AJ59" s="45">
        <f>IF(AN59=0,J59,0)</f>
      </c>
      <c r="AK59" s="45">
        <f>IF(AN59=12,J59,0)</f>
      </c>
      <c r="AL59" s="45">
        <f>IF(AN59=21,J59,0)</f>
      </c>
      <c r="AN59" s="45" t="n">
        <v>21</v>
      </c>
      <c r="AO59" s="45">
        <f>G59*0.263562056</f>
      </c>
      <c r="AP59" s="45">
        <f>G59*(1-0.263562056)</f>
      </c>
      <c r="AQ59" s="47" t="s">
        <v>90</v>
      </c>
      <c r="AV59" s="45">
        <f>AW59+AX59</f>
      </c>
      <c r="AW59" s="45">
        <f>F59*AO59</f>
      </c>
      <c r="AX59" s="45">
        <f>F59*AP59</f>
      </c>
      <c r="AY59" s="47" t="s">
        <v>207</v>
      </c>
      <c r="AZ59" s="47" t="s">
        <v>201</v>
      </c>
      <c r="BA59" s="28" t="s">
        <v>65</v>
      </c>
      <c r="BC59" s="45">
        <f>AW59+AX59</f>
      </c>
      <c r="BD59" s="45">
        <f>G59/(100-BE59)*100</f>
      </c>
      <c r="BE59" s="45" t="n">
        <v>0</v>
      </c>
      <c r="BF59" s="45">
        <f>59</f>
      </c>
      <c r="BH59" s="45">
        <f>F59*AO59</f>
      </c>
      <c r="BI59" s="45">
        <f>F59*AP59</f>
      </c>
      <c r="BJ59" s="45">
        <f>F59*G59</f>
      </c>
      <c r="BK59" s="45"/>
      <c r="BL59" s="45" t="n">
        <v>784</v>
      </c>
      <c r="BW59" s="45" t="n">
        <v>21</v>
      </c>
      <c r="BX59" s="14" t="s">
        <v>206</v>
      </c>
    </row>
    <row r="60">
      <c r="A60" s="9" t="s">
        <v>208</v>
      </c>
      <c r="B60" s="10" t="s">
        <v>209</v>
      </c>
      <c r="C60" s="14" t="s">
        <v>210</v>
      </c>
      <c r="D60" s="10"/>
      <c r="E60" s="10" t="s">
        <v>61</v>
      </c>
      <c r="F60" s="45" t="n">
        <v>49.12</v>
      </c>
      <c r="G60" s="45" t="n">
        <v>0</v>
      </c>
      <c r="H60" s="45">
        <f>F60*AO60</f>
      </c>
      <c r="I60" s="45">
        <f>F60*AP60</f>
      </c>
      <c r="J60" s="45">
        <f>F60*G60</f>
      </c>
      <c r="K60" s="46" t="s">
        <v>70</v>
      </c>
      <c r="Z60" s="45">
        <f>IF(AQ60="5",BJ60,0)</f>
      </c>
      <c r="AB60" s="45">
        <f>IF(AQ60="1",BH60,0)</f>
      </c>
      <c r="AC60" s="45">
        <f>IF(AQ60="1",BI60,0)</f>
      </c>
      <c r="AD60" s="45">
        <f>IF(AQ60="7",BH60,0)</f>
      </c>
      <c r="AE60" s="45">
        <f>IF(AQ60="7",BI60,0)</f>
      </c>
      <c r="AF60" s="45">
        <f>IF(AQ60="2",BH60,0)</f>
      </c>
      <c r="AG60" s="45">
        <f>IF(AQ60="2",BI60,0)</f>
      </c>
      <c r="AH60" s="45">
        <f>IF(AQ60="0",BJ60,0)</f>
      </c>
      <c r="AI60" s="28" t="s">
        <v>55</v>
      </c>
      <c r="AJ60" s="45">
        <f>IF(AN60=0,J60,0)</f>
      </c>
      <c r="AK60" s="45">
        <f>IF(AN60=12,J60,0)</f>
      </c>
      <c r="AL60" s="45">
        <f>IF(AN60=21,J60,0)</f>
      </c>
      <c r="AN60" s="45" t="n">
        <v>21</v>
      </c>
      <c r="AO60" s="45">
        <f>G60*0.085205284</f>
      </c>
      <c r="AP60" s="45">
        <f>G60*(1-0.085205284)</f>
      </c>
      <c r="AQ60" s="47" t="s">
        <v>90</v>
      </c>
      <c r="AV60" s="45">
        <f>AW60+AX60</f>
      </c>
      <c r="AW60" s="45">
        <f>F60*AO60</f>
      </c>
      <c r="AX60" s="45">
        <f>F60*AP60</f>
      </c>
      <c r="AY60" s="47" t="s">
        <v>207</v>
      </c>
      <c r="AZ60" s="47" t="s">
        <v>201</v>
      </c>
      <c r="BA60" s="28" t="s">
        <v>65</v>
      </c>
      <c r="BC60" s="45">
        <f>AW60+AX60</f>
      </c>
      <c r="BD60" s="45">
        <f>G60/(100-BE60)*100</f>
      </c>
      <c r="BE60" s="45" t="n">
        <v>0</v>
      </c>
      <c r="BF60" s="45">
        <f>60</f>
      </c>
      <c r="BH60" s="45">
        <f>F60*AO60</f>
      </c>
      <c r="BI60" s="45">
        <f>F60*AP60</f>
      </c>
      <c r="BJ60" s="45">
        <f>F60*G60</f>
      </c>
      <c r="BK60" s="45"/>
      <c r="BL60" s="45" t="n">
        <v>784</v>
      </c>
      <c r="BW60" s="45" t="n">
        <v>21</v>
      </c>
      <c r="BX60" s="14" t="s">
        <v>210</v>
      </c>
    </row>
    <row r="61">
      <c r="A61" s="48" t="s">
        <v>55</v>
      </c>
      <c r="B61" s="49" t="s">
        <v>211</v>
      </c>
      <c r="C61" s="50" t="s">
        <v>212</v>
      </c>
      <c r="D61" s="49"/>
      <c r="E61" s="51" t="s">
        <v>36</v>
      </c>
      <c r="F61" s="51" t="s">
        <v>36</v>
      </c>
      <c r="G61" s="51" t="s">
        <v>36</v>
      </c>
      <c r="H61" s="2">
        <f>SUM(H62:H62)</f>
      </c>
      <c r="I61" s="2">
        <f>SUM(I62:I62)</f>
      </c>
      <c r="J61" s="2">
        <f>SUM(J62:J62)</f>
      </c>
      <c r="K61" s="52" t="s">
        <v>55</v>
      </c>
      <c r="AI61" s="28" t="s">
        <v>55</v>
      </c>
      <c r="AS61" s="2">
        <f>SUM(AJ62:AJ62)</f>
      </c>
      <c r="AT61" s="2">
        <f>SUM(AK62:AK62)</f>
      </c>
      <c r="AU61" s="2">
        <f>SUM(AL62:AL62)</f>
      </c>
    </row>
    <row r="62">
      <c r="A62" s="9" t="s">
        <v>213</v>
      </c>
      <c r="B62" s="10" t="s">
        <v>214</v>
      </c>
      <c r="C62" s="14" t="s">
        <v>215</v>
      </c>
      <c r="D62" s="10"/>
      <c r="E62" s="10" t="s">
        <v>178</v>
      </c>
      <c r="F62" s="45" t="n">
        <v>2</v>
      </c>
      <c r="G62" s="45" t="n">
        <v>0</v>
      </c>
      <c r="H62" s="45">
        <f>F62*AO62</f>
      </c>
      <c r="I62" s="45">
        <f>F62*AP62</f>
      </c>
      <c r="J62" s="45">
        <f>F62*G62</f>
      </c>
      <c r="K62" s="46" t="s">
        <v>70</v>
      </c>
      <c r="Z62" s="45">
        <f>IF(AQ62="5",BJ62,0)</f>
      </c>
      <c r="AB62" s="45">
        <f>IF(AQ62="1",BH62,0)</f>
      </c>
      <c r="AC62" s="45">
        <f>IF(AQ62="1",BI62,0)</f>
      </c>
      <c r="AD62" s="45">
        <f>IF(AQ62="7",BH62,0)</f>
      </c>
      <c r="AE62" s="45">
        <f>IF(AQ62="7",BI62,0)</f>
      </c>
      <c r="AF62" s="45">
        <f>IF(AQ62="2",BH62,0)</f>
      </c>
      <c r="AG62" s="45">
        <f>IF(AQ62="2",BI62,0)</f>
      </c>
      <c r="AH62" s="45">
        <f>IF(AQ62="0",BJ62,0)</f>
      </c>
      <c r="AI62" s="28" t="s">
        <v>55</v>
      </c>
      <c r="AJ62" s="45">
        <f>IF(AN62=0,J62,0)</f>
      </c>
      <c r="AK62" s="45">
        <f>IF(AN62=12,J62,0)</f>
      </c>
      <c r="AL62" s="45">
        <f>IF(AN62=21,J62,0)</f>
      </c>
      <c r="AN62" s="45" t="n">
        <v>21</v>
      </c>
      <c r="AO62" s="45">
        <f>G62*0.169828269</f>
      </c>
      <c r="AP62" s="45">
        <f>G62*(1-0.169828269)</f>
      </c>
      <c r="AQ62" s="47" t="s">
        <v>58</v>
      </c>
      <c r="AV62" s="45">
        <f>AW62+AX62</f>
      </c>
      <c r="AW62" s="45">
        <f>F62*AO62</f>
      </c>
      <c r="AX62" s="45">
        <f>F62*AP62</f>
      </c>
      <c r="AY62" s="47" t="s">
        <v>216</v>
      </c>
      <c r="AZ62" s="47" t="s">
        <v>217</v>
      </c>
      <c r="BA62" s="28" t="s">
        <v>65</v>
      </c>
      <c r="BC62" s="45">
        <f>AW62+AX62</f>
      </c>
      <c r="BD62" s="45">
        <f>G62/(100-BE62)*100</f>
      </c>
      <c r="BE62" s="45" t="n">
        <v>0</v>
      </c>
      <c r="BF62" s="45">
        <f>62</f>
      </c>
      <c r="BH62" s="45">
        <f>F62*AO62</f>
      </c>
      <c r="BI62" s="45">
        <f>F62*AP62</f>
      </c>
      <c r="BJ62" s="45">
        <f>F62*G62</f>
      </c>
      <c r="BK62" s="45"/>
      <c r="BL62" s="45" t="n">
        <v>85</v>
      </c>
      <c r="BW62" s="45" t="n">
        <v>21</v>
      </c>
      <c r="BX62" s="14" t="s">
        <v>215</v>
      </c>
    </row>
    <row r="63">
      <c r="A63" s="48" t="s">
        <v>55</v>
      </c>
      <c r="B63" s="49" t="s">
        <v>218</v>
      </c>
      <c r="C63" s="50" t="s">
        <v>219</v>
      </c>
      <c r="D63" s="49"/>
      <c r="E63" s="51" t="s">
        <v>36</v>
      </c>
      <c r="F63" s="51" t="s">
        <v>36</v>
      </c>
      <c r="G63" s="51" t="s">
        <v>36</v>
      </c>
      <c r="H63" s="2">
        <f>SUM(H64:H66)</f>
      </c>
      <c r="I63" s="2">
        <f>SUM(I64:I66)</f>
      </c>
      <c r="J63" s="2">
        <f>SUM(J64:J66)</f>
      </c>
      <c r="K63" s="52" t="s">
        <v>55</v>
      </c>
      <c r="AI63" s="28" t="s">
        <v>55</v>
      </c>
      <c r="AS63" s="2">
        <f>SUM(AJ64:AJ66)</f>
      </c>
      <c r="AT63" s="2">
        <f>SUM(AK64:AK66)</f>
      </c>
      <c r="AU63" s="2">
        <f>SUM(AL64:AL66)</f>
      </c>
    </row>
    <row r="64">
      <c r="A64" s="9" t="s">
        <v>220</v>
      </c>
      <c r="B64" s="10" t="s">
        <v>221</v>
      </c>
      <c r="C64" s="14" t="s">
        <v>222</v>
      </c>
      <c r="D64" s="10"/>
      <c r="E64" s="10" t="s">
        <v>69</v>
      </c>
      <c r="F64" s="45" t="n">
        <v>48</v>
      </c>
      <c r="G64" s="45" t="n">
        <v>0</v>
      </c>
      <c r="H64" s="45">
        <f>F64*AO64</f>
      </c>
      <c r="I64" s="45">
        <f>F64*AP64</f>
      </c>
      <c r="J64" s="45">
        <f>F64*G64</f>
      </c>
      <c r="K64" s="46" t="s">
        <v>70</v>
      </c>
      <c r="Z64" s="45">
        <f>IF(AQ64="5",BJ64,0)</f>
      </c>
      <c r="AB64" s="45">
        <f>IF(AQ64="1",BH64,0)</f>
      </c>
      <c r="AC64" s="45">
        <f>IF(AQ64="1",BI64,0)</f>
      </c>
      <c r="AD64" s="45">
        <f>IF(AQ64="7",BH64,0)</f>
      </c>
      <c r="AE64" s="45">
        <f>IF(AQ64="7",BI64,0)</f>
      </c>
      <c r="AF64" s="45">
        <f>IF(AQ64="2",BH64,0)</f>
      </c>
      <c r="AG64" s="45">
        <f>IF(AQ64="2",BI64,0)</f>
      </c>
      <c r="AH64" s="45">
        <f>IF(AQ64="0",BJ64,0)</f>
      </c>
      <c r="AI64" s="28" t="s">
        <v>55</v>
      </c>
      <c r="AJ64" s="45">
        <f>IF(AN64=0,J64,0)</f>
      </c>
      <c r="AK64" s="45">
        <f>IF(AN64=12,J64,0)</f>
      </c>
      <c r="AL64" s="45">
        <f>IF(AN64=21,J64,0)</f>
      </c>
      <c r="AN64" s="45" t="n">
        <v>21</v>
      </c>
      <c r="AO64" s="45">
        <f>G64*0</f>
      </c>
      <c r="AP64" s="45">
        <f>G64*(1-0)</f>
      </c>
      <c r="AQ64" s="47" t="s">
        <v>58</v>
      </c>
      <c r="AV64" s="45">
        <f>AW64+AX64</f>
      </c>
      <c r="AW64" s="45">
        <f>F64*AO64</f>
      </c>
      <c r="AX64" s="45">
        <f>F64*AP64</f>
      </c>
      <c r="AY64" s="47" t="s">
        <v>223</v>
      </c>
      <c r="AZ64" s="47" t="s">
        <v>217</v>
      </c>
      <c r="BA64" s="28" t="s">
        <v>65</v>
      </c>
      <c r="BC64" s="45">
        <f>AW64+AX64</f>
      </c>
      <c r="BD64" s="45">
        <f>G64/(100-BE64)*100</f>
      </c>
      <c r="BE64" s="45" t="n">
        <v>0</v>
      </c>
      <c r="BF64" s="45">
        <f>64</f>
      </c>
      <c r="BH64" s="45">
        <f>F64*AO64</f>
      </c>
      <c r="BI64" s="45">
        <f>F64*AP64</f>
      </c>
      <c r="BJ64" s="45">
        <f>F64*G64</f>
      </c>
      <c r="BK64" s="45"/>
      <c r="BL64" s="45" t="n">
        <v>87</v>
      </c>
      <c r="BW64" s="45" t="n">
        <v>21</v>
      </c>
      <c r="BX64" s="14" t="s">
        <v>222</v>
      </c>
    </row>
    <row r="65">
      <c r="A65" s="9" t="s">
        <v>224</v>
      </c>
      <c r="B65" s="10" t="s">
        <v>225</v>
      </c>
      <c r="C65" s="14" t="s">
        <v>226</v>
      </c>
      <c r="D65" s="10"/>
      <c r="E65" s="10" t="s">
        <v>69</v>
      </c>
      <c r="F65" s="45" t="n">
        <v>61</v>
      </c>
      <c r="G65" s="45" t="n">
        <v>0</v>
      </c>
      <c r="H65" s="45">
        <f>F65*AO65</f>
      </c>
      <c r="I65" s="45">
        <f>F65*AP65</f>
      </c>
      <c r="J65" s="45">
        <f>F65*G65</f>
      </c>
      <c r="K65" s="46" t="s">
        <v>70</v>
      </c>
      <c r="Z65" s="45">
        <f>IF(AQ65="5",BJ65,0)</f>
      </c>
      <c r="AB65" s="45">
        <f>IF(AQ65="1",BH65,0)</f>
      </c>
      <c r="AC65" s="45">
        <f>IF(AQ65="1",BI65,0)</f>
      </c>
      <c r="AD65" s="45">
        <f>IF(AQ65="7",BH65,0)</f>
      </c>
      <c r="AE65" s="45">
        <f>IF(AQ65="7",BI65,0)</f>
      </c>
      <c r="AF65" s="45">
        <f>IF(AQ65="2",BH65,0)</f>
      </c>
      <c r="AG65" s="45">
        <f>IF(AQ65="2",BI65,0)</f>
      </c>
      <c r="AH65" s="45">
        <f>IF(AQ65="0",BJ65,0)</f>
      </c>
      <c r="AI65" s="28" t="s">
        <v>55</v>
      </c>
      <c r="AJ65" s="45">
        <f>IF(AN65=0,J65,0)</f>
      </c>
      <c r="AK65" s="45">
        <f>IF(AN65=12,J65,0)</f>
      </c>
      <c r="AL65" s="45">
        <f>IF(AN65=21,J65,0)</f>
      </c>
      <c r="AN65" s="45" t="n">
        <v>21</v>
      </c>
      <c r="AO65" s="45">
        <f>G65*0.005171579</f>
      </c>
      <c r="AP65" s="45">
        <f>G65*(1-0.005171579)</f>
      </c>
      <c r="AQ65" s="47" t="s">
        <v>58</v>
      </c>
      <c r="AV65" s="45">
        <f>AW65+AX65</f>
      </c>
      <c r="AW65" s="45">
        <f>F65*AO65</f>
      </c>
      <c r="AX65" s="45">
        <f>F65*AP65</f>
      </c>
      <c r="AY65" s="47" t="s">
        <v>223</v>
      </c>
      <c r="AZ65" s="47" t="s">
        <v>217</v>
      </c>
      <c r="BA65" s="28" t="s">
        <v>65</v>
      </c>
      <c r="BC65" s="45">
        <f>AW65+AX65</f>
      </c>
      <c r="BD65" s="45">
        <f>G65/(100-BE65)*100</f>
      </c>
      <c r="BE65" s="45" t="n">
        <v>0</v>
      </c>
      <c r="BF65" s="45">
        <f>65</f>
      </c>
      <c r="BH65" s="45">
        <f>F65*AO65</f>
      </c>
      <c r="BI65" s="45">
        <f>F65*AP65</f>
      </c>
      <c r="BJ65" s="45">
        <f>F65*G65</f>
      </c>
      <c r="BK65" s="45"/>
      <c r="BL65" s="45" t="n">
        <v>87</v>
      </c>
      <c r="BW65" s="45" t="n">
        <v>21</v>
      </c>
      <c r="BX65" s="14" t="s">
        <v>226</v>
      </c>
    </row>
    <row r="66">
      <c r="A66" s="9" t="s">
        <v>227</v>
      </c>
      <c r="B66" s="10" t="s">
        <v>228</v>
      </c>
      <c r="C66" s="14" t="s">
        <v>229</v>
      </c>
      <c r="D66" s="10"/>
      <c r="E66" s="10" t="s">
        <v>178</v>
      </c>
      <c r="F66" s="45" t="n">
        <v>3</v>
      </c>
      <c r="G66" s="45" t="n">
        <v>0</v>
      </c>
      <c r="H66" s="45">
        <f>F66*AO66</f>
      </c>
      <c r="I66" s="45">
        <f>F66*AP66</f>
      </c>
      <c r="J66" s="45">
        <f>F66*G66</f>
      </c>
      <c r="K66" s="46" t="s">
        <v>70</v>
      </c>
      <c r="Z66" s="45">
        <f>IF(AQ66="5",BJ66,0)</f>
      </c>
      <c r="AB66" s="45">
        <f>IF(AQ66="1",BH66,0)</f>
      </c>
      <c r="AC66" s="45">
        <f>IF(AQ66="1",BI66,0)</f>
      </c>
      <c r="AD66" s="45">
        <f>IF(AQ66="7",BH66,0)</f>
      </c>
      <c r="AE66" s="45">
        <f>IF(AQ66="7",BI66,0)</f>
      </c>
      <c r="AF66" s="45">
        <f>IF(AQ66="2",BH66,0)</f>
      </c>
      <c r="AG66" s="45">
        <f>IF(AQ66="2",BI66,0)</f>
      </c>
      <c r="AH66" s="45">
        <f>IF(AQ66="0",BJ66,0)</f>
      </c>
      <c r="AI66" s="28" t="s">
        <v>55</v>
      </c>
      <c r="AJ66" s="45">
        <f>IF(AN66=0,J66,0)</f>
      </c>
      <c r="AK66" s="45">
        <f>IF(AN66=12,J66,0)</f>
      </c>
      <c r="AL66" s="45">
        <f>IF(AN66=21,J66,0)</f>
      </c>
      <c r="AN66" s="45" t="n">
        <v>21</v>
      </c>
      <c r="AO66" s="45">
        <f>G66*0.888234273</f>
      </c>
      <c r="AP66" s="45">
        <f>G66*(1-0.888234273)</f>
      </c>
      <c r="AQ66" s="47" t="s">
        <v>58</v>
      </c>
      <c r="AV66" s="45">
        <f>AW66+AX66</f>
      </c>
      <c r="AW66" s="45">
        <f>F66*AO66</f>
      </c>
      <c r="AX66" s="45">
        <f>F66*AP66</f>
      </c>
      <c r="AY66" s="47" t="s">
        <v>223</v>
      </c>
      <c r="AZ66" s="47" t="s">
        <v>217</v>
      </c>
      <c r="BA66" s="28" t="s">
        <v>65</v>
      </c>
      <c r="BC66" s="45">
        <f>AW66+AX66</f>
      </c>
      <c r="BD66" s="45">
        <f>G66/(100-BE66)*100</f>
      </c>
      <c r="BE66" s="45" t="n">
        <v>0</v>
      </c>
      <c r="BF66" s="45">
        <f>66</f>
      </c>
      <c r="BH66" s="45">
        <f>F66*AO66</f>
      </c>
      <c r="BI66" s="45">
        <f>F66*AP66</f>
      </c>
      <c r="BJ66" s="45">
        <f>F66*G66</f>
      </c>
      <c r="BK66" s="45"/>
      <c r="BL66" s="45" t="n">
        <v>87</v>
      </c>
      <c r="BW66" s="45" t="n">
        <v>21</v>
      </c>
      <c r="BX66" s="14" t="s">
        <v>229</v>
      </c>
    </row>
    <row r="67">
      <c r="A67" s="48" t="s">
        <v>55</v>
      </c>
      <c r="B67" s="49" t="s">
        <v>230</v>
      </c>
      <c r="C67" s="50" t="s">
        <v>231</v>
      </c>
      <c r="D67" s="49"/>
      <c r="E67" s="51" t="s">
        <v>36</v>
      </c>
      <c r="F67" s="51" t="s">
        <v>36</v>
      </c>
      <c r="G67" s="51" t="s">
        <v>36</v>
      </c>
      <c r="H67" s="2">
        <f>SUM(H68:H84)</f>
      </c>
      <c r="I67" s="2">
        <f>SUM(I68:I84)</f>
      </c>
      <c r="J67" s="2">
        <f>SUM(J68:J84)</f>
      </c>
      <c r="K67" s="52" t="s">
        <v>55</v>
      </c>
      <c r="AI67" s="28" t="s">
        <v>55</v>
      </c>
      <c r="AS67" s="2">
        <f>SUM(AJ68:AJ84)</f>
      </c>
      <c r="AT67" s="2">
        <f>SUM(AK68:AK84)</f>
      </c>
      <c r="AU67" s="2">
        <f>SUM(AL68:AL84)</f>
      </c>
    </row>
    <row r="68">
      <c r="A68" s="9" t="s">
        <v>232</v>
      </c>
      <c r="B68" s="10" t="s">
        <v>233</v>
      </c>
      <c r="C68" s="14" t="s">
        <v>234</v>
      </c>
      <c r="D68" s="10"/>
      <c r="E68" s="10" t="s">
        <v>178</v>
      </c>
      <c r="F68" s="45" t="n">
        <v>2</v>
      </c>
      <c r="G68" s="45" t="n">
        <v>0</v>
      </c>
      <c r="H68" s="45">
        <f>F68*AO68</f>
      </c>
      <c r="I68" s="45">
        <f>F68*AP68</f>
      </c>
      <c r="J68" s="45">
        <f>F68*G68</f>
      </c>
      <c r="K68" s="46" t="s">
        <v>70</v>
      </c>
      <c r="Z68" s="45">
        <f>IF(AQ68="5",BJ68,0)</f>
      </c>
      <c r="AB68" s="45">
        <f>IF(AQ68="1",BH68,0)</f>
      </c>
      <c r="AC68" s="45">
        <f>IF(AQ68="1",BI68,0)</f>
      </c>
      <c r="AD68" s="45">
        <f>IF(AQ68="7",BH68,0)</f>
      </c>
      <c r="AE68" s="45">
        <f>IF(AQ68="7",BI68,0)</f>
      </c>
      <c r="AF68" s="45">
        <f>IF(AQ68="2",BH68,0)</f>
      </c>
      <c r="AG68" s="45">
        <f>IF(AQ68="2",BI68,0)</f>
      </c>
      <c r="AH68" s="45">
        <f>IF(AQ68="0",BJ68,0)</f>
      </c>
      <c r="AI68" s="28" t="s">
        <v>55</v>
      </c>
      <c r="AJ68" s="45">
        <f>IF(AN68=0,J68,0)</f>
      </c>
      <c r="AK68" s="45">
        <f>IF(AN68=12,J68,0)</f>
      </c>
      <c r="AL68" s="45">
        <f>IF(AN68=21,J68,0)</f>
      </c>
      <c r="AN68" s="45" t="n">
        <v>21</v>
      </c>
      <c r="AO68" s="45">
        <f>G68*0</f>
      </c>
      <c r="AP68" s="45">
        <f>G68*(1-0)</f>
      </c>
      <c r="AQ68" s="47" t="s">
        <v>58</v>
      </c>
      <c r="AV68" s="45">
        <f>AW68+AX68</f>
      </c>
      <c r="AW68" s="45">
        <f>F68*AO68</f>
      </c>
      <c r="AX68" s="45">
        <f>F68*AP68</f>
      </c>
      <c r="AY68" s="47" t="s">
        <v>235</v>
      </c>
      <c r="AZ68" s="47" t="s">
        <v>217</v>
      </c>
      <c r="BA68" s="28" t="s">
        <v>65</v>
      </c>
      <c r="BC68" s="45">
        <f>AW68+AX68</f>
      </c>
      <c r="BD68" s="45">
        <f>G68/(100-BE68)*100</f>
      </c>
      <c r="BE68" s="45" t="n">
        <v>0</v>
      </c>
      <c r="BF68" s="45">
        <f>68</f>
      </c>
      <c r="BH68" s="45">
        <f>F68*AO68</f>
      </c>
      <c r="BI68" s="45">
        <f>F68*AP68</f>
      </c>
      <c r="BJ68" s="45">
        <f>F68*G68</f>
      </c>
      <c r="BK68" s="45"/>
      <c r="BL68" s="45" t="n">
        <v>89</v>
      </c>
      <c r="BW68" s="45" t="n">
        <v>21</v>
      </c>
      <c r="BX68" s="14" t="s">
        <v>234</v>
      </c>
    </row>
    <row r="69">
      <c r="A69" s="9" t="s">
        <v>236</v>
      </c>
      <c r="B69" s="10" t="s">
        <v>237</v>
      </c>
      <c r="C69" s="14" t="s">
        <v>238</v>
      </c>
      <c r="D69" s="10"/>
      <c r="E69" s="10" t="s">
        <v>178</v>
      </c>
      <c r="F69" s="45" t="n">
        <v>2</v>
      </c>
      <c r="G69" s="45" t="n">
        <v>0</v>
      </c>
      <c r="H69" s="45">
        <f>F69*AO69</f>
      </c>
      <c r="I69" s="45">
        <f>F69*AP69</f>
      </c>
      <c r="J69" s="45">
        <f>F69*G69</f>
      </c>
      <c r="K69" s="46" t="s">
        <v>70</v>
      </c>
      <c r="Z69" s="45">
        <f>IF(AQ69="5",BJ69,0)</f>
      </c>
      <c r="AB69" s="45">
        <f>IF(AQ69="1",BH69,0)</f>
      </c>
      <c r="AC69" s="45">
        <f>IF(AQ69="1",BI69,0)</f>
      </c>
      <c r="AD69" s="45">
        <f>IF(AQ69="7",BH69,0)</f>
      </c>
      <c r="AE69" s="45">
        <f>IF(AQ69="7",BI69,0)</f>
      </c>
      <c r="AF69" s="45">
        <f>IF(AQ69="2",BH69,0)</f>
      </c>
      <c r="AG69" s="45">
        <f>IF(AQ69="2",BI69,0)</f>
      </c>
      <c r="AH69" s="45">
        <f>IF(AQ69="0",BJ69,0)</f>
      </c>
      <c r="AI69" s="28" t="s">
        <v>55</v>
      </c>
      <c r="AJ69" s="45">
        <f>IF(AN69=0,J69,0)</f>
      </c>
      <c r="AK69" s="45">
        <f>IF(AN69=12,J69,0)</f>
      </c>
      <c r="AL69" s="45">
        <f>IF(AN69=21,J69,0)</f>
      </c>
      <c r="AN69" s="45" t="n">
        <v>21</v>
      </c>
      <c r="AO69" s="45">
        <f>G69*0</f>
      </c>
      <c r="AP69" s="45">
        <f>G69*(1-0)</f>
      </c>
      <c r="AQ69" s="47" t="s">
        <v>58</v>
      </c>
      <c r="AV69" s="45">
        <f>AW69+AX69</f>
      </c>
      <c r="AW69" s="45">
        <f>F69*AO69</f>
      </c>
      <c r="AX69" s="45">
        <f>F69*AP69</f>
      </c>
      <c r="AY69" s="47" t="s">
        <v>235</v>
      </c>
      <c r="AZ69" s="47" t="s">
        <v>217</v>
      </c>
      <c r="BA69" s="28" t="s">
        <v>65</v>
      </c>
      <c r="BC69" s="45">
        <f>AW69+AX69</f>
      </c>
      <c r="BD69" s="45">
        <f>G69/(100-BE69)*100</f>
      </c>
      <c r="BE69" s="45" t="n">
        <v>0</v>
      </c>
      <c r="BF69" s="45">
        <f>69</f>
      </c>
      <c r="BH69" s="45">
        <f>F69*AO69</f>
      </c>
      <c r="BI69" s="45">
        <f>F69*AP69</f>
      </c>
      <c r="BJ69" s="45">
        <f>F69*G69</f>
      </c>
      <c r="BK69" s="45"/>
      <c r="BL69" s="45" t="n">
        <v>89</v>
      </c>
      <c r="BW69" s="45" t="n">
        <v>21</v>
      </c>
      <c r="BX69" s="14" t="s">
        <v>238</v>
      </c>
    </row>
    <row r="70">
      <c r="A70" s="9" t="s">
        <v>239</v>
      </c>
      <c r="B70" s="10" t="s">
        <v>240</v>
      </c>
      <c r="C70" s="14" t="s">
        <v>241</v>
      </c>
      <c r="D70" s="10"/>
      <c r="E70" s="10" t="s">
        <v>178</v>
      </c>
      <c r="F70" s="45" t="n">
        <v>2</v>
      </c>
      <c r="G70" s="45" t="n">
        <v>0</v>
      </c>
      <c r="H70" s="45">
        <f>F70*AO70</f>
      </c>
      <c r="I70" s="45">
        <f>F70*AP70</f>
      </c>
      <c r="J70" s="45">
        <f>F70*G70</f>
      </c>
      <c r="K70" s="46" t="s">
        <v>70</v>
      </c>
      <c r="Z70" s="45">
        <f>IF(AQ70="5",BJ70,0)</f>
      </c>
      <c r="AB70" s="45">
        <f>IF(AQ70="1",BH70,0)</f>
      </c>
      <c r="AC70" s="45">
        <f>IF(AQ70="1",BI70,0)</f>
      </c>
      <c r="AD70" s="45">
        <f>IF(AQ70="7",BH70,0)</f>
      </c>
      <c r="AE70" s="45">
        <f>IF(AQ70="7",BI70,0)</f>
      </c>
      <c r="AF70" s="45">
        <f>IF(AQ70="2",BH70,0)</f>
      </c>
      <c r="AG70" s="45">
        <f>IF(AQ70="2",BI70,0)</f>
      </c>
      <c r="AH70" s="45">
        <f>IF(AQ70="0",BJ70,0)</f>
      </c>
      <c r="AI70" s="28" t="s">
        <v>55</v>
      </c>
      <c r="AJ70" s="45">
        <f>IF(AN70=0,J70,0)</f>
      </c>
      <c r="AK70" s="45">
        <f>IF(AN70=12,J70,0)</f>
      </c>
      <c r="AL70" s="45">
        <f>IF(AN70=21,J70,0)</f>
      </c>
      <c r="AN70" s="45" t="n">
        <v>21</v>
      </c>
      <c r="AO70" s="45">
        <f>G70*0</f>
      </c>
      <c r="AP70" s="45">
        <f>G70*(1-0)</f>
      </c>
      <c r="AQ70" s="47" t="s">
        <v>58</v>
      </c>
      <c r="AV70" s="45">
        <f>AW70+AX70</f>
      </c>
      <c r="AW70" s="45">
        <f>F70*AO70</f>
      </c>
      <c r="AX70" s="45">
        <f>F70*AP70</f>
      </c>
      <c r="AY70" s="47" t="s">
        <v>235</v>
      </c>
      <c r="AZ70" s="47" t="s">
        <v>217</v>
      </c>
      <c r="BA70" s="28" t="s">
        <v>65</v>
      </c>
      <c r="BC70" s="45">
        <f>AW70+AX70</f>
      </c>
      <c r="BD70" s="45">
        <f>G70/(100-BE70)*100</f>
      </c>
      <c r="BE70" s="45" t="n">
        <v>0</v>
      </c>
      <c r="BF70" s="45">
        <f>70</f>
      </c>
      <c r="BH70" s="45">
        <f>F70*AO70</f>
      </c>
      <c r="BI70" s="45">
        <f>F70*AP70</f>
      </c>
      <c r="BJ70" s="45">
        <f>F70*G70</f>
      </c>
      <c r="BK70" s="45"/>
      <c r="BL70" s="45" t="n">
        <v>89</v>
      </c>
      <c r="BW70" s="45" t="n">
        <v>21</v>
      </c>
      <c r="BX70" s="14" t="s">
        <v>241</v>
      </c>
    </row>
    <row r="71">
      <c r="A71" s="9" t="s">
        <v>242</v>
      </c>
      <c r="B71" s="10" t="s">
        <v>243</v>
      </c>
      <c r="C71" s="14" t="s">
        <v>244</v>
      </c>
      <c r="D71" s="10"/>
      <c r="E71" s="10" t="s">
        <v>178</v>
      </c>
      <c r="F71" s="45" t="n">
        <v>4</v>
      </c>
      <c r="G71" s="45" t="n">
        <v>0</v>
      </c>
      <c r="H71" s="45">
        <f>F71*AO71</f>
      </c>
      <c r="I71" s="45">
        <f>F71*AP71</f>
      </c>
      <c r="J71" s="45">
        <f>F71*G71</f>
      </c>
      <c r="K71" s="46" t="s">
        <v>70</v>
      </c>
      <c r="Z71" s="45">
        <f>IF(AQ71="5",BJ71,0)</f>
      </c>
      <c r="AB71" s="45">
        <f>IF(AQ71="1",BH71,0)</f>
      </c>
      <c r="AC71" s="45">
        <f>IF(AQ71="1",BI71,0)</f>
      </c>
      <c r="AD71" s="45">
        <f>IF(AQ71="7",BH71,0)</f>
      </c>
      <c r="AE71" s="45">
        <f>IF(AQ71="7",BI71,0)</f>
      </c>
      <c r="AF71" s="45">
        <f>IF(AQ71="2",BH71,0)</f>
      </c>
      <c r="AG71" s="45">
        <f>IF(AQ71="2",BI71,0)</f>
      </c>
      <c r="AH71" s="45">
        <f>IF(AQ71="0",BJ71,0)</f>
      </c>
      <c r="AI71" s="28" t="s">
        <v>55</v>
      </c>
      <c r="AJ71" s="45">
        <f>IF(AN71=0,J71,0)</f>
      </c>
      <c r="AK71" s="45">
        <f>IF(AN71=12,J71,0)</f>
      </c>
      <c r="AL71" s="45">
        <f>IF(AN71=21,J71,0)</f>
      </c>
      <c r="AN71" s="45" t="n">
        <v>21</v>
      </c>
      <c r="AO71" s="45">
        <f>G71*0</f>
      </c>
      <c r="AP71" s="45">
        <f>G71*(1-0)</f>
      </c>
      <c r="AQ71" s="47" t="s">
        <v>58</v>
      </c>
      <c r="AV71" s="45">
        <f>AW71+AX71</f>
      </c>
      <c r="AW71" s="45">
        <f>F71*AO71</f>
      </c>
      <c r="AX71" s="45">
        <f>F71*AP71</f>
      </c>
      <c r="AY71" s="47" t="s">
        <v>235</v>
      </c>
      <c r="AZ71" s="47" t="s">
        <v>217</v>
      </c>
      <c r="BA71" s="28" t="s">
        <v>65</v>
      </c>
      <c r="BC71" s="45">
        <f>AW71+AX71</f>
      </c>
      <c r="BD71" s="45">
        <f>G71/(100-BE71)*100</f>
      </c>
      <c r="BE71" s="45" t="n">
        <v>0</v>
      </c>
      <c r="BF71" s="45">
        <f>71</f>
      </c>
      <c r="BH71" s="45">
        <f>F71*AO71</f>
      </c>
      <c r="BI71" s="45">
        <f>F71*AP71</f>
      </c>
      <c r="BJ71" s="45">
        <f>F71*G71</f>
      </c>
      <c r="BK71" s="45"/>
      <c r="BL71" s="45" t="n">
        <v>89</v>
      </c>
      <c r="BW71" s="45" t="n">
        <v>21</v>
      </c>
      <c r="BX71" s="14" t="s">
        <v>244</v>
      </c>
    </row>
    <row r="72">
      <c r="A72" s="9" t="s">
        <v>245</v>
      </c>
      <c r="B72" s="10" t="s">
        <v>246</v>
      </c>
      <c r="C72" s="14" t="s">
        <v>247</v>
      </c>
      <c r="D72" s="10"/>
      <c r="E72" s="10" t="s">
        <v>178</v>
      </c>
      <c r="F72" s="45" t="n">
        <v>3</v>
      </c>
      <c r="G72" s="45" t="n">
        <v>0</v>
      </c>
      <c r="H72" s="45">
        <f>F72*AO72</f>
      </c>
      <c r="I72" s="45">
        <f>F72*AP72</f>
      </c>
      <c r="J72" s="45">
        <f>F72*G72</f>
      </c>
      <c r="K72" s="46" t="s">
        <v>70</v>
      </c>
      <c r="Z72" s="45">
        <f>IF(AQ72="5",BJ72,0)</f>
      </c>
      <c r="AB72" s="45">
        <f>IF(AQ72="1",BH72,0)</f>
      </c>
      <c r="AC72" s="45">
        <f>IF(AQ72="1",BI72,0)</f>
      </c>
      <c r="AD72" s="45">
        <f>IF(AQ72="7",BH72,0)</f>
      </c>
      <c r="AE72" s="45">
        <f>IF(AQ72="7",BI72,0)</f>
      </c>
      <c r="AF72" s="45">
        <f>IF(AQ72="2",BH72,0)</f>
      </c>
      <c r="AG72" s="45">
        <f>IF(AQ72="2",BI72,0)</f>
      </c>
      <c r="AH72" s="45">
        <f>IF(AQ72="0",BJ72,0)</f>
      </c>
      <c r="AI72" s="28" t="s">
        <v>55</v>
      </c>
      <c r="AJ72" s="45">
        <f>IF(AN72=0,J72,0)</f>
      </c>
      <c r="AK72" s="45">
        <f>IF(AN72=12,J72,0)</f>
      </c>
      <c r="AL72" s="45">
        <f>IF(AN72=21,J72,0)</f>
      </c>
      <c r="AN72" s="45" t="n">
        <v>21</v>
      </c>
      <c r="AO72" s="45">
        <f>G72*0</f>
      </c>
      <c r="AP72" s="45">
        <f>G72*(1-0)</f>
      </c>
      <c r="AQ72" s="47" t="s">
        <v>58</v>
      </c>
      <c r="AV72" s="45">
        <f>AW72+AX72</f>
      </c>
      <c r="AW72" s="45">
        <f>F72*AO72</f>
      </c>
      <c r="AX72" s="45">
        <f>F72*AP72</f>
      </c>
      <c r="AY72" s="47" t="s">
        <v>235</v>
      </c>
      <c r="AZ72" s="47" t="s">
        <v>217</v>
      </c>
      <c r="BA72" s="28" t="s">
        <v>65</v>
      </c>
      <c r="BC72" s="45">
        <f>AW72+AX72</f>
      </c>
      <c r="BD72" s="45">
        <f>G72/(100-BE72)*100</f>
      </c>
      <c r="BE72" s="45" t="n">
        <v>0</v>
      </c>
      <c r="BF72" s="45">
        <f>72</f>
      </c>
      <c r="BH72" s="45">
        <f>F72*AO72</f>
      </c>
      <c r="BI72" s="45">
        <f>F72*AP72</f>
      </c>
      <c r="BJ72" s="45">
        <f>F72*G72</f>
      </c>
      <c r="BK72" s="45"/>
      <c r="BL72" s="45" t="n">
        <v>89</v>
      </c>
      <c r="BW72" s="45" t="n">
        <v>21</v>
      </c>
      <c r="BX72" s="14" t="s">
        <v>247</v>
      </c>
    </row>
    <row r="73">
      <c r="A73" s="9" t="s">
        <v>248</v>
      </c>
      <c r="B73" s="10" t="s">
        <v>249</v>
      </c>
      <c r="C73" s="14" t="s">
        <v>250</v>
      </c>
      <c r="D73" s="10"/>
      <c r="E73" s="10" t="s">
        <v>178</v>
      </c>
      <c r="F73" s="45" t="n">
        <v>1</v>
      </c>
      <c r="G73" s="45" t="n">
        <v>0</v>
      </c>
      <c r="H73" s="45">
        <f>F73*AO73</f>
      </c>
      <c r="I73" s="45">
        <f>F73*AP73</f>
      </c>
      <c r="J73" s="45">
        <f>F73*G73</f>
      </c>
      <c r="K73" s="46" t="s">
        <v>70</v>
      </c>
      <c r="Z73" s="45">
        <f>IF(AQ73="5",BJ73,0)</f>
      </c>
      <c r="AB73" s="45">
        <f>IF(AQ73="1",BH73,0)</f>
      </c>
      <c r="AC73" s="45">
        <f>IF(AQ73="1",BI73,0)</f>
      </c>
      <c r="AD73" s="45">
        <f>IF(AQ73="7",BH73,0)</f>
      </c>
      <c r="AE73" s="45">
        <f>IF(AQ73="7",BI73,0)</f>
      </c>
      <c r="AF73" s="45">
        <f>IF(AQ73="2",BH73,0)</f>
      </c>
      <c r="AG73" s="45">
        <f>IF(AQ73="2",BI73,0)</f>
      </c>
      <c r="AH73" s="45">
        <f>IF(AQ73="0",BJ73,0)</f>
      </c>
      <c r="AI73" s="28" t="s">
        <v>55</v>
      </c>
      <c r="AJ73" s="45">
        <f>IF(AN73=0,J73,0)</f>
      </c>
      <c r="AK73" s="45">
        <f>IF(AN73=12,J73,0)</f>
      </c>
      <c r="AL73" s="45">
        <f>IF(AN73=21,J73,0)</f>
      </c>
      <c r="AN73" s="45" t="n">
        <v>21</v>
      </c>
      <c r="AO73" s="45">
        <f>G73*0</f>
      </c>
      <c r="AP73" s="45">
        <f>G73*(1-0)</f>
      </c>
      <c r="AQ73" s="47" t="s">
        <v>58</v>
      </c>
      <c r="AV73" s="45">
        <f>AW73+AX73</f>
      </c>
      <c r="AW73" s="45">
        <f>F73*AO73</f>
      </c>
      <c r="AX73" s="45">
        <f>F73*AP73</f>
      </c>
      <c r="AY73" s="47" t="s">
        <v>235</v>
      </c>
      <c r="AZ73" s="47" t="s">
        <v>217</v>
      </c>
      <c r="BA73" s="28" t="s">
        <v>65</v>
      </c>
      <c r="BC73" s="45">
        <f>AW73+AX73</f>
      </c>
      <c r="BD73" s="45">
        <f>G73/(100-BE73)*100</f>
      </c>
      <c r="BE73" s="45" t="n">
        <v>0</v>
      </c>
      <c r="BF73" s="45">
        <f>73</f>
      </c>
      <c r="BH73" s="45">
        <f>F73*AO73</f>
      </c>
      <c r="BI73" s="45">
        <f>F73*AP73</f>
      </c>
      <c r="BJ73" s="45">
        <f>F73*G73</f>
      </c>
      <c r="BK73" s="45"/>
      <c r="BL73" s="45" t="n">
        <v>89</v>
      </c>
      <c r="BW73" s="45" t="n">
        <v>21</v>
      </c>
      <c r="BX73" s="14" t="s">
        <v>250</v>
      </c>
    </row>
    <row r="74">
      <c r="A74" s="9" t="s">
        <v>140</v>
      </c>
      <c r="B74" s="10" t="s">
        <v>251</v>
      </c>
      <c r="C74" s="14" t="s">
        <v>252</v>
      </c>
      <c r="D74" s="10"/>
      <c r="E74" s="10" t="s">
        <v>178</v>
      </c>
      <c r="F74" s="45" t="n">
        <v>2</v>
      </c>
      <c r="G74" s="45" t="n">
        <v>0</v>
      </c>
      <c r="H74" s="45">
        <f>F74*AO74</f>
      </c>
      <c r="I74" s="45">
        <f>F74*AP74</f>
      </c>
      <c r="J74" s="45">
        <f>F74*G74</f>
      </c>
      <c r="K74" s="46" t="s">
        <v>70</v>
      </c>
      <c r="Z74" s="45">
        <f>IF(AQ74="5",BJ74,0)</f>
      </c>
      <c r="AB74" s="45">
        <f>IF(AQ74="1",BH74,0)</f>
      </c>
      <c r="AC74" s="45">
        <f>IF(AQ74="1",BI74,0)</f>
      </c>
      <c r="AD74" s="45">
        <f>IF(AQ74="7",BH74,0)</f>
      </c>
      <c r="AE74" s="45">
        <f>IF(AQ74="7",BI74,0)</f>
      </c>
      <c r="AF74" s="45">
        <f>IF(AQ74="2",BH74,0)</f>
      </c>
      <c r="AG74" s="45">
        <f>IF(AQ74="2",BI74,0)</f>
      </c>
      <c r="AH74" s="45">
        <f>IF(AQ74="0",BJ74,0)</f>
      </c>
      <c r="AI74" s="28" t="s">
        <v>55</v>
      </c>
      <c r="AJ74" s="45">
        <f>IF(AN74=0,J74,0)</f>
      </c>
      <c r="AK74" s="45">
        <f>IF(AN74=12,J74,0)</f>
      </c>
      <c r="AL74" s="45">
        <f>IF(AN74=21,J74,0)</f>
      </c>
      <c r="AN74" s="45" t="n">
        <v>21</v>
      </c>
      <c r="AO74" s="45">
        <f>G74*0</f>
      </c>
      <c r="AP74" s="45">
        <f>G74*(1-0)</f>
      </c>
      <c r="AQ74" s="47" t="s">
        <v>58</v>
      </c>
      <c r="AV74" s="45">
        <f>AW74+AX74</f>
      </c>
      <c r="AW74" s="45">
        <f>F74*AO74</f>
      </c>
      <c r="AX74" s="45">
        <f>F74*AP74</f>
      </c>
      <c r="AY74" s="47" t="s">
        <v>235</v>
      </c>
      <c r="AZ74" s="47" t="s">
        <v>217</v>
      </c>
      <c r="BA74" s="28" t="s">
        <v>65</v>
      </c>
      <c r="BC74" s="45">
        <f>AW74+AX74</f>
      </c>
      <c r="BD74" s="45">
        <f>G74/(100-BE74)*100</f>
      </c>
      <c r="BE74" s="45" t="n">
        <v>0</v>
      </c>
      <c r="BF74" s="45">
        <f>74</f>
      </c>
      <c r="BH74" s="45">
        <f>F74*AO74</f>
      </c>
      <c r="BI74" s="45">
        <f>F74*AP74</f>
      </c>
      <c r="BJ74" s="45">
        <f>F74*G74</f>
      </c>
      <c r="BK74" s="45"/>
      <c r="BL74" s="45" t="n">
        <v>89</v>
      </c>
      <c r="BW74" s="45" t="n">
        <v>21</v>
      </c>
      <c r="BX74" s="14" t="s">
        <v>252</v>
      </c>
    </row>
    <row r="75">
      <c r="A75" s="9" t="s">
        <v>253</v>
      </c>
      <c r="B75" s="10" t="s">
        <v>251</v>
      </c>
      <c r="C75" s="14" t="s">
        <v>254</v>
      </c>
      <c r="D75" s="10"/>
      <c r="E75" s="10" t="s">
        <v>178</v>
      </c>
      <c r="F75" s="45" t="n">
        <v>2</v>
      </c>
      <c r="G75" s="45" t="n">
        <v>0</v>
      </c>
      <c r="H75" s="45">
        <f>F75*AO75</f>
      </c>
      <c r="I75" s="45">
        <f>F75*AP75</f>
      </c>
      <c r="J75" s="45">
        <f>F75*G75</f>
      </c>
      <c r="K75" s="46" t="s">
        <v>70</v>
      </c>
      <c r="Z75" s="45">
        <f>IF(AQ75="5",BJ75,0)</f>
      </c>
      <c r="AB75" s="45">
        <f>IF(AQ75="1",BH75,0)</f>
      </c>
      <c r="AC75" s="45">
        <f>IF(AQ75="1",BI75,0)</f>
      </c>
      <c r="AD75" s="45">
        <f>IF(AQ75="7",BH75,0)</f>
      </c>
      <c r="AE75" s="45">
        <f>IF(AQ75="7",BI75,0)</f>
      </c>
      <c r="AF75" s="45">
        <f>IF(AQ75="2",BH75,0)</f>
      </c>
      <c r="AG75" s="45">
        <f>IF(AQ75="2",BI75,0)</f>
      </c>
      <c r="AH75" s="45">
        <f>IF(AQ75="0",BJ75,0)</f>
      </c>
      <c r="AI75" s="28" t="s">
        <v>55</v>
      </c>
      <c r="AJ75" s="45">
        <f>IF(AN75=0,J75,0)</f>
      </c>
      <c r="AK75" s="45">
        <f>IF(AN75=12,J75,0)</f>
      </c>
      <c r="AL75" s="45">
        <f>IF(AN75=21,J75,0)</f>
      </c>
      <c r="AN75" s="45" t="n">
        <v>21</v>
      </c>
      <c r="AO75" s="45">
        <f>G75*0</f>
      </c>
      <c r="AP75" s="45">
        <f>G75*(1-0)</f>
      </c>
      <c r="AQ75" s="47" t="s">
        <v>58</v>
      </c>
      <c r="AV75" s="45">
        <f>AW75+AX75</f>
      </c>
      <c r="AW75" s="45">
        <f>F75*AO75</f>
      </c>
      <c r="AX75" s="45">
        <f>F75*AP75</f>
      </c>
      <c r="AY75" s="47" t="s">
        <v>235</v>
      </c>
      <c r="AZ75" s="47" t="s">
        <v>217</v>
      </c>
      <c r="BA75" s="28" t="s">
        <v>65</v>
      </c>
      <c r="BC75" s="45">
        <f>AW75+AX75</f>
      </c>
      <c r="BD75" s="45">
        <f>G75/(100-BE75)*100</f>
      </c>
      <c r="BE75" s="45" t="n">
        <v>0</v>
      </c>
      <c r="BF75" s="45">
        <f>75</f>
      </c>
      <c r="BH75" s="45">
        <f>F75*AO75</f>
      </c>
      <c r="BI75" s="45">
        <f>F75*AP75</f>
      </c>
      <c r="BJ75" s="45">
        <f>F75*G75</f>
      </c>
      <c r="BK75" s="45"/>
      <c r="BL75" s="45" t="n">
        <v>89</v>
      </c>
      <c r="BW75" s="45" t="n">
        <v>21</v>
      </c>
      <c r="BX75" s="14" t="s">
        <v>254</v>
      </c>
    </row>
    <row r="76">
      <c r="A76" s="9" t="s">
        <v>255</v>
      </c>
      <c r="B76" s="10" t="s">
        <v>240</v>
      </c>
      <c r="C76" s="14" t="s">
        <v>256</v>
      </c>
      <c r="D76" s="10"/>
      <c r="E76" s="10" t="s">
        <v>178</v>
      </c>
      <c r="F76" s="45" t="n">
        <v>6</v>
      </c>
      <c r="G76" s="45" t="n">
        <v>0</v>
      </c>
      <c r="H76" s="45">
        <f>F76*AO76</f>
      </c>
      <c r="I76" s="45">
        <f>F76*AP76</f>
      </c>
      <c r="J76" s="45">
        <f>F76*G76</f>
      </c>
      <c r="K76" s="46" t="s">
        <v>70</v>
      </c>
      <c r="Z76" s="45">
        <f>IF(AQ76="5",BJ76,0)</f>
      </c>
      <c r="AB76" s="45">
        <f>IF(AQ76="1",BH76,0)</f>
      </c>
      <c r="AC76" s="45">
        <f>IF(AQ76="1",BI76,0)</f>
      </c>
      <c r="AD76" s="45">
        <f>IF(AQ76="7",BH76,0)</f>
      </c>
      <c r="AE76" s="45">
        <f>IF(AQ76="7",BI76,0)</f>
      </c>
      <c r="AF76" s="45">
        <f>IF(AQ76="2",BH76,0)</f>
      </c>
      <c r="AG76" s="45">
        <f>IF(AQ76="2",BI76,0)</f>
      </c>
      <c r="AH76" s="45">
        <f>IF(AQ76="0",BJ76,0)</f>
      </c>
      <c r="AI76" s="28" t="s">
        <v>55</v>
      </c>
      <c r="AJ76" s="45">
        <f>IF(AN76=0,J76,0)</f>
      </c>
      <c r="AK76" s="45">
        <f>IF(AN76=12,J76,0)</f>
      </c>
      <c r="AL76" s="45">
        <f>IF(AN76=21,J76,0)</f>
      </c>
      <c r="AN76" s="45" t="n">
        <v>21</v>
      </c>
      <c r="AO76" s="45">
        <f>G76*0</f>
      </c>
      <c r="AP76" s="45">
        <f>G76*(1-0)</f>
      </c>
      <c r="AQ76" s="47" t="s">
        <v>58</v>
      </c>
      <c r="AV76" s="45">
        <f>AW76+AX76</f>
      </c>
      <c r="AW76" s="45">
        <f>F76*AO76</f>
      </c>
      <c r="AX76" s="45">
        <f>F76*AP76</f>
      </c>
      <c r="AY76" s="47" t="s">
        <v>235</v>
      </c>
      <c r="AZ76" s="47" t="s">
        <v>217</v>
      </c>
      <c r="BA76" s="28" t="s">
        <v>65</v>
      </c>
      <c r="BC76" s="45">
        <f>AW76+AX76</f>
      </c>
      <c r="BD76" s="45">
        <f>G76/(100-BE76)*100</f>
      </c>
      <c r="BE76" s="45" t="n">
        <v>0</v>
      </c>
      <c r="BF76" s="45">
        <f>76</f>
      </c>
      <c r="BH76" s="45">
        <f>F76*AO76</f>
      </c>
      <c r="BI76" s="45">
        <f>F76*AP76</f>
      </c>
      <c r="BJ76" s="45">
        <f>F76*G76</f>
      </c>
      <c r="BK76" s="45"/>
      <c r="BL76" s="45" t="n">
        <v>89</v>
      </c>
      <c r="BW76" s="45" t="n">
        <v>21</v>
      </c>
      <c r="BX76" s="14" t="s">
        <v>256</v>
      </c>
    </row>
    <row r="77">
      <c r="A77" s="9" t="s">
        <v>257</v>
      </c>
      <c r="B77" s="10" t="s">
        <v>258</v>
      </c>
      <c r="C77" s="14" t="s">
        <v>259</v>
      </c>
      <c r="D77" s="10"/>
      <c r="E77" s="10" t="s">
        <v>178</v>
      </c>
      <c r="F77" s="45" t="n">
        <v>2</v>
      </c>
      <c r="G77" s="45" t="n">
        <v>0</v>
      </c>
      <c r="H77" s="45">
        <f>F77*AO77</f>
      </c>
      <c r="I77" s="45">
        <f>F77*AP77</f>
      </c>
      <c r="J77" s="45">
        <f>F77*G77</f>
      </c>
      <c r="K77" s="46" t="s">
        <v>70</v>
      </c>
      <c r="Z77" s="45">
        <f>IF(AQ77="5",BJ77,0)</f>
      </c>
      <c r="AB77" s="45">
        <f>IF(AQ77="1",BH77,0)</f>
      </c>
      <c r="AC77" s="45">
        <f>IF(AQ77="1",BI77,0)</f>
      </c>
      <c r="AD77" s="45">
        <f>IF(AQ77="7",BH77,0)</f>
      </c>
      <c r="AE77" s="45">
        <f>IF(AQ77="7",BI77,0)</f>
      </c>
      <c r="AF77" s="45">
        <f>IF(AQ77="2",BH77,0)</f>
      </c>
      <c r="AG77" s="45">
        <f>IF(AQ77="2",BI77,0)</f>
      </c>
      <c r="AH77" s="45">
        <f>IF(AQ77="0",BJ77,0)</f>
      </c>
      <c r="AI77" s="28" t="s">
        <v>55</v>
      </c>
      <c r="AJ77" s="45">
        <f>IF(AN77=0,J77,0)</f>
      </c>
      <c r="AK77" s="45">
        <f>IF(AN77=12,J77,0)</f>
      </c>
      <c r="AL77" s="45">
        <f>IF(AN77=21,J77,0)</f>
      </c>
      <c r="AN77" s="45" t="n">
        <v>21</v>
      </c>
      <c r="AO77" s="45">
        <f>G77*0.015254237</f>
      </c>
      <c r="AP77" s="45">
        <f>G77*(1-0.015254237)</f>
      </c>
      <c r="AQ77" s="47" t="s">
        <v>58</v>
      </c>
      <c r="AV77" s="45">
        <f>AW77+AX77</f>
      </c>
      <c r="AW77" s="45">
        <f>F77*AO77</f>
      </c>
      <c r="AX77" s="45">
        <f>F77*AP77</f>
      </c>
      <c r="AY77" s="47" t="s">
        <v>235</v>
      </c>
      <c r="AZ77" s="47" t="s">
        <v>217</v>
      </c>
      <c r="BA77" s="28" t="s">
        <v>65</v>
      </c>
      <c r="BC77" s="45">
        <f>AW77+AX77</f>
      </c>
      <c r="BD77" s="45">
        <f>G77/(100-BE77)*100</f>
      </c>
      <c r="BE77" s="45" t="n">
        <v>0</v>
      </c>
      <c r="BF77" s="45">
        <f>77</f>
      </c>
      <c r="BH77" s="45">
        <f>F77*AO77</f>
      </c>
      <c r="BI77" s="45">
        <f>F77*AP77</f>
      </c>
      <c r="BJ77" s="45">
        <f>F77*G77</f>
      </c>
      <c r="BK77" s="45"/>
      <c r="BL77" s="45" t="n">
        <v>89</v>
      </c>
      <c r="BW77" s="45" t="n">
        <v>21</v>
      </c>
      <c r="BX77" s="14" t="s">
        <v>259</v>
      </c>
    </row>
    <row r="78">
      <c r="A78" s="9" t="s">
        <v>260</v>
      </c>
      <c r="B78" s="10" t="s">
        <v>261</v>
      </c>
      <c r="C78" s="14" t="s">
        <v>262</v>
      </c>
      <c r="D78" s="10"/>
      <c r="E78" s="10" t="s">
        <v>178</v>
      </c>
      <c r="F78" s="45" t="n">
        <v>4</v>
      </c>
      <c r="G78" s="45" t="n">
        <v>0</v>
      </c>
      <c r="H78" s="45">
        <f>F78*AO78</f>
      </c>
      <c r="I78" s="45">
        <f>F78*AP78</f>
      </c>
      <c r="J78" s="45">
        <f>F78*G78</f>
      </c>
      <c r="K78" s="46" t="s">
        <v>70</v>
      </c>
      <c r="Z78" s="45">
        <f>IF(AQ78="5",BJ78,0)</f>
      </c>
      <c r="AB78" s="45">
        <f>IF(AQ78="1",BH78,0)</f>
      </c>
      <c r="AC78" s="45">
        <f>IF(AQ78="1",BI78,0)</f>
      </c>
      <c r="AD78" s="45">
        <f>IF(AQ78="7",BH78,0)</f>
      </c>
      <c r="AE78" s="45">
        <f>IF(AQ78="7",BI78,0)</f>
      </c>
      <c r="AF78" s="45">
        <f>IF(AQ78="2",BH78,0)</f>
      </c>
      <c r="AG78" s="45">
        <f>IF(AQ78="2",BI78,0)</f>
      </c>
      <c r="AH78" s="45">
        <f>IF(AQ78="0",BJ78,0)</f>
      </c>
      <c r="AI78" s="28" t="s">
        <v>55</v>
      </c>
      <c r="AJ78" s="45">
        <f>IF(AN78=0,J78,0)</f>
      </c>
      <c r="AK78" s="45">
        <f>IF(AN78=12,J78,0)</f>
      </c>
      <c r="AL78" s="45">
        <f>IF(AN78=21,J78,0)</f>
      </c>
      <c r="AN78" s="45" t="n">
        <v>21</v>
      </c>
      <c r="AO78" s="45">
        <f>G78*0.009136316</f>
      </c>
      <c r="AP78" s="45">
        <f>G78*(1-0.009136316)</f>
      </c>
      <c r="AQ78" s="47" t="s">
        <v>58</v>
      </c>
      <c r="AV78" s="45">
        <f>AW78+AX78</f>
      </c>
      <c r="AW78" s="45">
        <f>F78*AO78</f>
      </c>
      <c r="AX78" s="45">
        <f>F78*AP78</f>
      </c>
      <c r="AY78" s="47" t="s">
        <v>235</v>
      </c>
      <c r="AZ78" s="47" t="s">
        <v>217</v>
      </c>
      <c r="BA78" s="28" t="s">
        <v>65</v>
      </c>
      <c r="BC78" s="45">
        <f>AW78+AX78</f>
      </c>
      <c r="BD78" s="45">
        <f>G78/(100-BE78)*100</f>
      </c>
      <c r="BE78" s="45" t="n">
        <v>0</v>
      </c>
      <c r="BF78" s="45">
        <f>78</f>
      </c>
      <c r="BH78" s="45">
        <f>F78*AO78</f>
      </c>
      <c r="BI78" s="45">
        <f>F78*AP78</f>
      </c>
      <c r="BJ78" s="45">
        <f>F78*G78</f>
      </c>
      <c r="BK78" s="45"/>
      <c r="BL78" s="45" t="n">
        <v>89</v>
      </c>
      <c r="BW78" s="45" t="n">
        <v>21</v>
      </c>
      <c r="BX78" s="14" t="s">
        <v>262</v>
      </c>
    </row>
    <row r="79">
      <c r="A79" s="9" t="s">
        <v>263</v>
      </c>
      <c r="B79" s="10" t="s">
        <v>264</v>
      </c>
      <c r="C79" s="14" t="s">
        <v>265</v>
      </c>
      <c r="D79" s="10"/>
      <c r="E79" s="10" t="s">
        <v>178</v>
      </c>
      <c r="F79" s="45" t="n">
        <v>1</v>
      </c>
      <c r="G79" s="45" t="n">
        <v>0</v>
      </c>
      <c r="H79" s="45">
        <f>F79*AO79</f>
      </c>
      <c r="I79" s="45">
        <f>F79*AP79</f>
      </c>
      <c r="J79" s="45">
        <f>F79*G79</f>
      </c>
      <c r="K79" s="46" t="s">
        <v>70</v>
      </c>
      <c r="Z79" s="45">
        <f>IF(AQ79="5",BJ79,0)</f>
      </c>
      <c r="AB79" s="45">
        <f>IF(AQ79="1",BH79,0)</f>
      </c>
      <c r="AC79" s="45">
        <f>IF(AQ79="1",BI79,0)</f>
      </c>
      <c r="AD79" s="45">
        <f>IF(AQ79="7",BH79,0)</f>
      </c>
      <c r="AE79" s="45">
        <f>IF(AQ79="7",BI79,0)</f>
      </c>
      <c r="AF79" s="45">
        <f>IF(AQ79="2",BH79,0)</f>
      </c>
      <c r="AG79" s="45">
        <f>IF(AQ79="2",BI79,0)</f>
      </c>
      <c r="AH79" s="45">
        <f>IF(AQ79="0",BJ79,0)</f>
      </c>
      <c r="AI79" s="28" t="s">
        <v>55</v>
      </c>
      <c r="AJ79" s="45">
        <f>IF(AN79=0,J79,0)</f>
      </c>
      <c r="AK79" s="45">
        <f>IF(AN79=12,J79,0)</f>
      </c>
      <c r="AL79" s="45">
        <f>IF(AN79=21,J79,0)</f>
      </c>
      <c r="AN79" s="45" t="n">
        <v>21</v>
      </c>
      <c r="AO79" s="45">
        <f>G79*0.082483157</f>
      </c>
      <c r="AP79" s="45">
        <f>G79*(1-0.082483157)</f>
      </c>
      <c r="AQ79" s="47" t="s">
        <v>58</v>
      </c>
      <c r="AV79" s="45">
        <f>AW79+AX79</f>
      </c>
      <c r="AW79" s="45">
        <f>F79*AO79</f>
      </c>
      <c r="AX79" s="45">
        <f>F79*AP79</f>
      </c>
      <c r="AY79" s="47" t="s">
        <v>235</v>
      </c>
      <c r="AZ79" s="47" t="s">
        <v>217</v>
      </c>
      <c r="BA79" s="28" t="s">
        <v>65</v>
      </c>
      <c r="BC79" s="45">
        <f>AW79+AX79</f>
      </c>
      <c r="BD79" s="45">
        <f>G79/(100-BE79)*100</f>
      </c>
      <c r="BE79" s="45" t="n">
        <v>0</v>
      </c>
      <c r="BF79" s="45">
        <f>79</f>
      </c>
      <c r="BH79" s="45">
        <f>F79*AO79</f>
      </c>
      <c r="BI79" s="45">
        <f>F79*AP79</f>
      </c>
      <c r="BJ79" s="45">
        <f>F79*G79</f>
      </c>
      <c r="BK79" s="45"/>
      <c r="BL79" s="45" t="n">
        <v>89</v>
      </c>
      <c r="BW79" s="45" t="n">
        <v>21</v>
      </c>
      <c r="BX79" s="14" t="s">
        <v>265</v>
      </c>
    </row>
    <row r="80">
      <c r="A80" s="9" t="s">
        <v>266</v>
      </c>
      <c r="B80" s="10" t="s">
        <v>267</v>
      </c>
      <c r="C80" s="14" t="s">
        <v>268</v>
      </c>
      <c r="D80" s="10"/>
      <c r="E80" s="10" t="s">
        <v>178</v>
      </c>
      <c r="F80" s="45" t="n">
        <v>1</v>
      </c>
      <c r="G80" s="45" t="n">
        <v>0</v>
      </c>
      <c r="H80" s="45">
        <f>F80*AO80</f>
      </c>
      <c r="I80" s="45">
        <f>F80*AP80</f>
      </c>
      <c r="J80" s="45">
        <f>F80*G80</f>
      </c>
      <c r="K80" s="46" t="s">
        <v>70</v>
      </c>
      <c r="Z80" s="45">
        <f>IF(AQ80="5",BJ80,0)</f>
      </c>
      <c r="AB80" s="45">
        <f>IF(AQ80="1",BH80,0)</f>
      </c>
      <c r="AC80" s="45">
        <f>IF(AQ80="1",BI80,0)</f>
      </c>
      <c r="AD80" s="45">
        <f>IF(AQ80="7",BH80,0)</f>
      </c>
      <c r="AE80" s="45">
        <f>IF(AQ80="7",BI80,0)</f>
      </c>
      <c r="AF80" s="45">
        <f>IF(AQ80="2",BH80,0)</f>
      </c>
      <c r="AG80" s="45">
        <f>IF(AQ80="2",BI80,0)</f>
      </c>
      <c r="AH80" s="45">
        <f>IF(AQ80="0",BJ80,0)</f>
      </c>
      <c r="AI80" s="28" t="s">
        <v>55</v>
      </c>
      <c r="AJ80" s="45">
        <f>IF(AN80=0,J80,0)</f>
      </c>
      <c r="AK80" s="45">
        <f>IF(AN80=12,J80,0)</f>
      </c>
      <c r="AL80" s="45">
        <f>IF(AN80=21,J80,0)</f>
      </c>
      <c r="AN80" s="45" t="n">
        <v>21</v>
      </c>
      <c r="AO80" s="45">
        <f>G80*0.120353303</f>
      </c>
      <c r="AP80" s="45">
        <f>G80*(1-0.120353303)</f>
      </c>
      <c r="AQ80" s="47" t="s">
        <v>58</v>
      </c>
      <c r="AV80" s="45">
        <f>AW80+AX80</f>
      </c>
      <c r="AW80" s="45">
        <f>F80*AO80</f>
      </c>
      <c r="AX80" s="45">
        <f>F80*AP80</f>
      </c>
      <c r="AY80" s="47" t="s">
        <v>235</v>
      </c>
      <c r="AZ80" s="47" t="s">
        <v>217</v>
      </c>
      <c r="BA80" s="28" t="s">
        <v>65</v>
      </c>
      <c r="BC80" s="45">
        <f>AW80+AX80</f>
      </c>
      <c r="BD80" s="45">
        <f>G80/(100-BE80)*100</f>
      </c>
      <c r="BE80" s="45" t="n">
        <v>0</v>
      </c>
      <c r="BF80" s="45">
        <f>80</f>
      </c>
      <c r="BH80" s="45">
        <f>F80*AO80</f>
      </c>
      <c r="BI80" s="45">
        <f>F80*AP80</f>
      </c>
      <c r="BJ80" s="45">
        <f>F80*G80</f>
      </c>
      <c r="BK80" s="45"/>
      <c r="BL80" s="45" t="n">
        <v>89</v>
      </c>
      <c r="BW80" s="45" t="n">
        <v>21</v>
      </c>
      <c r="BX80" s="14" t="s">
        <v>268</v>
      </c>
    </row>
    <row r="81">
      <c r="A81" s="9" t="s">
        <v>269</v>
      </c>
      <c r="B81" s="10" t="s">
        <v>270</v>
      </c>
      <c r="C81" s="14" t="s">
        <v>271</v>
      </c>
      <c r="D81" s="10"/>
      <c r="E81" s="10" t="s">
        <v>178</v>
      </c>
      <c r="F81" s="45" t="n">
        <v>2</v>
      </c>
      <c r="G81" s="45" t="n">
        <v>0</v>
      </c>
      <c r="H81" s="45">
        <f>F81*AO81</f>
      </c>
      <c r="I81" s="45">
        <f>F81*AP81</f>
      </c>
      <c r="J81" s="45">
        <f>F81*G81</f>
      </c>
      <c r="K81" s="46" t="s">
        <v>70</v>
      </c>
      <c r="Z81" s="45">
        <f>IF(AQ81="5",BJ81,0)</f>
      </c>
      <c r="AB81" s="45">
        <f>IF(AQ81="1",BH81,0)</f>
      </c>
      <c r="AC81" s="45">
        <f>IF(AQ81="1",BI81,0)</f>
      </c>
      <c r="AD81" s="45">
        <f>IF(AQ81="7",BH81,0)</f>
      </c>
      <c r="AE81" s="45">
        <f>IF(AQ81="7",BI81,0)</f>
      </c>
      <c r="AF81" s="45">
        <f>IF(AQ81="2",BH81,0)</f>
      </c>
      <c r="AG81" s="45">
        <f>IF(AQ81="2",BI81,0)</f>
      </c>
      <c r="AH81" s="45">
        <f>IF(AQ81="0",BJ81,0)</f>
      </c>
      <c r="AI81" s="28" t="s">
        <v>55</v>
      </c>
      <c r="AJ81" s="45">
        <f>IF(AN81=0,J81,0)</f>
      </c>
      <c r="AK81" s="45">
        <f>IF(AN81=12,J81,0)</f>
      </c>
      <c r="AL81" s="45">
        <f>IF(AN81=21,J81,0)</f>
      </c>
      <c r="AN81" s="45" t="n">
        <v>21</v>
      </c>
      <c r="AO81" s="45">
        <f>G81*0.397211896</f>
      </c>
      <c r="AP81" s="45">
        <f>G81*(1-0.397211896)</f>
      </c>
      <c r="AQ81" s="47" t="s">
        <v>58</v>
      </c>
      <c r="AV81" s="45">
        <f>AW81+AX81</f>
      </c>
      <c r="AW81" s="45">
        <f>F81*AO81</f>
      </c>
      <c r="AX81" s="45">
        <f>F81*AP81</f>
      </c>
      <c r="AY81" s="47" t="s">
        <v>235</v>
      </c>
      <c r="AZ81" s="47" t="s">
        <v>217</v>
      </c>
      <c r="BA81" s="28" t="s">
        <v>65</v>
      </c>
      <c r="BC81" s="45">
        <f>AW81+AX81</f>
      </c>
      <c r="BD81" s="45">
        <f>G81/(100-BE81)*100</f>
      </c>
      <c r="BE81" s="45" t="n">
        <v>0</v>
      </c>
      <c r="BF81" s="45">
        <f>81</f>
      </c>
      <c r="BH81" s="45">
        <f>F81*AO81</f>
      </c>
      <c r="BI81" s="45">
        <f>F81*AP81</f>
      </c>
      <c r="BJ81" s="45">
        <f>F81*G81</f>
      </c>
      <c r="BK81" s="45"/>
      <c r="BL81" s="45" t="n">
        <v>89</v>
      </c>
      <c r="BW81" s="45" t="n">
        <v>21</v>
      </c>
      <c r="BX81" s="14" t="s">
        <v>271</v>
      </c>
    </row>
    <row r="82">
      <c r="A82" s="9" t="s">
        <v>272</v>
      </c>
      <c r="B82" s="10" t="s">
        <v>273</v>
      </c>
      <c r="C82" s="14" t="s">
        <v>274</v>
      </c>
      <c r="D82" s="10"/>
      <c r="E82" s="10" t="s">
        <v>178</v>
      </c>
      <c r="F82" s="45" t="n">
        <v>1</v>
      </c>
      <c r="G82" s="45" t="n">
        <v>0</v>
      </c>
      <c r="H82" s="45">
        <f>F82*AO82</f>
      </c>
      <c r="I82" s="45">
        <f>F82*AP82</f>
      </c>
      <c r="J82" s="45">
        <f>F82*G82</f>
      </c>
      <c r="K82" s="46" t="s">
        <v>70</v>
      </c>
      <c r="Z82" s="45">
        <f>IF(AQ82="5",BJ82,0)</f>
      </c>
      <c r="AB82" s="45">
        <f>IF(AQ82="1",BH82,0)</f>
      </c>
      <c r="AC82" s="45">
        <f>IF(AQ82="1",BI82,0)</f>
      </c>
      <c r="AD82" s="45">
        <f>IF(AQ82="7",BH82,0)</f>
      </c>
      <c r="AE82" s="45">
        <f>IF(AQ82="7",BI82,0)</f>
      </c>
      <c r="AF82" s="45">
        <f>IF(AQ82="2",BH82,0)</f>
      </c>
      <c r="AG82" s="45">
        <f>IF(AQ82="2",BI82,0)</f>
      </c>
      <c r="AH82" s="45">
        <f>IF(AQ82="0",BJ82,0)</f>
      </c>
      <c r="AI82" s="28" t="s">
        <v>55</v>
      </c>
      <c r="AJ82" s="45">
        <f>IF(AN82=0,J82,0)</f>
      </c>
      <c r="AK82" s="45">
        <f>IF(AN82=12,J82,0)</f>
      </c>
      <c r="AL82" s="45">
        <f>IF(AN82=21,J82,0)</f>
      </c>
      <c r="AN82" s="45" t="n">
        <v>21</v>
      </c>
      <c r="AO82" s="45">
        <f>G82*0.317154696</f>
      </c>
      <c r="AP82" s="45">
        <f>G82*(1-0.317154696)</f>
      </c>
      <c r="AQ82" s="47" t="s">
        <v>58</v>
      </c>
      <c r="AV82" s="45">
        <f>AW82+AX82</f>
      </c>
      <c r="AW82" s="45">
        <f>F82*AO82</f>
      </c>
      <c r="AX82" s="45">
        <f>F82*AP82</f>
      </c>
      <c r="AY82" s="47" t="s">
        <v>235</v>
      </c>
      <c r="AZ82" s="47" t="s">
        <v>217</v>
      </c>
      <c r="BA82" s="28" t="s">
        <v>65</v>
      </c>
      <c r="BC82" s="45">
        <f>AW82+AX82</f>
      </c>
      <c r="BD82" s="45">
        <f>G82/(100-BE82)*100</f>
      </c>
      <c r="BE82" s="45" t="n">
        <v>0</v>
      </c>
      <c r="BF82" s="45">
        <f>82</f>
      </c>
      <c r="BH82" s="45">
        <f>F82*AO82</f>
      </c>
      <c r="BI82" s="45">
        <f>F82*AP82</f>
      </c>
      <c r="BJ82" s="45">
        <f>F82*G82</f>
      </c>
      <c r="BK82" s="45"/>
      <c r="BL82" s="45" t="n">
        <v>89</v>
      </c>
      <c r="BW82" s="45" t="n">
        <v>21</v>
      </c>
      <c r="BX82" s="14" t="s">
        <v>274</v>
      </c>
    </row>
    <row r="83">
      <c r="A83" s="9" t="s">
        <v>275</v>
      </c>
      <c r="B83" s="10" t="s">
        <v>276</v>
      </c>
      <c r="C83" s="14" t="s">
        <v>277</v>
      </c>
      <c r="D83" s="10"/>
      <c r="E83" s="10" t="s">
        <v>69</v>
      </c>
      <c r="F83" s="45" t="n">
        <v>55</v>
      </c>
      <c r="G83" s="45" t="n">
        <v>0</v>
      </c>
      <c r="H83" s="45">
        <f>F83*AO83</f>
      </c>
      <c r="I83" s="45">
        <f>F83*AP83</f>
      </c>
      <c r="J83" s="45">
        <f>F83*G83</f>
      </c>
      <c r="K83" s="46" t="s">
        <v>70</v>
      </c>
      <c r="Z83" s="45">
        <f>IF(AQ83="5",BJ83,0)</f>
      </c>
      <c r="AB83" s="45">
        <f>IF(AQ83="1",BH83,0)</f>
      </c>
      <c r="AC83" s="45">
        <f>IF(AQ83="1",BI83,0)</f>
      </c>
      <c r="AD83" s="45">
        <f>IF(AQ83="7",BH83,0)</f>
      </c>
      <c r="AE83" s="45">
        <f>IF(AQ83="7",BI83,0)</f>
      </c>
      <c r="AF83" s="45">
        <f>IF(AQ83="2",BH83,0)</f>
      </c>
      <c r="AG83" s="45">
        <f>IF(AQ83="2",BI83,0)</f>
      </c>
      <c r="AH83" s="45">
        <f>IF(AQ83="0",BJ83,0)</f>
      </c>
      <c r="AI83" s="28" t="s">
        <v>55</v>
      </c>
      <c r="AJ83" s="45">
        <f>IF(AN83=0,J83,0)</f>
      </c>
      <c r="AK83" s="45">
        <f>IF(AN83=12,J83,0)</f>
      </c>
      <c r="AL83" s="45">
        <f>IF(AN83=21,J83,0)</f>
      </c>
      <c r="AN83" s="45" t="n">
        <v>21</v>
      </c>
      <c r="AO83" s="45">
        <f>G83*0.512571429</f>
      </c>
      <c r="AP83" s="45">
        <f>G83*(1-0.512571429)</f>
      </c>
      <c r="AQ83" s="47" t="s">
        <v>58</v>
      </c>
      <c r="AV83" s="45">
        <f>AW83+AX83</f>
      </c>
      <c r="AW83" s="45">
        <f>F83*AO83</f>
      </c>
      <c r="AX83" s="45">
        <f>F83*AP83</f>
      </c>
      <c r="AY83" s="47" t="s">
        <v>235</v>
      </c>
      <c r="AZ83" s="47" t="s">
        <v>217</v>
      </c>
      <c r="BA83" s="28" t="s">
        <v>65</v>
      </c>
      <c r="BC83" s="45">
        <f>AW83+AX83</f>
      </c>
      <c r="BD83" s="45">
        <f>G83/(100-BE83)*100</f>
      </c>
      <c r="BE83" s="45" t="n">
        <v>0</v>
      </c>
      <c r="BF83" s="45">
        <f>83</f>
      </c>
      <c r="BH83" s="45">
        <f>F83*AO83</f>
      </c>
      <c r="BI83" s="45">
        <f>F83*AP83</f>
      </c>
      <c r="BJ83" s="45">
        <f>F83*G83</f>
      </c>
      <c r="BK83" s="45"/>
      <c r="BL83" s="45" t="n">
        <v>89</v>
      </c>
      <c r="BW83" s="45" t="n">
        <v>21</v>
      </c>
      <c r="BX83" s="14" t="s">
        <v>277</v>
      </c>
    </row>
    <row r="84">
      <c r="A84" s="9" t="s">
        <v>278</v>
      </c>
      <c r="B84" s="10" t="s">
        <v>279</v>
      </c>
      <c r="C84" s="14" t="s">
        <v>280</v>
      </c>
      <c r="D84" s="10"/>
      <c r="E84" s="10" t="s">
        <v>281</v>
      </c>
      <c r="F84" s="45" t="n">
        <v>1</v>
      </c>
      <c r="G84" s="45" t="n">
        <v>0</v>
      </c>
      <c r="H84" s="45">
        <f>F84*AO84</f>
      </c>
      <c r="I84" s="45">
        <f>F84*AP84</f>
      </c>
      <c r="J84" s="45">
        <f>F84*G84</f>
      </c>
      <c r="K84" s="46" t="s">
        <v>70</v>
      </c>
      <c r="Z84" s="45">
        <f>IF(AQ84="5",BJ84,0)</f>
      </c>
      <c r="AB84" s="45">
        <f>IF(AQ84="1",BH84,0)</f>
      </c>
      <c r="AC84" s="45">
        <f>IF(AQ84="1",BI84,0)</f>
      </c>
      <c r="AD84" s="45">
        <f>IF(AQ84="7",BH84,0)</f>
      </c>
      <c r="AE84" s="45">
        <f>IF(AQ84="7",BI84,0)</f>
      </c>
      <c r="AF84" s="45">
        <f>IF(AQ84="2",BH84,0)</f>
      </c>
      <c r="AG84" s="45">
        <f>IF(AQ84="2",BI84,0)</f>
      </c>
      <c r="AH84" s="45">
        <f>IF(AQ84="0",BJ84,0)</f>
      </c>
      <c r="AI84" s="28" t="s">
        <v>55</v>
      </c>
      <c r="AJ84" s="45">
        <f>IF(AN84=0,J84,0)</f>
      </c>
      <c r="AK84" s="45">
        <f>IF(AN84=12,J84,0)</f>
      </c>
      <c r="AL84" s="45">
        <f>IF(AN84=21,J84,0)</f>
      </c>
      <c r="AN84" s="45" t="n">
        <v>21</v>
      </c>
      <c r="AO84" s="45">
        <f>G84*0.283677778</f>
      </c>
      <c r="AP84" s="45">
        <f>G84*(1-0.283677778)</f>
      </c>
      <c r="AQ84" s="47" t="s">
        <v>58</v>
      </c>
      <c r="AV84" s="45">
        <f>AW84+AX84</f>
      </c>
      <c r="AW84" s="45">
        <f>F84*AO84</f>
      </c>
      <c r="AX84" s="45">
        <f>F84*AP84</f>
      </c>
      <c r="AY84" s="47" t="s">
        <v>235</v>
      </c>
      <c r="AZ84" s="47" t="s">
        <v>217</v>
      </c>
      <c r="BA84" s="28" t="s">
        <v>65</v>
      </c>
      <c r="BC84" s="45">
        <f>AW84+AX84</f>
      </c>
      <c r="BD84" s="45">
        <f>G84/(100-BE84)*100</f>
      </c>
      <c r="BE84" s="45" t="n">
        <v>0</v>
      </c>
      <c r="BF84" s="45">
        <f>84</f>
      </c>
      <c r="BH84" s="45">
        <f>F84*AO84</f>
      </c>
      <c r="BI84" s="45">
        <f>F84*AP84</f>
      </c>
      <c r="BJ84" s="45">
        <f>F84*G84</f>
      </c>
      <c r="BK84" s="45"/>
      <c r="BL84" s="45" t="n">
        <v>89</v>
      </c>
      <c r="BW84" s="45" t="n">
        <v>21</v>
      </c>
      <c r="BX84" s="14" t="s">
        <v>280</v>
      </c>
    </row>
    <row r="85">
      <c r="A85" s="48" t="s">
        <v>55</v>
      </c>
      <c r="B85" s="49" t="s">
        <v>282</v>
      </c>
      <c r="C85" s="50" t="s">
        <v>283</v>
      </c>
      <c r="D85" s="49"/>
      <c r="E85" s="51" t="s">
        <v>36</v>
      </c>
      <c r="F85" s="51" t="s">
        <v>36</v>
      </c>
      <c r="G85" s="51" t="s">
        <v>36</v>
      </c>
      <c r="H85" s="2">
        <f>SUM(H86:H86)</f>
      </c>
      <c r="I85" s="2">
        <f>SUM(I86:I86)</f>
      </c>
      <c r="J85" s="2">
        <f>SUM(J86:J86)</f>
      </c>
      <c r="K85" s="52" t="s">
        <v>55</v>
      </c>
      <c r="AI85" s="28" t="s">
        <v>55</v>
      </c>
      <c r="AS85" s="2">
        <f>SUM(AJ86:AJ86)</f>
      </c>
      <c r="AT85" s="2">
        <f>SUM(AK86:AK86)</f>
      </c>
      <c r="AU85" s="2">
        <f>SUM(AL86:AL86)</f>
      </c>
    </row>
    <row r="86">
      <c r="A86" s="9" t="s">
        <v>147</v>
      </c>
      <c r="B86" s="10" t="s">
        <v>284</v>
      </c>
      <c r="C86" s="14" t="s">
        <v>285</v>
      </c>
      <c r="D86" s="10"/>
      <c r="E86" s="10" t="s">
        <v>286</v>
      </c>
      <c r="F86" s="45" t="n">
        <v>32</v>
      </c>
      <c r="G86" s="45" t="n">
        <v>0</v>
      </c>
      <c r="H86" s="45">
        <f>F86*AO86</f>
      </c>
      <c r="I86" s="45">
        <f>F86*AP86</f>
      </c>
      <c r="J86" s="45">
        <f>F86*G86</f>
      </c>
      <c r="K86" s="46" t="s">
        <v>70</v>
      </c>
      <c r="Z86" s="45">
        <f>IF(AQ86="5",BJ86,0)</f>
      </c>
      <c r="AB86" s="45">
        <f>IF(AQ86="1",BH86,0)</f>
      </c>
      <c r="AC86" s="45">
        <f>IF(AQ86="1",BI86,0)</f>
      </c>
      <c r="AD86" s="45">
        <f>IF(AQ86="7",BH86,0)</f>
      </c>
      <c r="AE86" s="45">
        <f>IF(AQ86="7",BI86,0)</f>
      </c>
      <c r="AF86" s="45">
        <f>IF(AQ86="2",BH86,0)</f>
      </c>
      <c r="AG86" s="45">
        <f>IF(AQ86="2",BI86,0)</f>
      </c>
      <c r="AH86" s="45">
        <f>IF(AQ86="0",BJ86,0)</f>
      </c>
      <c r="AI86" s="28" t="s">
        <v>55</v>
      </c>
      <c r="AJ86" s="45">
        <f>IF(AN86=0,J86,0)</f>
      </c>
      <c r="AK86" s="45">
        <f>IF(AN86=12,J86,0)</f>
      </c>
      <c r="AL86" s="45">
        <f>IF(AN86=21,J86,0)</f>
      </c>
      <c r="AN86" s="45" t="n">
        <v>21</v>
      </c>
      <c r="AO86" s="45">
        <f>G86*0</f>
      </c>
      <c r="AP86" s="45">
        <f>G86*(1-0)</f>
      </c>
      <c r="AQ86" s="47" t="s">
        <v>58</v>
      </c>
      <c r="AV86" s="45">
        <f>AW86+AX86</f>
      </c>
      <c r="AW86" s="45">
        <f>F86*AO86</f>
      </c>
      <c r="AX86" s="45">
        <f>F86*AP86</f>
      </c>
      <c r="AY86" s="47" t="s">
        <v>287</v>
      </c>
      <c r="AZ86" s="47" t="s">
        <v>288</v>
      </c>
      <c r="BA86" s="28" t="s">
        <v>65</v>
      </c>
      <c r="BC86" s="45">
        <f>AW86+AX86</f>
      </c>
      <c r="BD86" s="45">
        <f>G86/(100-BE86)*100</f>
      </c>
      <c r="BE86" s="45" t="n">
        <v>0</v>
      </c>
      <c r="BF86" s="45">
        <f>86</f>
      </c>
      <c r="BH86" s="45">
        <f>F86*AO86</f>
      </c>
      <c r="BI86" s="45">
        <f>F86*AP86</f>
      </c>
      <c r="BJ86" s="45">
        <f>F86*G86</f>
      </c>
      <c r="BK86" s="45"/>
      <c r="BL86" s="45" t="n">
        <v>90</v>
      </c>
      <c r="BW86" s="45" t="n">
        <v>21</v>
      </c>
      <c r="BX86" s="14" t="s">
        <v>285</v>
      </c>
    </row>
    <row r="87">
      <c r="A87" s="48" t="s">
        <v>55</v>
      </c>
      <c r="B87" s="49" t="s">
        <v>289</v>
      </c>
      <c r="C87" s="50" t="s">
        <v>290</v>
      </c>
      <c r="D87" s="49"/>
      <c r="E87" s="51" t="s">
        <v>36</v>
      </c>
      <c r="F87" s="51" t="s">
        <v>36</v>
      </c>
      <c r="G87" s="51" t="s">
        <v>36</v>
      </c>
      <c r="H87" s="2">
        <f>SUM(H88:H90)</f>
      </c>
      <c r="I87" s="2">
        <f>SUM(I88:I90)</f>
      </c>
      <c r="J87" s="2">
        <f>SUM(J88:J90)</f>
      </c>
      <c r="K87" s="52" t="s">
        <v>55</v>
      </c>
      <c r="AI87" s="28" t="s">
        <v>55</v>
      </c>
      <c r="AS87" s="2">
        <f>SUM(AJ88:AJ90)</f>
      </c>
      <c r="AT87" s="2">
        <f>SUM(AK88:AK90)</f>
      </c>
      <c r="AU87" s="2">
        <f>SUM(AL88:AL90)</f>
      </c>
    </row>
    <row r="88">
      <c r="A88" s="9" t="s">
        <v>157</v>
      </c>
      <c r="B88" s="10" t="s">
        <v>291</v>
      </c>
      <c r="C88" s="14" t="s">
        <v>292</v>
      </c>
      <c r="D88" s="10"/>
      <c r="E88" s="10" t="s">
        <v>69</v>
      </c>
      <c r="F88" s="45" t="n">
        <v>18</v>
      </c>
      <c r="G88" s="45" t="n">
        <v>0</v>
      </c>
      <c r="H88" s="45">
        <f>F88*AO88</f>
      </c>
      <c r="I88" s="45">
        <f>F88*AP88</f>
      </c>
      <c r="J88" s="45">
        <f>F88*G88</f>
      </c>
      <c r="K88" s="46" t="s">
        <v>70</v>
      </c>
      <c r="Z88" s="45">
        <f>IF(AQ88="5",BJ88,0)</f>
      </c>
      <c r="AB88" s="45">
        <f>IF(AQ88="1",BH88,0)</f>
      </c>
      <c r="AC88" s="45">
        <f>IF(AQ88="1",BI88,0)</f>
      </c>
      <c r="AD88" s="45">
        <f>IF(AQ88="7",BH88,0)</f>
      </c>
      <c r="AE88" s="45">
        <f>IF(AQ88="7",BI88,0)</f>
      </c>
      <c r="AF88" s="45">
        <f>IF(AQ88="2",BH88,0)</f>
      </c>
      <c r="AG88" s="45">
        <f>IF(AQ88="2",BI88,0)</f>
      </c>
      <c r="AH88" s="45">
        <f>IF(AQ88="0",BJ88,0)</f>
      </c>
      <c r="AI88" s="28" t="s">
        <v>55</v>
      </c>
      <c r="AJ88" s="45">
        <f>IF(AN88=0,J88,0)</f>
      </c>
      <c r="AK88" s="45">
        <f>IF(AN88=12,J88,0)</f>
      </c>
      <c r="AL88" s="45">
        <f>IF(AN88=21,J88,0)</f>
      </c>
      <c r="AN88" s="45" t="n">
        <v>21</v>
      </c>
      <c r="AO88" s="45">
        <f>G88*0.587007299</f>
      </c>
      <c r="AP88" s="45">
        <f>G88*(1-0.587007299)</f>
      </c>
      <c r="AQ88" s="47" t="s">
        <v>58</v>
      </c>
      <c r="AV88" s="45">
        <f>AW88+AX88</f>
      </c>
      <c r="AW88" s="45">
        <f>F88*AO88</f>
      </c>
      <c r="AX88" s="45">
        <f>F88*AP88</f>
      </c>
      <c r="AY88" s="47" t="s">
        <v>293</v>
      </c>
      <c r="AZ88" s="47" t="s">
        <v>288</v>
      </c>
      <c r="BA88" s="28" t="s">
        <v>65</v>
      </c>
      <c r="BC88" s="45">
        <f>AW88+AX88</f>
      </c>
      <c r="BD88" s="45">
        <f>G88/(100-BE88)*100</f>
      </c>
      <c r="BE88" s="45" t="n">
        <v>0</v>
      </c>
      <c r="BF88" s="45">
        <f>88</f>
      </c>
      <c r="BH88" s="45">
        <f>F88*AO88</f>
      </c>
      <c r="BI88" s="45">
        <f>F88*AP88</f>
      </c>
      <c r="BJ88" s="45">
        <f>F88*G88</f>
      </c>
      <c r="BK88" s="45"/>
      <c r="BL88" s="45" t="n">
        <v>91</v>
      </c>
      <c r="BW88" s="45" t="n">
        <v>21</v>
      </c>
      <c r="BX88" s="14" t="s">
        <v>292</v>
      </c>
    </row>
    <row r="89">
      <c r="A89" s="9" t="s">
        <v>294</v>
      </c>
      <c r="B89" s="10" t="s">
        <v>295</v>
      </c>
      <c r="C89" s="14" t="s">
        <v>296</v>
      </c>
      <c r="D89" s="10"/>
      <c r="E89" s="10" t="s">
        <v>69</v>
      </c>
      <c r="F89" s="45" t="n">
        <v>20</v>
      </c>
      <c r="G89" s="45" t="n">
        <v>0</v>
      </c>
      <c r="H89" s="45">
        <f>F89*AO89</f>
      </c>
      <c r="I89" s="45">
        <f>F89*AP89</f>
      </c>
      <c r="J89" s="45">
        <f>F89*G89</f>
      </c>
      <c r="K89" s="46" t="s">
        <v>62</v>
      </c>
      <c r="Z89" s="45">
        <f>IF(AQ89="5",BJ89,0)</f>
      </c>
      <c r="AB89" s="45">
        <f>IF(AQ89="1",BH89,0)</f>
      </c>
      <c r="AC89" s="45">
        <f>IF(AQ89="1",BI89,0)</f>
      </c>
      <c r="AD89" s="45">
        <f>IF(AQ89="7",BH89,0)</f>
      </c>
      <c r="AE89" s="45">
        <f>IF(AQ89="7",BI89,0)</f>
      </c>
      <c r="AF89" s="45">
        <f>IF(AQ89="2",BH89,0)</f>
      </c>
      <c r="AG89" s="45">
        <f>IF(AQ89="2",BI89,0)</f>
      </c>
      <c r="AH89" s="45">
        <f>IF(AQ89="0",BJ89,0)</f>
      </c>
      <c r="AI89" s="28" t="s">
        <v>55</v>
      </c>
      <c r="AJ89" s="45">
        <f>IF(AN89=0,J89,0)</f>
      </c>
      <c r="AK89" s="45">
        <f>IF(AN89=12,J89,0)</f>
      </c>
      <c r="AL89" s="45">
        <f>IF(AN89=21,J89,0)</f>
      </c>
      <c r="AN89" s="45" t="n">
        <v>21</v>
      </c>
      <c r="AO89" s="45">
        <f>G89*0.567004219</f>
      </c>
      <c r="AP89" s="45">
        <f>G89*(1-0.567004219)</f>
      </c>
      <c r="AQ89" s="47" t="s">
        <v>58</v>
      </c>
      <c r="AV89" s="45">
        <f>AW89+AX89</f>
      </c>
      <c r="AW89" s="45">
        <f>F89*AO89</f>
      </c>
      <c r="AX89" s="45">
        <f>F89*AP89</f>
      </c>
      <c r="AY89" s="47" t="s">
        <v>293</v>
      </c>
      <c r="AZ89" s="47" t="s">
        <v>288</v>
      </c>
      <c r="BA89" s="28" t="s">
        <v>65</v>
      </c>
      <c r="BC89" s="45">
        <f>AW89+AX89</f>
      </c>
      <c r="BD89" s="45">
        <f>G89/(100-BE89)*100</f>
      </c>
      <c r="BE89" s="45" t="n">
        <v>0</v>
      </c>
      <c r="BF89" s="45">
        <f>89</f>
      </c>
      <c r="BH89" s="45">
        <f>F89*AO89</f>
      </c>
      <c r="BI89" s="45">
        <f>F89*AP89</f>
      </c>
      <c r="BJ89" s="45">
        <f>F89*G89</f>
      </c>
      <c r="BK89" s="45"/>
      <c r="BL89" s="45" t="n">
        <v>91</v>
      </c>
      <c r="BW89" s="45" t="n">
        <v>21</v>
      </c>
      <c r="BX89" s="14" t="s">
        <v>296</v>
      </c>
    </row>
    <row r="90">
      <c r="A90" s="9" t="s">
        <v>297</v>
      </c>
      <c r="B90" s="10" t="s">
        <v>298</v>
      </c>
      <c r="C90" s="14" t="s">
        <v>299</v>
      </c>
      <c r="D90" s="10"/>
      <c r="E90" s="10" t="s">
        <v>69</v>
      </c>
      <c r="F90" s="45" t="n">
        <v>20</v>
      </c>
      <c r="G90" s="45" t="n">
        <v>0</v>
      </c>
      <c r="H90" s="45">
        <f>F90*AO90</f>
      </c>
      <c r="I90" s="45">
        <f>F90*AP90</f>
      </c>
      <c r="J90" s="45">
        <f>F90*G90</f>
      </c>
      <c r="K90" s="46" t="s">
        <v>62</v>
      </c>
      <c r="Z90" s="45">
        <f>IF(AQ90="5",BJ90,0)</f>
      </c>
      <c r="AB90" s="45">
        <f>IF(AQ90="1",BH90,0)</f>
      </c>
      <c r="AC90" s="45">
        <f>IF(AQ90="1",BI90,0)</f>
      </c>
      <c r="AD90" s="45">
        <f>IF(AQ90="7",BH90,0)</f>
      </c>
      <c r="AE90" s="45">
        <f>IF(AQ90="7",BI90,0)</f>
      </c>
      <c r="AF90" s="45">
        <f>IF(AQ90="2",BH90,0)</f>
      </c>
      <c r="AG90" s="45">
        <f>IF(AQ90="2",BI90,0)</f>
      </c>
      <c r="AH90" s="45">
        <f>IF(AQ90="0",BJ90,0)</f>
      </c>
      <c r="AI90" s="28" t="s">
        <v>55</v>
      </c>
      <c r="AJ90" s="45">
        <f>IF(AN90=0,J90,0)</f>
      </c>
      <c r="AK90" s="45">
        <f>IF(AN90=12,J90,0)</f>
      </c>
      <c r="AL90" s="45">
        <f>IF(AN90=21,J90,0)</f>
      </c>
      <c r="AN90" s="45" t="n">
        <v>21</v>
      </c>
      <c r="AO90" s="45">
        <f>G90*0.33502994</f>
      </c>
      <c r="AP90" s="45">
        <f>G90*(1-0.33502994)</f>
      </c>
      <c r="AQ90" s="47" t="s">
        <v>58</v>
      </c>
      <c r="AV90" s="45">
        <f>AW90+AX90</f>
      </c>
      <c r="AW90" s="45">
        <f>F90*AO90</f>
      </c>
      <c r="AX90" s="45">
        <f>F90*AP90</f>
      </c>
      <c r="AY90" s="47" t="s">
        <v>293</v>
      </c>
      <c r="AZ90" s="47" t="s">
        <v>288</v>
      </c>
      <c r="BA90" s="28" t="s">
        <v>65</v>
      </c>
      <c r="BC90" s="45">
        <f>AW90+AX90</f>
      </c>
      <c r="BD90" s="45">
        <f>G90/(100-BE90)*100</f>
      </c>
      <c r="BE90" s="45" t="n">
        <v>0</v>
      </c>
      <c r="BF90" s="45">
        <f>90</f>
      </c>
      <c r="BH90" s="45">
        <f>F90*AO90</f>
      </c>
      <c r="BI90" s="45">
        <f>F90*AP90</f>
      </c>
      <c r="BJ90" s="45">
        <f>F90*G90</f>
      </c>
      <c r="BK90" s="45"/>
      <c r="BL90" s="45" t="n">
        <v>91</v>
      </c>
      <c r="BW90" s="45" t="n">
        <v>21</v>
      </c>
      <c r="BX90" s="14" t="s">
        <v>299</v>
      </c>
    </row>
    <row r="91">
      <c r="A91" s="48" t="s">
        <v>55</v>
      </c>
      <c r="B91" s="49" t="s">
        <v>300</v>
      </c>
      <c r="C91" s="50" t="s">
        <v>301</v>
      </c>
      <c r="D91" s="49"/>
      <c r="E91" s="51" t="s">
        <v>36</v>
      </c>
      <c r="F91" s="51" t="s">
        <v>36</v>
      </c>
      <c r="G91" s="51" t="s">
        <v>36</v>
      </c>
      <c r="H91" s="2">
        <f>SUM(H92:H92)</f>
      </c>
      <c r="I91" s="2">
        <f>SUM(I92:I92)</f>
      </c>
      <c r="J91" s="2">
        <f>SUM(J92:J92)</f>
      </c>
      <c r="K91" s="52" t="s">
        <v>55</v>
      </c>
      <c r="AI91" s="28" t="s">
        <v>55</v>
      </c>
      <c r="AS91" s="2">
        <f>SUM(AJ92:AJ92)</f>
      </c>
      <c r="AT91" s="2">
        <f>SUM(AK92:AK92)</f>
      </c>
      <c r="AU91" s="2">
        <f>SUM(AL92:AL92)</f>
      </c>
    </row>
    <row r="92">
      <c r="A92" s="9" t="s">
        <v>302</v>
      </c>
      <c r="B92" s="10" t="s">
        <v>303</v>
      </c>
      <c r="C92" s="14" t="s">
        <v>304</v>
      </c>
      <c r="D92" s="10"/>
      <c r="E92" s="10" t="s">
        <v>69</v>
      </c>
      <c r="F92" s="45" t="n">
        <v>3</v>
      </c>
      <c r="G92" s="45" t="n">
        <v>0</v>
      </c>
      <c r="H92" s="45">
        <f>F92*AO92</f>
      </c>
      <c r="I92" s="45">
        <f>F92*AP92</f>
      </c>
      <c r="J92" s="45">
        <f>F92*G92</f>
      </c>
      <c r="K92" s="46" t="s">
        <v>70</v>
      </c>
      <c r="Z92" s="45">
        <f>IF(AQ92="5",BJ92,0)</f>
      </c>
      <c r="AB92" s="45">
        <f>IF(AQ92="1",BH92,0)</f>
      </c>
      <c r="AC92" s="45">
        <f>IF(AQ92="1",BI92,0)</f>
      </c>
      <c r="AD92" s="45">
        <f>IF(AQ92="7",BH92,0)</f>
      </c>
      <c r="AE92" s="45">
        <f>IF(AQ92="7",BI92,0)</f>
      </c>
      <c r="AF92" s="45">
        <f>IF(AQ92="2",BH92,0)</f>
      </c>
      <c r="AG92" s="45">
        <f>IF(AQ92="2",BI92,0)</f>
      </c>
      <c r="AH92" s="45">
        <f>IF(AQ92="0",BJ92,0)</f>
      </c>
      <c r="AI92" s="28" t="s">
        <v>55</v>
      </c>
      <c r="AJ92" s="45">
        <f>IF(AN92=0,J92,0)</f>
      </c>
      <c r="AK92" s="45">
        <f>IF(AN92=12,J92,0)</f>
      </c>
      <c r="AL92" s="45">
        <f>IF(AN92=21,J92,0)</f>
      </c>
      <c r="AN92" s="45" t="n">
        <v>21</v>
      </c>
      <c r="AO92" s="45">
        <f>G92*0.819320988</f>
      </c>
      <c r="AP92" s="45">
        <f>G92*(1-0.819320988)</f>
      </c>
      <c r="AQ92" s="47" t="s">
        <v>58</v>
      </c>
      <c r="AV92" s="45">
        <f>AW92+AX92</f>
      </c>
      <c r="AW92" s="45">
        <f>F92*AO92</f>
      </c>
      <c r="AX92" s="45">
        <f>F92*AP92</f>
      </c>
      <c r="AY92" s="47" t="s">
        <v>305</v>
      </c>
      <c r="AZ92" s="47" t="s">
        <v>288</v>
      </c>
      <c r="BA92" s="28" t="s">
        <v>65</v>
      </c>
      <c r="BC92" s="45">
        <f>AW92+AX92</f>
      </c>
      <c r="BD92" s="45">
        <f>G92/(100-BE92)*100</f>
      </c>
      <c r="BE92" s="45" t="n">
        <v>0</v>
      </c>
      <c r="BF92" s="45">
        <f>92</f>
      </c>
      <c r="BH92" s="45">
        <f>F92*AO92</f>
      </c>
      <c r="BI92" s="45">
        <f>F92*AP92</f>
      </c>
      <c r="BJ92" s="45">
        <f>F92*G92</f>
      </c>
      <c r="BK92" s="45"/>
      <c r="BL92" s="45" t="n">
        <v>93</v>
      </c>
      <c r="BW92" s="45" t="n">
        <v>21</v>
      </c>
      <c r="BX92" s="14" t="s">
        <v>304</v>
      </c>
    </row>
    <row r="93">
      <c r="A93" s="48" t="s">
        <v>55</v>
      </c>
      <c r="B93" s="49" t="s">
        <v>306</v>
      </c>
      <c r="C93" s="50" t="s">
        <v>307</v>
      </c>
      <c r="D93" s="49"/>
      <c r="E93" s="51" t="s">
        <v>36</v>
      </c>
      <c r="F93" s="51" t="s">
        <v>36</v>
      </c>
      <c r="G93" s="51" t="s">
        <v>36</v>
      </c>
      <c r="H93" s="2">
        <f>SUM(H94:H95)</f>
      </c>
      <c r="I93" s="2">
        <f>SUM(I94:I95)</f>
      </c>
      <c r="J93" s="2">
        <f>SUM(J94:J95)</f>
      </c>
      <c r="K93" s="52" t="s">
        <v>55</v>
      </c>
      <c r="AI93" s="28" t="s">
        <v>55</v>
      </c>
      <c r="AS93" s="2">
        <f>SUM(AJ94:AJ95)</f>
      </c>
      <c r="AT93" s="2">
        <f>SUM(AK94:AK95)</f>
      </c>
      <c r="AU93" s="2">
        <f>SUM(AL94:AL95)</f>
      </c>
    </row>
    <row r="94">
      <c r="A94" s="9" t="s">
        <v>308</v>
      </c>
      <c r="B94" s="10" t="s">
        <v>309</v>
      </c>
      <c r="C94" s="14" t="s">
        <v>310</v>
      </c>
      <c r="D94" s="10"/>
      <c r="E94" s="10" t="s">
        <v>69</v>
      </c>
      <c r="F94" s="45" t="n">
        <v>2</v>
      </c>
      <c r="G94" s="45" t="n">
        <v>0</v>
      </c>
      <c r="H94" s="45">
        <f>F94*AO94</f>
      </c>
      <c r="I94" s="45">
        <f>F94*AP94</f>
      </c>
      <c r="J94" s="45">
        <f>F94*G94</f>
      </c>
      <c r="K94" s="46" t="s">
        <v>70</v>
      </c>
      <c r="Z94" s="45">
        <f>IF(AQ94="5",BJ94,0)</f>
      </c>
      <c r="AB94" s="45">
        <f>IF(AQ94="1",BH94,0)</f>
      </c>
      <c r="AC94" s="45">
        <f>IF(AQ94="1",BI94,0)</f>
      </c>
      <c r="AD94" s="45">
        <f>IF(AQ94="7",BH94,0)</f>
      </c>
      <c r="AE94" s="45">
        <f>IF(AQ94="7",BI94,0)</f>
      </c>
      <c r="AF94" s="45">
        <f>IF(AQ94="2",BH94,0)</f>
      </c>
      <c r="AG94" s="45">
        <f>IF(AQ94="2",BI94,0)</f>
      </c>
      <c r="AH94" s="45">
        <f>IF(AQ94="0",BJ94,0)</f>
      </c>
      <c r="AI94" s="28" t="s">
        <v>55</v>
      </c>
      <c r="AJ94" s="45">
        <f>IF(AN94=0,J94,0)</f>
      </c>
      <c r="AK94" s="45">
        <f>IF(AN94=12,J94,0)</f>
      </c>
      <c r="AL94" s="45">
        <f>IF(AN94=21,J94,0)</f>
      </c>
      <c r="AN94" s="45" t="n">
        <v>21</v>
      </c>
      <c r="AO94" s="45">
        <f>G94*0.298440895</f>
      </c>
      <c r="AP94" s="45">
        <f>G94*(1-0.298440895)</f>
      </c>
      <c r="AQ94" s="47" t="s">
        <v>58</v>
      </c>
      <c r="AV94" s="45">
        <f>AW94+AX94</f>
      </c>
      <c r="AW94" s="45">
        <f>F94*AO94</f>
      </c>
      <c r="AX94" s="45">
        <f>F94*AP94</f>
      </c>
      <c r="AY94" s="47" t="s">
        <v>311</v>
      </c>
      <c r="AZ94" s="47" t="s">
        <v>288</v>
      </c>
      <c r="BA94" s="28" t="s">
        <v>65</v>
      </c>
      <c r="BC94" s="45">
        <f>AW94+AX94</f>
      </c>
      <c r="BD94" s="45">
        <f>G94/(100-BE94)*100</f>
      </c>
      <c r="BE94" s="45" t="n">
        <v>0</v>
      </c>
      <c r="BF94" s="45">
        <f>94</f>
      </c>
      <c r="BH94" s="45">
        <f>F94*AO94</f>
      </c>
      <c r="BI94" s="45">
        <f>F94*AP94</f>
      </c>
      <c r="BJ94" s="45">
        <f>F94*G94</f>
      </c>
      <c r="BK94" s="45"/>
      <c r="BL94" s="45" t="n">
        <v>97</v>
      </c>
      <c r="BW94" s="45" t="n">
        <v>21</v>
      </c>
      <c r="BX94" s="14" t="s">
        <v>310</v>
      </c>
    </row>
    <row r="95">
      <c r="A95" s="9" t="s">
        <v>312</v>
      </c>
      <c r="B95" s="10" t="s">
        <v>313</v>
      </c>
      <c r="C95" s="14" t="s">
        <v>314</v>
      </c>
      <c r="D95" s="10"/>
      <c r="E95" s="10" t="s">
        <v>69</v>
      </c>
      <c r="F95" s="45" t="n">
        <v>2</v>
      </c>
      <c r="G95" s="45" t="n">
        <v>0</v>
      </c>
      <c r="H95" s="45">
        <f>F95*AO95</f>
      </c>
      <c r="I95" s="45">
        <f>F95*AP95</f>
      </c>
      <c r="J95" s="45">
        <f>F95*G95</f>
      </c>
      <c r="K95" s="46" t="s">
        <v>70</v>
      </c>
      <c r="Z95" s="45">
        <f>IF(AQ95="5",BJ95,0)</f>
      </c>
      <c r="AB95" s="45">
        <f>IF(AQ95="1",BH95,0)</f>
      </c>
      <c r="AC95" s="45">
        <f>IF(AQ95="1",BI95,0)</f>
      </c>
      <c r="AD95" s="45">
        <f>IF(AQ95="7",BH95,0)</f>
      </c>
      <c r="AE95" s="45">
        <f>IF(AQ95="7",BI95,0)</f>
      </c>
      <c r="AF95" s="45">
        <f>IF(AQ95="2",BH95,0)</f>
      </c>
      <c r="AG95" s="45">
        <f>IF(AQ95="2",BI95,0)</f>
      </c>
      <c r="AH95" s="45">
        <f>IF(AQ95="0",BJ95,0)</f>
      </c>
      <c r="AI95" s="28" t="s">
        <v>55</v>
      </c>
      <c r="AJ95" s="45">
        <f>IF(AN95=0,J95,0)</f>
      </c>
      <c r="AK95" s="45">
        <f>IF(AN95=12,J95,0)</f>
      </c>
      <c r="AL95" s="45">
        <f>IF(AN95=21,J95,0)</f>
      </c>
      <c r="AN95" s="45" t="n">
        <v>21</v>
      </c>
      <c r="AO95" s="45">
        <f>G95*0.262895522</f>
      </c>
      <c r="AP95" s="45">
        <f>G95*(1-0.262895522)</f>
      </c>
      <c r="AQ95" s="47" t="s">
        <v>58</v>
      </c>
      <c r="AV95" s="45">
        <f>AW95+AX95</f>
      </c>
      <c r="AW95" s="45">
        <f>F95*AO95</f>
      </c>
      <c r="AX95" s="45">
        <f>F95*AP95</f>
      </c>
      <c r="AY95" s="47" t="s">
        <v>311</v>
      </c>
      <c r="AZ95" s="47" t="s">
        <v>288</v>
      </c>
      <c r="BA95" s="28" t="s">
        <v>65</v>
      </c>
      <c r="BC95" s="45">
        <f>AW95+AX95</f>
      </c>
      <c r="BD95" s="45">
        <f>G95/(100-BE95)*100</f>
      </c>
      <c r="BE95" s="45" t="n">
        <v>0</v>
      </c>
      <c r="BF95" s="45">
        <f>95</f>
      </c>
      <c r="BH95" s="45">
        <f>F95*AO95</f>
      </c>
      <c r="BI95" s="45">
        <f>F95*AP95</f>
      </c>
      <c r="BJ95" s="45">
        <f>F95*G95</f>
      </c>
      <c r="BK95" s="45"/>
      <c r="BL95" s="45" t="n">
        <v>97</v>
      </c>
      <c r="BW95" s="45" t="n">
        <v>21</v>
      </c>
      <c r="BX95" s="14" t="s">
        <v>314</v>
      </c>
    </row>
    <row r="96">
      <c r="A96" s="48" t="s">
        <v>55</v>
      </c>
      <c r="B96" s="49" t="s">
        <v>315</v>
      </c>
      <c r="C96" s="50" t="s">
        <v>316</v>
      </c>
      <c r="D96" s="49"/>
      <c r="E96" s="51" t="s">
        <v>36</v>
      </c>
      <c r="F96" s="51" t="s">
        <v>36</v>
      </c>
      <c r="G96" s="51" t="s">
        <v>36</v>
      </c>
      <c r="H96" s="2">
        <f>SUM(H97:H98)</f>
      </c>
      <c r="I96" s="2">
        <f>SUM(I97:I98)</f>
      </c>
      <c r="J96" s="2">
        <f>SUM(J97:J98)</f>
      </c>
      <c r="K96" s="52" t="s">
        <v>55</v>
      </c>
      <c r="AI96" s="28" t="s">
        <v>55</v>
      </c>
      <c r="AS96" s="2">
        <f>SUM(AJ97:AJ98)</f>
      </c>
      <c r="AT96" s="2">
        <f>SUM(AK97:AK98)</f>
      </c>
      <c r="AU96" s="2">
        <f>SUM(AL97:AL98)</f>
      </c>
    </row>
    <row r="97" ht="24.75">
      <c r="A97" s="9" t="s">
        <v>317</v>
      </c>
      <c r="B97" s="10" t="s">
        <v>318</v>
      </c>
      <c r="C97" s="14" t="s">
        <v>319</v>
      </c>
      <c r="D97" s="10"/>
      <c r="E97" s="10" t="s">
        <v>69</v>
      </c>
      <c r="F97" s="45" t="n">
        <v>98</v>
      </c>
      <c r="G97" s="45" t="n">
        <v>0</v>
      </c>
      <c r="H97" s="45">
        <f>F97*AO97</f>
      </c>
      <c r="I97" s="45">
        <f>F97*AP97</f>
      </c>
      <c r="J97" s="45">
        <f>F97*G97</f>
      </c>
      <c r="K97" s="46" t="s">
        <v>70</v>
      </c>
      <c r="Z97" s="45">
        <f>IF(AQ97="5",BJ97,0)</f>
      </c>
      <c r="AB97" s="45">
        <f>IF(AQ97="1",BH97,0)</f>
      </c>
      <c r="AC97" s="45">
        <f>IF(AQ97="1",BI97,0)</f>
      </c>
      <c r="AD97" s="45">
        <f>IF(AQ97="7",BH97,0)</f>
      </c>
      <c r="AE97" s="45">
        <f>IF(AQ97="7",BI97,0)</f>
      </c>
      <c r="AF97" s="45">
        <f>IF(AQ97="2",BH97,0)</f>
      </c>
      <c r="AG97" s="45">
        <f>IF(AQ97="2",BI97,0)</f>
      </c>
      <c r="AH97" s="45">
        <f>IF(AQ97="0",BJ97,0)</f>
      </c>
      <c r="AI97" s="28" t="s">
        <v>55</v>
      </c>
      <c r="AJ97" s="45">
        <f>IF(AN97=0,J97,0)</f>
      </c>
      <c r="AK97" s="45">
        <f>IF(AN97=12,J97,0)</f>
      </c>
      <c r="AL97" s="45">
        <f>IF(AN97=21,J97,0)</f>
      </c>
      <c r="AN97" s="45" t="n">
        <v>21</v>
      </c>
      <c r="AO97" s="45">
        <f>G97*0.481019348</f>
      </c>
      <c r="AP97" s="45">
        <f>G97*(1-0.481019348)</f>
      </c>
      <c r="AQ97" s="47" t="s">
        <v>66</v>
      </c>
      <c r="AV97" s="45">
        <f>AW97+AX97</f>
      </c>
      <c r="AW97" s="45">
        <f>F97*AO97</f>
      </c>
      <c r="AX97" s="45">
        <f>F97*AP97</f>
      </c>
      <c r="AY97" s="47" t="s">
        <v>320</v>
      </c>
      <c r="AZ97" s="47" t="s">
        <v>288</v>
      </c>
      <c r="BA97" s="28" t="s">
        <v>65</v>
      </c>
      <c r="BC97" s="45">
        <f>AW97+AX97</f>
      </c>
      <c r="BD97" s="45">
        <f>G97/(100-BE97)*100</f>
      </c>
      <c r="BE97" s="45" t="n">
        <v>0</v>
      </c>
      <c r="BF97" s="45">
        <f>97</f>
      </c>
      <c r="BH97" s="45">
        <f>F97*AO97</f>
      </c>
      <c r="BI97" s="45">
        <f>F97*AP97</f>
      </c>
      <c r="BJ97" s="45">
        <f>F97*G97</f>
      </c>
      <c r="BK97" s="45"/>
      <c r="BL97" s="45"/>
      <c r="BW97" s="45" t="n">
        <v>21</v>
      </c>
      <c r="BX97" s="14" t="s">
        <v>319</v>
      </c>
    </row>
    <row r="98">
      <c r="A98" s="9" t="s">
        <v>321</v>
      </c>
      <c r="B98" s="10" t="s">
        <v>322</v>
      </c>
      <c r="C98" s="14" t="s">
        <v>323</v>
      </c>
      <c r="D98" s="10"/>
      <c r="E98" s="10" t="s">
        <v>178</v>
      </c>
      <c r="F98" s="45" t="n">
        <v>1</v>
      </c>
      <c r="G98" s="45" t="n">
        <v>0</v>
      </c>
      <c r="H98" s="45">
        <f>F98*AO98</f>
      </c>
      <c r="I98" s="45">
        <f>F98*AP98</f>
      </c>
      <c r="J98" s="45">
        <f>F98*G98</f>
      </c>
      <c r="K98" s="46" t="s">
        <v>70</v>
      </c>
      <c r="Z98" s="45">
        <f>IF(AQ98="5",BJ98,0)</f>
      </c>
      <c r="AB98" s="45">
        <f>IF(AQ98="1",BH98,0)</f>
      </c>
      <c r="AC98" s="45">
        <f>IF(AQ98="1",BI98,0)</f>
      </c>
      <c r="AD98" s="45">
        <f>IF(AQ98="7",BH98,0)</f>
      </c>
      <c r="AE98" s="45">
        <f>IF(AQ98="7",BI98,0)</f>
      </c>
      <c r="AF98" s="45">
        <f>IF(AQ98="2",BH98,0)</f>
      </c>
      <c r="AG98" s="45">
        <f>IF(AQ98="2",BI98,0)</f>
      </c>
      <c r="AH98" s="45">
        <f>IF(AQ98="0",BJ98,0)</f>
      </c>
      <c r="AI98" s="28" t="s">
        <v>55</v>
      </c>
      <c r="AJ98" s="45">
        <f>IF(AN98=0,J98,0)</f>
      </c>
      <c r="AK98" s="45">
        <f>IF(AN98=12,J98,0)</f>
      </c>
      <c r="AL98" s="45">
        <f>IF(AN98=21,J98,0)</f>
      </c>
      <c r="AN98" s="45" t="n">
        <v>21</v>
      </c>
      <c r="AO98" s="45">
        <f>G98*0.9525874</f>
      </c>
      <c r="AP98" s="45">
        <f>G98*(1-0.9525874)</f>
      </c>
      <c r="AQ98" s="47" t="s">
        <v>66</v>
      </c>
      <c r="AV98" s="45">
        <f>AW98+AX98</f>
      </c>
      <c r="AW98" s="45">
        <f>F98*AO98</f>
      </c>
      <c r="AX98" s="45">
        <f>F98*AP98</f>
      </c>
      <c r="AY98" s="47" t="s">
        <v>320</v>
      </c>
      <c r="AZ98" s="47" t="s">
        <v>288</v>
      </c>
      <c r="BA98" s="28" t="s">
        <v>65</v>
      </c>
      <c r="BC98" s="45">
        <f>AW98+AX98</f>
      </c>
      <c r="BD98" s="45">
        <f>G98/(100-BE98)*100</f>
      </c>
      <c r="BE98" s="45" t="n">
        <v>0</v>
      </c>
      <c r="BF98" s="45">
        <f>98</f>
      </c>
      <c r="BH98" s="45">
        <f>F98*AO98</f>
      </c>
      <c r="BI98" s="45">
        <f>F98*AP98</f>
      </c>
      <c r="BJ98" s="45">
        <f>F98*G98</f>
      </c>
      <c r="BK98" s="45"/>
      <c r="BL98" s="45"/>
      <c r="BW98" s="45" t="n">
        <v>21</v>
      </c>
      <c r="BX98" s="14" t="s">
        <v>323</v>
      </c>
    </row>
    <row r="99">
      <c r="A99" s="48" t="s">
        <v>55</v>
      </c>
      <c r="B99" s="49" t="s">
        <v>324</v>
      </c>
      <c r="C99" s="50" t="s">
        <v>325</v>
      </c>
      <c r="D99" s="49"/>
      <c r="E99" s="51" t="s">
        <v>36</v>
      </c>
      <c r="F99" s="51" t="s">
        <v>36</v>
      </c>
      <c r="G99" s="51" t="s">
        <v>36</v>
      </c>
      <c r="H99" s="2">
        <f>SUM(H100:H105)</f>
      </c>
      <c r="I99" s="2">
        <f>SUM(I100:I105)</f>
      </c>
      <c r="J99" s="2">
        <f>SUM(J100:J105)</f>
      </c>
      <c r="K99" s="52" t="s">
        <v>55</v>
      </c>
      <c r="AI99" s="28" t="s">
        <v>55</v>
      </c>
      <c r="AS99" s="2">
        <f>SUM(AJ100:AJ105)</f>
      </c>
      <c r="AT99" s="2">
        <f>SUM(AK100:AK105)</f>
      </c>
      <c r="AU99" s="2">
        <f>SUM(AL100:AL105)</f>
      </c>
    </row>
    <row r="100">
      <c r="A100" s="9" t="s">
        <v>326</v>
      </c>
      <c r="B100" s="10" t="s">
        <v>327</v>
      </c>
      <c r="C100" s="14" t="s">
        <v>328</v>
      </c>
      <c r="D100" s="10"/>
      <c r="E100" s="10" t="s">
        <v>69</v>
      </c>
      <c r="F100" s="45" t="n">
        <v>98</v>
      </c>
      <c r="G100" s="45" t="n">
        <v>0</v>
      </c>
      <c r="H100" s="45">
        <f>F100*AO100</f>
      </c>
      <c r="I100" s="45">
        <f>F100*AP100</f>
      </c>
      <c r="J100" s="45">
        <f>F100*G100</f>
      </c>
      <c r="K100" s="46" t="s">
        <v>70</v>
      </c>
      <c r="Z100" s="45">
        <f>IF(AQ100="5",BJ100,0)</f>
      </c>
      <c r="AB100" s="45">
        <f>IF(AQ100="1",BH100,0)</f>
      </c>
      <c r="AC100" s="45">
        <f>IF(AQ100="1",BI100,0)</f>
      </c>
      <c r="AD100" s="45">
        <f>IF(AQ100="7",BH100,0)</f>
      </c>
      <c r="AE100" s="45">
        <f>IF(AQ100="7",BI100,0)</f>
      </c>
      <c r="AF100" s="45">
        <f>IF(AQ100="2",BH100,0)</f>
      </c>
      <c r="AG100" s="45">
        <f>IF(AQ100="2",BI100,0)</f>
      </c>
      <c r="AH100" s="45">
        <f>IF(AQ100="0",BJ100,0)</f>
      </c>
      <c r="AI100" s="28" t="s">
        <v>55</v>
      </c>
      <c r="AJ100" s="45">
        <f>IF(AN100=0,J100,0)</f>
      </c>
      <c r="AK100" s="45">
        <f>IF(AN100=12,J100,0)</f>
      </c>
      <c r="AL100" s="45">
        <f>IF(AN100=21,J100,0)</f>
      </c>
      <c r="AN100" s="45" t="n">
        <v>21</v>
      </c>
      <c r="AO100" s="45">
        <f>G100*0</f>
      </c>
      <c r="AP100" s="45">
        <f>G100*(1-0)</f>
      </c>
      <c r="AQ100" s="47" t="s">
        <v>66</v>
      </c>
      <c r="AV100" s="45">
        <f>AW100+AX100</f>
      </c>
      <c r="AW100" s="45">
        <f>F100*AO100</f>
      </c>
      <c r="AX100" s="45">
        <f>F100*AP100</f>
      </c>
      <c r="AY100" s="47" t="s">
        <v>329</v>
      </c>
      <c r="AZ100" s="47" t="s">
        <v>288</v>
      </c>
      <c r="BA100" s="28" t="s">
        <v>65</v>
      </c>
      <c r="BC100" s="45">
        <f>AW100+AX100</f>
      </c>
      <c r="BD100" s="45">
        <f>G100/(100-BE100)*100</f>
      </c>
      <c r="BE100" s="45" t="n">
        <v>0</v>
      </c>
      <c r="BF100" s="45">
        <f>100</f>
      </c>
      <c r="BH100" s="45">
        <f>F100*AO100</f>
      </c>
      <c r="BI100" s="45">
        <f>F100*AP100</f>
      </c>
      <c r="BJ100" s="45">
        <f>F100*G100</f>
      </c>
      <c r="BK100" s="45"/>
      <c r="BL100" s="45"/>
      <c r="BW100" s="45" t="n">
        <v>21</v>
      </c>
      <c r="BX100" s="14" t="s">
        <v>328</v>
      </c>
    </row>
    <row r="101">
      <c r="A101" s="9" t="s">
        <v>330</v>
      </c>
      <c r="B101" s="10" t="s">
        <v>331</v>
      </c>
      <c r="C101" s="14" t="s">
        <v>332</v>
      </c>
      <c r="D101" s="10"/>
      <c r="E101" s="10" t="s">
        <v>69</v>
      </c>
      <c r="F101" s="45" t="n">
        <v>98</v>
      </c>
      <c r="G101" s="45" t="n">
        <v>0</v>
      </c>
      <c r="H101" s="45">
        <f>F101*AO101</f>
      </c>
      <c r="I101" s="45">
        <f>F101*AP101</f>
      </c>
      <c r="J101" s="45">
        <f>F101*G101</f>
      </c>
      <c r="K101" s="46" t="s">
        <v>70</v>
      </c>
      <c r="Z101" s="45">
        <f>IF(AQ101="5",BJ101,0)</f>
      </c>
      <c r="AB101" s="45">
        <f>IF(AQ101="1",BH101,0)</f>
      </c>
      <c r="AC101" s="45">
        <f>IF(AQ101="1",BI101,0)</f>
      </c>
      <c r="AD101" s="45">
        <f>IF(AQ101="7",BH101,0)</f>
      </c>
      <c r="AE101" s="45">
        <f>IF(AQ101="7",BI101,0)</f>
      </c>
      <c r="AF101" s="45">
        <f>IF(AQ101="2",BH101,0)</f>
      </c>
      <c r="AG101" s="45">
        <f>IF(AQ101="2",BI101,0)</f>
      </c>
      <c r="AH101" s="45">
        <f>IF(AQ101="0",BJ101,0)</f>
      </c>
      <c r="AI101" s="28" t="s">
        <v>55</v>
      </c>
      <c r="AJ101" s="45">
        <f>IF(AN101=0,J101,0)</f>
      </c>
      <c r="AK101" s="45">
        <f>IF(AN101=12,J101,0)</f>
      </c>
      <c r="AL101" s="45">
        <f>IF(AN101=21,J101,0)</f>
      </c>
      <c r="AN101" s="45" t="n">
        <v>21</v>
      </c>
      <c r="AO101" s="45">
        <f>G101*0.575904628</f>
      </c>
      <c r="AP101" s="45">
        <f>G101*(1-0.575904628)</f>
      </c>
      <c r="AQ101" s="47" t="s">
        <v>66</v>
      </c>
      <c r="AV101" s="45">
        <f>AW101+AX101</f>
      </c>
      <c r="AW101" s="45">
        <f>F101*AO101</f>
      </c>
      <c r="AX101" s="45">
        <f>F101*AP101</f>
      </c>
      <c r="AY101" s="47" t="s">
        <v>329</v>
      </c>
      <c r="AZ101" s="47" t="s">
        <v>288</v>
      </c>
      <c r="BA101" s="28" t="s">
        <v>65</v>
      </c>
      <c r="BC101" s="45">
        <f>AW101+AX101</f>
      </c>
      <c r="BD101" s="45">
        <f>G101/(100-BE101)*100</f>
      </c>
      <c r="BE101" s="45" t="n">
        <v>0</v>
      </c>
      <c r="BF101" s="45">
        <f>101</f>
      </c>
      <c r="BH101" s="45">
        <f>F101*AO101</f>
      </c>
      <c r="BI101" s="45">
        <f>F101*AP101</f>
      </c>
      <c r="BJ101" s="45">
        <f>F101*G101</f>
      </c>
      <c r="BK101" s="45"/>
      <c r="BL101" s="45"/>
      <c r="BW101" s="45" t="n">
        <v>21</v>
      </c>
      <c r="BX101" s="14" t="s">
        <v>332</v>
      </c>
    </row>
    <row r="102">
      <c r="A102" s="9" t="s">
        <v>333</v>
      </c>
      <c r="B102" s="10" t="s">
        <v>334</v>
      </c>
      <c r="C102" s="14" t="s">
        <v>335</v>
      </c>
      <c r="D102" s="10"/>
      <c r="E102" s="10" t="s">
        <v>69</v>
      </c>
      <c r="F102" s="45" t="n">
        <v>98</v>
      </c>
      <c r="G102" s="45" t="n">
        <v>0</v>
      </c>
      <c r="H102" s="45">
        <f>F102*AO102</f>
      </c>
      <c r="I102" s="45">
        <f>F102*AP102</f>
      </c>
      <c r="J102" s="45">
        <f>F102*G102</f>
      </c>
      <c r="K102" s="46" t="s">
        <v>70</v>
      </c>
      <c r="Z102" s="45">
        <f>IF(AQ102="5",BJ102,0)</f>
      </c>
      <c r="AB102" s="45">
        <f>IF(AQ102="1",BH102,0)</f>
      </c>
      <c r="AC102" s="45">
        <f>IF(AQ102="1",BI102,0)</f>
      </c>
      <c r="AD102" s="45">
        <f>IF(AQ102="7",BH102,0)</f>
      </c>
      <c r="AE102" s="45">
        <f>IF(AQ102="7",BI102,0)</f>
      </c>
      <c r="AF102" s="45">
        <f>IF(AQ102="2",BH102,0)</f>
      </c>
      <c r="AG102" s="45">
        <f>IF(AQ102="2",BI102,0)</f>
      </c>
      <c r="AH102" s="45">
        <f>IF(AQ102="0",BJ102,0)</f>
      </c>
      <c r="AI102" s="28" t="s">
        <v>55</v>
      </c>
      <c r="AJ102" s="45">
        <f>IF(AN102=0,J102,0)</f>
      </c>
      <c r="AK102" s="45">
        <f>IF(AN102=12,J102,0)</f>
      </c>
      <c r="AL102" s="45">
        <f>IF(AN102=21,J102,0)</f>
      </c>
      <c r="AN102" s="45" t="n">
        <v>21</v>
      </c>
      <c r="AO102" s="45">
        <f>G102*0.400103359</f>
      </c>
      <c r="AP102" s="45">
        <f>G102*(1-0.400103359)</f>
      </c>
      <c r="AQ102" s="47" t="s">
        <v>66</v>
      </c>
      <c r="AV102" s="45">
        <f>AW102+AX102</f>
      </c>
      <c r="AW102" s="45">
        <f>F102*AO102</f>
      </c>
      <c r="AX102" s="45">
        <f>F102*AP102</f>
      </c>
      <c r="AY102" s="47" t="s">
        <v>329</v>
      </c>
      <c r="AZ102" s="47" t="s">
        <v>288</v>
      </c>
      <c r="BA102" s="28" t="s">
        <v>65</v>
      </c>
      <c r="BC102" s="45">
        <f>AW102+AX102</f>
      </c>
      <c r="BD102" s="45">
        <f>G102/(100-BE102)*100</f>
      </c>
      <c r="BE102" s="45" t="n">
        <v>0</v>
      </c>
      <c r="BF102" s="45">
        <f>102</f>
      </c>
      <c r="BH102" s="45">
        <f>F102*AO102</f>
      </c>
      <c r="BI102" s="45">
        <f>F102*AP102</f>
      </c>
      <c r="BJ102" s="45">
        <f>F102*G102</f>
      </c>
      <c r="BK102" s="45"/>
      <c r="BL102" s="45"/>
      <c r="BW102" s="45" t="n">
        <v>21</v>
      </c>
      <c r="BX102" s="14" t="s">
        <v>335</v>
      </c>
    </row>
    <row r="103">
      <c r="A103" s="9" t="s">
        <v>336</v>
      </c>
      <c r="B103" s="10" t="s">
        <v>337</v>
      </c>
      <c r="C103" s="14" t="s">
        <v>338</v>
      </c>
      <c r="D103" s="10"/>
      <c r="E103" s="10" t="s">
        <v>79</v>
      </c>
      <c r="F103" s="45" t="n">
        <v>18.86</v>
      </c>
      <c r="G103" s="45" t="n">
        <v>0</v>
      </c>
      <c r="H103" s="45">
        <f>F103*AO103</f>
      </c>
      <c r="I103" s="45">
        <f>F103*AP103</f>
      </c>
      <c r="J103" s="45">
        <f>F103*G103</f>
      </c>
      <c r="K103" s="46" t="s">
        <v>70</v>
      </c>
      <c r="Z103" s="45">
        <f>IF(AQ103="5",BJ103,0)</f>
      </c>
      <c r="AB103" s="45">
        <f>IF(AQ103="1",BH103,0)</f>
      </c>
      <c r="AC103" s="45">
        <f>IF(AQ103="1",BI103,0)</f>
      </c>
      <c r="AD103" s="45">
        <f>IF(AQ103="7",BH103,0)</f>
      </c>
      <c r="AE103" s="45">
        <f>IF(AQ103="7",BI103,0)</f>
      </c>
      <c r="AF103" s="45">
        <f>IF(AQ103="2",BH103,0)</f>
      </c>
      <c r="AG103" s="45">
        <f>IF(AQ103="2",BI103,0)</f>
      </c>
      <c r="AH103" s="45">
        <f>IF(AQ103="0",BJ103,0)</f>
      </c>
      <c r="AI103" s="28" t="s">
        <v>55</v>
      </c>
      <c r="AJ103" s="45">
        <f>IF(AN103=0,J103,0)</f>
      </c>
      <c r="AK103" s="45">
        <f>IF(AN103=12,J103,0)</f>
      </c>
      <c r="AL103" s="45">
        <f>IF(AN103=21,J103,0)</f>
      </c>
      <c r="AN103" s="45" t="n">
        <v>21</v>
      </c>
      <c r="AO103" s="45">
        <f>G103*0</f>
      </c>
      <c r="AP103" s="45">
        <f>G103*(1-0)</f>
      </c>
      <c r="AQ103" s="47" t="s">
        <v>66</v>
      </c>
      <c r="AV103" s="45">
        <f>AW103+AX103</f>
      </c>
      <c r="AW103" s="45">
        <f>F103*AO103</f>
      </c>
      <c r="AX103" s="45">
        <f>F103*AP103</f>
      </c>
      <c r="AY103" s="47" t="s">
        <v>329</v>
      </c>
      <c r="AZ103" s="47" t="s">
        <v>288</v>
      </c>
      <c r="BA103" s="28" t="s">
        <v>65</v>
      </c>
      <c r="BC103" s="45">
        <f>AW103+AX103</f>
      </c>
      <c r="BD103" s="45">
        <f>G103/(100-BE103)*100</f>
      </c>
      <c r="BE103" s="45" t="n">
        <v>0</v>
      </c>
      <c r="BF103" s="45">
        <f>103</f>
      </c>
      <c r="BH103" s="45">
        <f>F103*AO103</f>
      </c>
      <c r="BI103" s="45">
        <f>F103*AP103</f>
      </c>
      <c r="BJ103" s="45">
        <f>F103*G103</f>
      </c>
      <c r="BK103" s="45"/>
      <c r="BL103" s="45"/>
      <c r="BW103" s="45" t="n">
        <v>21</v>
      </c>
      <c r="BX103" s="14" t="s">
        <v>338</v>
      </c>
    </row>
    <row r="104">
      <c r="A104" s="9" t="s">
        <v>339</v>
      </c>
      <c r="B104" s="10" t="s">
        <v>340</v>
      </c>
      <c r="C104" s="14" t="s">
        <v>341</v>
      </c>
      <c r="D104" s="10"/>
      <c r="E104" s="10" t="s">
        <v>79</v>
      </c>
      <c r="F104" s="45" t="n">
        <v>18.86</v>
      </c>
      <c r="G104" s="45" t="n">
        <v>0</v>
      </c>
      <c r="H104" s="45">
        <f>F104*AO104</f>
      </c>
      <c r="I104" s="45">
        <f>F104*AP104</f>
      </c>
      <c r="J104" s="45">
        <f>F104*G104</f>
      </c>
      <c r="K104" s="46" t="s">
        <v>70</v>
      </c>
      <c r="Z104" s="45">
        <f>IF(AQ104="5",BJ104,0)</f>
      </c>
      <c r="AB104" s="45">
        <f>IF(AQ104="1",BH104,0)</f>
      </c>
      <c r="AC104" s="45">
        <f>IF(AQ104="1",BI104,0)</f>
      </c>
      <c r="AD104" s="45">
        <f>IF(AQ104="7",BH104,0)</f>
      </c>
      <c r="AE104" s="45">
        <f>IF(AQ104="7",BI104,0)</f>
      </c>
      <c r="AF104" s="45">
        <f>IF(AQ104="2",BH104,0)</f>
      </c>
      <c r="AG104" s="45">
        <f>IF(AQ104="2",BI104,0)</f>
      </c>
      <c r="AH104" s="45">
        <f>IF(AQ104="0",BJ104,0)</f>
      </c>
      <c r="AI104" s="28" t="s">
        <v>55</v>
      </c>
      <c r="AJ104" s="45">
        <f>IF(AN104=0,J104,0)</f>
      </c>
      <c r="AK104" s="45">
        <f>IF(AN104=12,J104,0)</f>
      </c>
      <c r="AL104" s="45">
        <f>IF(AN104=21,J104,0)</f>
      </c>
      <c r="AN104" s="45" t="n">
        <v>21</v>
      </c>
      <c r="AO104" s="45">
        <f>G104*0</f>
      </c>
      <c r="AP104" s="45">
        <f>G104*(1-0)</f>
      </c>
      <c r="AQ104" s="47" t="s">
        <v>66</v>
      </c>
      <c r="AV104" s="45">
        <f>AW104+AX104</f>
      </c>
      <c r="AW104" s="45">
        <f>F104*AO104</f>
      </c>
      <c r="AX104" s="45">
        <f>F104*AP104</f>
      </c>
      <c r="AY104" s="47" t="s">
        <v>329</v>
      </c>
      <c r="AZ104" s="47" t="s">
        <v>288</v>
      </c>
      <c r="BA104" s="28" t="s">
        <v>65</v>
      </c>
      <c r="BC104" s="45">
        <f>AW104+AX104</f>
      </c>
      <c r="BD104" s="45">
        <f>G104/(100-BE104)*100</f>
      </c>
      <c r="BE104" s="45" t="n">
        <v>0</v>
      </c>
      <c r="BF104" s="45">
        <f>104</f>
      </c>
      <c r="BH104" s="45">
        <f>F104*AO104</f>
      </c>
      <c r="BI104" s="45">
        <f>F104*AP104</f>
      </c>
      <c r="BJ104" s="45">
        <f>F104*G104</f>
      </c>
      <c r="BK104" s="45"/>
      <c r="BL104" s="45"/>
      <c r="BW104" s="45" t="n">
        <v>21</v>
      </c>
      <c r="BX104" s="14" t="s">
        <v>341</v>
      </c>
    </row>
    <row r="105">
      <c r="A105" s="9" t="s">
        <v>342</v>
      </c>
      <c r="B105" s="10" t="s">
        <v>343</v>
      </c>
      <c r="C105" s="14" t="s">
        <v>344</v>
      </c>
      <c r="D105" s="10"/>
      <c r="E105" s="10" t="s">
        <v>178</v>
      </c>
      <c r="F105" s="45" t="n">
        <v>1</v>
      </c>
      <c r="G105" s="45" t="n">
        <v>0</v>
      </c>
      <c r="H105" s="45">
        <f>F105*AO105</f>
      </c>
      <c r="I105" s="45">
        <f>F105*AP105</f>
      </c>
      <c r="J105" s="45">
        <f>F105*G105</f>
      </c>
      <c r="K105" s="46" t="s">
        <v>70</v>
      </c>
      <c r="Z105" s="45">
        <f>IF(AQ105="5",BJ105,0)</f>
      </c>
      <c r="AB105" s="45">
        <f>IF(AQ105="1",BH105,0)</f>
      </c>
      <c r="AC105" s="45">
        <f>IF(AQ105="1",BI105,0)</f>
      </c>
      <c r="AD105" s="45">
        <f>IF(AQ105="7",BH105,0)</f>
      </c>
      <c r="AE105" s="45">
        <f>IF(AQ105="7",BI105,0)</f>
      </c>
      <c r="AF105" s="45">
        <f>IF(AQ105="2",BH105,0)</f>
      </c>
      <c r="AG105" s="45">
        <f>IF(AQ105="2",BI105,0)</f>
      </c>
      <c r="AH105" s="45">
        <f>IF(AQ105="0",BJ105,0)</f>
      </c>
      <c r="AI105" s="28" t="s">
        <v>55</v>
      </c>
      <c r="AJ105" s="45">
        <f>IF(AN105=0,J105,0)</f>
      </c>
      <c r="AK105" s="45">
        <f>IF(AN105=12,J105,0)</f>
      </c>
      <c r="AL105" s="45">
        <f>IF(AN105=21,J105,0)</f>
      </c>
      <c r="AN105" s="45" t="n">
        <v>21</v>
      </c>
      <c r="AO105" s="45">
        <f>G105*0.018492958</f>
      </c>
      <c r="AP105" s="45">
        <f>G105*(1-0.018492958)</f>
      </c>
      <c r="AQ105" s="47" t="s">
        <v>66</v>
      </c>
      <c r="AV105" s="45">
        <f>AW105+AX105</f>
      </c>
      <c r="AW105" s="45">
        <f>F105*AO105</f>
      </c>
      <c r="AX105" s="45">
        <f>F105*AP105</f>
      </c>
      <c r="AY105" s="47" t="s">
        <v>329</v>
      </c>
      <c r="AZ105" s="47" t="s">
        <v>288</v>
      </c>
      <c r="BA105" s="28" t="s">
        <v>65</v>
      </c>
      <c r="BC105" s="45">
        <f>AW105+AX105</f>
      </c>
      <c r="BD105" s="45">
        <f>G105/(100-BE105)*100</f>
      </c>
      <c r="BE105" s="45" t="n">
        <v>0</v>
      </c>
      <c r="BF105" s="45">
        <f>105</f>
      </c>
      <c r="BH105" s="45">
        <f>F105*AO105</f>
      </c>
      <c r="BI105" s="45">
        <f>F105*AP105</f>
      </c>
      <c r="BJ105" s="45">
        <f>F105*G105</f>
      </c>
      <c r="BK105" s="45"/>
      <c r="BL105" s="45"/>
      <c r="BW105" s="45" t="n">
        <v>21</v>
      </c>
      <c r="BX105" s="14" t="s">
        <v>344</v>
      </c>
    </row>
    <row r="106">
      <c r="A106" s="48" t="s">
        <v>55</v>
      </c>
      <c r="B106" s="49" t="s">
        <v>345</v>
      </c>
      <c r="C106" s="50" t="s">
        <v>346</v>
      </c>
      <c r="D106" s="49"/>
      <c r="E106" s="51" t="s">
        <v>36</v>
      </c>
      <c r="F106" s="51" t="s">
        <v>36</v>
      </c>
      <c r="G106" s="51" t="s">
        <v>36</v>
      </c>
      <c r="H106" s="2">
        <f>SUM(H107:H147)</f>
      </c>
      <c r="I106" s="2">
        <f>SUM(I107:I147)</f>
      </c>
      <c r="J106" s="2">
        <f>SUM(J107:J147)</f>
      </c>
      <c r="K106" s="52" t="s">
        <v>55</v>
      </c>
      <c r="AI106" s="28" t="s">
        <v>55</v>
      </c>
      <c r="AS106" s="2">
        <f>SUM(AJ107:AJ147)</f>
      </c>
      <c r="AT106" s="2">
        <f>SUM(AK107:AK147)</f>
      </c>
      <c r="AU106" s="2">
        <f>SUM(AL107:AL147)</f>
      </c>
    </row>
    <row r="107">
      <c r="A107" s="9" t="s">
        <v>347</v>
      </c>
      <c r="B107" s="10" t="s">
        <v>348</v>
      </c>
      <c r="C107" s="14" t="s">
        <v>349</v>
      </c>
      <c r="D107" s="10"/>
      <c r="E107" s="10" t="s">
        <v>178</v>
      </c>
      <c r="F107" s="45" t="n">
        <v>1</v>
      </c>
      <c r="G107" s="45" t="n">
        <v>0</v>
      </c>
      <c r="H107" s="45">
        <f>F107*AO107</f>
      </c>
      <c r="I107" s="45">
        <f>F107*AP107</f>
      </c>
      <c r="J107" s="45">
        <f>F107*G107</f>
      </c>
      <c r="K107" s="46" t="s">
        <v>70</v>
      </c>
      <c r="Z107" s="45">
        <f>IF(AQ107="5",BJ107,0)</f>
      </c>
      <c r="AB107" s="45">
        <f>IF(AQ107="1",BH107,0)</f>
      </c>
      <c r="AC107" s="45">
        <f>IF(AQ107="1",BI107,0)</f>
      </c>
      <c r="AD107" s="45">
        <f>IF(AQ107="7",BH107,0)</f>
      </c>
      <c r="AE107" s="45">
        <f>IF(AQ107="7",BI107,0)</f>
      </c>
      <c r="AF107" s="45">
        <f>IF(AQ107="2",BH107,0)</f>
      </c>
      <c r="AG107" s="45">
        <f>IF(AQ107="2",BI107,0)</f>
      </c>
      <c r="AH107" s="45">
        <f>IF(AQ107="0",BJ107,0)</f>
      </c>
      <c r="AI107" s="28" t="s">
        <v>55</v>
      </c>
      <c r="AJ107" s="45">
        <f>IF(AN107=0,J107,0)</f>
      </c>
      <c r="AK107" s="45">
        <f>IF(AN107=12,J107,0)</f>
      </c>
      <c r="AL107" s="45">
        <f>IF(AN107=21,J107,0)</f>
      </c>
      <c r="AN107" s="45" t="n">
        <v>21</v>
      </c>
      <c r="AO107" s="45">
        <f>G107*1</f>
      </c>
      <c r="AP107" s="45">
        <f>G107*(1-1)</f>
      </c>
      <c r="AQ107" s="47" t="s">
        <v>350</v>
      </c>
      <c r="AV107" s="45">
        <f>AW107+AX107</f>
      </c>
      <c r="AW107" s="45">
        <f>F107*AO107</f>
      </c>
      <c r="AX107" s="45">
        <f>F107*AP107</f>
      </c>
      <c r="AY107" s="47" t="s">
        <v>351</v>
      </c>
      <c r="AZ107" s="47" t="s">
        <v>352</v>
      </c>
      <c r="BA107" s="28" t="s">
        <v>65</v>
      </c>
      <c r="BC107" s="45">
        <f>AW107+AX107</f>
      </c>
      <c r="BD107" s="45">
        <f>G107/(100-BE107)*100</f>
      </c>
      <c r="BE107" s="45" t="n">
        <v>0</v>
      </c>
      <c r="BF107" s="45">
        <f>107</f>
      </c>
      <c r="BH107" s="45">
        <f>F107*AO107</f>
      </c>
      <c r="BI107" s="45">
        <f>F107*AP107</f>
      </c>
      <c r="BJ107" s="45">
        <f>F107*G107</f>
      </c>
      <c r="BK107" s="45"/>
      <c r="BL107" s="45"/>
      <c r="BW107" s="45" t="n">
        <v>21</v>
      </c>
      <c r="BX107" s="14" t="s">
        <v>349</v>
      </c>
    </row>
    <row r="108">
      <c r="A108" s="9" t="s">
        <v>353</v>
      </c>
      <c r="B108" s="10" t="s">
        <v>348</v>
      </c>
      <c r="C108" s="14" t="s">
        <v>354</v>
      </c>
      <c r="D108" s="10"/>
      <c r="E108" s="10" t="s">
        <v>178</v>
      </c>
      <c r="F108" s="45" t="n">
        <v>1</v>
      </c>
      <c r="G108" s="45" t="n">
        <v>0</v>
      </c>
      <c r="H108" s="45">
        <f>F108*AO108</f>
      </c>
      <c r="I108" s="45">
        <f>F108*AP108</f>
      </c>
      <c r="J108" s="45">
        <f>F108*G108</f>
      </c>
      <c r="K108" s="46" t="s">
        <v>70</v>
      </c>
      <c r="Z108" s="45">
        <f>IF(AQ108="5",BJ108,0)</f>
      </c>
      <c r="AB108" s="45">
        <f>IF(AQ108="1",BH108,0)</f>
      </c>
      <c r="AC108" s="45">
        <f>IF(AQ108="1",BI108,0)</f>
      </c>
      <c r="AD108" s="45">
        <f>IF(AQ108="7",BH108,0)</f>
      </c>
      <c r="AE108" s="45">
        <f>IF(AQ108="7",BI108,0)</f>
      </c>
      <c r="AF108" s="45">
        <f>IF(AQ108="2",BH108,0)</f>
      </c>
      <c r="AG108" s="45">
        <f>IF(AQ108="2",BI108,0)</f>
      </c>
      <c r="AH108" s="45">
        <f>IF(AQ108="0",BJ108,0)</f>
      </c>
      <c r="AI108" s="28" t="s">
        <v>55</v>
      </c>
      <c r="AJ108" s="45">
        <f>IF(AN108=0,J108,0)</f>
      </c>
      <c r="AK108" s="45">
        <f>IF(AN108=12,J108,0)</f>
      </c>
      <c r="AL108" s="45">
        <f>IF(AN108=21,J108,0)</f>
      </c>
      <c r="AN108" s="45" t="n">
        <v>21</v>
      </c>
      <c r="AO108" s="45">
        <f>G108*1</f>
      </c>
      <c r="AP108" s="45">
        <f>G108*(1-1)</f>
      </c>
      <c r="AQ108" s="47" t="s">
        <v>350</v>
      </c>
      <c r="AV108" s="45">
        <f>AW108+AX108</f>
      </c>
      <c r="AW108" s="45">
        <f>F108*AO108</f>
      </c>
      <c r="AX108" s="45">
        <f>F108*AP108</f>
      </c>
      <c r="AY108" s="47" t="s">
        <v>351</v>
      </c>
      <c r="AZ108" s="47" t="s">
        <v>352</v>
      </c>
      <c r="BA108" s="28" t="s">
        <v>65</v>
      </c>
      <c r="BC108" s="45">
        <f>AW108+AX108</f>
      </c>
      <c r="BD108" s="45">
        <f>G108/(100-BE108)*100</f>
      </c>
      <c r="BE108" s="45" t="n">
        <v>0</v>
      </c>
      <c r="BF108" s="45">
        <f>108</f>
      </c>
      <c r="BH108" s="45">
        <f>F108*AO108</f>
      </c>
      <c r="BI108" s="45">
        <f>F108*AP108</f>
      </c>
      <c r="BJ108" s="45">
        <f>F108*G108</f>
      </c>
      <c r="BK108" s="45"/>
      <c r="BL108" s="45"/>
      <c r="BW108" s="45" t="n">
        <v>21</v>
      </c>
      <c r="BX108" s="14" t="s">
        <v>354</v>
      </c>
    </row>
    <row r="109">
      <c r="A109" s="9" t="s">
        <v>355</v>
      </c>
      <c r="B109" s="10" t="s">
        <v>356</v>
      </c>
      <c r="C109" s="14" t="s">
        <v>357</v>
      </c>
      <c r="D109" s="10"/>
      <c r="E109" s="10" t="s">
        <v>178</v>
      </c>
      <c r="F109" s="45" t="n">
        <v>4</v>
      </c>
      <c r="G109" s="45" t="n">
        <v>0</v>
      </c>
      <c r="H109" s="45">
        <f>F109*AO109</f>
      </c>
      <c r="I109" s="45">
        <f>F109*AP109</f>
      </c>
      <c r="J109" s="45">
        <f>F109*G109</f>
      </c>
      <c r="K109" s="46" t="s">
        <v>70</v>
      </c>
      <c r="Z109" s="45">
        <f>IF(AQ109="5",BJ109,0)</f>
      </c>
      <c r="AB109" s="45">
        <f>IF(AQ109="1",BH109,0)</f>
      </c>
      <c r="AC109" s="45">
        <f>IF(AQ109="1",BI109,0)</f>
      </c>
      <c r="AD109" s="45">
        <f>IF(AQ109="7",BH109,0)</f>
      </c>
      <c r="AE109" s="45">
        <f>IF(AQ109="7",BI109,0)</f>
      </c>
      <c r="AF109" s="45">
        <f>IF(AQ109="2",BH109,0)</f>
      </c>
      <c r="AG109" s="45">
        <f>IF(AQ109="2",BI109,0)</f>
      </c>
      <c r="AH109" s="45">
        <f>IF(AQ109="0",BJ109,0)</f>
      </c>
      <c r="AI109" s="28" t="s">
        <v>55</v>
      </c>
      <c r="AJ109" s="45">
        <f>IF(AN109=0,J109,0)</f>
      </c>
      <c r="AK109" s="45">
        <f>IF(AN109=12,J109,0)</f>
      </c>
      <c r="AL109" s="45">
        <f>IF(AN109=21,J109,0)</f>
      </c>
      <c r="AN109" s="45" t="n">
        <v>21</v>
      </c>
      <c r="AO109" s="45">
        <f>G109*1</f>
      </c>
      <c r="AP109" s="45">
        <f>G109*(1-1)</f>
      </c>
      <c r="AQ109" s="47" t="s">
        <v>350</v>
      </c>
      <c r="AV109" s="45">
        <f>AW109+AX109</f>
      </c>
      <c r="AW109" s="45">
        <f>F109*AO109</f>
      </c>
      <c r="AX109" s="45">
        <f>F109*AP109</f>
      </c>
      <c r="AY109" s="47" t="s">
        <v>351</v>
      </c>
      <c r="AZ109" s="47" t="s">
        <v>352</v>
      </c>
      <c r="BA109" s="28" t="s">
        <v>65</v>
      </c>
      <c r="BC109" s="45">
        <f>AW109+AX109</f>
      </c>
      <c r="BD109" s="45">
        <f>G109/(100-BE109)*100</f>
      </c>
      <c r="BE109" s="45" t="n">
        <v>0</v>
      </c>
      <c r="BF109" s="45">
        <f>109</f>
      </c>
      <c r="BH109" s="45">
        <f>F109*AO109</f>
      </c>
      <c r="BI109" s="45">
        <f>F109*AP109</f>
      </c>
      <c r="BJ109" s="45">
        <f>F109*G109</f>
      </c>
      <c r="BK109" s="45"/>
      <c r="BL109" s="45"/>
      <c r="BW109" s="45" t="n">
        <v>21</v>
      </c>
      <c r="BX109" s="14" t="s">
        <v>357</v>
      </c>
    </row>
    <row r="110">
      <c r="A110" s="9" t="s">
        <v>358</v>
      </c>
      <c r="B110" s="10" t="s">
        <v>359</v>
      </c>
      <c r="C110" s="14" t="s">
        <v>360</v>
      </c>
      <c r="D110" s="10"/>
      <c r="E110" s="10" t="s">
        <v>178</v>
      </c>
      <c r="F110" s="45" t="n">
        <v>1</v>
      </c>
      <c r="G110" s="45" t="n">
        <v>0</v>
      </c>
      <c r="H110" s="45">
        <f>F110*AO110</f>
      </c>
      <c r="I110" s="45">
        <f>F110*AP110</f>
      </c>
      <c r="J110" s="45">
        <f>F110*G110</f>
      </c>
      <c r="K110" s="46" t="s">
        <v>70</v>
      </c>
      <c r="Z110" s="45">
        <f>IF(AQ110="5",BJ110,0)</f>
      </c>
      <c r="AB110" s="45">
        <f>IF(AQ110="1",BH110,0)</f>
      </c>
      <c r="AC110" s="45">
        <f>IF(AQ110="1",BI110,0)</f>
      </c>
      <c r="AD110" s="45">
        <f>IF(AQ110="7",BH110,0)</f>
      </c>
      <c r="AE110" s="45">
        <f>IF(AQ110="7",BI110,0)</f>
      </c>
      <c r="AF110" s="45">
        <f>IF(AQ110="2",BH110,0)</f>
      </c>
      <c r="AG110" s="45">
        <f>IF(AQ110="2",BI110,0)</f>
      </c>
      <c r="AH110" s="45">
        <f>IF(AQ110="0",BJ110,0)</f>
      </c>
      <c r="AI110" s="28" t="s">
        <v>55</v>
      </c>
      <c r="AJ110" s="45">
        <f>IF(AN110=0,J110,0)</f>
      </c>
      <c r="AK110" s="45">
        <f>IF(AN110=12,J110,0)</f>
      </c>
      <c r="AL110" s="45">
        <f>IF(AN110=21,J110,0)</f>
      </c>
      <c r="AN110" s="45" t="n">
        <v>21</v>
      </c>
      <c r="AO110" s="45">
        <f>G110*1</f>
      </c>
      <c r="AP110" s="45">
        <f>G110*(1-1)</f>
      </c>
      <c r="AQ110" s="47" t="s">
        <v>350</v>
      </c>
      <c r="AV110" s="45">
        <f>AW110+AX110</f>
      </c>
      <c r="AW110" s="45">
        <f>F110*AO110</f>
      </c>
      <c r="AX110" s="45">
        <f>F110*AP110</f>
      </c>
      <c r="AY110" s="47" t="s">
        <v>351</v>
      </c>
      <c r="AZ110" s="47" t="s">
        <v>352</v>
      </c>
      <c r="BA110" s="28" t="s">
        <v>65</v>
      </c>
      <c r="BC110" s="45">
        <f>AW110+AX110</f>
      </c>
      <c r="BD110" s="45">
        <f>G110/(100-BE110)*100</f>
      </c>
      <c r="BE110" s="45" t="n">
        <v>0</v>
      </c>
      <c r="BF110" s="45">
        <f>110</f>
      </c>
      <c r="BH110" s="45">
        <f>F110*AO110</f>
      </c>
      <c r="BI110" s="45">
        <f>F110*AP110</f>
      </c>
      <c r="BJ110" s="45">
        <f>F110*G110</f>
      </c>
      <c r="BK110" s="45"/>
      <c r="BL110" s="45"/>
      <c r="BW110" s="45" t="n">
        <v>21</v>
      </c>
      <c r="BX110" s="14" t="s">
        <v>360</v>
      </c>
    </row>
    <row r="111">
      <c r="A111" s="9" t="s">
        <v>361</v>
      </c>
      <c r="B111" s="10" t="s">
        <v>362</v>
      </c>
      <c r="C111" s="14" t="s">
        <v>363</v>
      </c>
      <c r="D111" s="10"/>
      <c r="E111" s="10" t="s">
        <v>178</v>
      </c>
      <c r="F111" s="45" t="n">
        <v>1</v>
      </c>
      <c r="G111" s="45" t="n">
        <v>0</v>
      </c>
      <c r="H111" s="45">
        <f>F111*AO111</f>
      </c>
      <c r="I111" s="45">
        <f>F111*AP111</f>
      </c>
      <c r="J111" s="45">
        <f>F111*G111</f>
      </c>
      <c r="K111" s="46" t="s">
        <v>70</v>
      </c>
      <c r="Z111" s="45">
        <f>IF(AQ111="5",BJ111,0)</f>
      </c>
      <c r="AB111" s="45">
        <f>IF(AQ111="1",BH111,0)</f>
      </c>
      <c r="AC111" s="45">
        <f>IF(AQ111="1",BI111,0)</f>
      </c>
      <c r="AD111" s="45">
        <f>IF(AQ111="7",BH111,0)</f>
      </c>
      <c r="AE111" s="45">
        <f>IF(AQ111="7",BI111,0)</f>
      </c>
      <c r="AF111" s="45">
        <f>IF(AQ111="2",BH111,0)</f>
      </c>
      <c r="AG111" s="45">
        <f>IF(AQ111="2",BI111,0)</f>
      </c>
      <c r="AH111" s="45">
        <f>IF(AQ111="0",BJ111,0)</f>
      </c>
      <c r="AI111" s="28" t="s">
        <v>55</v>
      </c>
      <c r="AJ111" s="45">
        <f>IF(AN111=0,J111,0)</f>
      </c>
      <c r="AK111" s="45">
        <f>IF(AN111=12,J111,0)</f>
      </c>
      <c r="AL111" s="45">
        <f>IF(AN111=21,J111,0)</f>
      </c>
      <c r="AN111" s="45" t="n">
        <v>21</v>
      </c>
      <c r="AO111" s="45">
        <f>G111*1</f>
      </c>
      <c r="AP111" s="45">
        <f>G111*(1-1)</f>
      </c>
      <c r="AQ111" s="47" t="s">
        <v>350</v>
      </c>
      <c r="AV111" s="45">
        <f>AW111+AX111</f>
      </c>
      <c r="AW111" s="45">
        <f>F111*AO111</f>
      </c>
      <c r="AX111" s="45">
        <f>F111*AP111</f>
      </c>
      <c r="AY111" s="47" t="s">
        <v>351</v>
      </c>
      <c r="AZ111" s="47" t="s">
        <v>352</v>
      </c>
      <c r="BA111" s="28" t="s">
        <v>65</v>
      </c>
      <c r="BC111" s="45">
        <f>AW111+AX111</f>
      </c>
      <c r="BD111" s="45">
        <f>G111/(100-BE111)*100</f>
      </c>
      <c r="BE111" s="45" t="n">
        <v>0</v>
      </c>
      <c r="BF111" s="45">
        <f>111</f>
      </c>
      <c r="BH111" s="45">
        <f>F111*AO111</f>
      </c>
      <c r="BI111" s="45">
        <f>F111*AP111</f>
      </c>
      <c r="BJ111" s="45">
        <f>F111*G111</f>
      </c>
      <c r="BK111" s="45"/>
      <c r="BL111" s="45"/>
      <c r="BW111" s="45" t="n">
        <v>21</v>
      </c>
      <c r="BX111" s="14" t="s">
        <v>363</v>
      </c>
    </row>
    <row r="112">
      <c r="A112" s="9" t="s">
        <v>364</v>
      </c>
      <c r="B112" s="10" t="s">
        <v>365</v>
      </c>
      <c r="C112" s="14" t="s">
        <v>366</v>
      </c>
      <c r="D112" s="10"/>
      <c r="E112" s="10" t="s">
        <v>178</v>
      </c>
      <c r="F112" s="45" t="n">
        <v>2</v>
      </c>
      <c r="G112" s="45" t="n">
        <v>0</v>
      </c>
      <c r="H112" s="45">
        <f>F112*AO112</f>
      </c>
      <c r="I112" s="45">
        <f>F112*AP112</f>
      </c>
      <c r="J112" s="45">
        <f>F112*G112</f>
      </c>
      <c r="K112" s="46" t="s">
        <v>70</v>
      </c>
      <c r="Z112" s="45">
        <f>IF(AQ112="5",BJ112,0)</f>
      </c>
      <c r="AB112" s="45">
        <f>IF(AQ112="1",BH112,0)</f>
      </c>
      <c r="AC112" s="45">
        <f>IF(AQ112="1",BI112,0)</f>
      </c>
      <c r="AD112" s="45">
        <f>IF(AQ112="7",BH112,0)</f>
      </c>
      <c r="AE112" s="45">
        <f>IF(AQ112="7",BI112,0)</f>
      </c>
      <c r="AF112" s="45">
        <f>IF(AQ112="2",BH112,0)</f>
      </c>
      <c r="AG112" s="45">
        <f>IF(AQ112="2",BI112,0)</f>
      </c>
      <c r="AH112" s="45">
        <f>IF(AQ112="0",BJ112,0)</f>
      </c>
      <c r="AI112" s="28" t="s">
        <v>55</v>
      </c>
      <c r="AJ112" s="45">
        <f>IF(AN112=0,J112,0)</f>
      </c>
      <c r="AK112" s="45">
        <f>IF(AN112=12,J112,0)</f>
      </c>
      <c r="AL112" s="45">
        <f>IF(AN112=21,J112,0)</f>
      </c>
      <c r="AN112" s="45" t="n">
        <v>21</v>
      </c>
      <c r="AO112" s="45">
        <f>G112*1</f>
      </c>
      <c r="AP112" s="45">
        <f>G112*(1-1)</f>
      </c>
      <c r="AQ112" s="47" t="s">
        <v>350</v>
      </c>
      <c r="AV112" s="45">
        <f>AW112+AX112</f>
      </c>
      <c r="AW112" s="45">
        <f>F112*AO112</f>
      </c>
      <c r="AX112" s="45">
        <f>F112*AP112</f>
      </c>
      <c r="AY112" s="47" t="s">
        <v>351</v>
      </c>
      <c r="AZ112" s="47" t="s">
        <v>352</v>
      </c>
      <c r="BA112" s="28" t="s">
        <v>65</v>
      </c>
      <c r="BC112" s="45">
        <f>AW112+AX112</f>
      </c>
      <c r="BD112" s="45">
        <f>G112/(100-BE112)*100</f>
      </c>
      <c r="BE112" s="45" t="n">
        <v>0</v>
      </c>
      <c r="BF112" s="45">
        <f>112</f>
      </c>
      <c r="BH112" s="45">
        <f>F112*AO112</f>
      </c>
      <c r="BI112" s="45">
        <f>F112*AP112</f>
      </c>
      <c r="BJ112" s="45">
        <f>F112*G112</f>
      </c>
      <c r="BK112" s="45"/>
      <c r="BL112" s="45"/>
      <c r="BW112" s="45" t="n">
        <v>21</v>
      </c>
      <c r="BX112" s="14" t="s">
        <v>366</v>
      </c>
    </row>
    <row r="113">
      <c r="A113" s="9" t="s">
        <v>367</v>
      </c>
      <c r="B113" s="10" t="s">
        <v>368</v>
      </c>
      <c r="C113" s="14" t="s">
        <v>369</v>
      </c>
      <c r="D113" s="10"/>
      <c r="E113" s="10" t="s">
        <v>178</v>
      </c>
      <c r="F113" s="45" t="n">
        <v>2</v>
      </c>
      <c r="G113" s="45" t="n">
        <v>0</v>
      </c>
      <c r="H113" s="45">
        <f>F113*AO113</f>
      </c>
      <c r="I113" s="45">
        <f>F113*AP113</f>
      </c>
      <c r="J113" s="45">
        <f>F113*G113</f>
      </c>
      <c r="K113" s="46" t="s">
        <v>70</v>
      </c>
      <c r="Z113" s="45">
        <f>IF(AQ113="5",BJ113,0)</f>
      </c>
      <c r="AB113" s="45">
        <f>IF(AQ113="1",BH113,0)</f>
      </c>
      <c r="AC113" s="45">
        <f>IF(AQ113="1",BI113,0)</f>
      </c>
      <c r="AD113" s="45">
        <f>IF(AQ113="7",BH113,0)</f>
      </c>
      <c r="AE113" s="45">
        <f>IF(AQ113="7",BI113,0)</f>
      </c>
      <c r="AF113" s="45">
        <f>IF(AQ113="2",BH113,0)</f>
      </c>
      <c r="AG113" s="45">
        <f>IF(AQ113="2",BI113,0)</f>
      </c>
      <c r="AH113" s="45">
        <f>IF(AQ113="0",BJ113,0)</f>
      </c>
      <c r="AI113" s="28" t="s">
        <v>55</v>
      </c>
      <c r="AJ113" s="45">
        <f>IF(AN113=0,J113,0)</f>
      </c>
      <c r="AK113" s="45">
        <f>IF(AN113=12,J113,0)</f>
      </c>
      <c r="AL113" s="45">
        <f>IF(AN113=21,J113,0)</f>
      </c>
      <c r="AN113" s="45" t="n">
        <v>21</v>
      </c>
      <c r="AO113" s="45">
        <f>G113*1</f>
      </c>
      <c r="AP113" s="45">
        <f>G113*(1-1)</f>
      </c>
      <c r="AQ113" s="47" t="s">
        <v>350</v>
      </c>
      <c r="AV113" s="45">
        <f>AW113+AX113</f>
      </c>
      <c r="AW113" s="45">
        <f>F113*AO113</f>
      </c>
      <c r="AX113" s="45">
        <f>F113*AP113</f>
      </c>
      <c r="AY113" s="47" t="s">
        <v>351</v>
      </c>
      <c r="AZ113" s="47" t="s">
        <v>352</v>
      </c>
      <c r="BA113" s="28" t="s">
        <v>65</v>
      </c>
      <c r="BC113" s="45">
        <f>AW113+AX113</f>
      </c>
      <c r="BD113" s="45">
        <f>G113/(100-BE113)*100</f>
      </c>
      <c r="BE113" s="45" t="n">
        <v>0</v>
      </c>
      <c r="BF113" s="45">
        <f>113</f>
      </c>
      <c r="BH113" s="45">
        <f>F113*AO113</f>
      </c>
      <c r="BI113" s="45">
        <f>F113*AP113</f>
      </c>
      <c r="BJ113" s="45">
        <f>F113*G113</f>
      </c>
      <c r="BK113" s="45"/>
      <c r="BL113" s="45"/>
      <c r="BW113" s="45" t="n">
        <v>21</v>
      </c>
      <c r="BX113" s="14" t="s">
        <v>369</v>
      </c>
    </row>
    <row r="114">
      <c r="A114" s="9" t="s">
        <v>370</v>
      </c>
      <c r="B114" s="10" t="s">
        <v>371</v>
      </c>
      <c r="C114" s="14" t="s">
        <v>372</v>
      </c>
      <c r="D114" s="10"/>
      <c r="E114" s="10" t="s">
        <v>178</v>
      </c>
      <c r="F114" s="45" t="n">
        <v>2</v>
      </c>
      <c r="G114" s="45" t="n">
        <v>0</v>
      </c>
      <c r="H114" s="45">
        <f>F114*AO114</f>
      </c>
      <c r="I114" s="45">
        <f>F114*AP114</f>
      </c>
      <c r="J114" s="45">
        <f>F114*G114</f>
      </c>
      <c r="K114" s="46" t="s">
        <v>70</v>
      </c>
      <c r="Z114" s="45">
        <f>IF(AQ114="5",BJ114,0)</f>
      </c>
      <c r="AB114" s="45">
        <f>IF(AQ114="1",BH114,0)</f>
      </c>
      <c r="AC114" s="45">
        <f>IF(AQ114="1",BI114,0)</f>
      </c>
      <c r="AD114" s="45">
        <f>IF(AQ114="7",BH114,0)</f>
      </c>
      <c r="AE114" s="45">
        <f>IF(AQ114="7",BI114,0)</f>
      </c>
      <c r="AF114" s="45">
        <f>IF(AQ114="2",BH114,0)</f>
      </c>
      <c r="AG114" s="45">
        <f>IF(AQ114="2",BI114,0)</f>
      </c>
      <c r="AH114" s="45">
        <f>IF(AQ114="0",BJ114,0)</f>
      </c>
      <c r="AI114" s="28" t="s">
        <v>55</v>
      </c>
      <c r="AJ114" s="45">
        <f>IF(AN114=0,J114,0)</f>
      </c>
      <c r="AK114" s="45">
        <f>IF(AN114=12,J114,0)</f>
      </c>
      <c r="AL114" s="45">
        <f>IF(AN114=21,J114,0)</f>
      </c>
      <c r="AN114" s="45" t="n">
        <v>21</v>
      </c>
      <c r="AO114" s="45">
        <f>G114*1</f>
      </c>
      <c r="AP114" s="45">
        <f>G114*(1-1)</f>
      </c>
      <c r="AQ114" s="47" t="s">
        <v>350</v>
      </c>
      <c r="AV114" s="45">
        <f>AW114+AX114</f>
      </c>
      <c r="AW114" s="45">
        <f>F114*AO114</f>
      </c>
      <c r="AX114" s="45">
        <f>F114*AP114</f>
      </c>
      <c r="AY114" s="47" t="s">
        <v>351</v>
      </c>
      <c r="AZ114" s="47" t="s">
        <v>352</v>
      </c>
      <c r="BA114" s="28" t="s">
        <v>65</v>
      </c>
      <c r="BC114" s="45">
        <f>AW114+AX114</f>
      </c>
      <c r="BD114" s="45">
        <f>G114/(100-BE114)*100</f>
      </c>
      <c r="BE114" s="45" t="n">
        <v>0</v>
      </c>
      <c r="BF114" s="45">
        <f>114</f>
      </c>
      <c r="BH114" s="45">
        <f>F114*AO114</f>
      </c>
      <c r="BI114" s="45">
        <f>F114*AP114</f>
      </c>
      <c r="BJ114" s="45">
        <f>F114*G114</f>
      </c>
      <c r="BK114" s="45"/>
      <c r="BL114" s="45"/>
      <c r="BW114" s="45" t="n">
        <v>21</v>
      </c>
      <c r="BX114" s="14" t="s">
        <v>372</v>
      </c>
    </row>
    <row r="115">
      <c r="A115" s="9" t="s">
        <v>373</v>
      </c>
      <c r="B115" s="10" t="s">
        <v>374</v>
      </c>
      <c r="C115" s="14" t="s">
        <v>375</v>
      </c>
      <c r="D115" s="10"/>
      <c r="E115" s="10" t="s">
        <v>178</v>
      </c>
      <c r="F115" s="45" t="n">
        <v>1</v>
      </c>
      <c r="G115" s="45" t="n">
        <v>0</v>
      </c>
      <c r="H115" s="45">
        <f>F115*AO115</f>
      </c>
      <c r="I115" s="45">
        <f>F115*AP115</f>
      </c>
      <c r="J115" s="45">
        <f>F115*G115</f>
      </c>
      <c r="K115" s="46" t="s">
        <v>70</v>
      </c>
      <c r="Z115" s="45">
        <f>IF(AQ115="5",BJ115,0)</f>
      </c>
      <c r="AB115" s="45">
        <f>IF(AQ115="1",BH115,0)</f>
      </c>
      <c r="AC115" s="45">
        <f>IF(AQ115="1",BI115,0)</f>
      </c>
      <c r="AD115" s="45">
        <f>IF(AQ115="7",BH115,0)</f>
      </c>
      <c r="AE115" s="45">
        <f>IF(AQ115="7",BI115,0)</f>
      </c>
      <c r="AF115" s="45">
        <f>IF(AQ115="2",BH115,0)</f>
      </c>
      <c r="AG115" s="45">
        <f>IF(AQ115="2",BI115,0)</f>
      </c>
      <c r="AH115" s="45">
        <f>IF(AQ115="0",BJ115,0)</f>
      </c>
      <c r="AI115" s="28" t="s">
        <v>55</v>
      </c>
      <c r="AJ115" s="45">
        <f>IF(AN115=0,J115,0)</f>
      </c>
      <c r="AK115" s="45">
        <f>IF(AN115=12,J115,0)</f>
      </c>
      <c r="AL115" s="45">
        <f>IF(AN115=21,J115,0)</f>
      </c>
      <c r="AN115" s="45" t="n">
        <v>21</v>
      </c>
      <c r="AO115" s="45">
        <f>G115*1</f>
      </c>
      <c r="AP115" s="45">
        <f>G115*(1-1)</f>
      </c>
      <c r="AQ115" s="47" t="s">
        <v>350</v>
      </c>
      <c r="AV115" s="45">
        <f>AW115+AX115</f>
      </c>
      <c r="AW115" s="45">
        <f>F115*AO115</f>
      </c>
      <c r="AX115" s="45">
        <f>F115*AP115</f>
      </c>
      <c r="AY115" s="47" t="s">
        <v>351</v>
      </c>
      <c r="AZ115" s="47" t="s">
        <v>352</v>
      </c>
      <c r="BA115" s="28" t="s">
        <v>65</v>
      </c>
      <c r="BC115" s="45">
        <f>AW115+AX115</f>
      </c>
      <c r="BD115" s="45">
        <f>G115/(100-BE115)*100</f>
      </c>
      <c r="BE115" s="45" t="n">
        <v>0</v>
      </c>
      <c r="BF115" s="45">
        <f>115</f>
      </c>
      <c r="BH115" s="45">
        <f>F115*AO115</f>
      </c>
      <c r="BI115" s="45">
        <f>F115*AP115</f>
      </c>
      <c r="BJ115" s="45">
        <f>F115*G115</f>
      </c>
      <c r="BK115" s="45"/>
      <c r="BL115" s="45"/>
      <c r="BW115" s="45" t="n">
        <v>21</v>
      </c>
      <c r="BX115" s="14" t="s">
        <v>375</v>
      </c>
    </row>
    <row r="116">
      <c r="A116" s="9" t="s">
        <v>376</v>
      </c>
      <c r="B116" s="10" t="s">
        <v>377</v>
      </c>
      <c r="C116" s="14" t="s">
        <v>378</v>
      </c>
      <c r="D116" s="10"/>
      <c r="E116" s="10" t="s">
        <v>178</v>
      </c>
      <c r="F116" s="45" t="n">
        <v>1</v>
      </c>
      <c r="G116" s="45" t="n">
        <v>0</v>
      </c>
      <c r="H116" s="45">
        <f>F116*AO116</f>
      </c>
      <c r="I116" s="45">
        <f>F116*AP116</f>
      </c>
      <c r="J116" s="45">
        <f>F116*G116</f>
      </c>
      <c r="K116" s="46" t="s">
        <v>70</v>
      </c>
      <c r="Z116" s="45">
        <f>IF(AQ116="5",BJ116,0)</f>
      </c>
      <c r="AB116" s="45">
        <f>IF(AQ116="1",BH116,0)</f>
      </c>
      <c r="AC116" s="45">
        <f>IF(AQ116="1",BI116,0)</f>
      </c>
      <c r="AD116" s="45">
        <f>IF(AQ116="7",BH116,0)</f>
      </c>
      <c r="AE116" s="45">
        <f>IF(AQ116="7",BI116,0)</f>
      </c>
      <c r="AF116" s="45">
        <f>IF(AQ116="2",BH116,0)</f>
      </c>
      <c r="AG116" s="45">
        <f>IF(AQ116="2",BI116,0)</f>
      </c>
      <c r="AH116" s="45">
        <f>IF(AQ116="0",BJ116,0)</f>
      </c>
      <c r="AI116" s="28" t="s">
        <v>55</v>
      </c>
      <c r="AJ116" s="45">
        <f>IF(AN116=0,J116,0)</f>
      </c>
      <c r="AK116" s="45">
        <f>IF(AN116=12,J116,0)</f>
      </c>
      <c r="AL116" s="45">
        <f>IF(AN116=21,J116,0)</f>
      </c>
      <c r="AN116" s="45" t="n">
        <v>21</v>
      </c>
      <c r="AO116" s="45">
        <f>G116*1</f>
      </c>
      <c r="AP116" s="45">
        <f>G116*(1-1)</f>
      </c>
      <c r="AQ116" s="47" t="s">
        <v>350</v>
      </c>
      <c r="AV116" s="45">
        <f>AW116+AX116</f>
      </c>
      <c r="AW116" s="45">
        <f>F116*AO116</f>
      </c>
      <c r="AX116" s="45">
        <f>F116*AP116</f>
      </c>
      <c r="AY116" s="47" t="s">
        <v>351</v>
      </c>
      <c r="AZ116" s="47" t="s">
        <v>352</v>
      </c>
      <c r="BA116" s="28" t="s">
        <v>65</v>
      </c>
      <c r="BC116" s="45">
        <f>AW116+AX116</f>
      </c>
      <c r="BD116" s="45">
        <f>G116/(100-BE116)*100</f>
      </c>
      <c r="BE116" s="45" t="n">
        <v>0</v>
      </c>
      <c r="BF116" s="45">
        <f>116</f>
      </c>
      <c r="BH116" s="45">
        <f>F116*AO116</f>
      </c>
      <c r="BI116" s="45">
        <f>F116*AP116</f>
      </c>
      <c r="BJ116" s="45">
        <f>F116*G116</f>
      </c>
      <c r="BK116" s="45"/>
      <c r="BL116" s="45"/>
      <c r="BW116" s="45" t="n">
        <v>21</v>
      </c>
      <c r="BX116" s="14" t="s">
        <v>378</v>
      </c>
    </row>
    <row r="117">
      <c r="A117" s="9" t="s">
        <v>379</v>
      </c>
      <c r="B117" s="10" t="s">
        <v>380</v>
      </c>
      <c r="C117" s="14" t="s">
        <v>381</v>
      </c>
      <c r="D117" s="10"/>
      <c r="E117" s="10" t="s">
        <v>178</v>
      </c>
      <c r="F117" s="45" t="n">
        <v>1</v>
      </c>
      <c r="G117" s="45" t="n">
        <v>0</v>
      </c>
      <c r="H117" s="45">
        <f>F117*AO117</f>
      </c>
      <c r="I117" s="45">
        <f>F117*AP117</f>
      </c>
      <c r="J117" s="45">
        <f>F117*G117</f>
      </c>
      <c r="K117" s="46" t="s">
        <v>70</v>
      </c>
      <c r="Z117" s="45">
        <f>IF(AQ117="5",BJ117,0)</f>
      </c>
      <c r="AB117" s="45">
        <f>IF(AQ117="1",BH117,0)</f>
      </c>
      <c r="AC117" s="45">
        <f>IF(AQ117="1",BI117,0)</f>
      </c>
      <c r="AD117" s="45">
        <f>IF(AQ117="7",BH117,0)</f>
      </c>
      <c r="AE117" s="45">
        <f>IF(AQ117="7",BI117,0)</f>
      </c>
      <c r="AF117" s="45">
        <f>IF(AQ117="2",BH117,0)</f>
      </c>
      <c r="AG117" s="45">
        <f>IF(AQ117="2",BI117,0)</f>
      </c>
      <c r="AH117" s="45">
        <f>IF(AQ117="0",BJ117,0)</f>
      </c>
      <c r="AI117" s="28" t="s">
        <v>55</v>
      </c>
      <c r="AJ117" s="45">
        <f>IF(AN117=0,J117,0)</f>
      </c>
      <c r="AK117" s="45">
        <f>IF(AN117=12,J117,0)</f>
      </c>
      <c r="AL117" s="45">
        <f>IF(AN117=21,J117,0)</f>
      </c>
      <c r="AN117" s="45" t="n">
        <v>21</v>
      </c>
      <c r="AO117" s="45">
        <f>G117*1</f>
      </c>
      <c r="AP117" s="45">
        <f>G117*(1-1)</f>
      </c>
      <c r="AQ117" s="47" t="s">
        <v>350</v>
      </c>
      <c r="AV117" s="45">
        <f>AW117+AX117</f>
      </c>
      <c r="AW117" s="45">
        <f>F117*AO117</f>
      </c>
      <c r="AX117" s="45">
        <f>F117*AP117</f>
      </c>
      <c r="AY117" s="47" t="s">
        <v>351</v>
      </c>
      <c r="AZ117" s="47" t="s">
        <v>352</v>
      </c>
      <c r="BA117" s="28" t="s">
        <v>65</v>
      </c>
      <c r="BC117" s="45">
        <f>AW117+AX117</f>
      </c>
      <c r="BD117" s="45">
        <f>G117/(100-BE117)*100</f>
      </c>
      <c r="BE117" s="45" t="n">
        <v>0</v>
      </c>
      <c r="BF117" s="45">
        <f>117</f>
      </c>
      <c r="BH117" s="45">
        <f>F117*AO117</f>
      </c>
      <c r="BI117" s="45">
        <f>F117*AP117</f>
      </c>
      <c r="BJ117" s="45">
        <f>F117*G117</f>
      </c>
      <c r="BK117" s="45"/>
      <c r="BL117" s="45"/>
      <c r="BW117" s="45" t="n">
        <v>21</v>
      </c>
      <c r="BX117" s="14" t="s">
        <v>381</v>
      </c>
    </row>
    <row r="118">
      <c r="A118" s="9" t="s">
        <v>382</v>
      </c>
      <c r="B118" s="10" t="s">
        <v>383</v>
      </c>
      <c r="C118" s="14" t="s">
        <v>384</v>
      </c>
      <c r="D118" s="10"/>
      <c r="E118" s="10" t="s">
        <v>178</v>
      </c>
      <c r="F118" s="45" t="n">
        <v>3</v>
      </c>
      <c r="G118" s="45" t="n">
        <v>0</v>
      </c>
      <c r="H118" s="45">
        <f>F118*AO118</f>
      </c>
      <c r="I118" s="45">
        <f>F118*AP118</f>
      </c>
      <c r="J118" s="45">
        <f>F118*G118</f>
      </c>
      <c r="K118" s="46" t="s">
        <v>70</v>
      </c>
      <c r="Z118" s="45">
        <f>IF(AQ118="5",BJ118,0)</f>
      </c>
      <c r="AB118" s="45">
        <f>IF(AQ118="1",BH118,0)</f>
      </c>
      <c r="AC118" s="45">
        <f>IF(AQ118="1",BI118,0)</f>
      </c>
      <c r="AD118" s="45">
        <f>IF(AQ118="7",BH118,0)</f>
      </c>
      <c r="AE118" s="45">
        <f>IF(AQ118="7",BI118,0)</f>
      </c>
      <c r="AF118" s="45">
        <f>IF(AQ118="2",BH118,0)</f>
      </c>
      <c r="AG118" s="45">
        <f>IF(AQ118="2",BI118,0)</f>
      </c>
      <c r="AH118" s="45">
        <f>IF(AQ118="0",BJ118,0)</f>
      </c>
      <c r="AI118" s="28" t="s">
        <v>55</v>
      </c>
      <c r="AJ118" s="45">
        <f>IF(AN118=0,J118,0)</f>
      </c>
      <c r="AK118" s="45">
        <f>IF(AN118=12,J118,0)</f>
      </c>
      <c r="AL118" s="45">
        <f>IF(AN118=21,J118,0)</f>
      </c>
      <c r="AN118" s="45" t="n">
        <v>21</v>
      </c>
      <c r="AO118" s="45">
        <f>G118*1</f>
      </c>
      <c r="AP118" s="45">
        <f>G118*(1-1)</f>
      </c>
      <c r="AQ118" s="47" t="s">
        <v>350</v>
      </c>
      <c r="AV118" s="45">
        <f>AW118+AX118</f>
      </c>
      <c r="AW118" s="45">
        <f>F118*AO118</f>
      </c>
      <c r="AX118" s="45">
        <f>F118*AP118</f>
      </c>
      <c r="AY118" s="47" t="s">
        <v>351</v>
      </c>
      <c r="AZ118" s="47" t="s">
        <v>352</v>
      </c>
      <c r="BA118" s="28" t="s">
        <v>65</v>
      </c>
      <c r="BC118" s="45">
        <f>AW118+AX118</f>
      </c>
      <c r="BD118" s="45">
        <f>G118/(100-BE118)*100</f>
      </c>
      <c r="BE118" s="45" t="n">
        <v>0</v>
      </c>
      <c r="BF118" s="45">
        <f>118</f>
      </c>
      <c r="BH118" s="45">
        <f>F118*AO118</f>
      </c>
      <c r="BI118" s="45">
        <f>F118*AP118</f>
      </c>
      <c r="BJ118" s="45">
        <f>F118*G118</f>
      </c>
      <c r="BK118" s="45"/>
      <c r="BL118" s="45"/>
      <c r="BW118" s="45" t="n">
        <v>21</v>
      </c>
      <c r="BX118" s="14" t="s">
        <v>384</v>
      </c>
    </row>
    <row r="119">
      <c r="A119" s="9" t="s">
        <v>385</v>
      </c>
      <c r="B119" s="10" t="s">
        <v>386</v>
      </c>
      <c r="C119" s="14" t="s">
        <v>387</v>
      </c>
      <c r="D119" s="10"/>
      <c r="E119" s="10" t="s">
        <v>178</v>
      </c>
      <c r="F119" s="45" t="n">
        <v>4</v>
      </c>
      <c r="G119" s="45" t="n">
        <v>0</v>
      </c>
      <c r="H119" s="45">
        <f>F119*AO119</f>
      </c>
      <c r="I119" s="45">
        <f>F119*AP119</f>
      </c>
      <c r="J119" s="45">
        <f>F119*G119</f>
      </c>
      <c r="K119" s="46" t="s">
        <v>70</v>
      </c>
      <c r="Z119" s="45">
        <f>IF(AQ119="5",BJ119,0)</f>
      </c>
      <c r="AB119" s="45">
        <f>IF(AQ119="1",BH119,0)</f>
      </c>
      <c r="AC119" s="45">
        <f>IF(AQ119="1",BI119,0)</f>
      </c>
      <c r="AD119" s="45">
        <f>IF(AQ119="7",BH119,0)</f>
      </c>
      <c r="AE119" s="45">
        <f>IF(AQ119="7",BI119,0)</f>
      </c>
      <c r="AF119" s="45">
        <f>IF(AQ119="2",BH119,0)</f>
      </c>
      <c r="AG119" s="45">
        <f>IF(AQ119="2",BI119,0)</f>
      </c>
      <c r="AH119" s="45">
        <f>IF(AQ119="0",BJ119,0)</f>
      </c>
      <c r="AI119" s="28" t="s">
        <v>55</v>
      </c>
      <c r="AJ119" s="45">
        <f>IF(AN119=0,J119,0)</f>
      </c>
      <c r="AK119" s="45">
        <f>IF(AN119=12,J119,0)</f>
      </c>
      <c r="AL119" s="45">
        <f>IF(AN119=21,J119,0)</f>
      </c>
      <c r="AN119" s="45" t="n">
        <v>21</v>
      </c>
      <c r="AO119" s="45">
        <f>G119*1</f>
      </c>
      <c r="AP119" s="45">
        <f>G119*(1-1)</f>
      </c>
      <c r="AQ119" s="47" t="s">
        <v>350</v>
      </c>
      <c r="AV119" s="45">
        <f>AW119+AX119</f>
      </c>
      <c r="AW119" s="45">
        <f>F119*AO119</f>
      </c>
      <c r="AX119" s="45">
        <f>F119*AP119</f>
      </c>
      <c r="AY119" s="47" t="s">
        <v>351</v>
      </c>
      <c r="AZ119" s="47" t="s">
        <v>352</v>
      </c>
      <c r="BA119" s="28" t="s">
        <v>65</v>
      </c>
      <c r="BC119" s="45">
        <f>AW119+AX119</f>
      </c>
      <c r="BD119" s="45">
        <f>G119/(100-BE119)*100</f>
      </c>
      <c r="BE119" s="45" t="n">
        <v>0</v>
      </c>
      <c r="BF119" s="45">
        <f>119</f>
      </c>
      <c r="BH119" s="45">
        <f>F119*AO119</f>
      </c>
      <c r="BI119" s="45">
        <f>F119*AP119</f>
      </c>
      <c r="BJ119" s="45">
        <f>F119*G119</f>
      </c>
      <c r="BK119" s="45"/>
      <c r="BL119" s="45"/>
      <c r="BW119" s="45" t="n">
        <v>21</v>
      </c>
      <c r="BX119" s="14" t="s">
        <v>387</v>
      </c>
    </row>
    <row r="120">
      <c r="A120" s="9" t="s">
        <v>388</v>
      </c>
      <c r="B120" s="10" t="s">
        <v>389</v>
      </c>
      <c r="C120" s="14" t="s">
        <v>390</v>
      </c>
      <c r="D120" s="10"/>
      <c r="E120" s="10" t="s">
        <v>178</v>
      </c>
      <c r="F120" s="45" t="n">
        <v>2</v>
      </c>
      <c r="G120" s="45" t="n">
        <v>0</v>
      </c>
      <c r="H120" s="45">
        <f>F120*AO120</f>
      </c>
      <c r="I120" s="45">
        <f>F120*AP120</f>
      </c>
      <c r="J120" s="45">
        <f>F120*G120</f>
      </c>
      <c r="K120" s="46" t="s">
        <v>70</v>
      </c>
      <c r="Z120" s="45">
        <f>IF(AQ120="5",BJ120,0)</f>
      </c>
      <c r="AB120" s="45">
        <f>IF(AQ120="1",BH120,0)</f>
      </c>
      <c r="AC120" s="45">
        <f>IF(AQ120="1",BI120,0)</f>
      </c>
      <c r="AD120" s="45">
        <f>IF(AQ120="7",BH120,0)</f>
      </c>
      <c r="AE120" s="45">
        <f>IF(AQ120="7",BI120,0)</f>
      </c>
      <c r="AF120" s="45">
        <f>IF(AQ120="2",BH120,0)</f>
      </c>
      <c r="AG120" s="45">
        <f>IF(AQ120="2",BI120,0)</f>
      </c>
      <c r="AH120" s="45">
        <f>IF(AQ120="0",BJ120,0)</f>
      </c>
      <c r="AI120" s="28" t="s">
        <v>55</v>
      </c>
      <c r="AJ120" s="45">
        <f>IF(AN120=0,J120,0)</f>
      </c>
      <c r="AK120" s="45">
        <f>IF(AN120=12,J120,0)</f>
      </c>
      <c r="AL120" s="45">
        <f>IF(AN120=21,J120,0)</f>
      </c>
      <c r="AN120" s="45" t="n">
        <v>21</v>
      </c>
      <c r="AO120" s="45">
        <f>G120*1</f>
      </c>
      <c r="AP120" s="45">
        <f>G120*(1-1)</f>
      </c>
      <c r="AQ120" s="47" t="s">
        <v>350</v>
      </c>
      <c r="AV120" s="45">
        <f>AW120+AX120</f>
      </c>
      <c r="AW120" s="45">
        <f>F120*AO120</f>
      </c>
      <c r="AX120" s="45">
        <f>F120*AP120</f>
      </c>
      <c r="AY120" s="47" t="s">
        <v>351</v>
      </c>
      <c r="AZ120" s="47" t="s">
        <v>352</v>
      </c>
      <c r="BA120" s="28" t="s">
        <v>65</v>
      </c>
      <c r="BC120" s="45">
        <f>AW120+AX120</f>
      </c>
      <c r="BD120" s="45">
        <f>G120/(100-BE120)*100</f>
      </c>
      <c r="BE120" s="45" t="n">
        <v>0</v>
      </c>
      <c r="BF120" s="45">
        <f>120</f>
      </c>
      <c r="BH120" s="45">
        <f>F120*AO120</f>
      </c>
      <c r="BI120" s="45">
        <f>F120*AP120</f>
      </c>
      <c r="BJ120" s="45">
        <f>F120*G120</f>
      </c>
      <c r="BK120" s="45"/>
      <c r="BL120" s="45"/>
      <c r="BW120" s="45" t="n">
        <v>21</v>
      </c>
      <c r="BX120" s="14" t="s">
        <v>390</v>
      </c>
    </row>
    <row r="121">
      <c r="A121" s="9" t="s">
        <v>211</v>
      </c>
      <c r="B121" s="10" t="s">
        <v>391</v>
      </c>
      <c r="C121" s="14" t="s">
        <v>392</v>
      </c>
      <c r="D121" s="10"/>
      <c r="E121" s="10" t="s">
        <v>178</v>
      </c>
      <c r="F121" s="45" t="n">
        <v>36</v>
      </c>
      <c r="G121" s="45" t="n">
        <v>0</v>
      </c>
      <c r="H121" s="45">
        <f>F121*AO121</f>
      </c>
      <c r="I121" s="45">
        <f>F121*AP121</f>
      </c>
      <c r="J121" s="45">
        <f>F121*G121</f>
      </c>
      <c r="K121" s="46" t="s">
        <v>70</v>
      </c>
      <c r="Z121" s="45">
        <f>IF(AQ121="5",BJ121,0)</f>
      </c>
      <c r="AB121" s="45">
        <f>IF(AQ121="1",BH121,0)</f>
      </c>
      <c r="AC121" s="45">
        <f>IF(AQ121="1",BI121,0)</f>
      </c>
      <c r="AD121" s="45">
        <f>IF(AQ121="7",BH121,0)</f>
      </c>
      <c r="AE121" s="45">
        <f>IF(AQ121="7",BI121,0)</f>
      </c>
      <c r="AF121" s="45">
        <f>IF(AQ121="2",BH121,0)</f>
      </c>
      <c r="AG121" s="45">
        <f>IF(AQ121="2",BI121,0)</f>
      </c>
      <c r="AH121" s="45">
        <f>IF(AQ121="0",BJ121,0)</f>
      </c>
      <c r="AI121" s="28" t="s">
        <v>55</v>
      </c>
      <c r="AJ121" s="45">
        <f>IF(AN121=0,J121,0)</f>
      </c>
      <c r="AK121" s="45">
        <f>IF(AN121=12,J121,0)</f>
      </c>
      <c r="AL121" s="45">
        <f>IF(AN121=21,J121,0)</f>
      </c>
      <c r="AN121" s="45" t="n">
        <v>21</v>
      </c>
      <c r="AO121" s="45">
        <f>G121*1</f>
      </c>
      <c r="AP121" s="45">
        <f>G121*(1-1)</f>
      </c>
      <c r="AQ121" s="47" t="s">
        <v>350</v>
      </c>
      <c r="AV121" s="45">
        <f>AW121+AX121</f>
      </c>
      <c r="AW121" s="45">
        <f>F121*AO121</f>
      </c>
      <c r="AX121" s="45">
        <f>F121*AP121</f>
      </c>
      <c r="AY121" s="47" t="s">
        <v>351</v>
      </c>
      <c r="AZ121" s="47" t="s">
        <v>352</v>
      </c>
      <c r="BA121" s="28" t="s">
        <v>65</v>
      </c>
      <c r="BC121" s="45">
        <f>AW121+AX121</f>
      </c>
      <c r="BD121" s="45">
        <f>G121/(100-BE121)*100</f>
      </c>
      <c r="BE121" s="45" t="n">
        <v>0</v>
      </c>
      <c r="BF121" s="45">
        <f>121</f>
      </c>
      <c r="BH121" s="45">
        <f>F121*AO121</f>
      </c>
      <c r="BI121" s="45">
        <f>F121*AP121</f>
      </c>
      <c r="BJ121" s="45">
        <f>F121*G121</f>
      </c>
      <c r="BK121" s="45"/>
      <c r="BL121" s="45"/>
      <c r="BW121" s="45" t="n">
        <v>21</v>
      </c>
      <c r="BX121" s="14" t="s">
        <v>392</v>
      </c>
    </row>
    <row r="122">
      <c r="A122" s="9" t="s">
        <v>393</v>
      </c>
      <c r="B122" s="10" t="s">
        <v>394</v>
      </c>
      <c r="C122" s="14" t="s">
        <v>395</v>
      </c>
      <c r="D122" s="10"/>
      <c r="E122" s="10" t="s">
        <v>69</v>
      </c>
      <c r="F122" s="45" t="n">
        <v>48</v>
      </c>
      <c r="G122" s="45" t="n">
        <v>0</v>
      </c>
      <c r="H122" s="45">
        <f>F122*AO122</f>
      </c>
      <c r="I122" s="45">
        <f>F122*AP122</f>
      </c>
      <c r="J122" s="45">
        <f>F122*G122</f>
      </c>
      <c r="K122" s="46" t="s">
        <v>70</v>
      </c>
      <c r="Z122" s="45">
        <f>IF(AQ122="5",BJ122,0)</f>
      </c>
      <c r="AB122" s="45">
        <f>IF(AQ122="1",BH122,0)</f>
      </c>
      <c r="AC122" s="45">
        <f>IF(AQ122="1",BI122,0)</f>
      </c>
      <c r="AD122" s="45">
        <f>IF(AQ122="7",BH122,0)</f>
      </c>
      <c r="AE122" s="45">
        <f>IF(AQ122="7",BI122,0)</f>
      </c>
      <c r="AF122" s="45">
        <f>IF(AQ122="2",BH122,0)</f>
      </c>
      <c r="AG122" s="45">
        <f>IF(AQ122="2",BI122,0)</f>
      </c>
      <c r="AH122" s="45">
        <f>IF(AQ122="0",BJ122,0)</f>
      </c>
      <c r="AI122" s="28" t="s">
        <v>55</v>
      </c>
      <c r="AJ122" s="45">
        <f>IF(AN122=0,J122,0)</f>
      </c>
      <c r="AK122" s="45">
        <f>IF(AN122=12,J122,0)</f>
      </c>
      <c r="AL122" s="45">
        <f>IF(AN122=21,J122,0)</f>
      </c>
      <c r="AN122" s="45" t="n">
        <v>21</v>
      </c>
      <c r="AO122" s="45">
        <f>G122*1</f>
      </c>
      <c r="AP122" s="45">
        <f>G122*(1-1)</f>
      </c>
      <c r="AQ122" s="47" t="s">
        <v>350</v>
      </c>
      <c r="AV122" s="45">
        <f>AW122+AX122</f>
      </c>
      <c r="AW122" s="45">
        <f>F122*AO122</f>
      </c>
      <c r="AX122" s="45">
        <f>F122*AP122</f>
      </c>
      <c r="AY122" s="47" t="s">
        <v>351</v>
      </c>
      <c r="AZ122" s="47" t="s">
        <v>352</v>
      </c>
      <c r="BA122" s="28" t="s">
        <v>65</v>
      </c>
      <c r="BC122" s="45">
        <f>AW122+AX122</f>
      </c>
      <c r="BD122" s="45">
        <f>G122/(100-BE122)*100</f>
      </c>
      <c r="BE122" s="45" t="n">
        <v>0</v>
      </c>
      <c r="BF122" s="45">
        <f>122</f>
      </c>
      <c r="BH122" s="45">
        <f>F122*AO122</f>
      </c>
      <c r="BI122" s="45">
        <f>F122*AP122</f>
      </c>
      <c r="BJ122" s="45">
        <f>F122*G122</f>
      </c>
      <c r="BK122" s="45"/>
      <c r="BL122" s="45"/>
      <c r="BW122" s="45" t="n">
        <v>21</v>
      </c>
      <c r="BX122" s="14" t="s">
        <v>395</v>
      </c>
    </row>
    <row r="123">
      <c r="A123" s="9" t="s">
        <v>218</v>
      </c>
      <c r="B123" s="10" t="s">
        <v>396</v>
      </c>
      <c r="C123" s="14" t="s">
        <v>397</v>
      </c>
      <c r="D123" s="10"/>
      <c r="E123" s="10" t="s">
        <v>69</v>
      </c>
      <c r="F123" s="45" t="n">
        <v>2</v>
      </c>
      <c r="G123" s="45" t="n">
        <v>0</v>
      </c>
      <c r="H123" s="45">
        <f>F123*AO123</f>
      </c>
      <c r="I123" s="45">
        <f>F123*AP123</f>
      </c>
      <c r="J123" s="45">
        <f>F123*G123</f>
      </c>
      <c r="K123" s="46" t="s">
        <v>70</v>
      </c>
      <c r="Z123" s="45">
        <f>IF(AQ123="5",BJ123,0)</f>
      </c>
      <c r="AB123" s="45">
        <f>IF(AQ123="1",BH123,0)</f>
      </c>
      <c r="AC123" s="45">
        <f>IF(AQ123="1",BI123,0)</f>
      </c>
      <c r="AD123" s="45">
        <f>IF(AQ123="7",BH123,0)</f>
      </c>
      <c r="AE123" s="45">
        <f>IF(AQ123="7",BI123,0)</f>
      </c>
      <c r="AF123" s="45">
        <f>IF(AQ123="2",BH123,0)</f>
      </c>
      <c r="AG123" s="45">
        <f>IF(AQ123="2",BI123,0)</f>
      </c>
      <c r="AH123" s="45">
        <f>IF(AQ123="0",BJ123,0)</f>
      </c>
      <c r="AI123" s="28" t="s">
        <v>55</v>
      </c>
      <c r="AJ123" s="45">
        <f>IF(AN123=0,J123,0)</f>
      </c>
      <c r="AK123" s="45">
        <f>IF(AN123=12,J123,0)</f>
      </c>
      <c r="AL123" s="45">
        <f>IF(AN123=21,J123,0)</f>
      </c>
      <c r="AN123" s="45" t="n">
        <v>21</v>
      </c>
      <c r="AO123" s="45">
        <f>G123*1</f>
      </c>
      <c r="AP123" s="45">
        <f>G123*(1-1)</f>
      </c>
      <c r="AQ123" s="47" t="s">
        <v>350</v>
      </c>
      <c r="AV123" s="45">
        <f>AW123+AX123</f>
      </c>
      <c r="AW123" s="45">
        <f>F123*AO123</f>
      </c>
      <c r="AX123" s="45">
        <f>F123*AP123</f>
      </c>
      <c r="AY123" s="47" t="s">
        <v>351</v>
      </c>
      <c r="AZ123" s="47" t="s">
        <v>352</v>
      </c>
      <c r="BA123" s="28" t="s">
        <v>65</v>
      </c>
      <c r="BC123" s="45">
        <f>AW123+AX123</f>
      </c>
      <c r="BD123" s="45">
        <f>G123/(100-BE123)*100</f>
      </c>
      <c r="BE123" s="45" t="n">
        <v>0</v>
      </c>
      <c r="BF123" s="45">
        <f>123</f>
      </c>
      <c r="BH123" s="45">
        <f>F123*AO123</f>
      </c>
      <c r="BI123" s="45">
        <f>F123*AP123</f>
      </c>
      <c r="BJ123" s="45">
        <f>F123*G123</f>
      </c>
      <c r="BK123" s="45"/>
      <c r="BL123" s="45"/>
      <c r="BW123" s="45" t="n">
        <v>21</v>
      </c>
      <c r="BX123" s="14" t="s">
        <v>397</v>
      </c>
    </row>
    <row r="124">
      <c r="A124" s="9" t="s">
        <v>398</v>
      </c>
      <c r="B124" s="10" t="s">
        <v>399</v>
      </c>
      <c r="C124" s="14" t="s">
        <v>400</v>
      </c>
      <c r="D124" s="10"/>
      <c r="E124" s="10" t="s">
        <v>69</v>
      </c>
      <c r="F124" s="45" t="n">
        <v>2</v>
      </c>
      <c r="G124" s="45" t="n">
        <v>0</v>
      </c>
      <c r="H124" s="45">
        <f>F124*AO124</f>
      </c>
      <c r="I124" s="45">
        <f>F124*AP124</f>
      </c>
      <c r="J124" s="45">
        <f>F124*G124</f>
      </c>
      <c r="K124" s="46" t="s">
        <v>70</v>
      </c>
      <c r="Z124" s="45">
        <f>IF(AQ124="5",BJ124,0)</f>
      </c>
      <c r="AB124" s="45">
        <f>IF(AQ124="1",BH124,0)</f>
      </c>
      <c r="AC124" s="45">
        <f>IF(AQ124="1",BI124,0)</f>
      </c>
      <c r="AD124" s="45">
        <f>IF(AQ124="7",BH124,0)</f>
      </c>
      <c r="AE124" s="45">
        <f>IF(AQ124="7",BI124,0)</f>
      </c>
      <c r="AF124" s="45">
        <f>IF(AQ124="2",BH124,0)</f>
      </c>
      <c r="AG124" s="45">
        <f>IF(AQ124="2",BI124,0)</f>
      </c>
      <c r="AH124" s="45">
        <f>IF(AQ124="0",BJ124,0)</f>
      </c>
      <c r="AI124" s="28" t="s">
        <v>55</v>
      </c>
      <c r="AJ124" s="45">
        <f>IF(AN124=0,J124,0)</f>
      </c>
      <c r="AK124" s="45">
        <f>IF(AN124=12,J124,0)</f>
      </c>
      <c r="AL124" s="45">
        <f>IF(AN124=21,J124,0)</f>
      </c>
      <c r="AN124" s="45" t="n">
        <v>21</v>
      </c>
      <c r="AO124" s="45">
        <f>G124*1</f>
      </c>
      <c r="AP124" s="45">
        <f>G124*(1-1)</f>
      </c>
      <c r="AQ124" s="47" t="s">
        <v>350</v>
      </c>
      <c r="AV124" s="45">
        <f>AW124+AX124</f>
      </c>
      <c r="AW124" s="45">
        <f>F124*AO124</f>
      </c>
      <c r="AX124" s="45">
        <f>F124*AP124</f>
      </c>
      <c r="AY124" s="47" t="s">
        <v>351</v>
      </c>
      <c r="AZ124" s="47" t="s">
        <v>352</v>
      </c>
      <c r="BA124" s="28" t="s">
        <v>65</v>
      </c>
      <c r="BC124" s="45">
        <f>AW124+AX124</f>
      </c>
      <c r="BD124" s="45">
        <f>G124/(100-BE124)*100</f>
      </c>
      <c r="BE124" s="45" t="n">
        <v>0</v>
      </c>
      <c r="BF124" s="45">
        <f>124</f>
      </c>
      <c r="BH124" s="45">
        <f>F124*AO124</f>
      </c>
      <c r="BI124" s="45">
        <f>F124*AP124</f>
      </c>
      <c r="BJ124" s="45">
        <f>F124*G124</f>
      </c>
      <c r="BK124" s="45"/>
      <c r="BL124" s="45"/>
      <c r="BW124" s="45" t="n">
        <v>21</v>
      </c>
      <c r="BX124" s="14" t="s">
        <v>400</v>
      </c>
    </row>
    <row r="125">
      <c r="A125" s="9" t="s">
        <v>230</v>
      </c>
      <c r="B125" s="10" t="s">
        <v>401</v>
      </c>
      <c r="C125" s="14" t="s">
        <v>402</v>
      </c>
      <c r="D125" s="10"/>
      <c r="E125" s="10" t="s">
        <v>178</v>
      </c>
      <c r="F125" s="45" t="n">
        <v>4</v>
      </c>
      <c r="G125" s="45" t="n">
        <v>0</v>
      </c>
      <c r="H125" s="45">
        <f>F125*AO125</f>
      </c>
      <c r="I125" s="45">
        <f>F125*AP125</f>
      </c>
      <c r="J125" s="45">
        <f>F125*G125</f>
      </c>
      <c r="K125" s="46" t="s">
        <v>70</v>
      </c>
      <c r="Z125" s="45">
        <f>IF(AQ125="5",BJ125,0)</f>
      </c>
      <c r="AB125" s="45">
        <f>IF(AQ125="1",BH125,0)</f>
      </c>
      <c r="AC125" s="45">
        <f>IF(AQ125="1",BI125,0)</f>
      </c>
      <c r="AD125" s="45">
        <f>IF(AQ125="7",BH125,0)</f>
      </c>
      <c r="AE125" s="45">
        <f>IF(AQ125="7",BI125,0)</f>
      </c>
      <c r="AF125" s="45">
        <f>IF(AQ125="2",BH125,0)</f>
      </c>
      <c r="AG125" s="45">
        <f>IF(AQ125="2",BI125,0)</f>
      </c>
      <c r="AH125" s="45">
        <f>IF(AQ125="0",BJ125,0)</f>
      </c>
      <c r="AI125" s="28" t="s">
        <v>55</v>
      </c>
      <c r="AJ125" s="45">
        <f>IF(AN125=0,J125,0)</f>
      </c>
      <c r="AK125" s="45">
        <f>IF(AN125=12,J125,0)</f>
      </c>
      <c r="AL125" s="45">
        <f>IF(AN125=21,J125,0)</f>
      </c>
      <c r="AN125" s="45" t="n">
        <v>21</v>
      </c>
      <c r="AO125" s="45">
        <f>G125*1</f>
      </c>
      <c r="AP125" s="45">
        <f>G125*(1-1)</f>
      </c>
      <c r="AQ125" s="47" t="s">
        <v>350</v>
      </c>
      <c r="AV125" s="45">
        <f>AW125+AX125</f>
      </c>
      <c r="AW125" s="45">
        <f>F125*AO125</f>
      </c>
      <c r="AX125" s="45">
        <f>F125*AP125</f>
      </c>
      <c r="AY125" s="47" t="s">
        <v>351</v>
      </c>
      <c r="AZ125" s="47" t="s">
        <v>352</v>
      </c>
      <c r="BA125" s="28" t="s">
        <v>65</v>
      </c>
      <c r="BC125" s="45">
        <f>AW125+AX125</f>
      </c>
      <c r="BD125" s="45">
        <f>G125/(100-BE125)*100</f>
      </c>
      <c r="BE125" s="45" t="n">
        <v>0</v>
      </c>
      <c r="BF125" s="45">
        <f>125</f>
      </c>
      <c r="BH125" s="45">
        <f>F125*AO125</f>
      </c>
      <c r="BI125" s="45">
        <f>F125*AP125</f>
      </c>
      <c r="BJ125" s="45">
        <f>F125*G125</f>
      </c>
      <c r="BK125" s="45"/>
      <c r="BL125" s="45"/>
      <c r="BW125" s="45" t="n">
        <v>21</v>
      </c>
      <c r="BX125" s="14" t="s">
        <v>402</v>
      </c>
    </row>
    <row r="126">
      <c r="A126" s="9" t="s">
        <v>282</v>
      </c>
      <c r="B126" s="10" t="s">
        <v>403</v>
      </c>
      <c r="C126" s="14" t="s">
        <v>404</v>
      </c>
      <c r="D126" s="10"/>
      <c r="E126" s="10" t="s">
        <v>178</v>
      </c>
      <c r="F126" s="45" t="n">
        <v>4</v>
      </c>
      <c r="G126" s="45" t="n">
        <v>0</v>
      </c>
      <c r="H126" s="45">
        <f>F126*AO126</f>
      </c>
      <c r="I126" s="45">
        <f>F126*AP126</f>
      </c>
      <c r="J126" s="45">
        <f>F126*G126</f>
      </c>
      <c r="K126" s="46" t="s">
        <v>70</v>
      </c>
      <c r="Z126" s="45">
        <f>IF(AQ126="5",BJ126,0)</f>
      </c>
      <c r="AB126" s="45">
        <f>IF(AQ126="1",BH126,0)</f>
      </c>
      <c r="AC126" s="45">
        <f>IF(AQ126="1",BI126,0)</f>
      </c>
      <c r="AD126" s="45">
        <f>IF(AQ126="7",BH126,0)</f>
      </c>
      <c r="AE126" s="45">
        <f>IF(AQ126="7",BI126,0)</f>
      </c>
      <c r="AF126" s="45">
        <f>IF(AQ126="2",BH126,0)</f>
      </c>
      <c r="AG126" s="45">
        <f>IF(AQ126="2",BI126,0)</f>
      </c>
      <c r="AH126" s="45">
        <f>IF(AQ126="0",BJ126,0)</f>
      </c>
      <c r="AI126" s="28" t="s">
        <v>55</v>
      </c>
      <c r="AJ126" s="45">
        <f>IF(AN126=0,J126,0)</f>
      </c>
      <c r="AK126" s="45">
        <f>IF(AN126=12,J126,0)</f>
      </c>
      <c r="AL126" s="45">
        <f>IF(AN126=21,J126,0)</f>
      </c>
      <c r="AN126" s="45" t="n">
        <v>21</v>
      </c>
      <c r="AO126" s="45">
        <f>G126*1</f>
      </c>
      <c r="AP126" s="45">
        <f>G126*(1-1)</f>
      </c>
      <c r="AQ126" s="47" t="s">
        <v>350</v>
      </c>
      <c r="AV126" s="45">
        <f>AW126+AX126</f>
      </c>
      <c r="AW126" s="45">
        <f>F126*AO126</f>
      </c>
      <c r="AX126" s="45">
        <f>F126*AP126</f>
      </c>
      <c r="AY126" s="47" t="s">
        <v>351</v>
      </c>
      <c r="AZ126" s="47" t="s">
        <v>352</v>
      </c>
      <c r="BA126" s="28" t="s">
        <v>65</v>
      </c>
      <c r="BC126" s="45">
        <f>AW126+AX126</f>
      </c>
      <c r="BD126" s="45">
        <f>G126/(100-BE126)*100</f>
      </c>
      <c r="BE126" s="45" t="n">
        <v>0</v>
      </c>
      <c r="BF126" s="45">
        <f>126</f>
      </c>
      <c r="BH126" s="45">
        <f>F126*AO126</f>
      </c>
      <c r="BI126" s="45">
        <f>F126*AP126</f>
      </c>
      <c r="BJ126" s="45">
        <f>F126*G126</f>
      </c>
      <c r="BK126" s="45"/>
      <c r="BL126" s="45"/>
      <c r="BW126" s="45" t="n">
        <v>21</v>
      </c>
      <c r="BX126" s="14" t="s">
        <v>404</v>
      </c>
    </row>
    <row r="127">
      <c r="A127" s="9" t="s">
        <v>289</v>
      </c>
      <c r="B127" s="10" t="s">
        <v>405</v>
      </c>
      <c r="C127" s="14" t="s">
        <v>406</v>
      </c>
      <c r="D127" s="10"/>
      <c r="E127" s="10" t="s">
        <v>178</v>
      </c>
      <c r="F127" s="45" t="n">
        <v>4</v>
      </c>
      <c r="G127" s="45" t="n">
        <v>0</v>
      </c>
      <c r="H127" s="45">
        <f>F127*AO127</f>
      </c>
      <c r="I127" s="45">
        <f>F127*AP127</f>
      </c>
      <c r="J127" s="45">
        <f>F127*G127</f>
      </c>
      <c r="K127" s="46" t="s">
        <v>70</v>
      </c>
      <c r="Z127" s="45">
        <f>IF(AQ127="5",BJ127,0)</f>
      </c>
      <c r="AB127" s="45">
        <f>IF(AQ127="1",BH127,0)</f>
      </c>
      <c r="AC127" s="45">
        <f>IF(AQ127="1",BI127,0)</f>
      </c>
      <c r="AD127" s="45">
        <f>IF(AQ127="7",BH127,0)</f>
      </c>
      <c r="AE127" s="45">
        <f>IF(AQ127="7",BI127,0)</f>
      </c>
      <c r="AF127" s="45">
        <f>IF(AQ127="2",BH127,0)</f>
      </c>
      <c r="AG127" s="45">
        <f>IF(AQ127="2",BI127,0)</f>
      </c>
      <c r="AH127" s="45">
        <f>IF(AQ127="0",BJ127,0)</f>
      </c>
      <c r="AI127" s="28" t="s">
        <v>55</v>
      </c>
      <c r="AJ127" s="45">
        <f>IF(AN127=0,J127,0)</f>
      </c>
      <c r="AK127" s="45">
        <f>IF(AN127=12,J127,0)</f>
      </c>
      <c r="AL127" s="45">
        <f>IF(AN127=21,J127,0)</f>
      </c>
      <c r="AN127" s="45" t="n">
        <v>21</v>
      </c>
      <c r="AO127" s="45">
        <f>G127*1</f>
      </c>
      <c r="AP127" s="45">
        <f>G127*(1-1)</f>
      </c>
      <c r="AQ127" s="47" t="s">
        <v>350</v>
      </c>
      <c r="AV127" s="45">
        <f>AW127+AX127</f>
      </c>
      <c r="AW127" s="45">
        <f>F127*AO127</f>
      </c>
      <c r="AX127" s="45">
        <f>F127*AP127</f>
      </c>
      <c r="AY127" s="47" t="s">
        <v>351</v>
      </c>
      <c r="AZ127" s="47" t="s">
        <v>352</v>
      </c>
      <c r="BA127" s="28" t="s">
        <v>65</v>
      </c>
      <c r="BC127" s="45">
        <f>AW127+AX127</f>
      </c>
      <c r="BD127" s="45">
        <f>G127/(100-BE127)*100</f>
      </c>
      <c r="BE127" s="45" t="n">
        <v>0</v>
      </c>
      <c r="BF127" s="45">
        <f>127</f>
      </c>
      <c r="BH127" s="45">
        <f>F127*AO127</f>
      </c>
      <c r="BI127" s="45">
        <f>F127*AP127</f>
      </c>
      <c r="BJ127" s="45">
        <f>F127*G127</f>
      </c>
      <c r="BK127" s="45"/>
      <c r="BL127" s="45"/>
      <c r="BW127" s="45" t="n">
        <v>21</v>
      </c>
      <c r="BX127" s="14" t="s">
        <v>406</v>
      </c>
    </row>
    <row r="128">
      <c r="A128" s="9" t="s">
        <v>407</v>
      </c>
      <c r="B128" s="10" t="s">
        <v>408</v>
      </c>
      <c r="C128" s="14" t="s">
        <v>409</v>
      </c>
      <c r="D128" s="10"/>
      <c r="E128" s="10" t="s">
        <v>178</v>
      </c>
      <c r="F128" s="45" t="n">
        <v>2</v>
      </c>
      <c r="G128" s="45" t="n">
        <v>0</v>
      </c>
      <c r="H128" s="45">
        <f>F128*AO128</f>
      </c>
      <c r="I128" s="45">
        <f>F128*AP128</f>
      </c>
      <c r="J128" s="45">
        <f>F128*G128</f>
      </c>
      <c r="K128" s="46" t="s">
        <v>70</v>
      </c>
      <c r="Z128" s="45">
        <f>IF(AQ128="5",BJ128,0)</f>
      </c>
      <c r="AB128" s="45">
        <f>IF(AQ128="1",BH128,0)</f>
      </c>
      <c r="AC128" s="45">
        <f>IF(AQ128="1",BI128,0)</f>
      </c>
      <c r="AD128" s="45">
        <f>IF(AQ128="7",BH128,0)</f>
      </c>
      <c r="AE128" s="45">
        <f>IF(AQ128="7",BI128,0)</f>
      </c>
      <c r="AF128" s="45">
        <f>IF(AQ128="2",BH128,0)</f>
      </c>
      <c r="AG128" s="45">
        <f>IF(AQ128="2",BI128,0)</f>
      </c>
      <c r="AH128" s="45">
        <f>IF(AQ128="0",BJ128,0)</f>
      </c>
      <c r="AI128" s="28" t="s">
        <v>55</v>
      </c>
      <c r="AJ128" s="45">
        <f>IF(AN128=0,J128,0)</f>
      </c>
      <c r="AK128" s="45">
        <f>IF(AN128=12,J128,0)</f>
      </c>
      <c r="AL128" s="45">
        <f>IF(AN128=21,J128,0)</f>
      </c>
      <c r="AN128" s="45" t="n">
        <v>21</v>
      </c>
      <c r="AO128" s="45">
        <f>G128*1</f>
      </c>
      <c r="AP128" s="45">
        <f>G128*(1-1)</f>
      </c>
      <c r="AQ128" s="47" t="s">
        <v>350</v>
      </c>
      <c r="AV128" s="45">
        <f>AW128+AX128</f>
      </c>
      <c r="AW128" s="45">
        <f>F128*AO128</f>
      </c>
      <c r="AX128" s="45">
        <f>F128*AP128</f>
      </c>
      <c r="AY128" s="47" t="s">
        <v>351</v>
      </c>
      <c r="AZ128" s="47" t="s">
        <v>352</v>
      </c>
      <c r="BA128" s="28" t="s">
        <v>65</v>
      </c>
      <c r="BC128" s="45">
        <f>AW128+AX128</f>
      </c>
      <c r="BD128" s="45">
        <f>G128/(100-BE128)*100</f>
      </c>
      <c r="BE128" s="45" t="n">
        <v>0</v>
      </c>
      <c r="BF128" s="45">
        <f>128</f>
      </c>
      <c r="BH128" s="45">
        <f>F128*AO128</f>
      </c>
      <c r="BI128" s="45">
        <f>F128*AP128</f>
      </c>
      <c r="BJ128" s="45">
        <f>F128*G128</f>
      </c>
      <c r="BK128" s="45"/>
      <c r="BL128" s="45"/>
      <c r="BW128" s="45" t="n">
        <v>21</v>
      </c>
      <c r="BX128" s="14" t="s">
        <v>409</v>
      </c>
    </row>
    <row r="129">
      <c r="A129" s="9" t="s">
        <v>300</v>
      </c>
      <c r="B129" s="10" t="s">
        <v>410</v>
      </c>
      <c r="C129" s="14" t="s">
        <v>411</v>
      </c>
      <c r="D129" s="10"/>
      <c r="E129" s="10" t="s">
        <v>178</v>
      </c>
      <c r="F129" s="45" t="n">
        <v>1</v>
      </c>
      <c r="G129" s="45" t="n">
        <v>0</v>
      </c>
      <c r="H129" s="45">
        <f>F129*AO129</f>
      </c>
      <c r="I129" s="45">
        <f>F129*AP129</f>
      </c>
      <c r="J129" s="45">
        <f>F129*G129</f>
      </c>
      <c r="K129" s="46" t="s">
        <v>70</v>
      </c>
      <c r="Z129" s="45">
        <f>IF(AQ129="5",BJ129,0)</f>
      </c>
      <c r="AB129" s="45">
        <f>IF(AQ129="1",BH129,0)</f>
      </c>
      <c r="AC129" s="45">
        <f>IF(AQ129="1",BI129,0)</f>
      </c>
      <c r="AD129" s="45">
        <f>IF(AQ129="7",BH129,0)</f>
      </c>
      <c r="AE129" s="45">
        <f>IF(AQ129="7",BI129,0)</f>
      </c>
      <c r="AF129" s="45">
        <f>IF(AQ129="2",BH129,0)</f>
      </c>
      <c r="AG129" s="45">
        <f>IF(AQ129="2",BI129,0)</f>
      </c>
      <c r="AH129" s="45">
        <f>IF(AQ129="0",BJ129,0)</f>
      </c>
      <c r="AI129" s="28" t="s">
        <v>55</v>
      </c>
      <c r="AJ129" s="45">
        <f>IF(AN129=0,J129,0)</f>
      </c>
      <c r="AK129" s="45">
        <f>IF(AN129=12,J129,0)</f>
      </c>
      <c r="AL129" s="45">
        <f>IF(AN129=21,J129,0)</f>
      </c>
      <c r="AN129" s="45" t="n">
        <v>21</v>
      </c>
      <c r="AO129" s="45">
        <f>G129*1</f>
      </c>
      <c r="AP129" s="45">
        <f>G129*(1-1)</f>
      </c>
      <c r="AQ129" s="47" t="s">
        <v>350</v>
      </c>
      <c r="AV129" s="45">
        <f>AW129+AX129</f>
      </c>
      <c r="AW129" s="45">
        <f>F129*AO129</f>
      </c>
      <c r="AX129" s="45">
        <f>F129*AP129</f>
      </c>
      <c r="AY129" s="47" t="s">
        <v>351</v>
      </c>
      <c r="AZ129" s="47" t="s">
        <v>352</v>
      </c>
      <c r="BA129" s="28" t="s">
        <v>65</v>
      </c>
      <c r="BC129" s="45">
        <f>AW129+AX129</f>
      </c>
      <c r="BD129" s="45">
        <f>G129/(100-BE129)*100</f>
      </c>
      <c r="BE129" s="45" t="n">
        <v>0</v>
      </c>
      <c r="BF129" s="45">
        <f>129</f>
      </c>
      <c r="BH129" s="45">
        <f>F129*AO129</f>
      </c>
      <c r="BI129" s="45">
        <f>F129*AP129</f>
      </c>
      <c r="BJ129" s="45">
        <f>F129*G129</f>
      </c>
      <c r="BK129" s="45"/>
      <c r="BL129" s="45"/>
      <c r="BW129" s="45" t="n">
        <v>21</v>
      </c>
      <c r="BX129" s="14" t="s">
        <v>411</v>
      </c>
    </row>
    <row r="130">
      <c r="A130" s="9" t="s">
        <v>412</v>
      </c>
      <c r="B130" s="10" t="s">
        <v>413</v>
      </c>
      <c r="C130" s="14" t="s">
        <v>414</v>
      </c>
      <c r="D130" s="10"/>
      <c r="E130" s="10" t="s">
        <v>178</v>
      </c>
      <c r="F130" s="45" t="n">
        <v>1</v>
      </c>
      <c r="G130" s="45" t="n">
        <v>0</v>
      </c>
      <c r="H130" s="45">
        <f>F130*AO130</f>
      </c>
      <c r="I130" s="45">
        <f>F130*AP130</f>
      </c>
      <c r="J130" s="45">
        <f>F130*G130</f>
      </c>
      <c r="K130" s="46" t="s">
        <v>70</v>
      </c>
      <c r="Z130" s="45">
        <f>IF(AQ130="5",BJ130,0)</f>
      </c>
      <c r="AB130" s="45">
        <f>IF(AQ130="1",BH130,0)</f>
      </c>
      <c r="AC130" s="45">
        <f>IF(AQ130="1",BI130,0)</f>
      </c>
      <c r="AD130" s="45">
        <f>IF(AQ130="7",BH130,0)</f>
      </c>
      <c r="AE130" s="45">
        <f>IF(AQ130="7",BI130,0)</f>
      </c>
      <c r="AF130" s="45">
        <f>IF(AQ130="2",BH130,0)</f>
      </c>
      <c r="AG130" s="45">
        <f>IF(AQ130="2",BI130,0)</f>
      </c>
      <c r="AH130" s="45">
        <f>IF(AQ130="0",BJ130,0)</f>
      </c>
      <c r="AI130" s="28" t="s">
        <v>55</v>
      </c>
      <c r="AJ130" s="45">
        <f>IF(AN130=0,J130,0)</f>
      </c>
      <c r="AK130" s="45">
        <f>IF(AN130=12,J130,0)</f>
      </c>
      <c r="AL130" s="45">
        <f>IF(AN130=21,J130,0)</f>
      </c>
      <c r="AN130" s="45" t="n">
        <v>21</v>
      </c>
      <c r="AO130" s="45">
        <f>G130*1</f>
      </c>
      <c r="AP130" s="45">
        <f>G130*(1-1)</f>
      </c>
      <c r="AQ130" s="47" t="s">
        <v>350</v>
      </c>
      <c r="AV130" s="45">
        <f>AW130+AX130</f>
      </c>
      <c r="AW130" s="45">
        <f>F130*AO130</f>
      </c>
      <c r="AX130" s="45">
        <f>F130*AP130</f>
      </c>
      <c r="AY130" s="47" t="s">
        <v>351</v>
      </c>
      <c r="AZ130" s="47" t="s">
        <v>352</v>
      </c>
      <c r="BA130" s="28" t="s">
        <v>65</v>
      </c>
      <c r="BC130" s="45">
        <f>AW130+AX130</f>
      </c>
      <c r="BD130" s="45">
        <f>G130/(100-BE130)*100</f>
      </c>
      <c r="BE130" s="45" t="n">
        <v>0</v>
      </c>
      <c r="BF130" s="45">
        <f>130</f>
      </c>
      <c r="BH130" s="45">
        <f>F130*AO130</f>
      </c>
      <c r="BI130" s="45">
        <f>F130*AP130</f>
      </c>
      <c r="BJ130" s="45">
        <f>F130*G130</f>
      </c>
      <c r="BK130" s="45"/>
      <c r="BL130" s="45"/>
      <c r="BW130" s="45" t="n">
        <v>21</v>
      </c>
      <c r="BX130" s="14" t="s">
        <v>414</v>
      </c>
    </row>
    <row r="131">
      <c r="A131" s="9" t="s">
        <v>415</v>
      </c>
      <c r="B131" s="10" t="s">
        <v>416</v>
      </c>
      <c r="C131" s="14" t="s">
        <v>417</v>
      </c>
      <c r="D131" s="10"/>
      <c r="E131" s="10" t="s">
        <v>178</v>
      </c>
      <c r="F131" s="45" t="n">
        <v>2</v>
      </c>
      <c r="G131" s="45" t="n">
        <v>0</v>
      </c>
      <c r="H131" s="45">
        <f>F131*AO131</f>
      </c>
      <c r="I131" s="45">
        <f>F131*AP131</f>
      </c>
      <c r="J131" s="45">
        <f>F131*G131</f>
      </c>
      <c r="K131" s="46" t="s">
        <v>70</v>
      </c>
      <c r="Z131" s="45">
        <f>IF(AQ131="5",BJ131,0)</f>
      </c>
      <c r="AB131" s="45">
        <f>IF(AQ131="1",BH131,0)</f>
      </c>
      <c r="AC131" s="45">
        <f>IF(AQ131="1",BI131,0)</f>
      </c>
      <c r="AD131" s="45">
        <f>IF(AQ131="7",BH131,0)</f>
      </c>
      <c r="AE131" s="45">
        <f>IF(AQ131="7",BI131,0)</f>
      </c>
      <c r="AF131" s="45">
        <f>IF(AQ131="2",BH131,0)</f>
      </c>
      <c r="AG131" s="45">
        <f>IF(AQ131="2",BI131,0)</f>
      </c>
      <c r="AH131" s="45">
        <f>IF(AQ131="0",BJ131,0)</f>
      </c>
      <c r="AI131" s="28" t="s">
        <v>55</v>
      </c>
      <c r="AJ131" s="45">
        <f>IF(AN131=0,J131,0)</f>
      </c>
      <c r="AK131" s="45">
        <f>IF(AN131=12,J131,0)</f>
      </c>
      <c r="AL131" s="45">
        <f>IF(AN131=21,J131,0)</f>
      </c>
      <c r="AN131" s="45" t="n">
        <v>21</v>
      </c>
      <c r="AO131" s="45">
        <f>G131*1</f>
      </c>
      <c r="AP131" s="45">
        <f>G131*(1-1)</f>
      </c>
      <c r="AQ131" s="47" t="s">
        <v>350</v>
      </c>
      <c r="AV131" s="45">
        <f>AW131+AX131</f>
      </c>
      <c r="AW131" s="45">
        <f>F131*AO131</f>
      </c>
      <c r="AX131" s="45">
        <f>F131*AP131</f>
      </c>
      <c r="AY131" s="47" t="s">
        <v>351</v>
      </c>
      <c r="AZ131" s="47" t="s">
        <v>352</v>
      </c>
      <c r="BA131" s="28" t="s">
        <v>65</v>
      </c>
      <c r="BC131" s="45">
        <f>AW131+AX131</f>
      </c>
      <c r="BD131" s="45">
        <f>G131/(100-BE131)*100</f>
      </c>
      <c r="BE131" s="45" t="n">
        <v>0</v>
      </c>
      <c r="BF131" s="45">
        <f>131</f>
      </c>
      <c r="BH131" s="45">
        <f>F131*AO131</f>
      </c>
      <c r="BI131" s="45">
        <f>F131*AP131</f>
      </c>
      <c r="BJ131" s="45">
        <f>F131*G131</f>
      </c>
      <c r="BK131" s="45"/>
      <c r="BL131" s="45"/>
      <c r="BW131" s="45" t="n">
        <v>21</v>
      </c>
      <c r="BX131" s="14" t="s">
        <v>417</v>
      </c>
    </row>
    <row r="132">
      <c r="A132" s="9" t="s">
        <v>418</v>
      </c>
      <c r="B132" s="10" t="s">
        <v>419</v>
      </c>
      <c r="C132" s="14" t="s">
        <v>420</v>
      </c>
      <c r="D132" s="10"/>
      <c r="E132" s="10" t="s">
        <v>178</v>
      </c>
      <c r="F132" s="45" t="n">
        <v>2</v>
      </c>
      <c r="G132" s="45" t="n">
        <v>0</v>
      </c>
      <c r="H132" s="45">
        <f>F132*AO132</f>
      </c>
      <c r="I132" s="45">
        <f>F132*AP132</f>
      </c>
      <c r="J132" s="45">
        <f>F132*G132</f>
      </c>
      <c r="K132" s="46" t="s">
        <v>70</v>
      </c>
      <c r="Z132" s="45">
        <f>IF(AQ132="5",BJ132,0)</f>
      </c>
      <c r="AB132" s="45">
        <f>IF(AQ132="1",BH132,0)</f>
      </c>
      <c r="AC132" s="45">
        <f>IF(AQ132="1",BI132,0)</f>
      </c>
      <c r="AD132" s="45">
        <f>IF(AQ132="7",BH132,0)</f>
      </c>
      <c r="AE132" s="45">
        <f>IF(AQ132="7",BI132,0)</f>
      </c>
      <c r="AF132" s="45">
        <f>IF(AQ132="2",BH132,0)</f>
      </c>
      <c r="AG132" s="45">
        <f>IF(AQ132="2",BI132,0)</f>
      </c>
      <c r="AH132" s="45">
        <f>IF(AQ132="0",BJ132,0)</f>
      </c>
      <c r="AI132" s="28" t="s">
        <v>55</v>
      </c>
      <c r="AJ132" s="45">
        <f>IF(AN132=0,J132,0)</f>
      </c>
      <c r="AK132" s="45">
        <f>IF(AN132=12,J132,0)</f>
      </c>
      <c r="AL132" s="45">
        <f>IF(AN132=21,J132,0)</f>
      </c>
      <c r="AN132" s="45" t="n">
        <v>21</v>
      </c>
      <c r="AO132" s="45">
        <f>G132*1</f>
      </c>
      <c r="AP132" s="45">
        <f>G132*(1-1)</f>
      </c>
      <c r="AQ132" s="47" t="s">
        <v>350</v>
      </c>
      <c r="AV132" s="45">
        <f>AW132+AX132</f>
      </c>
      <c r="AW132" s="45">
        <f>F132*AO132</f>
      </c>
      <c r="AX132" s="45">
        <f>F132*AP132</f>
      </c>
      <c r="AY132" s="47" t="s">
        <v>351</v>
      </c>
      <c r="AZ132" s="47" t="s">
        <v>352</v>
      </c>
      <c r="BA132" s="28" t="s">
        <v>65</v>
      </c>
      <c r="BC132" s="45">
        <f>AW132+AX132</f>
      </c>
      <c r="BD132" s="45">
        <f>G132/(100-BE132)*100</f>
      </c>
      <c r="BE132" s="45" t="n">
        <v>0</v>
      </c>
      <c r="BF132" s="45">
        <f>132</f>
      </c>
      <c r="BH132" s="45">
        <f>F132*AO132</f>
      </c>
      <c r="BI132" s="45">
        <f>F132*AP132</f>
      </c>
      <c r="BJ132" s="45">
        <f>F132*G132</f>
      </c>
      <c r="BK132" s="45"/>
      <c r="BL132" s="45"/>
      <c r="BW132" s="45" t="n">
        <v>21</v>
      </c>
      <c r="BX132" s="14" t="s">
        <v>420</v>
      </c>
    </row>
    <row r="133">
      <c r="A133" s="9" t="s">
        <v>306</v>
      </c>
      <c r="B133" s="10" t="s">
        <v>421</v>
      </c>
      <c r="C133" s="14" t="s">
        <v>422</v>
      </c>
      <c r="D133" s="10"/>
      <c r="E133" s="10" t="s">
        <v>178</v>
      </c>
      <c r="F133" s="45" t="n">
        <v>2</v>
      </c>
      <c r="G133" s="45" t="n">
        <v>0</v>
      </c>
      <c r="H133" s="45">
        <f>F133*AO133</f>
      </c>
      <c r="I133" s="45">
        <f>F133*AP133</f>
      </c>
      <c r="J133" s="45">
        <f>F133*G133</f>
      </c>
      <c r="K133" s="46" t="s">
        <v>70</v>
      </c>
      <c r="Z133" s="45">
        <f>IF(AQ133="5",BJ133,0)</f>
      </c>
      <c r="AB133" s="45">
        <f>IF(AQ133="1",BH133,0)</f>
      </c>
      <c r="AC133" s="45">
        <f>IF(AQ133="1",BI133,0)</f>
      </c>
      <c r="AD133" s="45">
        <f>IF(AQ133="7",BH133,0)</f>
      </c>
      <c r="AE133" s="45">
        <f>IF(AQ133="7",BI133,0)</f>
      </c>
      <c r="AF133" s="45">
        <f>IF(AQ133="2",BH133,0)</f>
      </c>
      <c r="AG133" s="45">
        <f>IF(AQ133="2",BI133,0)</f>
      </c>
      <c r="AH133" s="45">
        <f>IF(AQ133="0",BJ133,0)</f>
      </c>
      <c r="AI133" s="28" t="s">
        <v>55</v>
      </c>
      <c r="AJ133" s="45">
        <f>IF(AN133=0,J133,0)</f>
      </c>
      <c r="AK133" s="45">
        <f>IF(AN133=12,J133,0)</f>
      </c>
      <c r="AL133" s="45">
        <f>IF(AN133=21,J133,0)</f>
      </c>
      <c r="AN133" s="45" t="n">
        <v>21</v>
      </c>
      <c r="AO133" s="45">
        <f>G133*1</f>
      </c>
      <c r="AP133" s="45">
        <f>G133*(1-1)</f>
      </c>
      <c r="AQ133" s="47" t="s">
        <v>350</v>
      </c>
      <c r="AV133" s="45">
        <f>AW133+AX133</f>
      </c>
      <c r="AW133" s="45">
        <f>F133*AO133</f>
      </c>
      <c r="AX133" s="45">
        <f>F133*AP133</f>
      </c>
      <c r="AY133" s="47" t="s">
        <v>351</v>
      </c>
      <c r="AZ133" s="47" t="s">
        <v>352</v>
      </c>
      <c r="BA133" s="28" t="s">
        <v>65</v>
      </c>
      <c r="BC133" s="45">
        <f>AW133+AX133</f>
      </c>
      <c r="BD133" s="45">
        <f>G133/(100-BE133)*100</f>
      </c>
      <c r="BE133" s="45" t="n">
        <v>0</v>
      </c>
      <c r="BF133" s="45">
        <f>133</f>
      </c>
      <c r="BH133" s="45">
        <f>F133*AO133</f>
      </c>
      <c r="BI133" s="45">
        <f>F133*AP133</f>
      </c>
      <c r="BJ133" s="45">
        <f>F133*G133</f>
      </c>
      <c r="BK133" s="45"/>
      <c r="BL133" s="45"/>
      <c r="BW133" s="45" t="n">
        <v>21</v>
      </c>
      <c r="BX133" s="14" t="s">
        <v>422</v>
      </c>
    </row>
    <row r="134">
      <c r="A134" s="9" t="s">
        <v>423</v>
      </c>
      <c r="B134" s="10" t="s">
        <v>424</v>
      </c>
      <c r="C134" s="14" t="s">
        <v>425</v>
      </c>
      <c r="D134" s="10"/>
      <c r="E134" s="10" t="s">
        <v>178</v>
      </c>
      <c r="F134" s="45" t="n">
        <v>1</v>
      </c>
      <c r="G134" s="45" t="n">
        <v>0</v>
      </c>
      <c r="H134" s="45">
        <f>F134*AO134</f>
      </c>
      <c r="I134" s="45">
        <f>F134*AP134</f>
      </c>
      <c r="J134" s="45">
        <f>F134*G134</f>
      </c>
      <c r="K134" s="46" t="s">
        <v>70</v>
      </c>
      <c r="Z134" s="45">
        <f>IF(AQ134="5",BJ134,0)</f>
      </c>
      <c r="AB134" s="45">
        <f>IF(AQ134="1",BH134,0)</f>
      </c>
      <c r="AC134" s="45">
        <f>IF(AQ134="1",BI134,0)</f>
      </c>
      <c r="AD134" s="45">
        <f>IF(AQ134="7",BH134,0)</f>
      </c>
      <c r="AE134" s="45">
        <f>IF(AQ134="7",BI134,0)</f>
      </c>
      <c r="AF134" s="45">
        <f>IF(AQ134="2",BH134,0)</f>
      </c>
      <c r="AG134" s="45">
        <f>IF(AQ134="2",BI134,0)</f>
      </c>
      <c r="AH134" s="45">
        <f>IF(AQ134="0",BJ134,0)</f>
      </c>
      <c r="AI134" s="28" t="s">
        <v>55</v>
      </c>
      <c r="AJ134" s="45">
        <f>IF(AN134=0,J134,0)</f>
      </c>
      <c r="AK134" s="45">
        <f>IF(AN134=12,J134,0)</f>
      </c>
      <c r="AL134" s="45">
        <f>IF(AN134=21,J134,0)</f>
      </c>
      <c r="AN134" s="45" t="n">
        <v>21</v>
      </c>
      <c r="AO134" s="45">
        <f>G134*1</f>
      </c>
      <c r="AP134" s="45">
        <f>G134*(1-1)</f>
      </c>
      <c r="AQ134" s="47" t="s">
        <v>350</v>
      </c>
      <c r="AV134" s="45">
        <f>AW134+AX134</f>
      </c>
      <c r="AW134" s="45">
        <f>F134*AO134</f>
      </c>
      <c r="AX134" s="45">
        <f>F134*AP134</f>
      </c>
      <c r="AY134" s="47" t="s">
        <v>351</v>
      </c>
      <c r="AZ134" s="47" t="s">
        <v>352</v>
      </c>
      <c r="BA134" s="28" t="s">
        <v>65</v>
      </c>
      <c r="BC134" s="45">
        <f>AW134+AX134</f>
      </c>
      <c r="BD134" s="45">
        <f>G134/(100-BE134)*100</f>
      </c>
      <c r="BE134" s="45" t="n">
        <v>0</v>
      </c>
      <c r="BF134" s="45">
        <f>134</f>
      </c>
      <c r="BH134" s="45">
        <f>F134*AO134</f>
      </c>
      <c r="BI134" s="45">
        <f>F134*AP134</f>
      </c>
      <c r="BJ134" s="45">
        <f>F134*G134</f>
      </c>
      <c r="BK134" s="45"/>
      <c r="BL134" s="45"/>
      <c r="BW134" s="45" t="n">
        <v>21</v>
      </c>
      <c r="BX134" s="14" t="s">
        <v>425</v>
      </c>
    </row>
    <row r="135">
      <c r="A135" s="9" t="s">
        <v>426</v>
      </c>
      <c r="B135" s="10" t="s">
        <v>427</v>
      </c>
      <c r="C135" s="14" t="s">
        <v>428</v>
      </c>
      <c r="D135" s="10"/>
      <c r="E135" s="10" t="s">
        <v>178</v>
      </c>
      <c r="F135" s="45" t="n">
        <v>1</v>
      </c>
      <c r="G135" s="45" t="n">
        <v>0</v>
      </c>
      <c r="H135" s="45">
        <f>F135*AO135</f>
      </c>
      <c r="I135" s="45">
        <f>F135*AP135</f>
      </c>
      <c r="J135" s="45">
        <f>F135*G135</f>
      </c>
      <c r="K135" s="46" t="s">
        <v>70</v>
      </c>
      <c r="Z135" s="45">
        <f>IF(AQ135="5",BJ135,0)</f>
      </c>
      <c r="AB135" s="45">
        <f>IF(AQ135="1",BH135,0)</f>
      </c>
      <c r="AC135" s="45">
        <f>IF(AQ135="1",BI135,0)</f>
      </c>
      <c r="AD135" s="45">
        <f>IF(AQ135="7",BH135,0)</f>
      </c>
      <c r="AE135" s="45">
        <f>IF(AQ135="7",BI135,0)</f>
      </c>
      <c r="AF135" s="45">
        <f>IF(AQ135="2",BH135,0)</f>
      </c>
      <c r="AG135" s="45">
        <f>IF(AQ135="2",BI135,0)</f>
      </c>
      <c r="AH135" s="45">
        <f>IF(AQ135="0",BJ135,0)</f>
      </c>
      <c r="AI135" s="28" t="s">
        <v>55</v>
      </c>
      <c r="AJ135" s="45">
        <f>IF(AN135=0,J135,0)</f>
      </c>
      <c r="AK135" s="45">
        <f>IF(AN135=12,J135,0)</f>
      </c>
      <c r="AL135" s="45">
        <f>IF(AN135=21,J135,0)</f>
      </c>
      <c r="AN135" s="45" t="n">
        <v>21</v>
      </c>
      <c r="AO135" s="45">
        <f>G135*1</f>
      </c>
      <c r="AP135" s="45">
        <f>G135*(1-1)</f>
      </c>
      <c r="AQ135" s="47" t="s">
        <v>350</v>
      </c>
      <c r="AV135" s="45">
        <f>AW135+AX135</f>
      </c>
      <c r="AW135" s="45">
        <f>F135*AO135</f>
      </c>
      <c r="AX135" s="45">
        <f>F135*AP135</f>
      </c>
      <c r="AY135" s="47" t="s">
        <v>351</v>
      </c>
      <c r="AZ135" s="47" t="s">
        <v>352</v>
      </c>
      <c r="BA135" s="28" t="s">
        <v>65</v>
      </c>
      <c r="BC135" s="45">
        <f>AW135+AX135</f>
      </c>
      <c r="BD135" s="45">
        <f>G135/(100-BE135)*100</f>
      </c>
      <c r="BE135" s="45" t="n">
        <v>0</v>
      </c>
      <c r="BF135" s="45">
        <f>135</f>
      </c>
      <c r="BH135" s="45">
        <f>F135*AO135</f>
      </c>
      <c r="BI135" s="45">
        <f>F135*AP135</f>
      </c>
      <c r="BJ135" s="45">
        <f>F135*G135</f>
      </c>
      <c r="BK135" s="45"/>
      <c r="BL135" s="45"/>
      <c r="BW135" s="45" t="n">
        <v>21</v>
      </c>
      <c r="BX135" s="14" t="s">
        <v>428</v>
      </c>
    </row>
    <row r="136">
      <c r="A136" s="9" t="s">
        <v>429</v>
      </c>
      <c r="B136" s="10" t="s">
        <v>430</v>
      </c>
      <c r="C136" s="14" t="s">
        <v>431</v>
      </c>
      <c r="D136" s="10"/>
      <c r="E136" s="10" t="s">
        <v>178</v>
      </c>
      <c r="F136" s="45" t="n">
        <v>2</v>
      </c>
      <c r="G136" s="45" t="n">
        <v>0</v>
      </c>
      <c r="H136" s="45">
        <f>F136*AO136</f>
      </c>
      <c r="I136" s="45">
        <f>F136*AP136</f>
      </c>
      <c r="J136" s="45">
        <f>F136*G136</f>
      </c>
      <c r="K136" s="46" t="s">
        <v>70</v>
      </c>
      <c r="Z136" s="45">
        <f>IF(AQ136="5",BJ136,0)</f>
      </c>
      <c r="AB136" s="45">
        <f>IF(AQ136="1",BH136,0)</f>
      </c>
      <c r="AC136" s="45">
        <f>IF(AQ136="1",BI136,0)</f>
      </c>
      <c r="AD136" s="45">
        <f>IF(AQ136="7",BH136,0)</f>
      </c>
      <c r="AE136" s="45">
        <f>IF(AQ136="7",BI136,0)</f>
      </c>
      <c r="AF136" s="45">
        <f>IF(AQ136="2",BH136,0)</f>
      </c>
      <c r="AG136" s="45">
        <f>IF(AQ136="2",BI136,0)</f>
      </c>
      <c r="AH136" s="45">
        <f>IF(AQ136="0",BJ136,0)</f>
      </c>
      <c r="AI136" s="28" t="s">
        <v>55</v>
      </c>
      <c r="AJ136" s="45">
        <f>IF(AN136=0,J136,0)</f>
      </c>
      <c r="AK136" s="45">
        <f>IF(AN136=12,J136,0)</f>
      </c>
      <c r="AL136" s="45">
        <f>IF(AN136=21,J136,0)</f>
      </c>
      <c r="AN136" s="45" t="n">
        <v>21</v>
      </c>
      <c r="AO136" s="45">
        <f>G136*1</f>
      </c>
      <c r="AP136" s="45">
        <f>G136*(1-1)</f>
      </c>
      <c r="AQ136" s="47" t="s">
        <v>350</v>
      </c>
      <c r="AV136" s="45">
        <f>AW136+AX136</f>
      </c>
      <c r="AW136" s="45">
        <f>F136*AO136</f>
      </c>
      <c r="AX136" s="45">
        <f>F136*AP136</f>
      </c>
      <c r="AY136" s="47" t="s">
        <v>351</v>
      </c>
      <c r="AZ136" s="47" t="s">
        <v>352</v>
      </c>
      <c r="BA136" s="28" t="s">
        <v>65</v>
      </c>
      <c r="BC136" s="45">
        <f>AW136+AX136</f>
      </c>
      <c r="BD136" s="45">
        <f>G136/(100-BE136)*100</f>
      </c>
      <c r="BE136" s="45" t="n">
        <v>0</v>
      </c>
      <c r="BF136" s="45">
        <f>136</f>
      </c>
      <c r="BH136" s="45">
        <f>F136*AO136</f>
      </c>
      <c r="BI136" s="45">
        <f>F136*AP136</f>
      </c>
      <c r="BJ136" s="45">
        <f>F136*G136</f>
      </c>
      <c r="BK136" s="45"/>
      <c r="BL136" s="45"/>
      <c r="BW136" s="45" t="n">
        <v>21</v>
      </c>
      <c r="BX136" s="14" t="s">
        <v>431</v>
      </c>
    </row>
    <row r="137">
      <c r="A137" s="9" t="s">
        <v>432</v>
      </c>
      <c r="B137" s="10" t="s">
        <v>433</v>
      </c>
      <c r="C137" s="14" t="s">
        <v>434</v>
      </c>
      <c r="D137" s="10"/>
      <c r="E137" s="10" t="s">
        <v>178</v>
      </c>
      <c r="F137" s="45" t="n">
        <v>2</v>
      </c>
      <c r="G137" s="45" t="n">
        <v>0</v>
      </c>
      <c r="H137" s="45">
        <f>F137*AO137</f>
      </c>
      <c r="I137" s="45">
        <f>F137*AP137</f>
      </c>
      <c r="J137" s="45">
        <f>F137*G137</f>
      </c>
      <c r="K137" s="46" t="s">
        <v>70</v>
      </c>
      <c r="Z137" s="45">
        <f>IF(AQ137="5",BJ137,0)</f>
      </c>
      <c r="AB137" s="45">
        <f>IF(AQ137="1",BH137,0)</f>
      </c>
      <c r="AC137" s="45">
        <f>IF(AQ137="1",BI137,0)</f>
      </c>
      <c r="AD137" s="45">
        <f>IF(AQ137="7",BH137,0)</f>
      </c>
      <c r="AE137" s="45">
        <f>IF(AQ137="7",BI137,0)</f>
      </c>
      <c r="AF137" s="45">
        <f>IF(AQ137="2",BH137,0)</f>
      </c>
      <c r="AG137" s="45">
        <f>IF(AQ137="2",BI137,0)</f>
      </c>
      <c r="AH137" s="45">
        <f>IF(AQ137="0",BJ137,0)</f>
      </c>
      <c r="AI137" s="28" t="s">
        <v>55</v>
      </c>
      <c r="AJ137" s="45">
        <f>IF(AN137=0,J137,0)</f>
      </c>
      <c r="AK137" s="45">
        <f>IF(AN137=12,J137,0)</f>
      </c>
      <c r="AL137" s="45">
        <f>IF(AN137=21,J137,0)</f>
      </c>
      <c r="AN137" s="45" t="n">
        <v>21</v>
      </c>
      <c r="AO137" s="45">
        <f>G137*1</f>
      </c>
      <c r="AP137" s="45">
        <f>G137*(1-1)</f>
      </c>
      <c r="AQ137" s="47" t="s">
        <v>350</v>
      </c>
      <c r="AV137" s="45">
        <f>AW137+AX137</f>
      </c>
      <c r="AW137" s="45">
        <f>F137*AO137</f>
      </c>
      <c r="AX137" s="45">
        <f>F137*AP137</f>
      </c>
      <c r="AY137" s="47" t="s">
        <v>351</v>
      </c>
      <c r="AZ137" s="47" t="s">
        <v>352</v>
      </c>
      <c r="BA137" s="28" t="s">
        <v>65</v>
      </c>
      <c r="BC137" s="45">
        <f>AW137+AX137</f>
      </c>
      <c r="BD137" s="45">
        <f>G137/(100-BE137)*100</f>
      </c>
      <c r="BE137" s="45" t="n">
        <v>0</v>
      </c>
      <c r="BF137" s="45">
        <f>137</f>
      </c>
      <c r="BH137" s="45">
        <f>F137*AO137</f>
      </c>
      <c r="BI137" s="45">
        <f>F137*AP137</f>
      </c>
      <c r="BJ137" s="45">
        <f>F137*G137</f>
      </c>
      <c r="BK137" s="45"/>
      <c r="BL137" s="45"/>
      <c r="BW137" s="45" t="n">
        <v>21</v>
      </c>
      <c r="BX137" s="14" t="s">
        <v>434</v>
      </c>
    </row>
    <row r="138">
      <c r="A138" s="9" t="s">
        <v>435</v>
      </c>
      <c r="B138" s="10" t="s">
        <v>436</v>
      </c>
      <c r="C138" s="14" t="s">
        <v>437</v>
      </c>
      <c r="D138" s="10"/>
      <c r="E138" s="10" t="s">
        <v>178</v>
      </c>
      <c r="F138" s="45" t="n">
        <v>8</v>
      </c>
      <c r="G138" s="45" t="n">
        <v>0</v>
      </c>
      <c r="H138" s="45">
        <f>F138*AO138</f>
      </c>
      <c r="I138" s="45">
        <f>F138*AP138</f>
      </c>
      <c r="J138" s="45">
        <f>F138*G138</f>
      </c>
      <c r="K138" s="46" t="s">
        <v>70</v>
      </c>
      <c r="Z138" s="45">
        <f>IF(AQ138="5",BJ138,0)</f>
      </c>
      <c r="AB138" s="45">
        <f>IF(AQ138="1",BH138,0)</f>
      </c>
      <c r="AC138" s="45">
        <f>IF(AQ138="1",BI138,0)</f>
      </c>
      <c r="AD138" s="45">
        <f>IF(AQ138="7",BH138,0)</f>
      </c>
      <c r="AE138" s="45">
        <f>IF(AQ138="7",BI138,0)</f>
      </c>
      <c r="AF138" s="45">
        <f>IF(AQ138="2",BH138,0)</f>
      </c>
      <c r="AG138" s="45">
        <f>IF(AQ138="2",BI138,0)</f>
      </c>
      <c r="AH138" s="45">
        <f>IF(AQ138="0",BJ138,0)</f>
      </c>
      <c r="AI138" s="28" t="s">
        <v>55</v>
      </c>
      <c r="AJ138" s="45">
        <f>IF(AN138=0,J138,0)</f>
      </c>
      <c r="AK138" s="45">
        <f>IF(AN138=12,J138,0)</f>
      </c>
      <c r="AL138" s="45">
        <f>IF(AN138=21,J138,0)</f>
      </c>
      <c r="AN138" s="45" t="n">
        <v>21</v>
      </c>
      <c r="AO138" s="45">
        <f>G138*1</f>
      </c>
      <c r="AP138" s="45">
        <f>G138*(1-1)</f>
      </c>
      <c r="AQ138" s="47" t="s">
        <v>350</v>
      </c>
      <c r="AV138" s="45">
        <f>AW138+AX138</f>
      </c>
      <c r="AW138" s="45">
        <f>F138*AO138</f>
      </c>
      <c r="AX138" s="45">
        <f>F138*AP138</f>
      </c>
      <c r="AY138" s="47" t="s">
        <v>351</v>
      </c>
      <c r="AZ138" s="47" t="s">
        <v>352</v>
      </c>
      <c r="BA138" s="28" t="s">
        <v>65</v>
      </c>
      <c r="BC138" s="45">
        <f>AW138+AX138</f>
      </c>
      <c r="BD138" s="45">
        <f>G138/(100-BE138)*100</f>
      </c>
      <c r="BE138" s="45" t="n">
        <v>0</v>
      </c>
      <c r="BF138" s="45">
        <f>138</f>
      </c>
      <c r="BH138" s="45">
        <f>F138*AO138</f>
      </c>
      <c r="BI138" s="45">
        <f>F138*AP138</f>
      </c>
      <c r="BJ138" s="45">
        <f>F138*G138</f>
      </c>
      <c r="BK138" s="45"/>
      <c r="BL138" s="45"/>
      <c r="BW138" s="45" t="n">
        <v>21</v>
      </c>
      <c r="BX138" s="14" t="s">
        <v>437</v>
      </c>
    </row>
    <row r="139">
      <c r="A139" s="9" t="s">
        <v>438</v>
      </c>
      <c r="B139" s="10" t="s">
        <v>439</v>
      </c>
      <c r="C139" s="14" t="s">
        <v>440</v>
      </c>
      <c r="D139" s="10"/>
      <c r="E139" s="10" t="s">
        <v>178</v>
      </c>
      <c r="F139" s="45" t="n">
        <v>4</v>
      </c>
      <c r="G139" s="45" t="n">
        <v>0</v>
      </c>
      <c r="H139" s="45">
        <f>F139*AO139</f>
      </c>
      <c r="I139" s="45">
        <f>F139*AP139</f>
      </c>
      <c r="J139" s="45">
        <f>F139*G139</f>
      </c>
      <c r="K139" s="46" t="s">
        <v>70</v>
      </c>
      <c r="Z139" s="45">
        <f>IF(AQ139="5",BJ139,0)</f>
      </c>
      <c r="AB139" s="45">
        <f>IF(AQ139="1",BH139,0)</f>
      </c>
      <c r="AC139" s="45">
        <f>IF(AQ139="1",BI139,0)</f>
      </c>
      <c r="AD139" s="45">
        <f>IF(AQ139="7",BH139,0)</f>
      </c>
      <c r="AE139" s="45">
        <f>IF(AQ139="7",BI139,0)</f>
      </c>
      <c r="AF139" s="45">
        <f>IF(AQ139="2",BH139,0)</f>
      </c>
      <c r="AG139" s="45">
        <f>IF(AQ139="2",BI139,0)</f>
      </c>
      <c r="AH139" s="45">
        <f>IF(AQ139="0",BJ139,0)</f>
      </c>
      <c r="AI139" s="28" t="s">
        <v>55</v>
      </c>
      <c r="AJ139" s="45">
        <f>IF(AN139=0,J139,0)</f>
      </c>
      <c r="AK139" s="45">
        <f>IF(AN139=12,J139,0)</f>
      </c>
      <c r="AL139" s="45">
        <f>IF(AN139=21,J139,0)</f>
      </c>
      <c r="AN139" s="45" t="n">
        <v>21</v>
      </c>
      <c r="AO139" s="45">
        <f>G139*1</f>
      </c>
      <c r="AP139" s="45">
        <f>G139*(1-1)</f>
      </c>
      <c r="AQ139" s="47" t="s">
        <v>350</v>
      </c>
      <c r="AV139" s="45">
        <f>AW139+AX139</f>
      </c>
      <c r="AW139" s="45">
        <f>F139*AO139</f>
      </c>
      <c r="AX139" s="45">
        <f>F139*AP139</f>
      </c>
      <c r="AY139" s="47" t="s">
        <v>351</v>
      </c>
      <c r="AZ139" s="47" t="s">
        <v>352</v>
      </c>
      <c r="BA139" s="28" t="s">
        <v>65</v>
      </c>
      <c r="BC139" s="45">
        <f>AW139+AX139</f>
      </c>
      <c r="BD139" s="45">
        <f>G139/(100-BE139)*100</f>
      </c>
      <c r="BE139" s="45" t="n">
        <v>0</v>
      </c>
      <c r="BF139" s="45">
        <f>139</f>
      </c>
      <c r="BH139" s="45">
        <f>F139*AO139</f>
      </c>
      <c r="BI139" s="45">
        <f>F139*AP139</f>
      </c>
      <c r="BJ139" s="45">
        <f>F139*G139</f>
      </c>
      <c r="BK139" s="45"/>
      <c r="BL139" s="45"/>
      <c r="BW139" s="45" t="n">
        <v>21</v>
      </c>
      <c r="BX139" s="14" t="s">
        <v>440</v>
      </c>
    </row>
    <row r="140">
      <c r="A140" s="9" t="s">
        <v>441</v>
      </c>
      <c r="B140" s="10" t="s">
        <v>442</v>
      </c>
      <c r="C140" s="14" t="s">
        <v>443</v>
      </c>
      <c r="D140" s="10"/>
      <c r="E140" s="10" t="s">
        <v>178</v>
      </c>
      <c r="F140" s="45" t="n">
        <v>48</v>
      </c>
      <c r="G140" s="45" t="n">
        <v>0</v>
      </c>
      <c r="H140" s="45">
        <f>F140*AO140</f>
      </c>
      <c r="I140" s="45">
        <f>F140*AP140</f>
      </c>
      <c r="J140" s="45">
        <f>F140*G140</f>
      </c>
      <c r="K140" s="46" t="s">
        <v>70</v>
      </c>
      <c r="Z140" s="45">
        <f>IF(AQ140="5",BJ140,0)</f>
      </c>
      <c r="AB140" s="45">
        <f>IF(AQ140="1",BH140,0)</f>
      </c>
      <c r="AC140" s="45">
        <f>IF(AQ140="1",BI140,0)</f>
      </c>
      <c r="AD140" s="45">
        <f>IF(AQ140="7",BH140,0)</f>
      </c>
      <c r="AE140" s="45">
        <f>IF(AQ140="7",BI140,0)</f>
      </c>
      <c r="AF140" s="45">
        <f>IF(AQ140="2",BH140,0)</f>
      </c>
      <c r="AG140" s="45">
        <f>IF(AQ140="2",BI140,0)</f>
      </c>
      <c r="AH140" s="45">
        <f>IF(AQ140="0",BJ140,0)</f>
      </c>
      <c r="AI140" s="28" t="s">
        <v>55</v>
      </c>
      <c r="AJ140" s="45">
        <f>IF(AN140=0,J140,0)</f>
      </c>
      <c r="AK140" s="45">
        <f>IF(AN140=12,J140,0)</f>
      </c>
      <c r="AL140" s="45">
        <f>IF(AN140=21,J140,0)</f>
      </c>
      <c r="AN140" s="45" t="n">
        <v>21</v>
      </c>
      <c r="AO140" s="45">
        <f>G140*1</f>
      </c>
      <c r="AP140" s="45">
        <f>G140*(1-1)</f>
      </c>
      <c r="AQ140" s="47" t="s">
        <v>350</v>
      </c>
      <c r="AV140" s="45">
        <f>AW140+AX140</f>
      </c>
      <c r="AW140" s="45">
        <f>F140*AO140</f>
      </c>
      <c r="AX140" s="45">
        <f>F140*AP140</f>
      </c>
      <c r="AY140" s="47" t="s">
        <v>351</v>
      </c>
      <c r="AZ140" s="47" t="s">
        <v>352</v>
      </c>
      <c r="BA140" s="28" t="s">
        <v>65</v>
      </c>
      <c r="BC140" s="45">
        <f>AW140+AX140</f>
      </c>
      <c r="BD140" s="45">
        <f>G140/(100-BE140)*100</f>
      </c>
      <c r="BE140" s="45" t="n">
        <v>0</v>
      </c>
      <c r="BF140" s="45">
        <f>140</f>
      </c>
      <c r="BH140" s="45">
        <f>F140*AO140</f>
      </c>
      <c r="BI140" s="45">
        <f>F140*AP140</f>
      </c>
      <c r="BJ140" s="45">
        <f>F140*G140</f>
      </c>
      <c r="BK140" s="45"/>
      <c r="BL140" s="45"/>
      <c r="BW140" s="45" t="n">
        <v>21</v>
      </c>
      <c r="BX140" s="14" t="s">
        <v>443</v>
      </c>
    </row>
    <row r="141">
      <c r="A141" s="9" t="s">
        <v>444</v>
      </c>
      <c r="B141" s="10" t="s">
        <v>445</v>
      </c>
      <c r="C141" s="14" t="s">
        <v>446</v>
      </c>
      <c r="D141" s="10"/>
      <c r="E141" s="10" t="s">
        <v>178</v>
      </c>
      <c r="F141" s="45" t="n">
        <v>96</v>
      </c>
      <c r="G141" s="45" t="n">
        <v>0</v>
      </c>
      <c r="H141" s="45">
        <f>F141*AO141</f>
      </c>
      <c r="I141" s="45">
        <f>F141*AP141</f>
      </c>
      <c r="J141" s="45">
        <f>F141*G141</f>
      </c>
      <c r="K141" s="46" t="s">
        <v>70</v>
      </c>
      <c r="Z141" s="45">
        <f>IF(AQ141="5",BJ141,0)</f>
      </c>
      <c r="AB141" s="45">
        <f>IF(AQ141="1",BH141,0)</f>
      </c>
      <c r="AC141" s="45">
        <f>IF(AQ141="1",BI141,0)</f>
      </c>
      <c r="AD141" s="45">
        <f>IF(AQ141="7",BH141,0)</f>
      </c>
      <c r="AE141" s="45">
        <f>IF(AQ141="7",BI141,0)</f>
      </c>
      <c r="AF141" s="45">
        <f>IF(AQ141="2",BH141,0)</f>
      </c>
      <c r="AG141" s="45">
        <f>IF(AQ141="2",BI141,0)</f>
      </c>
      <c r="AH141" s="45">
        <f>IF(AQ141="0",BJ141,0)</f>
      </c>
      <c r="AI141" s="28" t="s">
        <v>55</v>
      </c>
      <c r="AJ141" s="45">
        <f>IF(AN141=0,J141,0)</f>
      </c>
      <c r="AK141" s="45">
        <f>IF(AN141=12,J141,0)</f>
      </c>
      <c r="AL141" s="45">
        <f>IF(AN141=21,J141,0)</f>
      </c>
      <c r="AN141" s="45" t="n">
        <v>21</v>
      </c>
      <c r="AO141" s="45">
        <f>G141*1</f>
      </c>
      <c r="AP141" s="45">
        <f>G141*(1-1)</f>
      </c>
      <c r="AQ141" s="47" t="s">
        <v>350</v>
      </c>
      <c r="AV141" s="45">
        <f>AW141+AX141</f>
      </c>
      <c r="AW141" s="45">
        <f>F141*AO141</f>
      </c>
      <c r="AX141" s="45">
        <f>F141*AP141</f>
      </c>
      <c r="AY141" s="47" t="s">
        <v>351</v>
      </c>
      <c r="AZ141" s="47" t="s">
        <v>352</v>
      </c>
      <c r="BA141" s="28" t="s">
        <v>65</v>
      </c>
      <c r="BC141" s="45">
        <f>AW141+AX141</f>
      </c>
      <c r="BD141" s="45">
        <f>G141/(100-BE141)*100</f>
      </c>
      <c r="BE141" s="45" t="n">
        <v>0</v>
      </c>
      <c r="BF141" s="45">
        <f>141</f>
      </c>
      <c r="BH141" s="45">
        <f>F141*AO141</f>
      </c>
      <c r="BI141" s="45">
        <f>F141*AP141</f>
      </c>
      <c r="BJ141" s="45">
        <f>F141*G141</f>
      </c>
      <c r="BK141" s="45"/>
      <c r="BL141" s="45"/>
      <c r="BW141" s="45" t="n">
        <v>21</v>
      </c>
      <c r="BX141" s="14" t="s">
        <v>446</v>
      </c>
    </row>
    <row r="142">
      <c r="A142" s="9" t="s">
        <v>447</v>
      </c>
      <c r="B142" s="10" t="s">
        <v>448</v>
      </c>
      <c r="C142" s="14" t="s">
        <v>449</v>
      </c>
      <c r="D142" s="10"/>
      <c r="E142" s="10" t="s">
        <v>178</v>
      </c>
      <c r="F142" s="45" t="n">
        <v>1</v>
      </c>
      <c r="G142" s="45" t="n">
        <v>0</v>
      </c>
      <c r="H142" s="45">
        <f>F142*AO142</f>
      </c>
      <c r="I142" s="45">
        <f>F142*AP142</f>
      </c>
      <c r="J142" s="45">
        <f>F142*G142</f>
      </c>
      <c r="K142" s="46" t="s">
        <v>70</v>
      </c>
      <c r="Z142" s="45">
        <f>IF(AQ142="5",BJ142,0)</f>
      </c>
      <c r="AB142" s="45">
        <f>IF(AQ142="1",BH142,0)</f>
      </c>
      <c r="AC142" s="45">
        <f>IF(AQ142="1",BI142,0)</f>
      </c>
      <c r="AD142" s="45">
        <f>IF(AQ142="7",BH142,0)</f>
      </c>
      <c r="AE142" s="45">
        <f>IF(AQ142="7",BI142,0)</f>
      </c>
      <c r="AF142" s="45">
        <f>IF(AQ142="2",BH142,0)</f>
      </c>
      <c r="AG142" s="45">
        <f>IF(AQ142="2",BI142,0)</f>
      </c>
      <c r="AH142" s="45">
        <f>IF(AQ142="0",BJ142,0)</f>
      </c>
      <c r="AI142" s="28" t="s">
        <v>55</v>
      </c>
      <c r="AJ142" s="45">
        <f>IF(AN142=0,J142,0)</f>
      </c>
      <c r="AK142" s="45">
        <f>IF(AN142=12,J142,0)</f>
      </c>
      <c r="AL142" s="45">
        <f>IF(AN142=21,J142,0)</f>
      </c>
      <c r="AN142" s="45" t="n">
        <v>21</v>
      </c>
      <c r="AO142" s="45">
        <f>G142*1</f>
      </c>
      <c r="AP142" s="45">
        <f>G142*(1-1)</f>
      </c>
      <c r="AQ142" s="47" t="s">
        <v>350</v>
      </c>
      <c r="AV142" s="45">
        <f>AW142+AX142</f>
      </c>
      <c r="AW142" s="45">
        <f>F142*AO142</f>
      </c>
      <c r="AX142" s="45">
        <f>F142*AP142</f>
      </c>
      <c r="AY142" s="47" t="s">
        <v>351</v>
      </c>
      <c r="AZ142" s="47" t="s">
        <v>352</v>
      </c>
      <c r="BA142" s="28" t="s">
        <v>65</v>
      </c>
      <c r="BC142" s="45">
        <f>AW142+AX142</f>
      </c>
      <c r="BD142" s="45">
        <f>G142/(100-BE142)*100</f>
      </c>
      <c r="BE142" s="45" t="n">
        <v>0</v>
      </c>
      <c r="BF142" s="45">
        <f>142</f>
      </c>
      <c r="BH142" s="45">
        <f>F142*AO142</f>
      </c>
      <c r="BI142" s="45">
        <f>F142*AP142</f>
      </c>
      <c r="BJ142" s="45">
        <f>F142*G142</f>
      </c>
      <c r="BK142" s="45"/>
      <c r="BL142" s="45"/>
      <c r="BW142" s="45" t="n">
        <v>21</v>
      </c>
      <c r="BX142" s="14" t="s">
        <v>449</v>
      </c>
    </row>
    <row r="143">
      <c r="A143" s="9" t="s">
        <v>450</v>
      </c>
      <c r="B143" s="10" t="s">
        <v>451</v>
      </c>
      <c r="C143" s="14" t="s">
        <v>452</v>
      </c>
      <c r="D143" s="10"/>
      <c r="E143" s="10" t="s">
        <v>178</v>
      </c>
      <c r="F143" s="45" t="n">
        <v>1</v>
      </c>
      <c r="G143" s="45" t="n">
        <v>0</v>
      </c>
      <c r="H143" s="45">
        <f>F143*AO143</f>
      </c>
      <c r="I143" s="45">
        <f>F143*AP143</f>
      </c>
      <c r="J143" s="45">
        <f>F143*G143</f>
      </c>
      <c r="K143" s="46" t="s">
        <v>70</v>
      </c>
      <c r="Z143" s="45">
        <f>IF(AQ143="5",BJ143,0)</f>
      </c>
      <c r="AB143" s="45">
        <f>IF(AQ143="1",BH143,0)</f>
      </c>
      <c r="AC143" s="45">
        <f>IF(AQ143="1",BI143,0)</f>
      </c>
      <c r="AD143" s="45">
        <f>IF(AQ143="7",BH143,0)</f>
      </c>
      <c r="AE143" s="45">
        <f>IF(AQ143="7",BI143,0)</f>
      </c>
      <c r="AF143" s="45">
        <f>IF(AQ143="2",BH143,0)</f>
      </c>
      <c r="AG143" s="45">
        <f>IF(AQ143="2",BI143,0)</f>
      </c>
      <c r="AH143" s="45">
        <f>IF(AQ143="0",BJ143,0)</f>
      </c>
      <c r="AI143" s="28" t="s">
        <v>55</v>
      </c>
      <c r="AJ143" s="45">
        <f>IF(AN143=0,J143,0)</f>
      </c>
      <c r="AK143" s="45">
        <f>IF(AN143=12,J143,0)</f>
      </c>
      <c r="AL143" s="45">
        <f>IF(AN143=21,J143,0)</f>
      </c>
      <c r="AN143" s="45" t="n">
        <v>21</v>
      </c>
      <c r="AO143" s="45">
        <f>G143*1</f>
      </c>
      <c r="AP143" s="45">
        <f>G143*(1-1)</f>
      </c>
      <c r="AQ143" s="47" t="s">
        <v>350</v>
      </c>
      <c r="AV143" s="45">
        <f>AW143+AX143</f>
      </c>
      <c r="AW143" s="45">
        <f>F143*AO143</f>
      </c>
      <c r="AX143" s="45">
        <f>F143*AP143</f>
      </c>
      <c r="AY143" s="47" t="s">
        <v>351</v>
      </c>
      <c r="AZ143" s="47" t="s">
        <v>352</v>
      </c>
      <c r="BA143" s="28" t="s">
        <v>65</v>
      </c>
      <c r="BC143" s="45">
        <f>AW143+AX143</f>
      </c>
      <c r="BD143" s="45">
        <f>G143/(100-BE143)*100</f>
      </c>
      <c r="BE143" s="45" t="n">
        <v>0</v>
      </c>
      <c r="BF143" s="45">
        <f>143</f>
      </c>
      <c r="BH143" s="45">
        <f>F143*AO143</f>
      </c>
      <c r="BI143" s="45">
        <f>F143*AP143</f>
      </c>
      <c r="BJ143" s="45">
        <f>F143*G143</f>
      </c>
      <c r="BK143" s="45"/>
      <c r="BL143" s="45"/>
      <c r="BW143" s="45" t="n">
        <v>21</v>
      </c>
      <c r="BX143" s="14" t="s">
        <v>452</v>
      </c>
    </row>
    <row r="144">
      <c r="A144" s="9" t="s">
        <v>453</v>
      </c>
      <c r="B144" s="10" t="s">
        <v>454</v>
      </c>
      <c r="C144" s="14" t="s">
        <v>455</v>
      </c>
      <c r="D144" s="10"/>
      <c r="E144" s="10" t="s">
        <v>178</v>
      </c>
      <c r="F144" s="45" t="n">
        <v>2</v>
      </c>
      <c r="G144" s="45" t="n">
        <v>0</v>
      </c>
      <c r="H144" s="45">
        <f>F144*AO144</f>
      </c>
      <c r="I144" s="45">
        <f>F144*AP144</f>
      </c>
      <c r="J144" s="45">
        <f>F144*G144</f>
      </c>
      <c r="K144" s="46" t="s">
        <v>70</v>
      </c>
      <c r="Z144" s="45">
        <f>IF(AQ144="5",BJ144,0)</f>
      </c>
      <c r="AB144" s="45">
        <f>IF(AQ144="1",BH144,0)</f>
      </c>
      <c r="AC144" s="45">
        <f>IF(AQ144="1",BI144,0)</f>
      </c>
      <c r="AD144" s="45">
        <f>IF(AQ144="7",BH144,0)</f>
      </c>
      <c r="AE144" s="45">
        <f>IF(AQ144="7",BI144,0)</f>
      </c>
      <c r="AF144" s="45">
        <f>IF(AQ144="2",BH144,0)</f>
      </c>
      <c r="AG144" s="45">
        <f>IF(AQ144="2",BI144,0)</f>
      </c>
      <c r="AH144" s="45">
        <f>IF(AQ144="0",BJ144,0)</f>
      </c>
      <c r="AI144" s="28" t="s">
        <v>55</v>
      </c>
      <c r="AJ144" s="45">
        <f>IF(AN144=0,J144,0)</f>
      </c>
      <c r="AK144" s="45">
        <f>IF(AN144=12,J144,0)</f>
      </c>
      <c r="AL144" s="45">
        <f>IF(AN144=21,J144,0)</f>
      </c>
      <c r="AN144" s="45" t="n">
        <v>21</v>
      </c>
      <c r="AO144" s="45">
        <f>G144*1</f>
      </c>
      <c r="AP144" s="45">
        <f>G144*(1-1)</f>
      </c>
      <c r="AQ144" s="47" t="s">
        <v>350</v>
      </c>
      <c r="AV144" s="45">
        <f>AW144+AX144</f>
      </c>
      <c r="AW144" s="45">
        <f>F144*AO144</f>
      </c>
      <c r="AX144" s="45">
        <f>F144*AP144</f>
      </c>
      <c r="AY144" s="47" t="s">
        <v>351</v>
      </c>
      <c r="AZ144" s="47" t="s">
        <v>352</v>
      </c>
      <c r="BA144" s="28" t="s">
        <v>65</v>
      </c>
      <c r="BC144" s="45">
        <f>AW144+AX144</f>
      </c>
      <c r="BD144" s="45">
        <f>G144/(100-BE144)*100</f>
      </c>
      <c r="BE144" s="45" t="n">
        <v>0</v>
      </c>
      <c r="BF144" s="45">
        <f>144</f>
      </c>
      <c r="BH144" s="45">
        <f>F144*AO144</f>
      </c>
      <c r="BI144" s="45">
        <f>F144*AP144</f>
      </c>
      <c r="BJ144" s="45">
        <f>F144*G144</f>
      </c>
      <c r="BK144" s="45"/>
      <c r="BL144" s="45"/>
      <c r="BW144" s="45" t="n">
        <v>21</v>
      </c>
      <c r="BX144" s="14" t="s">
        <v>455</v>
      </c>
    </row>
    <row r="145">
      <c r="A145" s="9" t="s">
        <v>456</v>
      </c>
      <c r="B145" s="10" t="s">
        <v>457</v>
      </c>
      <c r="C145" s="14" t="s">
        <v>458</v>
      </c>
      <c r="D145" s="10"/>
      <c r="E145" s="10" t="s">
        <v>178</v>
      </c>
      <c r="F145" s="45" t="n">
        <v>2</v>
      </c>
      <c r="G145" s="45" t="n">
        <v>0</v>
      </c>
      <c r="H145" s="45">
        <f>F145*AO145</f>
      </c>
      <c r="I145" s="45">
        <f>F145*AP145</f>
      </c>
      <c r="J145" s="45">
        <f>F145*G145</f>
      </c>
      <c r="K145" s="46" t="s">
        <v>70</v>
      </c>
      <c r="Z145" s="45">
        <f>IF(AQ145="5",BJ145,0)</f>
      </c>
      <c r="AB145" s="45">
        <f>IF(AQ145="1",BH145,0)</f>
      </c>
      <c r="AC145" s="45">
        <f>IF(AQ145="1",BI145,0)</f>
      </c>
      <c r="AD145" s="45">
        <f>IF(AQ145="7",BH145,0)</f>
      </c>
      <c r="AE145" s="45">
        <f>IF(AQ145="7",BI145,0)</f>
      </c>
      <c r="AF145" s="45">
        <f>IF(AQ145="2",BH145,0)</f>
      </c>
      <c r="AG145" s="45">
        <f>IF(AQ145="2",BI145,0)</f>
      </c>
      <c r="AH145" s="45">
        <f>IF(AQ145="0",BJ145,0)</f>
      </c>
      <c r="AI145" s="28" t="s">
        <v>55</v>
      </c>
      <c r="AJ145" s="45">
        <f>IF(AN145=0,J145,0)</f>
      </c>
      <c r="AK145" s="45">
        <f>IF(AN145=12,J145,0)</f>
      </c>
      <c r="AL145" s="45">
        <f>IF(AN145=21,J145,0)</f>
      </c>
      <c r="AN145" s="45" t="n">
        <v>21</v>
      </c>
      <c r="AO145" s="45">
        <f>G145*1</f>
      </c>
      <c r="AP145" s="45">
        <f>G145*(1-1)</f>
      </c>
      <c r="AQ145" s="47" t="s">
        <v>350</v>
      </c>
      <c r="AV145" s="45">
        <f>AW145+AX145</f>
      </c>
      <c r="AW145" s="45">
        <f>F145*AO145</f>
      </c>
      <c r="AX145" s="45">
        <f>F145*AP145</f>
      </c>
      <c r="AY145" s="47" t="s">
        <v>351</v>
      </c>
      <c r="AZ145" s="47" t="s">
        <v>352</v>
      </c>
      <c r="BA145" s="28" t="s">
        <v>65</v>
      </c>
      <c r="BC145" s="45">
        <f>AW145+AX145</f>
      </c>
      <c r="BD145" s="45">
        <f>G145/(100-BE145)*100</f>
      </c>
      <c r="BE145" s="45" t="n">
        <v>0</v>
      </c>
      <c r="BF145" s="45">
        <f>145</f>
      </c>
      <c r="BH145" s="45">
        <f>F145*AO145</f>
      </c>
      <c r="BI145" s="45">
        <f>F145*AP145</f>
      </c>
      <c r="BJ145" s="45">
        <f>F145*G145</f>
      </c>
      <c r="BK145" s="45"/>
      <c r="BL145" s="45"/>
      <c r="BW145" s="45" t="n">
        <v>21</v>
      </c>
      <c r="BX145" s="14" t="s">
        <v>458</v>
      </c>
    </row>
    <row r="146">
      <c r="A146" s="9" t="s">
        <v>459</v>
      </c>
      <c r="B146" s="10" t="s">
        <v>460</v>
      </c>
      <c r="C146" s="14" t="s">
        <v>461</v>
      </c>
      <c r="D146" s="10"/>
      <c r="E146" s="10" t="s">
        <v>178</v>
      </c>
      <c r="F146" s="45" t="n">
        <v>12</v>
      </c>
      <c r="G146" s="45" t="n">
        <v>0</v>
      </c>
      <c r="H146" s="45">
        <f>F146*AO146</f>
      </c>
      <c r="I146" s="45">
        <f>F146*AP146</f>
      </c>
      <c r="J146" s="45">
        <f>F146*G146</f>
      </c>
      <c r="K146" s="46" t="s">
        <v>90</v>
      </c>
      <c r="Z146" s="45">
        <f>IF(AQ146="5",BJ146,0)</f>
      </c>
      <c r="AB146" s="45">
        <f>IF(AQ146="1",BH146,0)</f>
      </c>
      <c r="AC146" s="45">
        <f>IF(AQ146="1",BI146,0)</f>
      </c>
      <c r="AD146" s="45">
        <f>IF(AQ146="7",BH146,0)</f>
      </c>
      <c r="AE146" s="45">
        <f>IF(AQ146="7",BI146,0)</f>
      </c>
      <c r="AF146" s="45">
        <f>IF(AQ146="2",BH146,0)</f>
      </c>
      <c r="AG146" s="45">
        <f>IF(AQ146="2",BI146,0)</f>
      </c>
      <c r="AH146" s="45">
        <f>IF(AQ146="0",BJ146,0)</f>
      </c>
      <c r="AI146" s="28" t="s">
        <v>55</v>
      </c>
      <c r="AJ146" s="45">
        <f>IF(AN146=0,J146,0)</f>
      </c>
      <c r="AK146" s="45">
        <f>IF(AN146=12,J146,0)</f>
      </c>
      <c r="AL146" s="45">
        <f>IF(AN146=21,J146,0)</f>
      </c>
      <c r="AN146" s="45" t="n">
        <v>21</v>
      </c>
      <c r="AO146" s="45">
        <f>G146*1</f>
      </c>
      <c r="AP146" s="45">
        <f>G146*(1-1)</f>
      </c>
      <c r="AQ146" s="47" t="s">
        <v>350</v>
      </c>
      <c r="AV146" s="45">
        <f>AW146+AX146</f>
      </c>
      <c r="AW146" s="45">
        <f>F146*AO146</f>
      </c>
      <c r="AX146" s="45">
        <f>F146*AP146</f>
      </c>
      <c r="AY146" s="47" t="s">
        <v>351</v>
      </c>
      <c r="AZ146" s="47" t="s">
        <v>352</v>
      </c>
      <c r="BA146" s="28" t="s">
        <v>65</v>
      </c>
      <c r="BC146" s="45">
        <f>AW146+AX146</f>
      </c>
      <c r="BD146" s="45">
        <f>G146/(100-BE146)*100</f>
      </c>
      <c r="BE146" s="45" t="n">
        <v>0</v>
      </c>
      <c r="BF146" s="45">
        <f>146</f>
      </c>
      <c r="BH146" s="45">
        <f>F146*AO146</f>
      </c>
      <c r="BI146" s="45">
        <f>F146*AP146</f>
      </c>
      <c r="BJ146" s="45">
        <f>F146*G146</f>
      </c>
      <c r="BK146" s="45"/>
      <c r="BL146" s="45"/>
      <c r="BW146" s="45" t="n">
        <v>21</v>
      </c>
      <c r="BX146" s="14" t="s">
        <v>461</v>
      </c>
    </row>
    <row r="147">
      <c r="A147" s="9" t="s">
        <v>462</v>
      </c>
      <c r="B147" s="10" t="s">
        <v>463</v>
      </c>
      <c r="C147" s="14" t="s">
        <v>464</v>
      </c>
      <c r="D147" s="10"/>
      <c r="E147" s="10" t="s">
        <v>465</v>
      </c>
      <c r="F147" s="45" t="n">
        <v>25.42</v>
      </c>
      <c r="G147" s="45" t="n">
        <v>0</v>
      </c>
      <c r="H147" s="45">
        <f>F147*AO147</f>
      </c>
      <c r="I147" s="45">
        <f>F147*AP147</f>
      </c>
      <c r="J147" s="45">
        <f>F147*G147</f>
      </c>
      <c r="K147" s="46" t="s">
        <v>70</v>
      </c>
      <c r="Z147" s="45">
        <f>IF(AQ147="5",BJ147,0)</f>
      </c>
      <c r="AB147" s="45">
        <f>IF(AQ147="1",BH147,0)</f>
      </c>
      <c r="AC147" s="45">
        <f>IF(AQ147="1",BI147,0)</f>
      </c>
      <c r="AD147" s="45">
        <f>IF(AQ147="7",BH147,0)</f>
      </c>
      <c r="AE147" s="45">
        <f>IF(AQ147="7",BI147,0)</f>
      </c>
      <c r="AF147" s="45">
        <f>IF(AQ147="2",BH147,0)</f>
      </c>
      <c r="AG147" s="45">
        <f>IF(AQ147="2",BI147,0)</f>
      </c>
      <c r="AH147" s="45">
        <f>IF(AQ147="0",BJ147,0)</f>
      </c>
      <c r="AI147" s="28" t="s">
        <v>55</v>
      </c>
      <c r="AJ147" s="45">
        <f>IF(AN147=0,J147,0)</f>
      </c>
      <c r="AK147" s="45">
        <f>IF(AN147=12,J147,0)</f>
      </c>
      <c r="AL147" s="45">
        <f>IF(AN147=21,J147,0)</f>
      </c>
      <c r="AN147" s="45" t="n">
        <v>21</v>
      </c>
      <c r="AO147" s="45">
        <f>G147*1</f>
      </c>
      <c r="AP147" s="45">
        <f>G147*(1-1)</f>
      </c>
      <c r="AQ147" s="47" t="s">
        <v>350</v>
      </c>
      <c r="AV147" s="45">
        <f>AW147+AX147</f>
      </c>
      <c r="AW147" s="45">
        <f>F147*AO147</f>
      </c>
      <c r="AX147" s="45">
        <f>F147*AP147</f>
      </c>
      <c r="AY147" s="47" t="s">
        <v>351</v>
      </c>
      <c r="AZ147" s="47" t="s">
        <v>352</v>
      </c>
      <c r="BA147" s="28" t="s">
        <v>65</v>
      </c>
      <c r="BC147" s="45">
        <f>AW147+AX147</f>
      </c>
      <c r="BD147" s="45">
        <f>G147/(100-BE147)*100</f>
      </c>
      <c r="BE147" s="45" t="n">
        <v>0</v>
      </c>
      <c r="BF147" s="45">
        <f>147</f>
      </c>
      <c r="BH147" s="45">
        <f>F147*AO147</f>
      </c>
      <c r="BI147" s="45">
        <f>F147*AP147</f>
      </c>
      <c r="BJ147" s="45">
        <f>F147*G147</f>
      </c>
      <c r="BK147" s="45"/>
      <c r="BL147" s="45"/>
      <c r="BW147" s="45" t="n">
        <v>21</v>
      </c>
      <c r="BX147" s="14" t="s">
        <v>464</v>
      </c>
    </row>
    <row r="148">
      <c r="A148" s="48" t="s">
        <v>55</v>
      </c>
      <c r="B148" s="49" t="s">
        <v>466</v>
      </c>
      <c r="C148" s="50" t="s">
        <v>467</v>
      </c>
      <c r="D148" s="49"/>
      <c r="E148" s="51" t="s">
        <v>36</v>
      </c>
      <c r="F148" s="51" t="s">
        <v>36</v>
      </c>
      <c r="G148" s="51" t="s">
        <v>36</v>
      </c>
      <c r="H148" s="2">
        <f>H149+H151+H153+H156</f>
      </c>
      <c r="I148" s="2">
        <f>I149+I151+I153+I156</f>
      </c>
      <c r="J148" s="2">
        <f>J149+J151+J153+J156</f>
      </c>
      <c r="K148" s="52" t="s">
        <v>55</v>
      </c>
      <c r="AI148" s="28" t="s">
        <v>55</v>
      </c>
    </row>
    <row r="149">
      <c r="A149" s="48" t="s">
        <v>55</v>
      </c>
      <c r="B149" s="49" t="s">
        <v>468</v>
      </c>
      <c r="C149" s="50" t="s">
        <v>469</v>
      </c>
      <c r="D149" s="49"/>
      <c r="E149" s="51" t="s">
        <v>36</v>
      </c>
      <c r="F149" s="51" t="s">
        <v>36</v>
      </c>
      <c r="G149" s="51" t="s">
        <v>36</v>
      </c>
      <c r="H149" s="2">
        <f>SUM(H150:H150)</f>
      </c>
      <c r="I149" s="2">
        <f>SUM(I150:I150)</f>
      </c>
      <c r="J149" s="2">
        <f>SUM(J150:J150)</f>
      </c>
      <c r="K149" s="52" t="s">
        <v>55</v>
      </c>
      <c r="AI149" s="28" t="s">
        <v>55</v>
      </c>
      <c r="AS149" s="2">
        <f>SUM(AJ150:AJ150)</f>
      </c>
      <c r="AT149" s="2">
        <f>SUM(AK150:AK150)</f>
      </c>
      <c r="AU149" s="2">
        <f>SUM(AL150:AL150)</f>
      </c>
    </row>
    <row r="150">
      <c r="A150" s="9" t="s">
        <v>470</v>
      </c>
      <c r="B150" s="10" t="s">
        <v>471</v>
      </c>
      <c r="C150" s="14" t="s">
        <v>472</v>
      </c>
      <c r="D150" s="10"/>
      <c r="E150" s="10" t="s">
        <v>473</v>
      </c>
      <c r="F150" s="45" t="n">
        <v>1</v>
      </c>
      <c r="G150" s="45" t="n">
        <v>0</v>
      </c>
      <c r="H150" s="45">
        <f>F150*AO150</f>
      </c>
      <c r="I150" s="45">
        <f>F150*AP150</f>
      </c>
      <c r="J150" s="45">
        <f>F150*G150</f>
      </c>
      <c r="K150" s="46" t="s">
        <v>474</v>
      </c>
      <c r="Z150" s="45">
        <f>IF(AQ150="5",BJ150,0)</f>
      </c>
      <c r="AB150" s="45">
        <f>IF(AQ150="1",BH150,0)</f>
      </c>
      <c r="AC150" s="45">
        <f>IF(AQ150="1",BI150,0)</f>
      </c>
      <c r="AD150" s="45">
        <f>IF(AQ150="7",BH150,0)</f>
      </c>
      <c r="AE150" s="45">
        <f>IF(AQ150="7",BI150,0)</f>
      </c>
      <c r="AF150" s="45">
        <f>IF(AQ150="2",BH150,0)</f>
      </c>
      <c r="AG150" s="45">
        <f>IF(AQ150="2",BI150,0)</f>
      </c>
      <c r="AH150" s="45">
        <f>IF(AQ150="0",BJ150,0)</f>
      </c>
      <c r="AI150" s="28" t="s">
        <v>55</v>
      </c>
      <c r="AJ150" s="45">
        <f>IF(AN150=0,J150,0)</f>
      </c>
      <c r="AK150" s="45">
        <f>IF(AN150=12,J150,0)</f>
      </c>
      <c r="AL150" s="45">
        <f>IF(AN150=21,J150,0)</f>
      </c>
      <c r="AN150" s="45" t="n">
        <v>21</v>
      </c>
      <c r="AO150" s="45">
        <f>G150*0</f>
      </c>
      <c r="AP150" s="45">
        <f>G150*(1-0)</f>
      </c>
      <c r="AQ150" s="47" t="s">
        <v>426</v>
      </c>
      <c r="AV150" s="45">
        <f>AW150+AX150</f>
      </c>
      <c r="AW150" s="45">
        <f>F150*AO150</f>
      </c>
      <c r="AX150" s="45">
        <f>F150*AP150</f>
      </c>
      <c r="AY150" s="47" t="s">
        <v>475</v>
      </c>
      <c r="AZ150" s="47" t="s">
        <v>476</v>
      </c>
      <c r="BA150" s="28" t="s">
        <v>65</v>
      </c>
      <c r="BC150" s="45">
        <f>AW150+AX150</f>
      </c>
      <c r="BD150" s="45">
        <f>G150/(100-BE150)*100</f>
      </c>
      <c r="BE150" s="45" t="n">
        <v>0</v>
      </c>
      <c r="BF150" s="45">
        <f>150</f>
      </c>
      <c r="BH150" s="45">
        <f>F150*AO150</f>
      </c>
      <c r="BI150" s="45">
        <f>F150*AP150</f>
      </c>
      <c r="BJ150" s="45">
        <f>F150*G150</f>
      </c>
      <c r="BK150" s="45"/>
      <c r="BL150" s="45"/>
      <c r="BM150" s="45">
        <f>F150*G150</f>
      </c>
      <c r="BW150" s="45" t="n">
        <v>21</v>
      </c>
      <c r="BX150" s="14" t="s">
        <v>472</v>
      </c>
    </row>
    <row r="151">
      <c r="A151" s="48" t="s">
        <v>55</v>
      </c>
      <c r="B151" s="49" t="s">
        <v>477</v>
      </c>
      <c r="C151" s="50" t="s">
        <v>478</v>
      </c>
      <c r="D151" s="49"/>
      <c r="E151" s="51" t="s">
        <v>36</v>
      </c>
      <c r="F151" s="51" t="s">
        <v>36</v>
      </c>
      <c r="G151" s="51" t="s">
        <v>36</v>
      </c>
      <c r="H151" s="2">
        <f>SUM(H152:H152)</f>
      </c>
      <c r="I151" s="2">
        <f>SUM(I152:I152)</f>
      </c>
      <c r="J151" s="2">
        <f>SUM(J152:J152)</f>
      </c>
      <c r="K151" s="52" t="s">
        <v>55</v>
      </c>
      <c r="AI151" s="28" t="s">
        <v>55</v>
      </c>
      <c r="AS151" s="2">
        <f>SUM(AJ152:AJ152)</f>
      </c>
      <c r="AT151" s="2">
        <f>SUM(AK152:AK152)</f>
      </c>
      <c r="AU151" s="2">
        <f>SUM(AL152:AL152)</f>
      </c>
    </row>
    <row r="152">
      <c r="A152" s="9" t="s">
        <v>479</v>
      </c>
      <c r="B152" s="10" t="s">
        <v>480</v>
      </c>
      <c r="C152" s="14" t="s">
        <v>478</v>
      </c>
      <c r="D152" s="10"/>
      <c r="E152" s="10" t="s">
        <v>473</v>
      </c>
      <c r="F152" s="45" t="n">
        <v>1</v>
      </c>
      <c r="G152" s="45" t="n">
        <v>0</v>
      </c>
      <c r="H152" s="45">
        <f>F152*AO152</f>
      </c>
      <c r="I152" s="45">
        <f>F152*AP152</f>
      </c>
      <c r="J152" s="45">
        <f>F152*G152</f>
      </c>
      <c r="K152" s="46" t="s">
        <v>474</v>
      </c>
      <c r="Z152" s="45">
        <f>IF(AQ152="5",BJ152,0)</f>
      </c>
      <c r="AB152" s="45">
        <f>IF(AQ152="1",BH152,0)</f>
      </c>
      <c r="AC152" s="45">
        <f>IF(AQ152="1",BI152,0)</f>
      </c>
      <c r="AD152" s="45">
        <f>IF(AQ152="7",BH152,0)</f>
      </c>
      <c r="AE152" s="45">
        <f>IF(AQ152="7",BI152,0)</f>
      </c>
      <c r="AF152" s="45">
        <f>IF(AQ152="2",BH152,0)</f>
      </c>
      <c r="AG152" s="45">
        <f>IF(AQ152="2",BI152,0)</f>
      </c>
      <c r="AH152" s="45">
        <f>IF(AQ152="0",BJ152,0)</f>
      </c>
      <c r="AI152" s="28" t="s">
        <v>55</v>
      </c>
      <c r="AJ152" s="45">
        <f>IF(AN152=0,J152,0)</f>
      </c>
      <c r="AK152" s="45">
        <f>IF(AN152=12,J152,0)</f>
      </c>
      <c r="AL152" s="45">
        <f>IF(AN152=21,J152,0)</f>
      </c>
      <c r="AN152" s="45" t="n">
        <v>21</v>
      </c>
      <c r="AO152" s="45">
        <f>G152*0</f>
      </c>
      <c r="AP152" s="45">
        <f>G152*(1-0)</f>
      </c>
      <c r="AQ152" s="47" t="s">
        <v>426</v>
      </c>
      <c r="AV152" s="45">
        <f>AW152+AX152</f>
      </c>
      <c r="AW152" s="45">
        <f>F152*AO152</f>
      </c>
      <c r="AX152" s="45">
        <f>F152*AP152</f>
      </c>
      <c r="AY152" s="47" t="s">
        <v>481</v>
      </c>
      <c r="AZ152" s="47" t="s">
        <v>476</v>
      </c>
      <c r="BA152" s="28" t="s">
        <v>65</v>
      </c>
      <c r="BC152" s="45">
        <f>AW152+AX152</f>
      </c>
      <c r="BD152" s="45">
        <f>G152/(100-BE152)*100</f>
      </c>
      <c r="BE152" s="45" t="n">
        <v>0</v>
      </c>
      <c r="BF152" s="45">
        <f>152</f>
      </c>
      <c r="BH152" s="45">
        <f>F152*AO152</f>
      </c>
      <c r="BI152" s="45">
        <f>F152*AP152</f>
      </c>
      <c r="BJ152" s="45">
        <f>F152*G152</f>
      </c>
      <c r="BK152" s="45"/>
      <c r="BL152" s="45"/>
      <c r="BO152" s="45">
        <f>F152*G152</f>
      </c>
      <c r="BW152" s="45" t="n">
        <v>21</v>
      </c>
      <c r="BX152" s="14" t="s">
        <v>478</v>
      </c>
    </row>
    <row r="153">
      <c r="A153" s="48" t="s">
        <v>55</v>
      </c>
      <c r="B153" s="49" t="s">
        <v>482</v>
      </c>
      <c r="C153" s="50" t="s">
        <v>483</v>
      </c>
      <c r="D153" s="49"/>
      <c r="E153" s="51" t="s">
        <v>36</v>
      </c>
      <c r="F153" s="51" t="s">
        <v>36</v>
      </c>
      <c r="G153" s="51" t="s">
        <v>36</v>
      </c>
      <c r="H153" s="2">
        <f>SUM(H154:H155)</f>
      </c>
      <c r="I153" s="2">
        <f>SUM(I154:I155)</f>
      </c>
      <c r="J153" s="2">
        <f>SUM(J154:J155)</f>
      </c>
      <c r="K153" s="52" t="s">
        <v>55</v>
      </c>
      <c r="AI153" s="28" t="s">
        <v>55</v>
      </c>
      <c r="AS153" s="2">
        <f>SUM(AJ154:AJ155)</f>
      </c>
      <c r="AT153" s="2">
        <f>SUM(AK154:AK155)</f>
      </c>
      <c r="AU153" s="2">
        <f>SUM(AL154:AL155)</f>
      </c>
    </row>
    <row r="154">
      <c r="A154" s="9" t="s">
        <v>484</v>
      </c>
      <c r="B154" s="10" t="s">
        <v>485</v>
      </c>
      <c r="C154" s="14" t="s">
        <v>486</v>
      </c>
      <c r="D154" s="10"/>
      <c r="E154" s="10" t="s">
        <v>473</v>
      </c>
      <c r="F154" s="45" t="n">
        <v>1</v>
      </c>
      <c r="G154" s="45" t="n">
        <v>0</v>
      </c>
      <c r="H154" s="45">
        <f>F154*AO154</f>
      </c>
      <c r="I154" s="45">
        <f>F154*AP154</f>
      </c>
      <c r="J154" s="45">
        <f>F154*G154</f>
      </c>
      <c r="K154" s="46" t="s">
        <v>55</v>
      </c>
      <c r="Z154" s="45">
        <f>IF(AQ154="5",BJ154,0)</f>
      </c>
      <c r="AB154" s="45">
        <f>IF(AQ154="1",BH154,0)</f>
      </c>
      <c r="AC154" s="45">
        <f>IF(AQ154="1",BI154,0)</f>
      </c>
      <c r="AD154" s="45">
        <f>IF(AQ154="7",BH154,0)</f>
      </c>
      <c r="AE154" s="45">
        <f>IF(AQ154="7",BI154,0)</f>
      </c>
      <c r="AF154" s="45">
        <f>IF(AQ154="2",BH154,0)</f>
      </c>
      <c r="AG154" s="45">
        <f>IF(AQ154="2",BI154,0)</f>
      </c>
      <c r="AH154" s="45">
        <f>IF(AQ154="0",BJ154,0)</f>
      </c>
      <c r="AI154" s="28" t="s">
        <v>55</v>
      </c>
      <c r="AJ154" s="45">
        <f>IF(AN154=0,J154,0)</f>
      </c>
      <c r="AK154" s="45">
        <f>IF(AN154=12,J154,0)</f>
      </c>
      <c r="AL154" s="45">
        <f>IF(AN154=21,J154,0)</f>
      </c>
      <c r="AN154" s="45" t="n">
        <v>21</v>
      </c>
      <c r="AO154" s="45">
        <f>G154*0</f>
      </c>
      <c r="AP154" s="45">
        <f>G154*(1-0)</f>
      </c>
      <c r="AQ154" s="47" t="s">
        <v>426</v>
      </c>
      <c r="AV154" s="45">
        <f>AW154+AX154</f>
      </c>
      <c r="AW154" s="45">
        <f>F154*AO154</f>
      </c>
      <c r="AX154" s="45">
        <f>F154*AP154</f>
      </c>
      <c r="AY154" s="47" t="s">
        <v>487</v>
      </c>
      <c r="AZ154" s="47" t="s">
        <v>476</v>
      </c>
      <c r="BA154" s="28" t="s">
        <v>65</v>
      </c>
      <c r="BC154" s="45">
        <f>AW154+AX154</f>
      </c>
      <c r="BD154" s="45">
        <f>G154/(100-BE154)*100</f>
      </c>
      <c r="BE154" s="45" t="n">
        <v>0</v>
      </c>
      <c r="BF154" s="45">
        <f>154</f>
      </c>
      <c r="BH154" s="45">
        <f>F154*AO154</f>
      </c>
      <c r="BI154" s="45">
        <f>F154*AP154</f>
      </c>
      <c r="BJ154" s="45">
        <f>F154*G154</f>
      </c>
      <c r="BK154" s="45"/>
      <c r="BL154" s="45"/>
      <c r="BP154" s="45">
        <f>F154*G154</f>
      </c>
      <c r="BW154" s="45" t="n">
        <v>21</v>
      </c>
      <c r="BX154" s="14" t="s">
        <v>486</v>
      </c>
    </row>
    <row r="155">
      <c r="A155" s="9" t="s">
        <v>488</v>
      </c>
      <c r="B155" s="10" t="s">
        <v>489</v>
      </c>
      <c r="C155" s="14" t="s">
        <v>490</v>
      </c>
      <c r="D155" s="10"/>
      <c r="E155" s="10" t="s">
        <v>473</v>
      </c>
      <c r="F155" s="45" t="n">
        <v>1</v>
      </c>
      <c r="G155" s="45" t="n">
        <v>0</v>
      </c>
      <c r="H155" s="45">
        <f>F155*AO155</f>
      </c>
      <c r="I155" s="45">
        <f>F155*AP155</f>
      </c>
      <c r="J155" s="45">
        <f>F155*G155</f>
      </c>
      <c r="K155" s="46" t="s">
        <v>55</v>
      </c>
      <c r="Z155" s="45">
        <f>IF(AQ155="5",BJ155,0)</f>
      </c>
      <c r="AB155" s="45">
        <f>IF(AQ155="1",BH155,0)</f>
      </c>
      <c r="AC155" s="45">
        <f>IF(AQ155="1",BI155,0)</f>
      </c>
      <c r="AD155" s="45">
        <f>IF(AQ155="7",BH155,0)</f>
      </c>
      <c r="AE155" s="45">
        <f>IF(AQ155="7",BI155,0)</f>
      </c>
      <c r="AF155" s="45">
        <f>IF(AQ155="2",BH155,0)</f>
      </c>
      <c r="AG155" s="45">
        <f>IF(AQ155="2",BI155,0)</f>
      </c>
      <c r="AH155" s="45">
        <f>IF(AQ155="0",BJ155,0)</f>
      </c>
      <c r="AI155" s="28" t="s">
        <v>55</v>
      </c>
      <c r="AJ155" s="45">
        <f>IF(AN155=0,J155,0)</f>
      </c>
      <c r="AK155" s="45">
        <f>IF(AN155=12,J155,0)</f>
      </c>
      <c r="AL155" s="45">
        <f>IF(AN155=21,J155,0)</f>
      </c>
      <c r="AN155" s="45" t="n">
        <v>21</v>
      </c>
      <c r="AO155" s="45">
        <f>G155*0</f>
      </c>
      <c r="AP155" s="45">
        <f>G155*(1-0)</f>
      </c>
      <c r="AQ155" s="47" t="s">
        <v>426</v>
      </c>
      <c r="AV155" s="45">
        <f>AW155+AX155</f>
      </c>
      <c r="AW155" s="45">
        <f>F155*AO155</f>
      </c>
      <c r="AX155" s="45">
        <f>F155*AP155</f>
      </c>
      <c r="AY155" s="47" t="s">
        <v>487</v>
      </c>
      <c r="AZ155" s="47" t="s">
        <v>476</v>
      </c>
      <c r="BA155" s="28" t="s">
        <v>65</v>
      </c>
      <c r="BC155" s="45">
        <f>AW155+AX155</f>
      </c>
      <c r="BD155" s="45">
        <f>G155/(100-BE155)*100</f>
      </c>
      <c r="BE155" s="45" t="n">
        <v>0</v>
      </c>
      <c r="BF155" s="45">
        <f>155</f>
      </c>
      <c r="BH155" s="45">
        <f>F155*AO155</f>
      </c>
      <c r="BI155" s="45">
        <f>F155*AP155</f>
      </c>
      <c r="BJ155" s="45">
        <f>F155*G155</f>
      </c>
      <c r="BK155" s="45"/>
      <c r="BL155" s="45"/>
      <c r="BP155" s="45">
        <f>F155*G155</f>
      </c>
      <c r="BW155" s="45" t="n">
        <v>21</v>
      </c>
      <c r="BX155" s="14" t="s">
        <v>490</v>
      </c>
    </row>
    <row r="156">
      <c r="A156" s="48" t="s">
        <v>55</v>
      </c>
      <c r="B156" s="49" t="s">
        <v>491</v>
      </c>
      <c r="C156" s="50" t="s">
        <v>492</v>
      </c>
      <c r="D156" s="49"/>
      <c r="E156" s="51" t="s">
        <v>36</v>
      </c>
      <c r="F156" s="51" t="s">
        <v>36</v>
      </c>
      <c r="G156" s="51" t="s">
        <v>36</v>
      </c>
      <c r="H156" s="2">
        <f>SUM(H157:H157)</f>
      </c>
      <c r="I156" s="2">
        <f>SUM(I157:I157)</f>
      </c>
      <c r="J156" s="2">
        <f>SUM(J157:J157)</f>
      </c>
      <c r="K156" s="52" t="s">
        <v>55</v>
      </c>
      <c r="AI156" s="28" t="s">
        <v>55</v>
      </c>
      <c r="AS156" s="2">
        <f>SUM(AJ157:AJ157)</f>
      </c>
      <c r="AT156" s="2">
        <f>SUM(AK157:AK157)</f>
      </c>
      <c r="AU156" s="2">
        <f>SUM(AL157:AL157)</f>
      </c>
    </row>
    <row r="157">
      <c r="A157" s="53" t="s">
        <v>493</v>
      </c>
      <c r="B157" s="54" t="s">
        <v>494</v>
      </c>
      <c r="C157" s="55" t="s">
        <v>495</v>
      </c>
      <c r="D157" s="54"/>
      <c r="E157" s="54" t="s">
        <v>473</v>
      </c>
      <c r="F157" s="56" t="n">
        <v>1</v>
      </c>
      <c r="G157" s="56" t="n">
        <v>0</v>
      </c>
      <c r="H157" s="56">
        <f>F157*AO157</f>
      </c>
      <c r="I157" s="56">
        <f>F157*AP157</f>
      </c>
      <c r="J157" s="56">
        <f>F157*G157</f>
      </c>
      <c r="K157" s="57" t="s">
        <v>474</v>
      </c>
      <c r="Z157" s="45">
        <f>IF(AQ157="5",BJ157,0)</f>
      </c>
      <c r="AB157" s="45">
        <f>IF(AQ157="1",BH157,0)</f>
      </c>
      <c r="AC157" s="45">
        <f>IF(AQ157="1",BI157,0)</f>
      </c>
      <c r="AD157" s="45">
        <f>IF(AQ157="7",BH157,0)</f>
      </c>
      <c r="AE157" s="45">
        <f>IF(AQ157="7",BI157,0)</f>
      </c>
      <c r="AF157" s="45">
        <f>IF(AQ157="2",BH157,0)</f>
      </c>
      <c r="AG157" s="45">
        <f>IF(AQ157="2",BI157,0)</f>
      </c>
      <c r="AH157" s="45">
        <f>IF(AQ157="0",BJ157,0)</f>
      </c>
      <c r="AI157" s="28" t="s">
        <v>55</v>
      </c>
      <c r="AJ157" s="45">
        <f>IF(AN157=0,J157,0)</f>
      </c>
      <c r="AK157" s="45">
        <f>IF(AN157=12,J157,0)</f>
      </c>
      <c r="AL157" s="45">
        <f>IF(AN157=21,J157,0)</f>
      </c>
      <c r="AN157" s="45" t="n">
        <v>21</v>
      </c>
      <c r="AO157" s="45">
        <f>G157*0</f>
      </c>
      <c r="AP157" s="45">
        <f>G157*(1-0)</f>
      </c>
      <c r="AQ157" s="47" t="s">
        <v>426</v>
      </c>
      <c r="AV157" s="45">
        <f>AW157+AX157</f>
      </c>
      <c r="AW157" s="45">
        <f>F157*AO157</f>
      </c>
      <c r="AX157" s="45">
        <f>F157*AP157</f>
      </c>
      <c r="AY157" s="47" t="s">
        <v>496</v>
      </c>
      <c r="AZ157" s="47" t="s">
        <v>476</v>
      </c>
      <c r="BA157" s="28" t="s">
        <v>65</v>
      </c>
      <c r="BC157" s="45">
        <f>AW157+AX157</f>
      </c>
      <c r="BD157" s="45">
        <f>G157/(100-BE157)*100</f>
      </c>
      <c r="BE157" s="45" t="n">
        <v>0</v>
      </c>
      <c r="BF157" s="45">
        <f>157</f>
      </c>
      <c r="BH157" s="45">
        <f>F157*AO157</f>
      </c>
      <c r="BI157" s="45">
        <f>F157*AP157</f>
      </c>
      <c r="BJ157" s="45">
        <f>F157*G157</f>
      </c>
      <c r="BK157" s="45"/>
      <c r="BL157" s="45"/>
      <c r="BR157" s="45">
        <f>F157*G157</f>
      </c>
      <c r="BW157" s="45" t="n">
        <v>21</v>
      </c>
      <c r="BX157" s="14" t="s">
        <v>495</v>
      </c>
    </row>
    <row r="158">
      <c r="H158" s="58" t="s">
        <v>497</v>
      </c>
      <c r="I158" s="58"/>
      <c r="J158" s="59">
        <f>ROUND(J12+J16+J18+J24+J28+J32+J35+J39+J41+J44+J47+J49+J54+J56+J58+J61+J63+J67+J85+J87+J91+J93+J96+J99+J106+J149+J151+J153+J156,-1)</f>
      </c>
    </row>
    <row r="159">
      <c r="A159" s="60" t="s">
        <v>498</v>
      </c>
    </row>
    <row r="160" customHeight="true" ht="12.75">
      <c r="A160" s="14" t="s">
        <v>55</v>
      </c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</sheetData>
  <mergeCells>
    <mergeCell ref="A1:K1"/>
    <mergeCell ref="A2:B3"/>
    <mergeCell ref="A4:B5"/>
    <mergeCell ref="A6:B7"/>
    <mergeCell ref="A8:B9"/>
    <mergeCell ref="E2:F3"/>
    <mergeCell ref="E4:F5"/>
    <mergeCell ref="E6:F7"/>
    <mergeCell ref="E8:F9"/>
    <mergeCell ref="H2:H3"/>
    <mergeCell ref="H4:H5"/>
    <mergeCell ref="H6:H7"/>
    <mergeCell ref="H8:H9"/>
    <mergeCell ref="C2:D3"/>
    <mergeCell ref="C4:D5"/>
    <mergeCell ref="C6:D7"/>
    <mergeCell ref="C8:D9"/>
    <mergeCell ref="G2:G3"/>
    <mergeCell ref="G4:G5"/>
    <mergeCell ref="G6:G7"/>
    <mergeCell ref="G8:G9"/>
    <mergeCell ref="I2:K3"/>
    <mergeCell ref="I4:K5"/>
    <mergeCell ref="I6:K7"/>
    <mergeCell ref="I8:K9"/>
    <mergeCell ref="C10:D10"/>
    <mergeCell ref="C11:D11"/>
    <mergeCell ref="H10:J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H158:I158"/>
    <mergeCell ref="A160:K160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H245"/>
  <sheetViews>
    <sheetView workbookViewId="0" showZeros="true" showFormulas="false" showGridLines="true" showRowColHeaders="true">
      <selection sqref="A245:G245" activeCell="A245"/>
    </sheetView>
  </sheetViews>
  <sheetFormatPr defaultColWidth="12.140625" customHeight="true" defaultRowHeight="15"/>
  <cols>
    <col max="2" min="1" style="0" width="9.140625" customWidth="true"/>
    <col max="3" min="3" style="0" width="14.28515625" customWidth="true"/>
    <col max="4" min="4" style="0" width="63.7109375" customWidth="true"/>
    <col max="5" min="5" style="0" width="17.5703125" customWidth="true"/>
    <col max="6" min="6" style="0" width="24.140625" customWidth="true"/>
    <col max="7" min="7" style="0" width="15.7109375" customWidth="true"/>
    <col max="8" min="8" style="0" width="19.99609375" customWidth="true"/>
  </cols>
  <sheetData>
    <row r="1" customHeight="true" ht="54.75">
      <c r="A1" s="1" t="s">
        <v>499</v>
      </c>
      <c r="B1" s="1"/>
      <c r="C1" s="1"/>
      <c r="D1" s="1"/>
      <c r="E1" s="1"/>
      <c r="F1" s="1"/>
      <c r="G1" s="1"/>
      <c r="H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8"/>
    </row>
    <row r="3" customHeight="true" ht="15">
      <c r="A3" s="9"/>
      <c r="B3" s="10"/>
      <c r="C3" s="11"/>
      <c r="D3" s="11"/>
      <c r="E3" s="10"/>
      <c r="F3" s="10"/>
      <c r="G3" s="10"/>
      <c r="H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2"/>
    </row>
    <row r="5" customHeight="true" ht="15">
      <c r="A5" s="9"/>
      <c r="B5" s="10"/>
      <c r="C5" s="10"/>
      <c r="D5" s="10"/>
      <c r="E5" s="10"/>
      <c r="F5" s="10"/>
      <c r="G5" s="10"/>
      <c r="H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2"/>
    </row>
    <row r="7" customHeight="true" ht="15">
      <c r="A7" s="9"/>
      <c r="B7" s="10"/>
      <c r="C7" s="10"/>
      <c r="D7" s="10"/>
      <c r="E7" s="10"/>
      <c r="F7" s="10"/>
      <c r="G7" s="10"/>
      <c r="H7" s="12"/>
    </row>
    <row r="8">
      <c r="A8" s="13" t="s">
        <v>23</v>
      </c>
      <c r="B8" s="10"/>
      <c r="C8" s="14">
        <f>'Stavební rozpočet'!I8</f>
      </c>
      <c r="D8" s="10"/>
      <c r="E8" s="14" t="s">
        <v>21</v>
      </c>
      <c r="F8" s="14">
        <f>'Stavební rozpočet'!G8</f>
      </c>
      <c r="G8" s="10"/>
      <c r="H8" s="12"/>
    </row>
    <row r="9">
      <c r="A9" s="15"/>
      <c r="B9" s="16"/>
      <c r="C9" s="16"/>
      <c r="D9" s="16"/>
      <c r="E9" s="16"/>
      <c r="F9" s="16"/>
      <c r="G9" s="16"/>
      <c r="H9" s="17"/>
    </row>
    <row r="10">
      <c r="A10" s="61" t="s">
        <v>25</v>
      </c>
      <c r="B10" s="62" t="s">
        <v>500</v>
      </c>
      <c r="C10" s="62" t="s">
        <v>26</v>
      </c>
      <c r="D10" s="63" t="s">
        <v>27</v>
      </c>
      <c r="E10" s="64"/>
      <c r="F10" s="62" t="s">
        <v>28</v>
      </c>
      <c r="G10" s="65" t="s">
        <v>29</v>
      </c>
      <c r="H10" s="66" t="s">
        <v>501</v>
      </c>
    </row>
    <row r="11">
      <c r="A11" s="67" t="s">
        <v>58</v>
      </c>
      <c r="B11" s="68" t="s">
        <v>55</v>
      </c>
      <c r="C11" s="68" t="s">
        <v>59</v>
      </c>
      <c r="D11" s="68" t="s">
        <v>60</v>
      </c>
      <c r="E11" s="68"/>
      <c r="F11" s="68" t="s">
        <v>61</v>
      </c>
      <c r="G11" s="69" t="n">
        <v>12</v>
      </c>
      <c r="H11" s="70" t="n">
        <v>0</v>
      </c>
    </row>
    <row r="12">
      <c r="A12" s="71"/>
      <c r="D12" s="72" t="s">
        <v>502</v>
      </c>
      <c r="E12" s="72" t="s">
        <v>55</v>
      </c>
      <c r="F12" s="72"/>
      <c r="G12" s="73" t="n">
        <v>12</v>
      </c>
      <c r="H12" s="74"/>
    </row>
    <row r="13">
      <c r="A13" s="9" t="s">
        <v>66</v>
      </c>
      <c r="B13" s="10" t="s">
        <v>55</v>
      </c>
      <c r="C13" s="10" t="s">
        <v>67</v>
      </c>
      <c r="D13" s="10" t="s">
        <v>68</v>
      </c>
      <c r="E13" s="10"/>
      <c r="F13" s="10" t="s">
        <v>69</v>
      </c>
      <c r="G13" s="45" t="n">
        <v>8</v>
      </c>
      <c r="H13" s="75" t="n">
        <v>0</v>
      </c>
    </row>
    <row r="14">
      <c r="A14" s="71"/>
      <c r="D14" s="72" t="s">
        <v>93</v>
      </c>
      <c r="E14" s="72" t="s">
        <v>55</v>
      </c>
      <c r="F14" s="72"/>
      <c r="G14" s="73" t="n">
        <v>8</v>
      </c>
      <c r="H14" s="74"/>
    </row>
    <row r="15">
      <c r="A15" s="9" t="s">
        <v>71</v>
      </c>
      <c r="B15" s="10" t="s">
        <v>55</v>
      </c>
      <c r="C15" s="10" t="s">
        <v>72</v>
      </c>
      <c r="D15" s="10" t="s">
        <v>73</v>
      </c>
      <c r="E15" s="10"/>
      <c r="F15" s="10" t="s">
        <v>69</v>
      </c>
      <c r="G15" s="45" t="n">
        <v>7</v>
      </c>
      <c r="H15" s="75" t="n">
        <v>0</v>
      </c>
    </row>
    <row r="16">
      <c r="A16" s="71"/>
      <c r="D16" s="72" t="s">
        <v>90</v>
      </c>
      <c r="E16" s="72" t="s">
        <v>55</v>
      </c>
      <c r="F16" s="72"/>
      <c r="G16" s="73" t="n">
        <v>7</v>
      </c>
      <c r="H16" s="74"/>
    </row>
    <row r="17">
      <c r="A17" s="9" t="s">
        <v>76</v>
      </c>
      <c r="B17" s="10" t="s">
        <v>55</v>
      </c>
      <c r="C17" s="10" t="s">
        <v>77</v>
      </c>
      <c r="D17" s="10" t="s">
        <v>78</v>
      </c>
      <c r="E17" s="10"/>
      <c r="F17" s="10" t="s">
        <v>79</v>
      </c>
      <c r="G17" s="45" t="n">
        <v>37.2</v>
      </c>
      <c r="H17" s="75" t="n">
        <v>0</v>
      </c>
    </row>
    <row r="18">
      <c r="A18" s="71"/>
      <c r="D18" s="72" t="s">
        <v>503</v>
      </c>
      <c r="E18" s="72" t="s">
        <v>55</v>
      </c>
      <c r="F18" s="72"/>
      <c r="G18" s="73" t="n">
        <v>37.2</v>
      </c>
      <c r="H18" s="74"/>
    </row>
    <row r="19">
      <c r="A19" s="9" t="s">
        <v>83</v>
      </c>
      <c r="B19" s="10" t="s">
        <v>55</v>
      </c>
      <c r="C19" s="10" t="s">
        <v>84</v>
      </c>
      <c r="D19" s="10" t="s">
        <v>85</v>
      </c>
      <c r="E19" s="10"/>
      <c r="F19" s="10" t="s">
        <v>79</v>
      </c>
      <c r="G19" s="45" t="n">
        <v>42.38</v>
      </c>
      <c r="H19" s="75" t="n">
        <v>0</v>
      </c>
    </row>
    <row r="20">
      <c r="A20" s="71"/>
      <c r="D20" s="72" t="s">
        <v>504</v>
      </c>
      <c r="E20" s="72" t="s">
        <v>55</v>
      </c>
      <c r="F20" s="72"/>
      <c r="G20" s="73" t="n">
        <v>42.38</v>
      </c>
      <c r="H20" s="74"/>
    </row>
    <row r="21">
      <c r="A21" s="9" t="s">
        <v>87</v>
      </c>
      <c r="B21" s="10" t="s">
        <v>55</v>
      </c>
      <c r="C21" s="10" t="s">
        <v>88</v>
      </c>
      <c r="D21" s="10" t="s">
        <v>89</v>
      </c>
      <c r="E21" s="10"/>
      <c r="F21" s="10" t="s">
        <v>79</v>
      </c>
      <c r="G21" s="45" t="n">
        <v>63.57</v>
      </c>
      <c r="H21" s="75" t="n">
        <v>0</v>
      </c>
    </row>
    <row r="22">
      <c r="A22" s="71"/>
      <c r="D22" s="72" t="s">
        <v>505</v>
      </c>
      <c r="E22" s="72" t="s">
        <v>55</v>
      </c>
      <c r="F22" s="72"/>
      <c r="G22" s="73" t="n">
        <v>63.57</v>
      </c>
      <c r="H22" s="74"/>
    </row>
    <row r="23">
      <c r="A23" s="9" t="s">
        <v>90</v>
      </c>
      <c r="B23" s="10" t="s">
        <v>55</v>
      </c>
      <c r="C23" s="10" t="s">
        <v>91</v>
      </c>
      <c r="D23" s="10" t="s">
        <v>92</v>
      </c>
      <c r="E23" s="10"/>
      <c r="F23" s="10" t="s">
        <v>79</v>
      </c>
      <c r="G23" s="45" t="n">
        <v>14.85</v>
      </c>
      <c r="H23" s="75" t="n">
        <v>0</v>
      </c>
    </row>
    <row r="24">
      <c r="A24" s="71"/>
      <c r="D24" s="72" t="s">
        <v>506</v>
      </c>
      <c r="E24" s="72" t="s">
        <v>55</v>
      </c>
      <c r="F24" s="72"/>
      <c r="G24" s="73" t="n">
        <v>14.85</v>
      </c>
      <c r="H24" s="74"/>
    </row>
    <row r="25">
      <c r="A25" s="9" t="s">
        <v>93</v>
      </c>
      <c r="B25" s="10" t="s">
        <v>55</v>
      </c>
      <c r="C25" s="10" t="s">
        <v>94</v>
      </c>
      <c r="D25" s="10" t="s">
        <v>95</v>
      </c>
      <c r="E25" s="10"/>
      <c r="F25" s="10" t="s">
        <v>79</v>
      </c>
      <c r="G25" s="45" t="n">
        <v>22.27</v>
      </c>
      <c r="H25" s="75" t="n">
        <v>0</v>
      </c>
    </row>
    <row r="26">
      <c r="A26" s="71"/>
      <c r="D26" s="72" t="s">
        <v>507</v>
      </c>
      <c r="E26" s="72" t="s">
        <v>55</v>
      </c>
      <c r="F26" s="72"/>
      <c r="G26" s="73" t="n">
        <v>22.27</v>
      </c>
      <c r="H26" s="74"/>
    </row>
    <row r="27">
      <c r="A27" s="9" t="s">
        <v>96</v>
      </c>
      <c r="B27" s="10" t="s">
        <v>55</v>
      </c>
      <c r="C27" s="10" t="s">
        <v>97</v>
      </c>
      <c r="D27" s="10" t="s">
        <v>98</v>
      </c>
      <c r="E27" s="10"/>
      <c r="F27" s="10" t="s">
        <v>79</v>
      </c>
      <c r="G27" s="45" t="n">
        <v>16.2</v>
      </c>
      <c r="H27" s="75" t="n">
        <v>0</v>
      </c>
    </row>
    <row r="28">
      <c r="A28" s="71"/>
      <c r="D28" s="72" t="s">
        <v>508</v>
      </c>
      <c r="E28" s="72" t="s">
        <v>55</v>
      </c>
      <c r="F28" s="72"/>
      <c r="G28" s="73" t="n">
        <v>16.2</v>
      </c>
      <c r="H28" s="74"/>
    </row>
    <row r="29">
      <c r="A29" s="9" t="s">
        <v>101</v>
      </c>
      <c r="B29" s="10" t="s">
        <v>55</v>
      </c>
      <c r="C29" s="10" t="s">
        <v>102</v>
      </c>
      <c r="D29" s="10" t="s">
        <v>103</v>
      </c>
      <c r="E29" s="10"/>
      <c r="F29" s="10" t="s">
        <v>79</v>
      </c>
      <c r="G29" s="45" t="n">
        <v>77</v>
      </c>
      <c r="H29" s="75" t="n">
        <v>0</v>
      </c>
    </row>
    <row r="30">
      <c r="A30" s="71"/>
      <c r="D30" s="72" t="s">
        <v>509</v>
      </c>
      <c r="E30" s="72" t="s">
        <v>55</v>
      </c>
      <c r="F30" s="72"/>
      <c r="G30" s="73" t="n">
        <v>77</v>
      </c>
      <c r="H30" s="74"/>
    </row>
    <row r="31">
      <c r="A31" s="9" t="s">
        <v>56</v>
      </c>
      <c r="B31" s="10" t="s">
        <v>55</v>
      </c>
      <c r="C31" s="10" t="s">
        <v>105</v>
      </c>
      <c r="D31" s="10" t="s">
        <v>106</v>
      </c>
      <c r="E31" s="10"/>
      <c r="F31" s="10" t="s">
        <v>79</v>
      </c>
      <c r="G31" s="45" t="n">
        <v>1.8</v>
      </c>
      <c r="H31" s="75" t="n">
        <v>0</v>
      </c>
    </row>
    <row r="32">
      <c r="A32" s="71"/>
      <c r="D32" s="72" t="s">
        <v>510</v>
      </c>
      <c r="E32" s="72" t="s">
        <v>55</v>
      </c>
      <c r="F32" s="72"/>
      <c r="G32" s="73" t="n">
        <v>1.8</v>
      </c>
      <c r="H32" s="74"/>
    </row>
    <row r="33">
      <c r="A33" s="9" t="s">
        <v>74</v>
      </c>
      <c r="B33" s="10" t="s">
        <v>55</v>
      </c>
      <c r="C33" s="10" t="s">
        <v>107</v>
      </c>
      <c r="D33" s="10" t="s">
        <v>108</v>
      </c>
      <c r="E33" s="10"/>
      <c r="F33" s="10" t="s">
        <v>109</v>
      </c>
      <c r="G33" s="45" t="n">
        <v>4.5</v>
      </c>
      <c r="H33" s="75" t="n">
        <v>0</v>
      </c>
    </row>
    <row r="34">
      <c r="A34" s="71"/>
      <c r="D34" s="72" t="s">
        <v>511</v>
      </c>
      <c r="E34" s="72" t="s">
        <v>55</v>
      </c>
      <c r="F34" s="72"/>
      <c r="G34" s="73" t="n">
        <v>4.5</v>
      </c>
      <c r="H34" s="74"/>
    </row>
    <row r="35">
      <c r="A35" s="9" t="s">
        <v>81</v>
      </c>
      <c r="B35" s="10" t="s">
        <v>55</v>
      </c>
      <c r="C35" s="10" t="s">
        <v>112</v>
      </c>
      <c r="D35" s="10" t="s">
        <v>113</v>
      </c>
      <c r="E35" s="10"/>
      <c r="F35" s="10" t="s">
        <v>79</v>
      </c>
      <c r="G35" s="45" t="n">
        <v>51.41</v>
      </c>
      <c r="H35" s="75" t="n">
        <v>0</v>
      </c>
    </row>
    <row r="36">
      <c r="A36" s="71"/>
      <c r="D36" s="72" t="s">
        <v>512</v>
      </c>
      <c r="E36" s="72" t="s">
        <v>55</v>
      </c>
      <c r="F36" s="72"/>
      <c r="G36" s="73" t="n">
        <v>51.41</v>
      </c>
      <c r="H36" s="74"/>
    </row>
    <row r="37">
      <c r="A37" s="9" t="s">
        <v>115</v>
      </c>
      <c r="B37" s="10" t="s">
        <v>55</v>
      </c>
      <c r="C37" s="10" t="s">
        <v>116</v>
      </c>
      <c r="D37" s="10" t="s">
        <v>117</v>
      </c>
      <c r="E37" s="10"/>
      <c r="F37" s="10" t="s">
        <v>79</v>
      </c>
      <c r="G37" s="45" t="n">
        <v>91.66</v>
      </c>
      <c r="H37" s="75" t="n">
        <v>0</v>
      </c>
    </row>
    <row r="38">
      <c r="A38" s="71"/>
      <c r="D38" s="72" t="s">
        <v>513</v>
      </c>
      <c r="E38" s="72" t="s">
        <v>55</v>
      </c>
      <c r="F38" s="72"/>
      <c r="G38" s="73" t="n">
        <v>91.66</v>
      </c>
      <c r="H38" s="74"/>
    </row>
    <row r="39">
      <c r="A39" s="9" t="s">
        <v>118</v>
      </c>
      <c r="B39" s="10" t="s">
        <v>55</v>
      </c>
      <c r="C39" s="10" t="s">
        <v>119</v>
      </c>
      <c r="D39" s="10" t="s">
        <v>120</v>
      </c>
      <c r="E39" s="10"/>
      <c r="F39" s="10" t="s">
        <v>79</v>
      </c>
      <c r="G39" s="45" t="n">
        <v>14.12</v>
      </c>
      <c r="H39" s="75" t="n">
        <v>0</v>
      </c>
    </row>
    <row r="40">
      <c r="A40" s="71"/>
      <c r="D40" s="72" t="s">
        <v>514</v>
      </c>
      <c r="E40" s="72" t="s">
        <v>55</v>
      </c>
      <c r="F40" s="72"/>
      <c r="G40" s="73" t="n">
        <v>14.12</v>
      </c>
      <c r="H40" s="74"/>
    </row>
    <row r="41">
      <c r="A41" s="9" t="s">
        <v>99</v>
      </c>
      <c r="B41" s="10" t="s">
        <v>55</v>
      </c>
      <c r="C41" s="10" t="s">
        <v>123</v>
      </c>
      <c r="D41" s="10" t="s">
        <v>124</v>
      </c>
      <c r="E41" s="10"/>
      <c r="F41" s="10" t="s">
        <v>61</v>
      </c>
      <c r="G41" s="45" t="n">
        <v>248</v>
      </c>
      <c r="H41" s="75" t="n">
        <v>0</v>
      </c>
    </row>
    <row r="42">
      <c r="A42" s="71"/>
      <c r="D42" s="72" t="s">
        <v>515</v>
      </c>
      <c r="E42" s="72" t="s">
        <v>55</v>
      </c>
      <c r="F42" s="72"/>
      <c r="G42" s="73" t="n">
        <v>248</v>
      </c>
      <c r="H42" s="74"/>
    </row>
    <row r="43">
      <c r="A43" s="9" t="s">
        <v>110</v>
      </c>
      <c r="B43" s="10" t="s">
        <v>55</v>
      </c>
      <c r="C43" s="10" t="s">
        <v>126</v>
      </c>
      <c r="D43" s="10" t="s">
        <v>127</v>
      </c>
      <c r="E43" s="10"/>
      <c r="F43" s="10" t="s">
        <v>61</v>
      </c>
      <c r="G43" s="45" t="n">
        <v>248</v>
      </c>
      <c r="H43" s="75" t="n">
        <v>0</v>
      </c>
    </row>
    <row r="44">
      <c r="A44" s="71"/>
      <c r="D44" s="72" t="s">
        <v>516</v>
      </c>
      <c r="E44" s="72" t="s">
        <v>55</v>
      </c>
      <c r="F44" s="72"/>
      <c r="G44" s="73" t="n">
        <v>248</v>
      </c>
      <c r="H44" s="74"/>
    </row>
    <row r="45">
      <c r="A45" s="9" t="s">
        <v>121</v>
      </c>
      <c r="B45" s="10" t="s">
        <v>55</v>
      </c>
      <c r="C45" s="10" t="s">
        <v>130</v>
      </c>
      <c r="D45" s="10" t="s">
        <v>131</v>
      </c>
      <c r="E45" s="10"/>
      <c r="F45" s="10" t="s">
        <v>79</v>
      </c>
      <c r="G45" s="45" t="n">
        <v>1.5</v>
      </c>
      <c r="H45" s="75" t="n">
        <v>0</v>
      </c>
    </row>
    <row r="46">
      <c r="A46" s="71"/>
      <c r="D46" s="72" t="s">
        <v>517</v>
      </c>
      <c r="E46" s="72" t="s">
        <v>55</v>
      </c>
      <c r="F46" s="72"/>
      <c r="G46" s="73" t="n">
        <v>1.5</v>
      </c>
      <c r="H46" s="74"/>
    </row>
    <row r="47">
      <c r="A47" s="9" t="s">
        <v>134</v>
      </c>
      <c r="B47" s="10" t="s">
        <v>55</v>
      </c>
      <c r="C47" s="10" t="s">
        <v>135</v>
      </c>
      <c r="D47" s="10" t="s">
        <v>136</v>
      </c>
      <c r="E47" s="10"/>
      <c r="F47" s="10" t="s">
        <v>79</v>
      </c>
      <c r="G47" s="45" t="n">
        <v>2.01</v>
      </c>
      <c r="H47" s="75" t="n">
        <v>0</v>
      </c>
    </row>
    <row r="48">
      <c r="A48" s="71"/>
      <c r="D48" s="72" t="s">
        <v>518</v>
      </c>
      <c r="E48" s="72" t="s">
        <v>55</v>
      </c>
      <c r="F48" s="72"/>
      <c r="G48" s="73" t="n">
        <v>2.01</v>
      </c>
      <c r="H48" s="74"/>
    </row>
    <row r="49">
      <c r="A49" s="9" t="s">
        <v>137</v>
      </c>
      <c r="B49" s="10" t="s">
        <v>55</v>
      </c>
      <c r="C49" s="10" t="s">
        <v>138</v>
      </c>
      <c r="D49" s="10" t="s">
        <v>139</v>
      </c>
      <c r="E49" s="10"/>
      <c r="F49" s="10" t="s">
        <v>109</v>
      </c>
      <c r="G49" s="45" t="n">
        <v>0.25</v>
      </c>
      <c r="H49" s="75" t="n">
        <v>0</v>
      </c>
    </row>
    <row r="50">
      <c r="A50" s="71"/>
      <c r="D50" s="72" t="s">
        <v>519</v>
      </c>
      <c r="E50" s="72" t="s">
        <v>55</v>
      </c>
      <c r="F50" s="72"/>
      <c r="G50" s="73" t="n">
        <v>0.25</v>
      </c>
      <c r="H50" s="74"/>
    </row>
    <row r="51">
      <c r="A51" s="9" t="s">
        <v>142</v>
      </c>
      <c r="B51" s="10" t="s">
        <v>55</v>
      </c>
      <c r="C51" s="10" t="s">
        <v>143</v>
      </c>
      <c r="D51" s="10" t="s">
        <v>144</v>
      </c>
      <c r="E51" s="10"/>
      <c r="F51" s="10" t="s">
        <v>79</v>
      </c>
      <c r="G51" s="45" t="n">
        <v>8.28</v>
      </c>
      <c r="H51" s="75" t="n">
        <v>0</v>
      </c>
    </row>
    <row r="52">
      <c r="A52" s="71"/>
      <c r="D52" s="72" t="s">
        <v>520</v>
      </c>
      <c r="E52" s="72" t="s">
        <v>55</v>
      </c>
      <c r="F52" s="72"/>
      <c r="G52" s="73" t="n">
        <v>8.28</v>
      </c>
      <c r="H52" s="74"/>
    </row>
    <row r="53">
      <c r="A53" s="9" t="s">
        <v>149</v>
      </c>
      <c r="B53" s="10" t="s">
        <v>55</v>
      </c>
      <c r="C53" s="10" t="s">
        <v>150</v>
      </c>
      <c r="D53" s="10" t="s">
        <v>151</v>
      </c>
      <c r="E53" s="10"/>
      <c r="F53" s="10" t="s">
        <v>61</v>
      </c>
      <c r="G53" s="45" t="n">
        <v>8</v>
      </c>
      <c r="H53" s="75" t="n">
        <v>0</v>
      </c>
    </row>
    <row r="54">
      <c r="A54" s="71"/>
      <c r="D54" s="72" t="s">
        <v>521</v>
      </c>
      <c r="E54" s="72" t="s">
        <v>55</v>
      </c>
      <c r="F54" s="72"/>
      <c r="G54" s="73" t="n">
        <v>8</v>
      </c>
      <c r="H54" s="74"/>
    </row>
    <row r="55">
      <c r="A55" s="9" t="s">
        <v>154</v>
      </c>
      <c r="B55" s="10" t="s">
        <v>55</v>
      </c>
      <c r="C55" s="10" t="s">
        <v>155</v>
      </c>
      <c r="D55" s="10" t="s">
        <v>156</v>
      </c>
      <c r="E55" s="10"/>
      <c r="F55" s="10" t="s">
        <v>61</v>
      </c>
      <c r="G55" s="45" t="n">
        <v>10</v>
      </c>
      <c r="H55" s="75" t="n">
        <v>0</v>
      </c>
    </row>
    <row r="56">
      <c r="A56" s="71"/>
      <c r="D56" s="72" t="s">
        <v>522</v>
      </c>
      <c r="E56" s="72" t="s">
        <v>55</v>
      </c>
      <c r="F56" s="72"/>
      <c r="G56" s="73" t="n">
        <v>10</v>
      </c>
      <c r="H56" s="74"/>
    </row>
    <row r="57">
      <c r="A57" s="9" t="s">
        <v>159</v>
      </c>
      <c r="B57" s="10" t="s">
        <v>55</v>
      </c>
      <c r="C57" s="10" t="s">
        <v>160</v>
      </c>
      <c r="D57" s="10" t="s">
        <v>161</v>
      </c>
      <c r="E57" s="10"/>
      <c r="F57" s="10" t="s">
        <v>61</v>
      </c>
      <c r="G57" s="45" t="n">
        <v>12</v>
      </c>
      <c r="H57" s="75" t="n">
        <v>0</v>
      </c>
    </row>
    <row r="58">
      <c r="A58" s="71"/>
      <c r="D58" s="72" t="s">
        <v>502</v>
      </c>
      <c r="E58" s="72" t="s">
        <v>55</v>
      </c>
      <c r="F58" s="72"/>
      <c r="G58" s="73" t="n">
        <v>12</v>
      </c>
      <c r="H58" s="74"/>
    </row>
    <row r="59">
      <c r="A59" s="9" t="s">
        <v>163</v>
      </c>
      <c r="B59" s="10" t="s">
        <v>55</v>
      </c>
      <c r="C59" s="10" t="s">
        <v>164</v>
      </c>
      <c r="D59" s="10" t="s">
        <v>165</v>
      </c>
      <c r="E59" s="10"/>
      <c r="F59" s="10" t="s">
        <v>61</v>
      </c>
      <c r="G59" s="45" t="n">
        <v>10</v>
      </c>
      <c r="H59" s="75" t="n">
        <v>0</v>
      </c>
    </row>
    <row r="60">
      <c r="A60" s="71"/>
      <c r="D60" s="72" t="s">
        <v>522</v>
      </c>
      <c r="E60" s="72" t="s">
        <v>55</v>
      </c>
      <c r="F60" s="72"/>
      <c r="G60" s="73" t="n">
        <v>10</v>
      </c>
      <c r="H60" s="74"/>
    </row>
    <row r="61">
      <c r="A61" s="9" t="s">
        <v>168</v>
      </c>
      <c r="B61" s="10" t="s">
        <v>55</v>
      </c>
      <c r="C61" s="10" t="s">
        <v>169</v>
      </c>
      <c r="D61" s="10" t="s">
        <v>170</v>
      </c>
      <c r="E61" s="10"/>
      <c r="F61" s="10" t="s">
        <v>171</v>
      </c>
      <c r="G61" s="45" t="n">
        <v>1</v>
      </c>
      <c r="H61" s="75" t="n">
        <v>0</v>
      </c>
    </row>
    <row r="62">
      <c r="A62" s="71"/>
      <c r="D62" s="72" t="s">
        <v>58</v>
      </c>
      <c r="E62" s="72" t="s">
        <v>55</v>
      </c>
      <c r="F62" s="72"/>
      <c r="G62" s="73" t="n">
        <v>1</v>
      </c>
      <c r="H62" s="74"/>
    </row>
    <row r="63">
      <c r="A63" s="9" t="s">
        <v>128</v>
      </c>
      <c r="B63" s="10" t="s">
        <v>55</v>
      </c>
      <c r="C63" s="10" t="s">
        <v>176</v>
      </c>
      <c r="D63" s="10" t="s">
        <v>177</v>
      </c>
      <c r="E63" s="10"/>
      <c r="F63" s="10" t="s">
        <v>178</v>
      </c>
      <c r="G63" s="45" t="n">
        <v>1</v>
      </c>
      <c r="H63" s="75" t="n">
        <v>0</v>
      </c>
    </row>
    <row r="64">
      <c r="A64" s="71"/>
      <c r="D64" s="72" t="s">
        <v>58</v>
      </c>
      <c r="E64" s="72" t="s">
        <v>55</v>
      </c>
      <c r="F64" s="72"/>
      <c r="G64" s="73" t="n">
        <v>1</v>
      </c>
      <c r="H64" s="74"/>
    </row>
    <row r="65">
      <c r="A65" s="9" t="s">
        <v>180</v>
      </c>
      <c r="B65" s="10" t="s">
        <v>55</v>
      </c>
      <c r="C65" s="10" t="s">
        <v>181</v>
      </c>
      <c r="D65" s="10" t="s">
        <v>182</v>
      </c>
      <c r="E65" s="10"/>
      <c r="F65" s="10" t="s">
        <v>178</v>
      </c>
      <c r="G65" s="45" t="n">
        <v>1</v>
      </c>
      <c r="H65" s="75" t="n">
        <v>0</v>
      </c>
    </row>
    <row r="66">
      <c r="A66" s="71"/>
      <c r="D66" s="72" t="s">
        <v>58</v>
      </c>
      <c r="E66" s="72" t="s">
        <v>55</v>
      </c>
      <c r="F66" s="72"/>
      <c r="G66" s="73" t="n">
        <v>1</v>
      </c>
      <c r="H66" s="74"/>
    </row>
    <row r="67">
      <c r="A67" s="9" t="s">
        <v>183</v>
      </c>
      <c r="B67" s="10" t="s">
        <v>55</v>
      </c>
      <c r="C67" s="10" t="s">
        <v>184</v>
      </c>
      <c r="D67" s="10" t="s">
        <v>185</v>
      </c>
      <c r="E67" s="10"/>
      <c r="F67" s="10" t="s">
        <v>178</v>
      </c>
      <c r="G67" s="45" t="n">
        <v>2</v>
      </c>
      <c r="H67" s="75" t="n">
        <v>0</v>
      </c>
    </row>
    <row r="68">
      <c r="A68" s="71"/>
      <c r="D68" s="72" t="s">
        <v>66</v>
      </c>
      <c r="E68" s="72" t="s">
        <v>55</v>
      </c>
      <c r="F68" s="72"/>
      <c r="G68" s="73" t="n">
        <v>2</v>
      </c>
      <c r="H68" s="74"/>
    </row>
    <row r="69">
      <c r="A69" s="9" t="s">
        <v>186</v>
      </c>
      <c r="B69" s="10" t="s">
        <v>55</v>
      </c>
      <c r="C69" s="10" t="s">
        <v>184</v>
      </c>
      <c r="D69" s="10" t="s">
        <v>187</v>
      </c>
      <c r="E69" s="10"/>
      <c r="F69" s="10" t="s">
        <v>178</v>
      </c>
      <c r="G69" s="45" t="n">
        <v>1</v>
      </c>
      <c r="H69" s="75" t="n">
        <v>0</v>
      </c>
    </row>
    <row r="70">
      <c r="A70" s="71"/>
      <c r="D70" s="72" t="s">
        <v>58</v>
      </c>
      <c r="E70" s="72" t="s">
        <v>55</v>
      </c>
      <c r="F70" s="72"/>
      <c r="G70" s="73" t="n">
        <v>1</v>
      </c>
      <c r="H70" s="74"/>
    </row>
    <row r="71">
      <c r="A71" s="9" t="s">
        <v>190</v>
      </c>
      <c r="B71" s="10" t="s">
        <v>55</v>
      </c>
      <c r="C71" s="10" t="s">
        <v>191</v>
      </c>
      <c r="D71" s="10" t="s">
        <v>192</v>
      </c>
      <c r="E71" s="10"/>
      <c r="F71" s="10" t="s">
        <v>178</v>
      </c>
      <c r="G71" s="45" t="n">
        <v>1</v>
      </c>
      <c r="H71" s="75" t="n">
        <v>0</v>
      </c>
    </row>
    <row r="72">
      <c r="A72" s="71"/>
      <c r="D72" s="72" t="s">
        <v>58</v>
      </c>
      <c r="E72" s="72" t="s">
        <v>55</v>
      </c>
      <c r="F72" s="72"/>
      <c r="G72" s="73" t="n">
        <v>1</v>
      </c>
      <c r="H72" s="74"/>
    </row>
    <row r="73">
      <c r="A73" s="9" t="s">
        <v>197</v>
      </c>
      <c r="B73" s="10" t="s">
        <v>55</v>
      </c>
      <c r="C73" s="10" t="s">
        <v>198</v>
      </c>
      <c r="D73" s="10" t="s">
        <v>199</v>
      </c>
      <c r="E73" s="10"/>
      <c r="F73" s="10" t="s">
        <v>61</v>
      </c>
      <c r="G73" s="45" t="n">
        <v>12.87</v>
      </c>
      <c r="H73" s="75" t="n">
        <v>0</v>
      </c>
    </row>
    <row r="74">
      <c r="A74" s="71"/>
      <c r="D74" s="72" t="s">
        <v>523</v>
      </c>
      <c r="E74" s="72" t="s">
        <v>55</v>
      </c>
      <c r="F74" s="72"/>
      <c r="G74" s="73" t="n">
        <v>12.87</v>
      </c>
      <c r="H74" s="74"/>
    </row>
    <row r="75">
      <c r="A75" s="9" t="s">
        <v>204</v>
      </c>
      <c r="B75" s="10" t="s">
        <v>55</v>
      </c>
      <c r="C75" s="10" t="s">
        <v>205</v>
      </c>
      <c r="D75" s="10" t="s">
        <v>206</v>
      </c>
      <c r="E75" s="10"/>
      <c r="F75" s="10" t="s">
        <v>61</v>
      </c>
      <c r="G75" s="45" t="n">
        <v>49.12</v>
      </c>
      <c r="H75" s="75" t="n">
        <v>0</v>
      </c>
    </row>
    <row r="76">
      <c r="A76" s="71"/>
      <c r="D76" s="72" t="s">
        <v>524</v>
      </c>
      <c r="E76" s="72" t="s">
        <v>55</v>
      </c>
      <c r="F76" s="72"/>
      <c r="G76" s="73" t="n">
        <v>49.12</v>
      </c>
      <c r="H76" s="74"/>
    </row>
    <row r="77">
      <c r="A77" s="9" t="s">
        <v>208</v>
      </c>
      <c r="B77" s="10" t="s">
        <v>55</v>
      </c>
      <c r="C77" s="10" t="s">
        <v>209</v>
      </c>
      <c r="D77" s="10" t="s">
        <v>210</v>
      </c>
      <c r="E77" s="10"/>
      <c r="F77" s="10" t="s">
        <v>61</v>
      </c>
      <c r="G77" s="45" t="n">
        <v>49.12</v>
      </c>
      <c r="H77" s="75" t="n">
        <v>0</v>
      </c>
    </row>
    <row r="78">
      <c r="A78" s="71"/>
      <c r="D78" s="72" t="s">
        <v>524</v>
      </c>
      <c r="E78" s="72" t="s">
        <v>55</v>
      </c>
      <c r="F78" s="72"/>
      <c r="G78" s="73" t="n">
        <v>49.12</v>
      </c>
      <c r="H78" s="74"/>
    </row>
    <row r="79">
      <c r="A79" s="9" t="s">
        <v>213</v>
      </c>
      <c r="B79" s="10" t="s">
        <v>55</v>
      </c>
      <c r="C79" s="10" t="s">
        <v>214</v>
      </c>
      <c r="D79" s="10" t="s">
        <v>215</v>
      </c>
      <c r="E79" s="10"/>
      <c r="F79" s="10" t="s">
        <v>178</v>
      </c>
      <c r="G79" s="45" t="n">
        <v>2</v>
      </c>
      <c r="H79" s="75" t="n">
        <v>0</v>
      </c>
    </row>
    <row r="80">
      <c r="A80" s="71"/>
      <c r="D80" s="72" t="s">
        <v>66</v>
      </c>
      <c r="E80" s="72" t="s">
        <v>55</v>
      </c>
      <c r="F80" s="72"/>
      <c r="G80" s="73" t="n">
        <v>2</v>
      </c>
      <c r="H80" s="74"/>
    </row>
    <row r="81">
      <c r="A81" s="9" t="s">
        <v>220</v>
      </c>
      <c r="B81" s="10" t="s">
        <v>55</v>
      </c>
      <c r="C81" s="10" t="s">
        <v>221</v>
      </c>
      <c r="D81" s="10" t="s">
        <v>222</v>
      </c>
      <c r="E81" s="10"/>
      <c r="F81" s="10" t="s">
        <v>69</v>
      </c>
      <c r="G81" s="45" t="n">
        <v>48</v>
      </c>
      <c r="H81" s="75" t="n">
        <v>0</v>
      </c>
    </row>
    <row r="82">
      <c r="A82" s="71"/>
      <c r="D82" s="72" t="s">
        <v>525</v>
      </c>
      <c r="E82" s="72" t="s">
        <v>55</v>
      </c>
      <c r="F82" s="72"/>
      <c r="G82" s="73" t="n">
        <v>48</v>
      </c>
      <c r="H82" s="74"/>
    </row>
    <row r="83">
      <c r="A83" s="9" t="s">
        <v>224</v>
      </c>
      <c r="B83" s="10" t="s">
        <v>55</v>
      </c>
      <c r="C83" s="10" t="s">
        <v>225</v>
      </c>
      <c r="D83" s="10" t="s">
        <v>226</v>
      </c>
      <c r="E83" s="10"/>
      <c r="F83" s="10" t="s">
        <v>69</v>
      </c>
      <c r="G83" s="45" t="n">
        <v>61</v>
      </c>
      <c r="H83" s="75" t="n">
        <v>0</v>
      </c>
    </row>
    <row r="84">
      <c r="A84" s="71"/>
      <c r="D84" s="72" t="s">
        <v>308</v>
      </c>
      <c r="E84" s="72" t="s">
        <v>55</v>
      </c>
      <c r="F84" s="72"/>
      <c r="G84" s="73" t="n">
        <v>61</v>
      </c>
      <c r="H84" s="74"/>
    </row>
    <row r="85">
      <c r="A85" s="9" t="s">
        <v>227</v>
      </c>
      <c r="B85" s="10" t="s">
        <v>55</v>
      </c>
      <c r="C85" s="10" t="s">
        <v>228</v>
      </c>
      <c r="D85" s="10" t="s">
        <v>229</v>
      </c>
      <c r="E85" s="10"/>
      <c r="F85" s="10" t="s">
        <v>178</v>
      </c>
      <c r="G85" s="45" t="n">
        <v>3</v>
      </c>
      <c r="H85" s="75" t="n">
        <v>0</v>
      </c>
    </row>
    <row r="86">
      <c r="A86" s="71"/>
      <c r="D86" s="72" t="s">
        <v>71</v>
      </c>
      <c r="E86" s="72" t="s">
        <v>55</v>
      </c>
      <c r="F86" s="72"/>
      <c r="G86" s="73" t="n">
        <v>3</v>
      </c>
      <c r="H86" s="74"/>
    </row>
    <row r="87">
      <c r="A87" s="9" t="s">
        <v>232</v>
      </c>
      <c r="B87" s="10" t="s">
        <v>55</v>
      </c>
      <c r="C87" s="10" t="s">
        <v>233</v>
      </c>
      <c r="D87" s="10" t="s">
        <v>234</v>
      </c>
      <c r="E87" s="10"/>
      <c r="F87" s="10" t="s">
        <v>178</v>
      </c>
      <c r="G87" s="45" t="n">
        <v>2</v>
      </c>
      <c r="H87" s="75" t="n">
        <v>0</v>
      </c>
    </row>
    <row r="88">
      <c r="A88" s="71"/>
      <c r="D88" s="72" t="s">
        <v>66</v>
      </c>
      <c r="E88" s="72" t="s">
        <v>55</v>
      </c>
      <c r="F88" s="72"/>
      <c r="G88" s="73" t="n">
        <v>2</v>
      </c>
      <c r="H88" s="74"/>
    </row>
    <row r="89">
      <c r="A89" s="9" t="s">
        <v>236</v>
      </c>
      <c r="B89" s="10" t="s">
        <v>55</v>
      </c>
      <c r="C89" s="10" t="s">
        <v>237</v>
      </c>
      <c r="D89" s="10" t="s">
        <v>238</v>
      </c>
      <c r="E89" s="10"/>
      <c r="F89" s="10" t="s">
        <v>178</v>
      </c>
      <c r="G89" s="45" t="n">
        <v>2</v>
      </c>
      <c r="H89" s="75" t="n">
        <v>0</v>
      </c>
    </row>
    <row r="90">
      <c r="A90" s="71"/>
      <c r="D90" s="72" t="s">
        <v>66</v>
      </c>
      <c r="E90" s="72" t="s">
        <v>55</v>
      </c>
      <c r="F90" s="72"/>
      <c r="G90" s="73" t="n">
        <v>2</v>
      </c>
      <c r="H90" s="74"/>
    </row>
    <row r="91">
      <c r="A91" s="9" t="s">
        <v>239</v>
      </c>
      <c r="B91" s="10" t="s">
        <v>55</v>
      </c>
      <c r="C91" s="10" t="s">
        <v>240</v>
      </c>
      <c r="D91" s="10" t="s">
        <v>241</v>
      </c>
      <c r="E91" s="10"/>
      <c r="F91" s="10" t="s">
        <v>178</v>
      </c>
      <c r="G91" s="45" t="n">
        <v>2</v>
      </c>
      <c r="H91" s="75" t="n">
        <v>0</v>
      </c>
    </row>
    <row r="92">
      <c r="A92" s="71"/>
      <c r="D92" s="72" t="s">
        <v>66</v>
      </c>
      <c r="E92" s="72" t="s">
        <v>55</v>
      </c>
      <c r="F92" s="72"/>
      <c r="G92" s="73" t="n">
        <v>2</v>
      </c>
      <c r="H92" s="74"/>
    </row>
    <row r="93">
      <c r="A93" s="9" t="s">
        <v>242</v>
      </c>
      <c r="B93" s="10" t="s">
        <v>55</v>
      </c>
      <c r="C93" s="10" t="s">
        <v>243</v>
      </c>
      <c r="D93" s="10" t="s">
        <v>244</v>
      </c>
      <c r="E93" s="10"/>
      <c r="F93" s="10" t="s">
        <v>178</v>
      </c>
      <c r="G93" s="45" t="n">
        <v>4</v>
      </c>
      <c r="H93" s="75" t="n">
        <v>0</v>
      </c>
    </row>
    <row r="94">
      <c r="A94" s="71"/>
      <c r="D94" s="72" t="s">
        <v>76</v>
      </c>
      <c r="E94" s="72" t="s">
        <v>55</v>
      </c>
      <c r="F94" s="72"/>
      <c r="G94" s="73" t="n">
        <v>4</v>
      </c>
      <c r="H94" s="74"/>
    </row>
    <row r="95">
      <c r="A95" s="9" t="s">
        <v>245</v>
      </c>
      <c r="B95" s="10" t="s">
        <v>55</v>
      </c>
      <c r="C95" s="10" t="s">
        <v>246</v>
      </c>
      <c r="D95" s="10" t="s">
        <v>247</v>
      </c>
      <c r="E95" s="10"/>
      <c r="F95" s="10" t="s">
        <v>178</v>
      </c>
      <c r="G95" s="45" t="n">
        <v>3</v>
      </c>
      <c r="H95" s="75" t="n">
        <v>0</v>
      </c>
    </row>
    <row r="96">
      <c r="A96" s="71"/>
      <c r="D96" s="72" t="s">
        <v>526</v>
      </c>
      <c r="E96" s="72" t="s">
        <v>55</v>
      </c>
      <c r="F96" s="72"/>
      <c r="G96" s="73" t="n">
        <v>3</v>
      </c>
      <c r="H96" s="74"/>
    </row>
    <row r="97">
      <c r="A97" s="9" t="s">
        <v>248</v>
      </c>
      <c r="B97" s="10" t="s">
        <v>55</v>
      </c>
      <c r="C97" s="10" t="s">
        <v>249</v>
      </c>
      <c r="D97" s="10" t="s">
        <v>250</v>
      </c>
      <c r="E97" s="10"/>
      <c r="F97" s="10" t="s">
        <v>178</v>
      </c>
      <c r="G97" s="45" t="n">
        <v>1</v>
      </c>
      <c r="H97" s="75" t="n">
        <v>0</v>
      </c>
    </row>
    <row r="98">
      <c r="A98" s="71"/>
      <c r="D98" s="72" t="s">
        <v>58</v>
      </c>
      <c r="E98" s="72" t="s">
        <v>55</v>
      </c>
      <c r="F98" s="72"/>
      <c r="G98" s="73" t="n">
        <v>1</v>
      </c>
      <c r="H98" s="74"/>
    </row>
    <row r="99">
      <c r="A99" s="9" t="s">
        <v>140</v>
      </c>
      <c r="B99" s="10" t="s">
        <v>55</v>
      </c>
      <c r="C99" s="10" t="s">
        <v>251</v>
      </c>
      <c r="D99" s="10" t="s">
        <v>252</v>
      </c>
      <c r="E99" s="10"/>
      <c r="F99" s="10" t="s">
        <v>178</v>
      </c>
      <c r="G99" s="45" t="n">
        <v>2</v>
      </c>
      <c r="H99" s="75" t="n">
        <v>0</v>
      </c>
    </row>
    <row r="100">
      <c r="A100" s="71"/>
      <c r="D100" s="72" t="s">
        <v>66</v>
      </c>
      <c r="E100" s="72" t="s">
        <v>55</v>
      </c>
      <c r="F100" s="72"/>
      <c r="G100" s="73" t="n">
        <v>2</v>
      </c>
      <c r="H100" s="74"/>
    </row>
    <row r="101">
      <c r="A101" s="9" t="s">
        <v>253</v>
      </c>
      <c r="B101" s="10" t="s">
        <v>55</v>
      </c>
      <c r="C101" s="10" t="s">
        <v>251</v>
      </c>
      <c r="D101" s="10" t="s">
        <v>254</v>
      </c>
      <c r="E101" s="10"/>
      <c r="F101" s="10" t="s">
        <v>178</v>
      </c>
      <c r="G101" s="45" t="n">
        <v>2</v>
      </c>
      <c r="H101" s="75" t="n">
        <v>0</v>
      </c>
    </row>
    <row r="102">
      <c r="A102" s="71"/>
      <c r="D102" s="72" t="s">
        <v>66</v>
      </c>
      <c r="E102" s="72" t="s">
        <v>55</v>
      </c>
      <c r="F102" s="72"/>
      <c r="G102" s="73" t="n">
        <v>2</v>
      </c>
      <c r="H102" s="74"/>
    </row>
    <row r="103">
      <c r="A103" s="9" t="s">
        <v>255</v>
      </c>
      <c r="B103" s="10" t="s">
        <v>55</v>
      </c>
      <c r="C103" s="10" t="s">
        <v>240</v>
      </c>
      <c r="D103" s="10" t="s">
        <v>256</v>
      </c>
      <c r="E103" s="10"/>
      <c r="F103" s="10" t="s">
        <v>178</v>
      </c>
      <c r="G103" s="45" t="n">
        <v>6</v>
      </c>
      <c r="H103" s="75" t="n">
        <v>0</v>
      </c>
    </row>
    <row r="104">
      <c r="A104" s="71"/>
      <c r="D104" s="72" t="s">
        <v>87</v>
      </c>
      <c r="E104" s="72" t="s">
        <v>55</v>
      </c>
      <c r="F104" s="72"/>
      <c r="G104" s="73" t="n">
        <v>6</v>
      </c>
      <c r="H104" s="74"/>
    </row>
    <row r="105">
      <c r="A105" s="9" t="s">
        <v>257</v>
      </c>
      <c r="B105" s="10" t="s">
        <v>55</v>
      </c>
      <c r="C105" s="10" t="s">
        <v>258</v>
      </c>
      <c r="D105" s="10" t="s">
        <v>259</v>
      </c>
      <c r="E105" s="10"/>
      <c r="F105" s="10" t="s">
        <v>178</v>
      </c>
      <c r="G105" s="45" t="n">
        <v>2</v>
      </c>
      <c r="H105" s="75" t="n">
        <v>0</v>
      </c>
    </row>
    <row r="106">
      <c r="A106" s="71"/>
      <c r="D106" s="72" t="s">
        <v>66</v>
      </c>
      <c r="E106" s="72" t="s">
        <v>55</v>
      </c>
      <c r="F106" s="72"/>
      <c r="G106" s="73" t="n">
        <v>2</v>
      </c>
      <c r="H106" s="74"/>
    </row>
    <row r="107">
      <c r="A107" s="9" t="s">
        <v>260</v>
      </c>
      <c r="B107" s="10" t="s">
        <v>55</v>
      </c>
      <c r="C107" s="10" t="s">
        <v>261</v>
      </c>
      <c r="D107" s="10" t="s">
        <v>262</v>
      </c>
      <c r="E107" s="10"/>
      <c r="F107" s="10" t="s">
        <v>178</v>
      </c>
      <c r="G107" s="45" t="n">
        <v>4</v>
      </c>
      <c r="H107" s="75" t="n">
        <v>0</v>
      </c>
    </row>
    <row r="108">
      <c r="A108" s="71"/>
      <c r="D108" s="72" t="s">
        <v>76</v>
      </c>
      <c r="E108" s="72" t="s">
        <v>55</v>
      </c>
      <c r="F108" s="72"/>
      <c r="G108" s="73" t="n">
        <v>4</v>
      </c>
      <c r="H108" s="74"/>
    </row>
    <row r="109">
      <c r="A109" s="9" t="s">
        <v>263</v>
      </c>
      <c r="B109" s="10" t="s">
        <v>55</v>
      </c>
      <c r="C109" s="10" t="s">
        <v>264</v>
      </c>
      <c r="D109" s="10" t="s">
        <v>265</v>
      </c>
      <c r="E109" s="10"/>
      <c r="F109" s="10" t="s">
        <v>178</v>
      </c>
      <c r="G109" s="45" t="n">
        <v>1</v>
      </c>
      <c r="H109" s="75" t="n">
        <v>0</v>
      </c>
    </row>
    <row r="110">
      <c r="A110" s="71"/>
      <c r="D110" s="72" t="s">
        <v>58</v>
      </c>
      <c r="E110" s="72" t="s">
        <v>55</v>
      </c>
      <c r="F110" s="72"/>
      <c r="G110" s="73" t="n">
        <v>1</v>
      </c>
      <c r="H110" s="74"/>
    </row>
    <row r="111">
      <c r="A111" s="9" t="s">
        <v>266</v>
      </c>
      <c r="B111" s="10" t="s">
        <v>55</v>
      </c>
      <c r="C111" s="10" t="s">
        <v>267</v>
      </c>
      <c r="D111" s="10" t="s">
        <v>268</v>
      </c>
      <c r="E111" s="10"/>
      <c r="F111" s="10" t="s">
        <v>178</v>
      </c>
      <c r="G111" s="45" t="n">
        <v>1</v>
      </c>
      <c r="H111" s="75" t="n">
        <v>0</v>
      </c>
    </row>
    <row r="112">
      <c r="A112" s="71"/>
      <c r="D112" s="72" t="s">
        <v>58</v>
      </c>
      <c r="E112" s="72" t="s">
        <v>55</v>
      </c>
      <c r="F112" s="72"/>
      <c r="G112" s="73" t="n">
        <v>1</v>
      </c>
      <c r="H112" s="74"/>
    </row>
    <row r="113">
      <c r="A113" s="9" t="s">
        <v>269</v>
      </c>
      <c r="B113" s="10" t="s">
        <v>55</v>
      </c>
      <c r="C113" s="10" t="s">
        <v>270</v>
      </c>
      <c r="D113" s="10" t="s">
        <v>271</v>
      </c>
      <c r="E113" s="10"/>
      <c r="F113" s="10" t="s">
        <v>178</v>
      </c>
      <c r="G113" s="45" t="n">
        <v>2</v>
      </c>
      <c r="H113" s="75" t="n">
        <v>0</v>
      </c>
    </row>
    <row r="114">
      <c r="A114" s="71"/>
      <c r="D114" s="72" t="s">
        <v>66</v>
      </c>
      <c r="E114" s="72" t="s">
        <v>55</v>
      </c>
      <c r="F114" s="72"/>
      <c r="G114" s="73" t="n">
        <v>2</v>
      </c>
      <c r="H114" s="74"/>
    </row>
    <row r="115">
      <c r="A115" s="9" t="s">
        <v>272</v>
      </c>
      <c r="B115" s="10" t="s">
        <v>55</v>
      </c>
      <c r="C115" s="10" t="s">
        <v>273</v>
      </c>
      <c r="D115" s="10" t="s">
        <v>274</v>
      </c>
      <c r="E115" s="10"/>
      <c r="F115" s="10" t="s">
        <v>178</v>
      </c>
      <c r="G115" s="45" t="n">
        <v>1</v>
      </c>
      <c r="H115" s="75" t="n">
        <v>0</v>
      </c>
    </row>
    <row r="116">
      <c r="A116" s="71"/>
      <c r="D116" s="72" t="s">
        <v>58</v>
      </c>
      <c r="E116" s="72" t="s">
        <v>55</v>
      </c>
      <c r="F116" s="72"/>
      <c r="G116" s="73" t="n">
        <v>1</v>
      </c>
      <c r="H116" s="74"/>
    </row>
    <row r="117">
      <c r="A117" s="9" t="s">
        <v>275</v>
      </c>
      <c r="B117" s="10" t="s">
        <v>55</v>
      </c>
      <c r="C117" s="10" t="s">
        <v>276</v>
      </c>
      <c r="D117" s="10" t="s">
        <v>277</v>
      </c>
      <c r="E117" s="10"/>
      <c r="F117" s="10" t="s">
        <v>69</v>
      </c>
      <c r="G117" s="45" t="n">
        <v>55</v>
      </c>
      <c r="H117" s="75" t="n">
        <v>0</v>
      </c>
    </row>
    <row r="118">
      <c r="A118" s="71"/>
      <c r="D118" s="72" t="s">
        <v>278</v>
      </c>
      <c r="E118" s="72" t="s">
        <v>55</v>
      </c>
      <c r="F118" s="72"/>
      <c r="G118" s="73" t="n">
        <v>55</v>
      </c>
      <c r="H118" s="74"/>
    </row>
    <row r="119">
      <c r="A119" s="9" t="s">
        <v>278</v>
      </c>
      <c r="B119" s="10" t="s">
        <v>55</v>
      </c>
      <c r="C119" s="10" t="s">
        <v>279</v>
      </c>
      <c r="D119" s="10" t="s">
        <v>280</v>
      </c>
      <c r="E119" s="10"/>
      <c r="F119" s="10" t="s">
        <v>281</v>
      </c>
      <c r="G119" s="45" t="n">
        <v>1</v>
      </c>
      <c r="H119" s="75" t="n">
        <v>0</v>
      </c>
    </row>
    <row r="120">
      <c r="A120" s="71"/>
      <c r="D120" s="72" t="s">
        <v>58</v>
      </c>
      <c r="E120" s="72" t="s">
        <v>55</v>
      </c>
      <c r="F120" s="72"/>
      <c r="G120" s="73" t="n">
        <v>1</v>
      </c>
      <c r="H120" s="74"/>
    </row>
    <row r="121">
      <c r="A121" s="9" t="s">
        <v>147</v>
      </c>
      <c r="B121" s="10" t="s">
        <v>55</v>
      </c>
      <c r="C121" s="10" t="s">
        <v>284</v>
      </c>
      <c r="D121" s="10" t="s">
        <v>285</v>
      </c>
      <c r="E121" s="10"/>
      <c r="F121" s="10" t="s">
        <v>286</v>
      </c>
      <c r="G121" s="45" t="n">
        <v>32</v>
      </c>
      <c r="H121" s="75" t="n">
        <v>0</v>
      </c>
    </row>
    <row r="122">
      <c r="A122" s="71"/>
      <c r="D122" s="72" t="s">
        <v>197</v>
      </c>
      <c r="E122" s="72" t="s">
        <v>55</v>
      </c>
      <c r="F122" s="72"/>
      <c r="G122" s="73" t="n">
        <v>32</v>
      </c>
      <c r="H122" s="74"/>
    </row>
    <row r="123">
      <c r="A123" s="9" t="s">
        <v>157</v>
      </c>
      <c r="B123" s="10" t="s">
        <v>55</v>
      </c>
      <c r="C123" s="10" t="s">
        <v>291</v>
      </c>
      <c r="D123" s="10" t="s">
        <v>292</v>
      </c>
      <c r="E123" s="10"/>
      <c r="F123" s="10" t="s">
        <v>69</v>
      </c>
      <c r="G123" s="45" t="n">
        <v>18</v>
      </c>
      <c r="H123" s="75" t="n">
        <v>0</v>
      </c>
    </row>
    <row r="124">
      <c r="A124" s="71"/>
      <c r="D124" s="72" t="s">
        <v>121</v>
      </c>
      <c r="E124" s="72" t="s">
        <v>55</v>
      </c>
      <c r="F124" s="72"/>
      <c r="G124" s="73" t="n">
        <v>18</v>
      </c>
      <c r="H124" s="74"/>
    </row>
    <row r="125">
      <c r="A125" s="9" t="s">
        <v>294</v>
      </c>
      <c r="B125" s="10" t="s">
        <v>55</v>
      </c>
      <c r="C125" s="10" t="s">
        <v>295</v>
      </c>
      <c r="D125" s="10" t="s">
        <v>296</v>
      </c>
      <c r="E125" s="10"/>
      <c r="F125" s="10" t="s">
        <v>69</v>
      </c>
      <c r="G125" s="45" t="n">
        <v>20</v>
      </c>
      <c r="H125" s="75" t="n">
        <v>0</v>
      </c>
    </row>
    <row r="126">
      <c r="A126" s="71"/>
      <c r="D126" s="72" t="s">
        <v>137</v>
      </c>
      <c r="E126" s="72" t="s">
        <v>55</v>
      </c>
      <c r="F126" s="72"/>
      <c r="G126" s="73" t="n">
        <v>20</v>
      </c>
      <c r="H126" s="74"/>
    </row>
    <row r="127">
      <c r="A127" s="9" t="s">
        <v>297</v>
      </c>
      <c r="B127" s="10" t="s">
        <v>55</v>
      </c>
      <c r="C127" s="10" t="s">
        <v>298</v>
      </c>
      <c r="D127" s="10" t="s">
        <v>299</v>
      </c>
      <c r="E127" s="10"/>
      <c r="F127" s="10" t="s">
        <v>69</v>
      </c>
      <c r="G127" s="45" t="n">
        <v>20</v>
      </c>
      <c r="H127" s="75" t="n">
        <v>0</v>
      </c>
    </row>
    <row r="128">
      <c r="A128" s="71"/>
      <c r="D128" s="72" t="s">
        <v>137</v>
      </c>
      <c r="E128" s="72" t="s">
        <v>55</v>
      </c>
      <c r="F128" s="72"/>
      <c r="G128" s="73" t="n">
        <v>20</v>
      </c>
      <c r="H128" s="74"/>
    </row>
    <row r="129">
      <c r="A129" s="9" t="s">
        <v>302</v>
      </c>
      <c r="B129" s="10" t="s">
        <v>55</v>
      </c>
      <c r="C129" s="10" t="s">
        <v>303</v>
      </c>
      <c r="D129" s="10" t="s">
        <v>304</v>
      </c>
      <c r="E129" s="10"/>
      <c r="F129" s="10" t="s">
        <v>69</v>
      </c>
      <c r="G129" s="45" t="n">
        <v>3</v>
      </c>
      <c r="H129" s="75" t="n">
        <v>0</v>
      </c>
    </row>
    <row r="130">
      <c r="A130" s="71"/>
      <c r="D130" s="72" t="s">
        <v>71</v>
      </c>
      <c r="E130" s="72" t="s">
        <v>55</v>
      </c>
      <c r="F130" s="72"/>
      <c r="G130" s="73" t="n">
        <v>3</v>
      </c>
      <c r="H130" s="74"/>
    </row>
    <row r="131">
      <c r="A131" s="9" t="s">
        <v>308</v>
      </c>
      <c r="B131" s="10" t="s">
        <v>55</v>
      </c>
      <c r="C131" s="10" t="s">
        <v>309</v>
      </c>
      <c r="D131" s="10" t="s">
        <v>310</v>
      </c>
      <c r="E131" s="10"/>
      <c r="F131" s="10" t="s">
        <v>69</v>
      </c>
      <c r="G131" s="45" t="n">
        <v>2</v>
      </c>
      <c r="H131" s="75" t="n">
        <v>0</v>
      </c>
    </row>
    <row r="132">
      <c r="A132" s="71"/>
      <c r="D132" s="72" t="s">
        <v>66</v>
      </c>
      <c r="E132" s="72" t="s">
        <v>55</v>
      </c>
      <c r="F132" s="72"/>
      <c r="G132" s="73" t="n">
        <v>2</v>
      </c>
      <c r="H132" s="74"/>
    </row>
    <row r="133">
      <c r="A133" s="9" t="s">
        <v>312</v>
      </c>
      <c r="B133" s="10" t="s">
        <v>55</v>
      </c>
      <c r="C133" s="10" t="s">
        <v>313</v>
      </c>
      <c r="D133" s="10" t="s">
        <v>314</v>
      </c>
      <c r="E133" s="10"/>
      <c r="F133" s="10" t="s">
        <v>69</v>
      </c>
      <c r="G133" s="45" t="n">
        <v>2</v>
      </c>
      <c r="H133" s="75" t="n">
        <v>0</v>
      </c>
    </row>
    <row r="134">
      <c r="A134" s="71"/>
      <c r="D134" s="72" t="s">
        <v>66</v>
      </c>
      <c r="E134" s="72" t="s">
        <v>55</v>
      </c>
      <c r="F134" s="72"/>
      <c r="G134" s="73" t="n">
        <v>2</v>
      </c>
      <c r="H134" s="74"/>
    </row>
    <row r="135">
      <c r="A135" s="9" t="s">
        <v>317</v>
      </c>
      <c r="B135" s="10" t="s">
        <v>55</v>
      </c>
      <c r="C135" s="10" t="s">
        <v>318</v>
      </c>
      <c r="D135" s="10" t="s">
        <v>319</v>
      </c>
      <c r="E135" s="10"/>
      <c r="F135" s="10" t="s">
        <v>69</v>
      </c>
      <c r="G135" s="45" t="n">
        <v>98</v>
      </c>
      <c r="H135" s="75" t="n">
        <v>0</v>
      </c>
    </row>
    <row r="136">
      <c r="A136" s="71"/>
      <c r="D136" s="72" t="s">
        <v>423</v>
      </c>
      <c r="E136" s="72" t="s">
        <v>55</v>
      </c>
      <c r="F136" s="72"/>
      <c r="G136" s="73" t="n">
        <v>98</v>
      </c>
      <c r="H136" s="74"/>
    </row>
    <row r="137">
      <c r="A137" s="9" t="s">
        <v>321</v>
      </c>
      <c r="B137" s="10" t="s">
        <v>55</v>
      </c>
      <c r="C137" s="10" t="s">
        <v>322</v>
      </c>
      <c r="D137" s="10" t="s">
        <v>323</v>
      </c>
      <c r="E137" s="10"/>
      <c r="F137" s="10" t="s">
        <v>178</v>
      </c>
      <c r="G137" s="45" t="n">
        <v>1</v>
      </c>
      <c r="H137" s="75" t="n">
        <v>0</v>
      </c>
    </row>
    <row r="138">
      <c r="A138" s="71"/>
      <c r="D138" s="72" t="s">
        <v>58</v>
      </c>
      <c r="E138" s="72" t="s">
        <v>55</v>
      </c>
      <c r="F138" s="72"/>
      <c r="G138" s="73" t="n">
        <v>1</v>
      </c>
      <c r="H138" s="74"/>
    </row>
    <row r="139">
      <c r="A139" s="9" t="s">
        <v>326</v>
      </c>
      <c r="B139" s="10" t="s">
        <v>55</v>
      </c>
      <c r="C139" s="10" t="s">
        <v>327</v>
      </c>
      <c r="D139" s="10" t="s">
        <v>328</v>
      </c>
      <c r="E139" s="10"/>
      <c r="F139" s="10" t="s">
        <v>69</v>
      </c>
      <c r="G139" s="45" t="n">
        <v>98</v>
      </c>
      <c r="H139" s="75" t="n">
        <v>0</v>
      </c>
    </row>
    <row r="140">
      <c r="A140" s="71"/>
      <c r="D140" s="72" t="s">
        <v>423</v>
      </c>
      <c r="E140" s="72" t="s">
        <v>55</v>
      </c>
      <c r="F140" s="72"/>
      <c r="G140" s="73" t="n">
        <v>98</v>
      </c>
      <c r="H140" s="74"/>
    </row>
    <row r="141">
      <c r="A141" s="9" t="s">
        <v>330</v>
      </c>
      <c r="B141" s="10" t="s">
        <v>55</v>
      </c>
      <c r="C141" s="10" t="s">
        <v>331</v>
      </c>
      <c r="D141" s="10" t="s">
        <v>332</v>
      </c>
      <c r="E141" s="10"/>
      <c r="F141" s="10" t="s">
        <v>69</v>
      </c>
      <c r="G141" s="45" t="n">
        <v>98</v>
      </c>
      <c r="H141" s="75" t="n">
        <v>0</v>
      </c>
    </row>
    <row r="142">
      <c r="A142" s="71"/>
      <c r="D142" s="72" t="s">
        <v>423</v>
      </c>
      <c r="E142" s="72" t="s">
        <v>55</v>
      </c>
      <c r="F142" s="72"/>
      <c r="G142" s="73" t="n">
        <v>98</v>
      </c>
      <c r="H142" s="74"/>
    </row>
    <row r="143">
      <c r="A143" s="9" t="s">
        <v>333</v>
      </c>
      <c r="B143" s="10" t="s">
        <v>55</v>
      </c>
      <c r="C143" s="10" t="s">
        <v>334</v>
      </c>
      <c r="D143" s="10" t="s">
        <v>335</v>
      </c>
      <c r="E143" s="10"/>
      <c r="F143" s="10" t="s">
        <v>69</v>
      </c>
      <c r="G143" s="45" t="n">
        <v>98</v>
      </c>
      <c r="H143" s="75" t="n">
        <v>0</v>
      </c>
    </row>
    <row r="144">
      <c r="A144" s="71"/>
      <c r="D144" s="72" t="s">
        <v>423</v>
      </c>
      <c r="E144" s="72" t="s">
        <v>55</v>
      </c>
      <c r="F144" s="72"/>
      <c r="G144" s="73" t="n">
        <v>98</v>
      </c>
      <c r="H144" s="74"/>
    </row>
    <row r="145">
      <c r="A145" s="9" t="s">
        <v>336</v>
      </c>
      <c r="B145" s="10" t="s">
        <v>55</v>
      </c>
      <c r="C145" s="10" t="s">
        <v>337</v>
      </c>
      <c r="D145" s="10" t="s">
        <v>338</v>
      </c>
      <c r="E145" s="10"/>
      <c r="F145" s="10" t="s">
        <v>79</v>
      </c>
      <c r="G145" s="45" t="n">
        <v>18.86</v>
      </c>
      <c r="H145" s="75" t="n">
        <v>0</v>
      </c>
    </row>
    <row r="146">
      <c r="A146" s="71"/>
      <c r="D146" s="72" t="s">
        <v>527</v>
      </c>
      <c r="E146" s="72" t="s">
        <v>55</v>
      </c>
      <c r="F146" s="72"/>
      <c r="G146" s="73" t="n">
        <v>18.86</v>
      </c>
      <c r="H146" s="74"/>
    </row>
    <row r="147">
      <c r="A147" s="9" t="s">
        <v>339</v>
      </c>
      <c r="B147" s="10" t="s">
        <v>55</v>
      </c>
      <c r="C147" s="10" t="s">
        <v>340</v>
      </c>
      <c r="D147" s="10" t="s">
        <v>341</v>
      </c>
      <c r="E147" s="10"/>
      <c r="F147" s="10" t="s">
        <v>79</v>
      </c>
      <c r="G147" s="45" t="n">
        <v>18.86</v>
      </c>
      <c r="H147" s="75" t="n">
        <v>0</v>
      </c>
    </row>
    <row r="148">
      <c r="A148" s="71"/>
      <c r="D148" s="72" t="s">
        <v>528</v>
      </c>
      <c r="E148" s="72" t="s">
        <v>55</v>
      </c>
      <c r="F148" s="72"/>
      <c r="G148" s="73" t="n">
        <v>18.86</v>
      </c>
      <c r="H148" s="74"/>
    </row>
    <row r="149">
      <c r="A149" s="9" t="s">
        <v>342</v>
      </c>
      <c r="B149" s="10" t="s">
        <v>55</v>
      </c>
      <c r="C149" s="10" t="s">
        <v>343</v>
      </c>
      <c r="D149" s="10" t="s">
        <v>344</v>
      </c>
      <c r="E149" s="10"/>
      <c r="F149" s="10" t="s">
        <v>178</v>
      </c>
      <c r="G149" s="45" t="n">
        <v>1</v>
      </c>
      <c r="H149" s="75" t="n">
        <v>0</v>
      </c>
    </row>
    <row r="150">
      <c r="A150" s="71"/>
      <c r="D150" s="72" t="s">
        <v>58</v>
      </c>
      <c r="E150" s="72" t="s">
        <v>55</v>
      </c>
      <c r="F150" s="72"/>
      <c r="G150" s="73" t="n">
        <v>1</v>
      </c>
      <c r="H150" s="74"/>
    </row>
    <row r="151">
      <c r="A151" s="9" t="s">
        <v>347</v>
      </c>
      <c r="B151" s="10" t="s">
        <v>55</v>
      </c>
      <c r="C151" s="10" t="s">
        <v>348</v>
      </c>
      <c r="D151" s="10" t="s">
        <v>349</v>
      </c>
      <c r="E151" s="10"/>
      <c r="F151" s="10" t="s">
        <v>178</v>
      </c>
      <c r="G151" s="45" t="n">
        <v>1</v>
      </c>
      <c r="H151" s="75" t="n">
        <v>0</v>
      </c>
    </row>
    <row r="152">
      <c r="A152" s="71"/>
      <c r="D152" s="72" t="s">
        <v>58</v>
      </c>
      <c r="E152" s="72" t="s">
        <v>55</v>
      </c>
      <c r="F152" s="72"/>
      <c r="G152" s="73" t="n">
        <v>1</v>
      </c>
      <c r="H152" s="74"/>
    </row>
    <row r="153">
      <c r="A153" s="9" t="s">
        <v>353</v>
      </c>
      <c r="B153" s="10" t="s">
        <v>55</v>
      </c>
      <c r="C153" s="10" t="s">
        <v>348</v>
      </c>
      <c r="D153" s="10" t="s">
        <v>354</v>
      </c>
      <c r="E153" s="10"/>
      <c r="F153" s="10" t="s">
        <v>178</v>
      </c>
      <c r="G153" s="45" t="n">
        <v>1</v>
      </c>
      <c r="H153" s="75" t="n">
        <v>0</v>
      </c>
    </row>
    <row r="154">
      <c r="A154" s="71"/>
      <c r="D154" s="72" t="s">
        <v>58</v>
      </c>
      <c r="E154" s="72" t="s">
        <v>55</v>
      </c>
      <c r="F154" s="72"/>
      <c r="G154" s="73" t="n">
        <v>1</v>
      </c>
      <c r="H154" s="74"/>
    </row>
    <row r="155">
      <c r="A155" s="9" t="s">
        <v>355</v>
      </c>
      <c r="B155" s="10" t="s">
        <v>55</v>
      </c>
      <c r="C155" s="10" t="s">
        <v>356</v>
      </c>
      <c r="D155" s="10" t="s">
        <v>357</v>
      </c>
      <c r="E155" s="10"/>
      <c r="F155" s="10" t="s">
        <v>178</v>
      </c>
      <c r="G155" s="45" t="n">
        <v>4</v>
      </c>
      <c r="H155" s="75" t="n">
        <v>0</v>
      </c>
    </row>
    <row r="156">
      <c r="A156" s="71"/>
      <c r="D156" s="72" t="s">
        <v>76</v>
      </c>
      <c r="E156" s="72" t="s">
        <v>55</v>
      </c>
      <c r="F156" s="72"/>
      <c r="G156" s="73" t="n">
        <v>4</v>
      </c>
      <c r="H156" s="74"/>
    </row>
    <row r="157">
      <c r="A157" s="9" t="s">
        <v>358</v>
      </c>
      <c r="B157" s="10" t="s">
        <v>55</v>
      </c>
      <c r="C157" s="10" t="s">
        <v>359</v>
      </c>
      <c r="D157" s="10" t="s">
        <v>360</v>
      </c>
      <c r="E157" s="10"/>
      <c r="F157" s="10" t="s">
        <v>178</v>
      </c>
      <c r="G157" s="45" t="n">
        <v>1</v>
      </c>
      <c r="H157" s="75" t="n">
        <v>0</v>
      </c>
    </row>
    <row r="158">
      <c r="A158" s="71"/>
      <c r="D158" s="72" t="s">
        <v>58</v>
      </c>
      <c r="E158" s="72" t="s">
        <v>55</v>
      </c>
      <c r="F158" s="72"/>
      <c r="G158" s="73" t="n">
        <v>1</v>
      </c>
      <c r="H158" s="74"/>
    </row>
    <row r="159">
      <c r="A159" s="9" t="s">
        <v>361</v>
      </c>
      <c r="B159" s="10" t="s">
        <v>55</v>
      </c>
      <c r="C159" s="10" t="s">
        <v>362</v>
      </c>
      <c r="D159" s="10" t="s">
        <v>363</v>
      </c>
      <c r="E159" s="10"/>
      <c r="F159" s="10" t="s">
        <v>178</v>
      </c>
      <c r="G159" s="45" t="n">
        <v>1</v>
      </c>
      <c r="H159" s="75" t="n">
        <v>0</v>
      </c>
    </row>
    <row r="160">
      <c r="A160" s="71"/>
      <c r="D160" s="72" t="s">
        <v>58</v>
      </c>
      <c r="E160" s="72" t="s">
        <v>55</v>
      </c>
      <c r="F160" s="72"/>
      <c r="G160" s="73" t="n">
        <v>1</v>
      </c>
      <c r="H160" s="74"/>
    </row>
    <row r="161">
      <c r="A161" s="9" t="s">
        <v>364</v>
      </c>
      <c r="B161" s="10" t="s">
        <v>55</v>
      </c>
      <c r="C161" s="10" t="s">
        <v>365</v>
      </c>
      <c r="D161" s="10" t="s">
        <v>366</v>
      </c>
      <c r="E161" s="10"/>
      <c r="F161" s="10" t="s">
        <v>178</v>
      </c>
      <c r="G161" s="45" t="n">
        <v>2</v>
      </c>
      <c r="H161" s="75" t="n">
        <v>0</v>
      </c>
    </row>
    <row r="162">
      <c r="A162" s="71"/>
      <c r="D162" s="72" t="s">
        <v>66</v>
      </c>
      <c r="E162" s="72" t="s">
        <v>55</v>
      </c>
      <c r="F162" s="72"/>
      <c r="G162" s="73" t="n">
        <v>2</v>
      </c>
      <c r="H162" s="74"/>
    </row>
    <row r="163">
      <c r="A163" s="9" t="s">
        <v>367</v>
      </c>
      <c r="B163" s="10" t="s">
        <v>55</v>
      </c>
      <c r="C163" s="10" t="s">
        <v>368</v>
      </c>
      <c r="D163" s="10" t="s">
        <v>369</v>
      </c>
      <c r="E163" s="10"/>
      <c r="F163" s="10" t="s">
        <v>178</v>
      </c>
      <c r="G163" s="45" t="n">
        <v>2</v>
      </c>
      <c r="H163" s="75" t="n">
        <v>0</v>
      </c>
    </row>
    <row r="164">
      <c r="A164" s="71"/>
      <c r="D164" s="72" t="s">
        <v>66</v>
      </c>
      <c r="E164" s="72" t="s">
        <v>55</v>
      </c>
      <c r="F164" s="72"/>
      <c r="G164" s="73" t="n">
        <v>2</v>
      </c>
      <c r="H164" s="74"/>
    </row>
    <row r="165">
      <c r="A165" s="9" t="s">
        <v>370</v>
      </c>
      <c r="B165" s="10" t="s">
        <v>55</v>
      </c>
      <c r="C165" s="10" t="s">
        <v>371</v>
      </c>
      <c r="D165" s="10" t="s">
        <v>372</v>
      </c>
      <c r="E165" s="10"/>
      <c r="F165" s="10" t="s">
        <v>178</v>
      </c>
      <c r="G165" s="45" t="n">
        <v>2</v>
      </c>
      <c r="H165" s="75" t="n">
        <v>0</v>
      </c>
    </row>
    <row r="166">
      <c r="A166" s="71"/>
      <c r="D166" s="72" t="s">
        <v>66</v>
      </c>
      <c r="E166" s="72" t="s">
        <v>55</v>
      </c>
      <c r="F166" s="72"/>
      <c r="G166" s="73" t="n">
        <v>2</v>
      </c>
      <c r="H166" s="74"/>
    </row>
    <row r="167">
      <c r="A167" s="9" t="s">
        <v>373</v>
      </c>
      <c r="B167" s="10" t="s">
        <v>55</v>
      </c>
      <c r="C167" s="10" t="s">
        <v>374</v>
      </c>
      <c r="D167" s="10" t="s">
        <v>375</v>
      </c>
      <c r="E167" s="10"/>
      <c r="F167" s="10" t="s">
        <v>178</v>
      </c>
      <c r="G167" s="45" t="n">
        <v>1</v>
      </c>
      <c r="H167" s="75" t="n">
        <v>0</v>
      </c>
    </row>
    <row r="168">
      <c r="A168" s="71"/>
      <c r="D168" s="72" t="s">
        <v>58</v>
      </c>
      <c r="E168" s="72" t="s">
        <v>55</v>
      </c>
      <c r="F168" s="72"/>
      <c r="G168" s="73" t="n">
        <v>1</v>
      </c>
      <c r="H168" s="74"/>
    </row>
    <row r="169">
      <c r="A169" s="9" t="s">
        <v>376</v>
      </c>
      <c r="B169" s="10" t="s">
        <v>55</v>
      </c>
      <c r="C169" s="10" t="s">
        <v>377</v>
      </c>
      <c r="D169" s="10" t="s">
        <v>378</v>
      </c>
      <c r="E169" s="10"/>
      <c r="F169" s="10" t="s">
        <v>178</v>
      </c>
      <c r="G169" s="45" t="n">
        <v>1</v>
      </c>
      <c r="H169" s="75" t="n">
        <v>0</v>
      </c>
    </row>
    <row r="170">
      <c r="A170" s="71"/>
      <c r="D170" s="72" t="s">
        <v>58</v>
      </c>
      <c r="E170" s="72" t="s">
        <v>55</v>
      </c>
      <c r="F170" s="72"/>
      <c r="G170" s="73" t="n">
        <v>1</v>
      </c>
      <c r="H170" s="74"/>
    </row>
    <row r="171">
      <c r="A171" s="9" t="s">
        <v>379</v>
      </c>
      <c r="B171" s="10" t="s">
        <v>55</v>
      </c>
      <c r="C171" s="10" t="s">
        <v>380</v>
      </c>
      <c r="D171" s="10" t="s">
        <v>381</v>
      </c>
      <c r="E171" s="10"/>
      <c r="F171" s="10" t="s">
        <v>178</v>
      </c>
      <c r="G171" s="45" t="n">
        <v>1</v>
      </c>
      <c r="H171" s="75" t="n">
        <v>0</v>
      </c>
    </row>
    <row r="172">
      <c r="A172" s="71"/>
      <c r="D172" s="72" t="s">
        <v>58</v>
      </c>
      <c r="E172" s="72" t="s">
        <v>55</v>
      </c>
      <c r="F172" s="72"/>
      <c r="G172" s="73" t="n">
        <v>1</v>
      </c>
      <c r="H172" s="74"/>
    </row>
    <row r="173">
      <c r="A173" s="9" t="s">
        <v>382</v>
      </c>
      <c r="B173" s="10" t="s">
        <v>55</v>
      </c>
      <c r="C173" s="10" t="s">
        <v>383</v>
      </c>
      <c r="D173" s="10" t="s">
        <v>384</v>
      </c>
      <c r="E173" s="10"/>
      <c r="F173" s="10" t="s">
        <v>178</v>
      </c>
      <c r="G173" s="45" t="n">
        <v>3</v>
      </c>
      <c r="H173" s="75" t="n">
        <v>0</v>
      </c>
    </row>
    <row r="174">
      <c r="A174" s="71"/>
      <c r="D174" s="72" t="s">
        <v>71</v>
      </c>
      <c r="E174" s="72" t="s">
        <v>55</v>
      </c>
      <c r="F174" s="72"/>
      <c r="G174" s="73" t="n">
        <v>3</v>
      </c>
      <c r="H174" s="74"/>
    </row>
    <row r="175">
      <c r="A175" s="9" t="s">
        <v>385</v>
      </c>
      <c r="B175" s="10" t="s">
        <v>55</v>
      </c>
      <c r="C175" s="10" t="s">
        <v>386</v>
      </c>
      <c r="D175" s="10" t="s">
        <v>387</v>
      </c>
      <c r="E175" s="10"/>
      <c r="F175" s="10" t="s">
        <v>178</v>
      </c>
      <c r="G175" s="45" t="n">
        <v>4</v>
      </c>
      <c r="H175" s="75" t="n">
        <v>0</v>
      </c>
    </row>
    <row r="176">
      <c r="A176" s="71"/>
      <c r="D176" s="72" t="s">
        <v>76</v>
      </c>
      <c r="E176" s="72" t="s">
        <v>55</v>
      </c>
      <c r="F176" s="72"/>
      <c r="G176" s="73" t="n">
        <v>4</v>
      </c>
      <c r="H176" s="74"/>
    </row>
    <row r="177">
      <c r="A177" s="9" t="s">
        <v>388</v>
      </c>
      <c r="B177" s="10" t="s">
        <v>55</v>
      </c>
      <c r="C177" s="10" t="s">
        <v>389</v>
      </c>
      <c r="D177" s="10" t="s">
        <v>390</v>
      </c>
      <c r="E177" s="10"/>
      <c r="F177" s="10" t="s">
        <v>178</v>
      </c>
      <c r="G177" s="45" t="n">
        <v>2</v>
      </c>
      <c r="H177" s="75" t="n">
        <v>0</v>
      </c>
    </row>
    <row r="178">
      <c r="A178" s="71"/>
      <c r="D178" s="72" t="s">
        <v>66</v>
      </c>
      <c r="E178" s="72" t="s">
        <v>55</v>
      </c>
      <c r="F178" s="72"/>
      <c r="G178" s="73" t="n">
        <v>2</v>
      </c>
      <c r="H178" s="74"/>
    </row>
    <row r="179">
      <c r="A179" s="9" t="s">
        <v>211</v>
      </c>
      <c r="B179" s="10" t="s">
        <v>55</v>
      </c>
      <c r="C179" s="10" t="s">
        <v>391</v>
      </c>
      <c r="D179" s="10" t="s">
        <v>392</v>
      </c>
      <c r="E179" s="10"/>
      <c r="F179" s="10" t="s">
        <v>178</v>
      </c>
      <c r="G179" s="45" t="n">
        <v>36</v>
      </c>
      <c r="H179" s="75" t="n">
        <v>0</v>
      </c>
    </row>
    <row r="180">
      <c r="A180" s="71"/>
      <c r="D180" s="72" t="s">
        <v>529</v>
      </c>
      <c r="E180" s="72" t="s">
        <v>55</v>
      </c>
      <c r="F180" s="72"/>
      <c r="G180" s="73" t="n">
        <v>36</v>
      </c>
      <c r="H180" s="74"/>
    </row>
    <row r="181">
      <c r="A181" s="9" t="s">
        <v>393</v>
      </c>
      <c r="B181" s="10" t="s">
        <v>55</v>
      </c>
      <c r="C181" s="10" t="s">
        <v>394</v>
      </c>
      <c r="D181" s="10" t="s">
        <v>395</v>
      </c>
      <c r="E181" s="10"/>
      <c r="F181" s="10" t="s">
        <v>69</v>
      </c>
      <c r="G181" s="45" t="n">
        <v>48</v>
      </c>
      <c r="H181" s="75" t="n">
        <v>0</v>
      </c>
    </row>
    <row r="182">
      <c r="A182" s="71"/>
      <c r="D182" s="72" t="s">
        <v>525</v>
      </c>
      <c r="E182" s="72" t="s">
        <v>55</v>
      </c>
      <c r="F182" s="72"/>
      <c r="G182" s="73" t="n">
        <v>48</v>
      </c>
      <c r="H182" s="74"/>
    </row>
    <row r="183">
      <c r="A183" s="9" t="s">
        <v>218</v>
      </c>
      <c r="B183" s="10" t="s">
        <v>55</v>
      </c>
      <c r="C183" s="10" t="s">
        <v>396</v>
      </c>
      <c r="D183" s="10" t="s">
        <v>397</v>
      </c>
      <c r="E183" s="10"/>
      <c r="F183" s="10" t="s">
        <v>69</v>
      </c>
      <c r="G183" s="45" t="n">
        <v>2</v>
      </c>
      <c r="H183" s="75" t="n">
        <v>0</v>
      </c>
    </row>
    <row r="184">
      <c r="A184" s="71"/>
      <c r="D184" s="72" t="s">
        <v>66</v>
      </c>
      <c r="E184" s="72" t="s">
        <v>55</v>
      </c>
      <c r="F184" s="72"/>
      <c r="G184" s="73" t="n">
        <v>2</v>
      </c>
      <c r="H184" s="74"/>
    </row>
    <row r="185">
      <c r="A185" s="9" t="s">
        <v>398</v>
      </c>
      <c r="B185" s="10" t="s">
        <v>55</v>
      </c>
      <c r="C185" s="10" t="s">
        <v>399</v>
      </c>
      <c r="D185" s="10" t="s">
        <v>400</v>
      </c>
      <c r="E185" s="10"/>
      <c r="F185" s="10" t="s">
        <v>69</v>
      </c>
      <c r="G185" s="45" t="n">
        <v>2</v>
      </c>
      <c r="H185" s="75" t="n">
        <v>0</v>
      </c>
    </row>
    <row r="186">
      <c r="A186" s="71"/>
      <c r="D186" s="72" t="s">
        <v>66</v>
      </c>
      <c r="E186" s="72" t="s">
        <v>55</v>
      </c>
      <c r="F186" s="72"/>
      <c r="G186" s="73" t="n">
        <v>2</v>
      </c>
      <c r="H186" s="74"/>
    </row>
    <row r="187">
      <c r="A187" s="9" t="s">
        <v>230</v>
      </c>
      <c r="B187" s="10" t="s">
        <v>55</v>
      </c>
      <c r="C187" s="10" t="s">
        <v>401</v>
      </c>
      <c r="D187" s="10" t="s">
        <v>402</v>
      </c>
      <c r="E187" s="10"/>
      <c r="F187" s="10" t="s">
        <v>178</v>
      </c>
      <c r="G187" s="45" t="n">
        <v>4</v>
      </c>
      <c r="H187" s="75" t="n">
        <v>0</v>
      </c>
    </row>
    <row r="188">
      <c r="A188" s="71"/>
      <c r="D188" s="72" t="s">
        <v>76</v>
      </c>
      <c r="E188" s="72" t="s">
        <v>55</v>
      </c>
      <c r="F188" s="72"/>
      <c r="G188" s="73" t="n">
        <v>4</v>
      </c>
      <c r="H188" s="74"/>
    </row>
    <row r="189">
      <c r="A189" s="9" t="s">
        <v>282</v>
      </c>
      <c r="B189" s="10" t="s">
        <v>55</v>
      </c>
      <c r="C189" s="10" t="s">
        <v>403</v>
      </c>
      <c r="D189" s="10" t="s">
        <v>404</v>
      </c>
      <c r="E189" s="10"/>
      <c r="F189" s="10" t="s">
        <v>178</v>
      </c>
      <c r="G189" s="45" t="n">
        <v>4</v>
      </c>
      <c r="H189" s="75" t="n">
        <v>0</v>
      </c>
    </row>
    <row r="190">
      <c r="A190" s="71"/>
      <c r="D190" s="72" t="s">
        <v>76</v>
      </c>
      <c r="E190" s="72" t="s">
        <v>55</v>
      </c>
      <c r="F190" s="72"/>
      <c r="G190" s="73" t="n">
        <v>4</v>
      </c>
      <c r="H190" s="74"/>
    </row>
    <row r="191">
      <c r="A191" s="9" t="s">
        <v>289</v>
      </c>
      <c r="B191" s="10" t="s">
        <v>55</v>
      </c>
      <c r="C191" s="10" t="s">
        <v>405</v>
      </c>
      <c r="D191" s="10" t="s">
        <v>406</v>
      </c>
      <c r="E191" s="10"/>
      <c r="F191" s="10" t="s">
        <v>178</v>
      </c>
      <c r="G191" s="45" t="n">
        <v>4</v>
      </c>
      <c r="H191" s="75" t="n">
        <v>0</v>
      </c>
    </row>
    <row r="192">
      <c r="A192" s="71"/>
      <c r="D192" s="72" t="s">
        <v>76</v>
      </c>
      <c r="E192" s="72" t="s">
        <v>55</v>
      </c>
      <c r="F192" s="72"/>
      <c r="G192" s="73" t="n">
        <v>4</v>
      </c>
      <c r="H192" s="74"/>
    </row>
    <row r="193">
      <c r="A193" s="9" t="s">
        <v>407</v>
      </c>
      <c r="B193" s="10" t="s">
        <v>55</v>
      </c>
      <c r="C193" s="10" t="s">
        <v>408</v>
      </c>
      <c r="D193" s="10" t="s">
        <v>409</v>
      </c>
      <c r="E193" s="10"/>
      <c r="F193" s="10" t="s">
        <v>178</v>
      </c>
      <c r="G193" s="45" t="n">
        <v>2</v>
      </c>
      <c r="H193" s="75" t="n">
        <v>0</v>
      </c>
    </row>
    <row r="194">
      <c r="A194" s="71"/>
      <c r="D194" s="72" t="s">
        <v>66</v>
      </c>
      <c r="E194" s="72" t="s">
        <v>55</v>
      </c>
      <c r="F194" s="72"/>
      <c r="G194" s="73" t="n">
        <v>2</v>
      </c>
      <c r="H194" s="74"/>
    </row>
    <row r="195">
      <c r="A195" s="9" t="s">
        <v>300</v>
      </c>
      <c r="B195" s="10" t="s">
        <v>55</v>
      </c>
      <c r="C195" s="10" t="s">
        <v>410</v>
      </c>
      <c r="D195" s="10" t="s">
        <v>411</v>
      </c>
      <c r="E195" s="10"/>
      <c r="F195" s="10" t="s">
        <v>178</v>
      </c>
      <c r="G195" s="45" t="n">
        <v>1</v>
      </c>
      <c r="H195" s="75" t="n">
        <v>0</v>
      </c>
    </row>
    <row r="196">
      <c r="A196" s="71"/>
      <c r="D196" s="72" t="s">
        <v>58</v>
      </c>
      <c r="E196" s="72" t="s">
        <v>55</v>
      </c>
      <c r="F196" s="72"/>
      <c r="G196" s="73" t="n">
        <v>1</v>
      </c>
      <c r="H196" s="74"/>
    </row>
    <row r="197">
      <c r="A197" s="9" t="s">
        <v>412</v>
      </c>
      <c r="B197" s="10" t="s">
        <v>55</v>
      </c>
      <c r="C197" s="10" t="s">
        <v>413</v>
      </c>
      <c r="D197" s="10" t="s">
        <v>414</v>
      </c>
      <c r="E197" s="10"/>
      <c r="F197" s="10" t="s">
        <v>178</v>
      </c>
      <c r="G197" s="45" t="n">
        <v>1</v>
      </c>
      <c r="H197" s="75" t="n">
        <v>0</v>
      </c>
    </row>
    <row r="198">
      <c r="A198" s="71"/>
      <c r="D198" s="72" t="s">
        <v>58</v>
      </c>
      <c r="E198" s="72" t="s">
        <v>55</v>
      </c>
      <c r="F198" s="72"/>
      <c r="G198" s="73" t="n">
        <v>1</v>
      </c>
      <c r="H198" s="74"/>
    </row>
    <row r="199">
      <c r="A199" s="9" t="s">
        <v>415</v>
      </c>
      <c r="B199" s="10" t="s">
        <v>55</v>
      </c>
      <c r="C199" s="10" t="s">
        <v>416</v>
      </c>
      <c r="D199" s="10" t="s">
        <v>417</v>
      </c>
      <c r="E199" s="10"/>
      <c r="F199" s="10" t="s">
        <v>178</v>
      </c>
      <c r="G199" s="45" t="n">
        <v>2</v>
      </c>
      <c r="H199" s="75" t="n">
        <v>0</v>
      </c>
    </row>
    <row r="200">
      <c r="A200" s="71"/>
      <c r="D200" s="72" t="s">
        <v>66</v>
      </c>
      <c r="E200" s="72" t="s">
        <v>55</v>
      </c>
      <c r="F200" s="72"/>
      <c r="G200" s="73" t="n">
        <v>2</v>
      </c>
      <c r="H200" s="74"/>
    </row>
    <row r="201">
      <c r="A201" s="9" t="s">
        <v>418</v>
      </c>
      <c r="B201" s="10" t="s">
        <v>55</v>
      </c>
      <c r="C201" s="10" t="s">
        <v>419</v>
      </c>
      <c r="D201" s="10" t="s">
        <v>420</v>
      </c>
      <c r="E201" s="10"/>
      <c r="F201" s="10" t="s">
        <v>178</v>
      </c>
      <c r="G201" s="45" t="n">
        <v>2</v>
      </c>
      <c r="H201" s="75" t="n">
        <v>0</v>
      </c>
    </row>
    <row r="202">
      <c r="A202" s="71"/>
      <c r="D202" s="72" t="s">
        <v>66</v>
      </c>
      <c r="E202" s="72" t="s">
        <v>55</v>
      </c>
      <c r="F202" s="72"/>
      <c r="G202" s="73" t="n">
        <v>2</v>
      </c>
      <c r="H202" s="74"/>
    </row>
    <row r="203">
      <c r="A203" s="9" t="s">
        <v>306</v>
      </c>
      <c r="B203" s="10" t="s">
        <v>55</v>
      </c>
      <c r="C203" s="10" t="s">
        <v>421</v>
      </c>
      <c r="D203" s="10" t="s">
        <v>422</v>
      </c>
      <c r="E203" s="10"/>
      <c r="F203" s="10" t="s">
        <v>178</v>
      </c>
      <c r="G203" s="45" t="n">
        <v>2</v>
      </c>
      <c r="H203" s="75" t="n">
        <v>0</v>
      </c>
    </row>
    <row r="204">
      <c r="A204" s="71"/>
      <c r="D204" s="72" t="s">
        <v>66</v>
      </c>
      <c r="E204" s="72" t="s">
        <v>55</v>
      </c>
      <c r="F204" s="72"/>
      <c r="G204" s="73" t="n">
        <v>2</v>
      </c>
      <c r="H204" s="74"/>
    </row>
    <row r="205">
      <c r="A205" s="9" t="s">
        <v>423</v>
      </c>
      <c r="B205" s="10" t="s">
        <v>55</v>
      </c>
      <c r="C205" s="10" t="s">
        <v>424</v>
      </c>
      <c r="D205" s="10" t="s">
        <v>425</v>
      </c>
      <c r="E205" s="10"/>
      <c r="F205" s="10" t="s">
        <v>178</v>
      </c>
      <c r="G205" s="45" t="n">
        <v>1</v>
      </c>
      <c r="H205" s="75" t="n">
        <v>0</v>
      </c>
    </row>
    <row r="206">
      <c r="A206" s="71"/>
      <c r="D206" s="72" t="s">
        <v>58</v>
      </c>
      <c r="E206" s="72" t="s">
        <v>55</v>
      </c>
      <c r="F206" s="72"/>
      <c r="G206" s="73" t="n">
        <v>1</v>
      </c>
      <c r="H206" s="74"/>
    </row>
    <row r="207">
      <c r="A207" s="9" t="s">
        <v>426</v>
      </c>
      <c r="B207" s="10" t="s">
        <v>55</v>
      </c>
      <c r="C207" s="10" t="s">
        <v>427</v>
      </c>
      <c r="D207" s="10" t="s">
        <v>428</v>
      </c>
      <c r="E207" s="10"/>
      <c r="F207" s="10" t="s">
        <v>178</v>
      </c>
      <c r="G207" s="45" t="n">
        <v>1</v>
      </c>
      <c r="H207" s="75" t="n">
        <v>0</v>
      </c>
    </row>
    <row r="208">
      <c r="A208" s="71"/>
      <c r="D208" s="72" t="s">
        <v>58</v>
      </c>
      <c r="E208" s="72" t="s">
        <v>55</v>
      </c>
      <c r="F208" s="72"/>
      <c r="G208" s="73" t="n">
        <v>1</v>
      </c>
      <c r="H208" s="74"/>
    </row>
    <row r="209">
      <c r="A209" s="9" t="s">
        <v>429</v>
      </c>
      <c r="B209" s="10" t="s">
        <v>55</v>
      </c>
      <c r="C209" s="10" t="s">
        <v>430</v>
      </c>
      <c r="D209" s="10" t="s">
        <v>431</v>
      </c>
      <c r="E209" s="10"/>
      <c r="F209" s="10" t="s">
        <v>178</v>
      </c>
      <c r="G209" s="45" t="n">
        <v>2</v>
      </c>
      <c r="H209" s="75" t="n">
        <v>0</v>
      </c>
    </row>
    <row r="210">
      <c r="A210" s="71"/>
      <c r="D210" s="72" t="s">
        <v>66</v>
      </c>
      <c r="E210" s="72" t="s">
        <v>55</v>
      </c>
      <c r="F210" s="72"/>
      <c r="G210" s="73" t="n">
        <v>2</v>
      </c>
      <c r="H210" s="74"/>
    </row>
    <row r="211">
      <c r="A211" s="9" t="s">
        <v>432</v>
      </c>
      <c r="B211" s="10" t="s">
        <v>55</v>
      </c>
      <c r="C211" s="10" t="s">
        <v>433</v>
      </c>
      <c r="D211" s="10" t="s">
        <v>434</v>
      </c>
      <c r="E211" s="10"/>
      <c r="F211" s="10" t="s">
        <v>178</v>
      </c>
      <c r="G211" s="45" t="n">
        <v>2</v>
      </c>
      <c r="H211" s="75" t="n">
        <v>0</v>
      </c>
    </row>
    <row r="212">
      <c r="A212" s="71"/>
      <c r="D212" s="72" t="s">
        <v>66</v>
      </c>
      <c r="E212" s="72" t="s">
        <v>55</v>
      </c>
      <c r="F212" s="72"/>
      <c r="G212" s="73" t="n">
        <v>2</v>
      </c>
      <c r="H212" s="74"/>
    </row>
    <row r="213">
      <c r="A213" s="9" t="s">
        <v>435</v>
      </c>
      <c r="B213" s="10" t="s">
        <v>55</v>
      </c>
      <c r="C213" s="10" t="s">
        <v>436</v>
      </c>
      <c r="D213" s="10" t="s">
        <v>437</v>
      </c>
      <c r="E213" s="10"/>
      <c r="F213" s="10" t="s">
        <v>178</v>
      </c>
      <c r="G213" s="45" t="n">
        <v>8</v>
      </c>
      <c r="H213" s="75" t="n">
        <v>0</v>
      </c>
    </row>
    <row r="214">
      <c r="A214" s="71"/>
      <c r="D214" s="72" t="s">
        <v>93</v>
      </c>
      <c r="E214" s="72" t="s">
        <v>55</v>
      </c>
      <c r="F214" s="72"/>
      <c r="G214" s="73" t="n">
        <v>8</v>
      </c>
      <c r="H214" s="74"/>
    </row>
    <row r="215">
      <c r="A215" s="9" t="s">
        <v>438</v>
      </c>
      <c r="B215" s="10" t="s">
        <v>55</v>
      </c>
      <c r="C215" s="10" t="s">
        <v>439</v>
      </c>
      <c r="D215" s="10" t="s">
        <v>440</v>
      </c>
      <c r="E215" s="10"/>
      <c r="F215" s="10" t="s">
        <v>178</v>
      </c>
      <c r="G215" s="45" t="n">
        <v>4</v>
      </c>
      <c r="H215" s="75" t="n">
        <v>0</v>
      </c>
    </row>
    <row r="216">
      <c r="A216" s="71"/>
      <c r="D216" s="72" t="s">
        <v>76</v>
      </c>
      <c r="E216" s="72" t="s">
        <v>55</v>
      </c>
      <c r="F216" s="72"/>
      <c r="G216" s="73" t="n">
        <v>4</v>
      </c>
      <c r="H216" s="74"/>
    </row>
    <row r="217">
      <c r="A217" s="9" t="s">
        <v>441</v>
      </c>
      <c r="B217" s="10" t="s">
        <v>55</v>
      </c>
      <c r="C217" s="10" t="s">
        <v>442</v>
      </c>
      <c r="D217" s="10" t="s">
        <v>443</v>
      </c>
      <c r="E217" s="10"/>
      <c r="F217" s="10" t="s">
        <v>178</v>
      </c>
      <c r="G217" s="45" t="n">
        <v>48</v>
      </c>
      <c r="H217" s="75" t="n">
        <v>0</v>
      </c>
    </row>
    <row r="218">
      <c r="A218" s="71"/>
      <c r="D218" s="72" t="s">
        <v>530</v>
      </c>
      <c r="E218" s="72" t="s">
        <v>55</v>
      </c>
      <c r="F218" s="72"/>
      <c r="G218" s="73" t="n">
        <v>48</v>
      </c>
      <c r="H218" s="74"/>
    </row>
    <row r="219">
      <c r="A219" s="9" t="s">
        <v>444</v>
      </c>
      <c r="B219" s="10" t="s">
        <v>55</v>
      </c>
      <c r="C219" s="10" t="s">
        <v>445</v>
      </c>
      <c r="D219" s="10" t="s">
        <v>446</v>
      </c>
      <c r="E219" s="10"/>
      <c r="F219" s="10" t="s">
        <v>178</v>
      </c>
      <c r="G219" s="45" t="n">
        <v>96</v>
      </c>
      <c r="H219" s="75" t="n">
        <v>0</v>
      </c>
    </row>
    <row r="220">
      <c r="A220" s="71"/>
      <c r="D220" s="72" t="s">
        <v>531</v>
      </c>
      <c r="E220" s="72" t="s">
        <v>55</v>
      </c>
      <c r="F220" s="72"/>
      <c r="G220" s="73" t="n">
        <v>96</v>
      </c>
      <c r="H220" s="74"/>
    </row>
    <row r="221">
      <c r="A221" s="9" t="s">
        <v>447</v>
      </c>
      <c r="B221" s="10" t="s">
        <v>55</v>
      </c>
      <c r="C221" s="10" t="s">
        <v>448</v>
      </c>
      <c r="D221" s="10" t="s">
        <v>449</v>
      </c>
      <c r="E221" s="10"/>
      <c r="F221" s="10" t="s">
        <v>178</v>
      </c>
      <c r="G221" s="45" t="n">
        <v>1</v>
      </c>
      <c r="H221" s="75" t="n">
        <v>0</v>
      </c>
    </row>
    <row r="222">
      <c r="A222" s="71"/>
      <c r="D222" s="72" t="s">
        <v>58</v>
      </c>
      <c r="E222" s="72" t="s">
        <v>55</v>
      </c>
      <c r="F222" s="72"/>
      <c r="G222" s="73" t="n">
        <v>1</v>
      </c>
      <c r="H222" s="74"/>
    </row>
    <row r="223">
      <c r="A223" s="9" t="s">
        <v>450</v>
      </c>
      <c r="B223" s="10" t="s">
        <v>55</v>
      </c>
      <c r="C223" s="10" t="s">
        <v>451</v>
      </c>
      <c r="D223" s="10" t="s">
        <v>452</v>
      </c>
      <c r="E223" s="10"/>
      <c r="F223" s="10" t="s">
        <v>178</v>
      </c>
      <c r="G223" s="45" t="n">
        <v>1</v>
      </c>
      <c r="H223" s="75" t="n">
        <v>0</v>
      </c>
    </row>
    <row r="224">
      <c r="A224" s="71"/>
      <c r="D224" s="72" t="s">
        <v>58</v>
      </c>
      <c r="E224" s="72" t="s">
        <v>55</v>
      </c>
      <c r="F224" s="72"/>
      <c r="G224" s="73" t="n">
        <v>1</v>
      </c>
      <c r="H224" s="74"/>
    </row>
    <row r="225">
      <c r="A225" s="9" t="s">
        <v>453</v>
      </c>
      <c r="B225" s="10" t="s">
        <v>55</v>
      </c>
      <c r="C225" s="10" t="s">
        <v>454</v>
      </c>
      <c r="D225" s="10" t="s">
        <v>455</v>
      </c>
      <c r="E225" s="10"/>
      <c r="F225" s="10" t="s">
        <v>178</v>
      </c>
      <c r="G225" s="45" t="n">
        <v>2</v>
      </c>
      <c r="H225" s="75" t="n">
        <v>0</v>
      </c>
    </row>
    <row r="226">
      <c r="A226" s="71"/>
      <c r="D226" s="72" t="s">
        <v>66</v>
      </c>
      <c r="E226" s="72" t="s">
        <v>55</v>
      </c>
      <c r="F226" s="72"/>
      <c r="G226" s="73" t="n">
        <v>2</v>
      </c>
      <c r="H226" s="74"/>
    </row>
    <row r="227">
      <c r="A227" s="9" t="s">
        <v>456</v>
      </c>
      <c r="B227" s="10" t="s">
        <v>55</v>
      </c>
      <c r="C227" s="10" t="s">
        <v>457</v>
      </c>
      <c r="D227" s="10" t="s">
        <v>458</v>
      </c>
      <c r="E227" s="10"/>
      <c r="F227" s="10" t="s">
        <v>178</v>
      </c>
      <c r="G227" s="45" t="n">
        <v>2</v>
      </c>
      <c r="H227" s="75" t="n">
        <v>0</v>
      </c>
    </row>
    <row r="228">
      <c r="A228" s="71"/>
      <c r="D228" s="72" t="s">
        <v>66</v>
      </c>
      <c r="E228" s="72" t="s">
        <v>55</v>
      </c>
      <c r="F228" s="72"/>
      <c r="G228" s="73" t="n">
        <v>2</v>
      </c>
      <c r="H228" s="74"/>
    </row>
    <row r="229">
      <c r="A229" s="9" t="s">
        <v>459</v>
      </c>
      <c r="B229" s="10" t="s">
        <v>55</v>
      </c>
      <c r="C229" s="10" t="s">
        <v>460</v>
      </c>
      <c r="D229" s="10" t="s">
        <v>461</v>
      </c>
      <c r="E229" s="10"/>
      <c r="F229" s="10" t="s">
        <v>178</v>
      </c>
      <c r="G229" s="45" t="n">
        <v>12</v>
      </c>
      <c r="H229" s="75" t="n">
        <v>0</v>
      </c>
    </row>
    <row r="230">
      <c r="A230" s="71"/>
      <c r="D230" s="72" t="s">
        <v>74</v>
      </c>
      <c r="E230" s="72" t="s">
        <v>55</v>
      </c>
      <c r="F230" s="72"/>
      <c r="G230" s="73" t="n">
        <v>12</v>
      </c>
      <c r="H230" s="74"/>
    </row>
    <row r="231">
      <c r="A231" s="9" t="s">
        <v>462</v>
      </c>
      <c r="B231" s="10" t="s">
        <v>55</v>
      </c>
      <c r="C231" s="10" t="s">
        <v>463</v>
      </c>
      <c r="D231" s="10" t="s">
        <v>464</v>
      </c>
      <c r="E231" s="10"/>
      <c r="F231" s="10" t="s">
        <v>465</v>
      </c>
      <c r="G231" s="45" t="n">
        <v>25.42</v>
      </c>
      <c r="H231" s="75" t="n">
        <v>0</v>
      </c>
    </row>
    <row r="232">
      <c r="A232" s="71"/>
      <c r="D232" s="72" t="s">
        <v>532</v>
      </c>
      <c r="E232" s="72" t="s">
        <v>55</v>
      </c>
      <c r="F232" s="72"/>
      <c r="G232" s="73" t="n">
        <v>25.42</v>
      </c>
      <c r="H232" s="74"/>
    </row>
    <row r="233">
      <c r="A233" s="9" t="s">
        <v>470</v>
      </c>
      <c r="B233" s="10" t="s">
        <v>55</v>
      </c>
      <c r="C233" s="10" t="s">
        <v>471</v>
      </c>
      <c r="D233" s="10" t="s">
        <v>472</v>
      </c>
      <c r="E233" s="10"/>
      <c r="F233" s="10" t="s">
        <v>473</v>
      </c>
      <c r="G233" s="45" t="n">
        <v>1</v>
      </c>
      <c r="H233" s="75" t="n">
        <v>0</v>
      </c>
    </row>
    <row r="234">
      <c r="A234" s="71"/>
      <c r="D234" s="72" t="s">
        <v>58</v>
      </c>
      <c r="E234" s="72" t="s">
        <v>55</v>
      </c>
      <c r="F234" s="72"/>
      <c r="G234" s="73" t="n">
        <v>1</v>
      </c>
      <c r="H234" s="74"/>
    </row>
    <row r="235">
      <c r="A235" s="9" t="s">
        <v>479</v>
      </c>
      <c r="B235" s="10" t="s">
        <v>55</v>
      </c>
      <c r="C235" s="10" t="s">
        <v>480</v>
      </c>
      <c r="D235" s="10" t="s">
        <v>478</v>
      </c>
      <c r="E235" s="10"/>
      <c r="F235" s="10" t="s">
        <v>473</v>
      </c>
      <c r="G235" s="45" t="n">
        <v>1</v>
      </c>
      <c r="H235" s="75" t="n">
        <v>0</v>
      </c>
    </row>
    <row r="236">
      <c r="A236" s="71"/>
      <c r="D236" s="72" t="s">
        <v>58</v>
      </c>
      <c r="E236" s="72" t="s">
        <v>55</v>
      </c>
      <c r="F236" s="72"/>
      <c r="G236" s="73" t="n">
        <v>1</v>
      </c>
      <c r="H236" s="74"/>
    </row>
    <row r="237">
      <c r="A237" s="9" t="s">
        <v>484</v>
      </c>
      <c r="B237" s="10" t="s">
        <v>55</v>
      </c>
      <c r="C237" s="10" t="s">
        <v>485</v>
      </c>
      <c r="D237" s="10" t="s">
        <v>486</v>
      </c>
      <c r="E237" s="10"/>
      <c r="F237" s="10" t="s">
        <v>473</v>
      </c>
      <c r="G237" s="45" t="n">
        <v>1</v>
      </c>
      <c r="H237" s="75" t="n">
        <v>0</v>
      </c>
    </row>
    <row r="238">
      <c r="A238" s="71"/>
      <c r="D238" s="72" t="s">
        <v>58</v>
      </c>
      <c r="E238" s="72" t="s">
        <v>55</v>
      </c>
      <c r="F238" s="72"/>
      <c r="G238" s="73" t="n">
        <v>1</v>
      </c>
      <c r="H238" s="74"/>
    </row>
    <row r="239">
      <c r="A239" s="9" t="s">
        <v>488</v>
      </c>
      <c r="B239" s="10" t="s">
        <v>55</v>
      </c>
      <c r="C239" s="10" t="s">
        <v>489</v>
      </c>
      <c r="D239" s="10" t="s">
        <v>490</v>
      </c>
      <c r="E239" s="10"/>
      <c r="F239" s="10" t="s">
        <v>473</v>
      </c>
      <c r="G239" s="45" t="n">
        <v>1</v>
      </c>
      <c r="H239" s="75" t="n">
        <v>0</v>
      </c>
    </row>
    <row r="240">
      <c r="A240" s="71"/>
      <c r="D240" s="72" t="s">
        <v>58</v>
      </c>
      <c r="E240" s="72" t="s">
        <v>55</v>
      </c>
      <c r="F240" s="72"/>
      <c r="G240" s="73" t="n">
        <v>1</v>
      </c>
      <c r="H240" s="74"/>
    </row>
    <row r="241">
      <c r="A241" s="9" t="s">
        <v>493</v>
      </c>
      <c r="B241" s="10" t="s">
        <v>55</v>
      </c>
      <c r="C241" s="10" t="s">
        <v>494</v>
      </c>
      <c r="D241" s="10" t="s">
        <v>495</v>
      </c>
      <c r="E241" s="10"/>
      <c r="F241" s="10" t="s">
        <v>473</v>
      </c>
      <c r="G241" s="45" t="n">
        <v>1</v>
      </c>
      <c r="H241" s="75" t="n">
        <v>0</v>
      </c>
    </row>
    <row r="242">
      <c r="A242" s="76"/>
      <c r="B242" s="77"/>
      <c r="C242" s="77"/>
      <c r="D242" s="78" t="s">
        <v>58</v>
      </c>
      <c r="E242" s="78" t="s">
        <v>55</v>
      </c>
      <c r="F242" s="78"/>
      <c r="G242" s="79" t="n">
        <v>1</v>
      </c>
      <c r="H242" s="80"/>
    </row>
    <row r="244">
      <c r="A244" s="60" t="s">
        <v>498</v>
      </c>
    </row>
    <row r="245" customHeight="true" ht="12.75">
      <c r="A245" s="14" t="s">
        <v>55</v>
      </c>
      <c r="B245" s="10"/>
      <c r="C245" s="10"/>
      <c r="D245" s="10"/>
      <c r="E245" s="10"/>
      <c r="F245" s="10"/>
      <c r="G245" s="10"/>
    </row>
  </sheetData>
  <mergeCells>
    <mergeCell ref="A1:H1"/>
    <mergeCell ref="A2:B3"/>
    <mergeCell ref="A4:B5"/>
    <mergeCell ref="A6:B7"/>
    <mergeCell ref="A8:B9"/>
    <mergeCell ref="E2:E3"/>
    <mergeCell ref="E4:E5"/>
    <mergeCell ref="E6:E7"/>
    <mergeCell ref="E8:E9"/>
    <mergeCell ref="C2:D3"/>
    <mergeCell ref="C4:D5"/>
    <mergeCell ref="C6:D7"/>
    <mergeCell ref="C8:D9"/>
    <mergeCell ref="F2:H3"/>
    <mergeCell ref="F4:H5"/>
    <mergeCell ref="F6:H7"/>
    <mergeCell ref="F8:H9"/>
    <mergeCell ref="D10:E10"/>
    <mergeCell ref="D11:E11"/>
    <mergeCell ref="E12:F12"/>
    <mergeCell ref="D13:E13"/>
    <mergeCell ref="E14:F14"/>
    <mergeCell ref="D15:E15"/>
    <mergeCell ref="E16:F16"/>
    <mergeCell ref="D17:E17"/>
    <mergeCell ref="E18:F18"/>
    <mergeCell ref="D19:E19"/>
    <mergeCell ref="E20:F20"/>
    <mergeCell ref="D21:E21"/>
    <mergeCell ref="E22:F22"/>
    <mergeCell ref="D23:E23"/>
    <mergeCell ref="E24:F24"/>
    <mergeCell ref="D25:E25"/>
    <mergeCell ref="E26:F26"/>
    <mergeCell ref="D27:E27"/>
    <mergeCell ref="E28:F28"/>
    <mergeCell ref="D29:E29"/>
    <mergeCell ref="E30:F30"/>
    <mergeCell ref="D31:E31"/>
    <mergeCell ref="E32:F32"/>
    <mergeCell ref="D33:E33"/>
    <mergeCell ref="E34:F34"/>
    <mergeCell ref="D35:E35"/>
    <mergeCell ref="E36:F36"/>
    <mergeCell ref="D37:E37"/>
    <mergeCell ref="E38:F38"/>
    <mergeCell ref="D39:E39"/>
    <mergeCell ref="E40:F40"/>
    <mergeCell ref="D41:E41"/>
    <mergeCell ref="E42:F42"/>
    <mergeCell ref="D43:E43"/>
    <mergeCell ref="E44:F44"/>
    <mergeCell ref="D45:E45"/>
    <mergeCell ref="E46:F46"/>
    <mergeCell ref="D47:E47"/>
    <mergeCell ref="E48:F48"/>
    <mergeCell ref="D49:E49"/>
    <mergeCell ref="E50:F50"/>
    <mergeCell ref="D51:E51"/>
    <mergeCell ref="E52:F52"/>
    <mergeCell ref="D53:E53"/>
    <mergeCell ref="E54:F54"/>
    <mergeCell ref="D55:E55"/>
    <mergeCell ref="E56:F56"/>
    <mergeCell ref="D57:E57"/>
    <mergeCell ref="E58:F58"/>
    <mergeCell ref="D59:E59"/>
    <mergeCell ref="E60:F60"/>
    <mergeCell ref="D61:E61"/>
    <mergeCell ref="E62:F62"/>
    <mergeCell ref="D63:E63"/>
    <mergeCell ref="E64:F64"/>
    <mergeCell ref="D65:E65"/>
    <mergeCell ref="E66:F66"/>
    <mergeCell ref="D67:E67"/>
    <mergeCell ref="E68:F68"/>
    <mergeCell ref="D69:E69"/>
    <mergeCell ref="E70:F70"/>
    <mergeCell ref="D71:E71"/>
    <mergeCell ref="E72:F72"/>
    <mergeCell ref="D73:E73"/>
    <mergeCell ref="E74:F74"/>
    <mergeCell ref="D75:E75"/>
    <mergeCell ref="E76:F76"/>
    <mergeCell ref="D77:E77"/>
    <mergeCell ref="E78:F78"/>
    <mergeCell ref="D79:E79"/>
    <mergeCell ref="E80:F80"/>
    <mergeCell ref="D81:E81"/>
    <mergeCell ref="E82:F82"/>
    <mergeCell ref="D83:E83"/>
    <mergeCell ref="E84:F84"/>
    <mergeCell ref="D85:E85"/>
    <mergeCell ref="E86:F86"/>
    <mergeCell ref="D87:E87"/>
    <mergeCell ref="E88:F88"/>
    <mergeCell ref="D89:E89"/>
    <mergeCell ref="E90:F90"/>
    <mergeCell ref="D91:E91"/>
    <mergeCell ref="E92:F92"/>
    <mergeCell ref="D93:E93"/>
    <mergeCell ref="E94:F94"/>
    <mergeCell ref="D95:E95"/>
    <mergeCell ref="E96:F96"/>
    <mergeCell ref="D97:E97"/>
    <mergeCell ref="E98:F98"/>
    <mergeCell ref="D99:E99"/>
    <mergeCell ref="E100:F100"/>
    <mergeCell ref="D101:E101"/>
    <mergeCell ref="E102:F102"/>
    <mergeCell ref="D103:E103"/>
    <mergeCell ref="E104:F104"/>
    <mergeCell ref="D105:E105"/>
    <mergeCell ref="E106:F106"/>
    <mergeCell ref="D107:E107"/>
    <mergeCell ref="E108:F108"/>
    <mergeCell ref="D109:E109"/>
    <mergeCell ref="E110:F110"/>
    <mergeCell ref="D111:E111"/>
    <mergeCell ref="E112:F112"/>
    <mergeCell ref="D113:E113"/>
    <mergeCell ref="E114:F114"/>
    <mergeCell ref="D115:E115"/>
    <mergeCell ref="E116:F116"/>
    <mergeCell ref="D117:E117"/>
    <mergeCell ref="E118:F118"/>
    <mergeCell ref="D119:E119"/>
    <mergeCell ref="E120:F120"/>
    <mergeCell ref="D121:E121"/>
    <mergeCell ref="E122:F122"/>
    <mergeCell ref="D123:E123"/>
    <mergeCell ref="E124:F124"/>
    <mergeCell ref="D125:E125"/>
    <mergeCell ref="E126:F126"/>
    <mergeCell ref="D127:E127"/>
    <mergeCell ref="E128:F128"/>
    <mergeCell ref="D129:E129"/>
    <mergeCell ref="E130:F130"/>
    <mergeCell ref="D131:E131"/>
    <mergeCell ref="E132:F132"/>
    <mergeCell ref="D133:E133"/>
    <mergeCell ref="E134:F134"/>
    <mergeCell ref="D135:E135"/>
    <mergeCell ref="E136:F136"/>
    <mergeCell ref="D137:E137"/>
    <mergeCell ref="E138:F138"/>
    <mergeCell ref="D139:E139"/>
    <mergeCell ref="E140:F140"/>
    <mergeCell ref="D141:E141"/>
    <mergeCell ref="E142:F142"/>
    <mergeCell ref="D143:E143"/>
    <mergeCell ref="E144:F144"/>
    <mergeCell ref="D145:E145"/>
    <mergeCell ref="E146:F146"/>
    <mergeCell ref="D147:E147"/>
    <mergeCell ref="E148:F148"/>
    <mergeCell ref="D149:E149"/>
    <mergeCell ref="E150:F150"/>
    <mergeCell ref="D151:E151"/>
    <mergeCell ref="E152:F152"/>
    <mergeCell ref="D153:E153"/>
    <mergeCell ref="E154:F154"/>
    <mergeCell ref="D155:E155"/>
    <mergeCell ref="E156:F156"/>
    <mergeCell ref="D157:E157"/>
    <mergeCell ref="E158:F158"/>
    <mergeCell ref="D159:E159"/>
    <mergeCell ref="E160:F160"/>
    <mergeCell ref="D161:E161"/>
    <mergeCell ref="E162:F162"/>
    <mergeCell ref="D163:E163"/>
    <mergeCell ref="E164:F164"/>
    <mergeCell ref="D165:E165"/>
    <mergeCell ref="E166:F166"/>
    <mergeCell ref="D167:E167"/>
    <mergeCell ref="E168:F168"/>
    <mergeCell ref="D169:E169"/>
    <mergeCell ref="E170:F170"/>
    <mergeCell ref="D171:E171"/>
    <mergeCell ref="E172:F172"/>
    <mergeCell ref="D173:E173"/>
    <mergeCell ref="E174:F174"/>
    <mergeCell ref="D175:E175"/>
    <mergeCell ref="E176:F176"/>
    <mergeCell ref="D177:E177"/>
    <mergeCell ref="E178:F178"/>
    <mergeCell ref="D179:E179"/>
    <mergeCell ref="E180:F180"/>
    <mergeCell ref="D181:E181"/>
    <mergeCell ref="E182:F182"/>
    <mergeCell ref="D183:E183"/>
    <mergeCell ref="E184:F184"/>
    <mergeCell ref="D185:E185"/>
    <mergeCell ref="E186:F186"/>
    <mergeCell ref="D187:E187"/>
    <mergeCell ref="E188:F188"/>
    <mergeCell ref="D189:E189"/>
    <mergeCell ref="E190:F190"/>
    <mergeCell ref="D191:E191"/>
    <mergeCell ref="E192:F192"/>
    <mergeCell ref="D193:E193"/>
    <mergeCell ref="E194:F194"/>
    <mergeCell ref="D195:E195"/>
    <mergeCell ref="E196:F196"/>
    <mergeCell ref="D197:E197"/>
    <mergeCell ref="E198:F198"/>
    <mergeCell ref="D199:E199"/>
    <mergeCell ref="E200:F200"/>
    <mergeCell ref="D201:E201"/>
    <mergeCell ref="E202:F202"/>
    <mergeCell ref="D203:E203"/>
    <mergeCell ref="E204:F204"/>
    <mergeCell ref="D205:E205"/>
    <mergeCell ref="E206:F206"/>
    <mergeCell ref="D207:E207"/>
    <mergeCell ref="E208:F208"/>
    <mergeCell ref="D209:E209"/>
    <mergeCell ref="E210:F210"/>
    <mergeCell ref="D211:E211"/>
    <mergeCell ref="E212:F212"/>
    <mergeCell ref="D213:E213"/>
    <mergeCell ref="E214:F214"/>
    <mergeCell ref="D215:E215"/>
    <mergeCell ref="E216:F216"/>
    <mergeCell ref="D217:E217"/>
    <mergeCell ref="E218:F218"/>
    <mergeCell ref="D219:E219"/>
    <mergeCell ref="E220:F220"/>
    <mergeCell ref="D221:E221"/>
    <mergeCell ref="E222:F222"/>
    <mergeCell ref="D223:E223"/>
    <mergeCell ref="E224:F224"/>
    <mergeCell ref="D225:E225"/>
    <mergeCell ref="E226:F226"/>
    <mergeCell ref="D227:E227"/>
    <mergeCell ref="E228:F228"/>
    <mergeCell ref="D229:E229"/>
    <mergeCell ref="E230:F230"/>
    <mergeCell ref="D231:E231"/>
    <mergeCell ref="E232:F232"/>
    <mergeCell ref="D233:E233"/>
    <mergeCell ref="E234:F234"/>
    <mergeCell ref="D235:E235"/>
    <mergeCell ref="E236:F236"/>
    <mergeCell ref="D237:E237"/>
    <mergeCell ref="E238:F238"/>
    <mergeCell ref="D239:E239"/>
    <mergeCell ref="E240:F240"/>
    <mergeCell ref="D241:E241"/>
    <mergeCell ref="E242:F242"/>
    <mergeCell ref="A245:G245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37"/>
  <sheetViews>
    <sheetView workbookViewId="0" showZeros="true" showFormulas="false" showGridLines="true" showRowColHeaders="true">
      <selection sqref="A37:I37" activeCell="A37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7.140625" customWidth="true"/>
    <col max="4" min="4" style="0" width="10" customWidth="true"/>
    <col max="5" min="5" style="0" width="14" customWidth="true"/>
    <col max="6" min="6" style="0" width="27.140625" customWidth="true"/>
    <col max="7" min="7" style="0" width="9.140625" customWidth="true"/>
    <col max="8" min="8" style="0" width="12.85546875" customWidth="true"/>
    <col max="9" min="9" style="0" width="27.140625" customWidth="true"/>
  </cols>
  <sheetData>
    <row r="1" customHeight="true" ht="54.75">
      <c r="A1" s="81" t="s">
        <v>533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534</v>
      </c>
      <c r="I2" s="8" t="s">
        <v>535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534</v>
      </c>
      <c r="I4" s="12" t="s">
        <v>536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534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537</v>
      </c>
      <c r="I8" s="82" t="n">
        <v>116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538</v>
      </c>
      <c r="I10" s="83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4"/>
    </row>
    <row r="12">
      <c r="A12" s="85" t="s">
        <v>539</v>
      </c>
      <c r="B12" s="85"/>
      <c r="C12" s="85"/>
      <c r="D12" s="85"/>
      <c r="E12" s="85"/>
      <c r="F12" s="85"/>
      <c r="G12" s="85"/>
      <c r="H12" s="85"/>
      <c r="I12" s="85"/>
    </row>
    <row r="13" customHeight="true" ht="26.25">
      <c r="A13" s="86" t="s">
        <v>540</v>
      </c>
      <c r="B13" s="87" t="s">
        <v>541</v>
      </c>
      <c r="C13" s="88"/>
      <c r="D13" s="89" t="s">
        <v>542</v>
      </c>
      <c r="E13" s="87" t="s">
        <v>543</v>
      </c>
      <c r="F13" s="88"/>
      <c r="G13" s="89" t="s">
        <v>544</v>
      </c>
      <c r="H13" s="87" t="s">
        <v>545</v>
      </c>
      <c r="I13" s="88"/>
    </row>
    <row r="14">
      <c r="A14" s="90" t="s">
        <v>546</v>
      </c>
      <c r="B14" s="91" t="s">
        <v>547</v>
      </c>
      <c r="C14" s="92">
        <f>SUM('Stavební rozpočet'!AB12:AB157)</f>
      </c>
      <c r="D14" s="93" t="s">
        <v>548</v>
      </c>
      <c r="E14" s="94"/>
      <c r="F14" s="92">
        <f>VORN!I15</f>
      </c>
      <c r="G14" s="93" t="s">
        <v>478</v>
      </c>
      <c r="H14" s="94"/>
      <c r="I14" s="95">
        <f>VORN!I21</f>
      </c>
    </row>
    <row r="15">
      <c r="A15" s="96" t="s">
        <v>55</v>
      </c>
      <c r="B15" s="91" t="s">
        <v>40</v>
      </c>
      <c r="C15" s="92">
        <f>SUM('Stavební rozpočet'!AC12:AC157)</f>
      </c>
      <c r="D15" s="93" t="s">
        <v>549</v>
      </c>
      <c r="E15" s="94"/>
      <c r="F15" s="92">
        <f>VORN!I16</f>
      </c>
      <c r="G15" s="93" t="s">
        <v>550</v>
      </c>
      <c r="H15" s="94"/>
      <c r="I15" s="95">
        <f>VORN!I22</f>
      </c>
    </row>
    <row r="16">
      <c r="A16" s="90" t="s">
        <v>551</v>
      </c>
      <c r="B16" s="91" t="s">
        <v>547</v>
      </c>
      <c r="C16" s="92">
        <f>SUM('Stavební rozpočet'!AD12:AD157)</f>
      </c>
      <c r="D16" s="93" t="s">
        <v>552</v>
      </c>
      <c r="E16" s="94"/>
      <c r="F16" s="92">
        <f>VORN!I17</f>
      </c>
      <c r="G16" s="93" t="s">
        <v>492</v>
      </c>
      <c r="H16" s="94"/>
      <c r="I16" s="95">
        <f>VORN!I23</f>
      </c>
    </row>
    <row r="17">
      <c r="A17" s="96" t="s">
        <v>55</v>
      </c>
      <c r="B17" s="91" t="s">
        <v>40</v>
      </c>
      <c r="C17" s="92">
        <f>SUM('Stavební rozpočet'!AE12:AE157)</f>
      </c>
      <c r="D17" s="93" t="s">
        <v>55</v>
      </c>
      <c r="E17" s="94"/>
      <c r="F17" s="95" t="s">
        <v>55</v>
      </c>
      <c r="G17" s="93" t="s">
        <v>553</v>
      </c>
      <c r="H17" s="94"/>
      <c r="I17" s="95">
        <f>VORN!I24</f>
      </c>
    </row>
    <row r="18">
      <c r="A18" s="90" t="s">
        <v>554</v>
      </c>
      <c r="B18" s="91" t="s">
        <v>547</v>
      </c>
      <c r="C18" s="92">
        <f>SUM('Stavební rozpočet'!AF12:AF157)</f>
      </c>
      <c r="D18" s="93" t="s">
        <v>55</v>
      </c>
      <c r="E18" s="94"/>
      <c r="F18" s="95" t="s">
        <v>55</v>
      </c>
      <c r="G18" s="93" t="s">
        <v>555</v>
      </c>
      <c r="H18" s="94"/>
      <c r="I18" s="95">
        <f>VORN!I25</f>
      </c>
    </row>
    <row r="19">
      <c r="A19" s="96" t="s">
        <v>55</v>
      </c>
      <c r="B19" s="91" t="s">
        <v>40</v>
      </c>
      <c r="C19" s="92">
        <f>SUM('Stavební rozpočet'!AG12:AG157)</f>
      </c>
      <c r="D19" s="93" t="s">
        <v>55</v>
      </c>
      <c r="E19" s="94"/>
      <c r="F19" s="95" t="s">
        <v>55</v>
      </c>
      <c r="G19" s="93" t="s">
        <v>556</v>
      </c>
      <c r="H19" s="94"/>
      <c r="I19" s="95">
        <f>VORN!I26</f>
      </c>
    </row>
    <row r="20">
      <c r="A20" s="97" t="s">
        <v>346</v>
      </c>
      <c r="B20" s="98"/>
      <c r="C20" s="92">
        <f>SUM('Stavební rozpočet'!AH12:AH157)</f>
      </c>
      <c r="D20" s="93" t="s">
        <v>55</v>
      </c>
      <c r="E20" s="94"/>
      <c r="F20" s="95" t="s">
        <v>55</v>
      </c>
      <c r="G20" s="93" t="s">
        <v>55</v>
      </c>
      <c r="H20" s="94"/>
      <c r="I20" s="95" t="s">
        <v>55</v>
      </c>
    </row>
    <row r="21">
      <c r="A21" s="99" t="s">
        <v>557</v>
      </c>
      <c r="B21" s="100"/>
      <c r="C21" s="101">
        <f>SUM('Stavební rozpočet'!Z12:Z157)</f>
      </c>
      <c r="D21" s="102" t="s">
        <v>55</v>
      </c>
      <c r="E21" s="103"/>
      <c r="F21" s="104" t="s">
        <v>55</v>
      </c>
      <c r="G21" s="102" t="s">
        <v>55</v>
      </c>
      <c r="H21" s="103"/>
      <c r="I21" s="104" t="s">
        <v>55</v>
      </c>
    </row>
    <row r="22" customHeight="true" ht="16.5">
      <c r="A22" s="105" t="s">
        <v>558</v>
      </c>
      <c r="B22" s="106"/>
      <c r="C22" s="107">
        <f>ROUND(SUM(C14:C21),-1)</f>
      </c>
      <c r="D22" s="108" t="s">
        <v>559</v>
      </c>
      <c r="E22" s="106"/>
      <c r="F22" s="107">
        <f>SUM(F14:F21)</f>
      </c>
      <c r="G22" s="108" t="s">
        <v>560</v>
      </c>
      <c r="H22" s="106"/>
      <c r="I22" s="107">
        <f>SUM(I14:I21)</f>
      </c>
    </row>
    <row r="23">
      <c r="D23" s="97" t="s">
        <v>561</v>
      </c>
      <c r="E23" s="98"/>
      <c r="F23" s="109" t="n">
        <v>0</v>
      </c>
      <c r="G23" s="110" t="s">
        <v>562</v>
      </c>
      <c r="H23" s="98"/>
      <c r="I23" s="92" t="n">
        <v>0</v>
      </c>
    </row>
    <row r="24">
      <c r="G24" s="97" t="s">
        <v>563</v>
      </c>
      <c r="H24" s="98"/>
      <c r="I24" s="101">
        <f>vorn_sum</f>
      </c>
    </row>
    <row r="25">
      <c r="G25" s="97" t="s">
        <v>564</v>
      </c>
      <c r="H25" s="98"/>
      <c r="I25" s="107" t="n">
        <v>0</v>
      </c>
    </row>
    <row r="27">
      <c r="A27" s="111" t="s">
        <v>565</v>
      </c>
      <c r="B27" s="112"/>
      <c r="C27" s="113">
        <f>ROUND(SUM('Stavební rozpočet'!AJ12:AJ157),-1)</f>
      </c>
    </row>
    <row r="28">
      <c r="A28" s="114" t="s">
        <v>566</v>
      </c>
      <c r="B28" s="115"/>
      <c r="C28" s="116">
        <f>ROUND(SUM('Stavební rozpočet'!AK12:AK157),-1)</f>
      </c>
      <c r="D28" s="117" t="s">
        <v>567</v>
      </c>
      <c r="E28" s="112"/>
      <c r="F28" s="113">
        <f>ROUND(C28*(12/100),2)</f>
      </c>
      <c r="G28" s="117" t="s">
        <v>568</v>
      </c>
      <c r="H28" s="112"/>
      <c r="I28" s="113">
        <f>ROUND(SUM(C27:C29),-1)</f>
      </c>
    </row>
    <row r="29">
      <c r="A29" s="114" t="s">
        <v>569</v>
      </c>
      <c r="B29" s="115"/>
      <c r="C29" s="116">
        <f>ROUND(SUM('Stavební rozpočet'!AL12:AL157),-1)</f>
      </c>
      <c r="D29" s="118" t="s">
        <v>570</v>
      </c>
      <c r="E29" s="115"/>
      <c r="F29" s="116">
        <f>ROUND(C29*(21/100),2)</f>
      </c>
      <c r="G29" s="118" t="s">
        <v>571</v>
      </c>
      <c r="H29" s="115"/>
      <c r="I29" s="116">
        <f>ROUND(SUM(F28:F29)+I28,-1)</f>
      </c>
    </row>
    <row r="31">
      <c r="A31" s="119" t="s">
        <v>572</v>
      </c>
      <c r="B31" s="120"/>
      <c r="C31" s="121"/>
      <c r="D31" s="122" t="s">
        <v>573</v>
      </c>
      <c r="E31" s="120"/>
      <c r="F31" s="121"/>
      <c r="G31" s="122" t="s">
        <v>574</v>
      </c>
      <c r="H31" s="120"/>
      <c r="I31" s="121"/>
    </row>
    <row r="32">
      <c r="A32" s="123" t="s">
        <v>55</v>
      </c>
      <c r="B32" s="124"/>
      <c r="C32" s="125"/>
      <c r="D32" s="126" t="s">
        <v>55</v>
      </c>
      <c r="E32" s="124"/>
      <c r="F32" s="125"/>
      <c r="G32" s="126" t="s">
        <v>55</v>
      </c>
      <c r="H32" s="124"/>
      <c r="I32" s="125"/>
    </row>
    <row r="33">
      <c r="A33" s="123" t="s">
        <v>55</v>
      </c>
      <c r="B33" s="124"/>
      <c r="C33" s="125"/>
      <c r="D33" s="126" t="s">
        <v>55</v>
      </c>
      <c r="E33" s="124"/>
      <c r="F33" s="125"/>
      <c r="G33" s="126" t="s">
        <v>55</v>
      </c>
      <c r="H33" s="124"/>
      <c r="I33" s="125"/>
    </row>
    <row r="34">
      <c r="A34" s="123" t="s">
        <v>55</v>
      </c>
      <c r="B34" s="124"/>
      <c r="C34" s="125"/>
      <c r="D34" s="126" t="s">
        <v>55</v>
      </c>
      <c r="E34" s="124"/>
      <c r="F34" s="125"/>
      <c r="G34" s="126" t="s">
        <v>55</v>
      </c>
      <c r="H34" s="124"/>
      <c r="I34" s="125"/>
    </row>
    <row r="35">
      <c r="A35" s="127" t="s">
        <v>575</v>
      </c>
      <c r="B35" s="128"/>
      <c r="C35" s="129"/>
      <c r="D35" s="130" t="s">
        <v>575</v>
      </c>
      <c r="E35" s="128"/>
      <c r="F35" s="129"/>
      <c r="G35" s="130" t="s">
        <v>575</v>
      </c>
      <c r="H35" s="128"/>
      <c r="I35" s="129"/>
    </row>
    <row r="36">
      <c r="A36" s="131" t="s">
        <v>498</v>
      </c>
    </row>
    <row r="37" customHeight="true" ht="12.75">
      <c r="A37" s="14" t="s">
        <v>55</v>
      </c>
      <c r="B37" s="10"/>
      <c r="C37" s="10"/>
      <c r="D37" s="10"/>
      <c r="E37" s="10"/>
      <c r="F37" s="10"/>
      <c r="G37" s="10"/>
      <c r="H37" s="10"/>
      <c r="I37" s="10"/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H2:H3"/>
    <mergeCell ref="H4:H5"/>
    <mergeCell ref="H6:H7"/>
    <mergeCell ref="H8:H9"/>
    <mergeCell ref="H10:H11"/>
    <mergeCell ref="I2:I3"/>
    <mergeCell ref="I4:I5"/>
    <mergeCell ref="I6:I7"/>
    <mergeCell ref="I8:I9"/>
    <mergeCell ref="I10:I11"/>
    <mergeCell ref="A12:I12"/>
    <mergeCell ref="B13:C13"/>
    <mergeCell ref="E13:F13"/>
    <mergeCell ref="H13:I1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A31:C31"/>
    <mergeCell ref="A32:C32"/>
    <mergeCell ref="A33:C33"/>
    <mergeCell ref="A34:C34"/>
    <mergeCell ref="A35:C35"/>
    <mergeCell ref="D31:F31"/>
    <mergeCell ref="D32:F32"/>
    <mergeCell ref="D33:F33"/>
    <mergeCell ref="D34:F34"/>
    <mergeCell ref="D35:F35"/>
    <mergeCell ref="G31:I31"/>
    <mergeCell ref="G32:I32"/>
    <mergeCell ref="G33:I33"/>
    <mergeCell ref="G34:I34"/>
    <mergeCell ref="G35:I35"/>
    <mergeCell ref="A37:I37"/>
  </mergeCells>
  <pageMargins left="0.393999993801117" top="0.591000020503998" right="0.393999993801117" bottom="0.591000020503998" header="0" footer="0"/>
  <pageSetup orientation="landscape" fitToHeight="1" fitToWidth="1" cellComments="non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true"/>
  </sheetPr>
  <dimension ref="A1:I45"/>
  <sheetViews>
    <sheetView workbookViewId="0" showZeros="true" showFormulas="false" showGridLines="true" showRowColHeaders="true">
      <selection sqref="A45:E45" activeCell="A45"/>
    </sheetView>
  </sheetViews>
  <sheetFormatPr defaultColWidth="12.140625" customHeight="true" defaultRowHeight="15"/>
  <cols>
    <col max="1" min="1" style="0" width="9.140625" customWidth="true"/>
    <col max="2" min="2" style="0" width="12.85546875" customWidth="true"/>
    <col max="3" min="3" style="0" width="22.85546875" customWidth="true"/>
    <col max="4" min="4" style="0" width="10" customWidth="true"/>
    <col max="5" min="5" style="0" width="14" customWidth="true"/>
    <col max="6" min="6" style="0" width="22.85546875" customWidth="true"/>
    <col max="7" min="7" style="0" width="9.140625" customWidth="true"/>
    <col max="8" min="8" style="0" width="17.140625" customWidth="true"/>
    <col max="9" min="9" style="0" width="22.85546875" customWidth="true"/>
  </cols>
  <sheetData>
    <row r="1" customHeight="true" ht="54.75">
      <c r="A1" s="81" t="s">
        <v>467</v>
      </c>
      <c r="B1" s="1"/>
      <c r="C1" s="1"/>
      <c r="D1" s="1"/>
      <c r="E1" s="1"/>
      <c r="F1" s="1"/>
      <c r="G1" s="1"/>
      <c r="H1" s="1"/>
      <c r="I1" s="1"/>
    </row>
    <row r="2">
      <c r="A2" s="3" t="s">
        <v>1</v>
      </c>
      <c r="B2" s="4"/>
      <c r="C2" s="5">
        <f>'Stavební rozpočet'!C2</f>
      </c>
      <c r="D2" s="6"/>
      <c r="E2" s="7" t="s">
        <v>5</v>
      </c>
      <c r="F2" s="7">
        <f>'Stavební rozpočet'!I2</f>
      </c>
      <c r="G2" s="4"/>
      <c r="H2" s="7" t="s">
        <v>534</v>
      </c>
      <c r="I2" s="8" t="s">
        <v>535</v>
      </c>
    </row>
    <row r="3" customHeight="true" ht="15">
      <c r="A3" s="9"/>
      <c r="B3" s="10"/>
      <c r="C3" s="11"/>
      <c r="D3" s="11"/>
      <c r="E3" s="10"/>
      <c r="F3" s="10"/>
      <c r="G3" s="10"/>
      <c r="H3" s="10"/>
      <c r="I3" s="12"/>
    </row>
    <row r="4">
      <c r="A4" s="13" t="s">
        <v>7</v>
      </c>
      <c r="B4" s="10"/>
      <c r="C4" s="14">
        <f>'Stavební rozpočet'!C4</f>
      </c>
      <c r="D4" s="10"/>
      <c r="E4" s="14" t="s">
        <v>11</v>
      </c>
      <c r="F4" s="14">
        <f>'Stavební rozpočet'!I4</f>
      </c>
      <c r="G4" s="10"/>
      <c r="H4" s="14" t="s">
        <v>534</v>
      </c>
      <c r="I4" s="12" t="s">
        <v>536</v>
      </c>
    </row>
    <row r="5" customHeight="true" ht="15">
      <c r="A5" s="9"/>
      <c r="B5" s="10"/>
      <c r="C5" s="10"/>
      <c r="D5" s="10"/>
      <c r="E5" s="10"/>
      <c r="F5" s="10"/>
      <c r="G5" s="10"/>
      <c r="H5" s="10"/>
      <c r="I5" s="12"/>
    </row>
    <row r="6">
      <c r="A6" s="13" t="s">
        <v>13</v>
      </c>
      <c r="B6" s="10"/>
      <c r="C6" s="14">
        <f>'Stavební rozpočet'!C6</f>
      </c>
      <c r="D6" s="10"/>
      <c r="E6" s="14" t="s">
        <v>17</v>
      </c>
      <c r="F6" s="14">
        <f>'Stavební rozpočet'!I6</f>
      </c>
      <c r="G6" s="10"/>
      <c r="H6" s="14" t="s">
        <v>534</v>
      </c>
      <c r="I6" s="12" t="s">
        <v>55</v>
      </c>
    </row>
    <row r="7" customHeight="true" ht="15">
      <c r="A7" s="9"/>
      <c r="B7" s="10"/>
      <c r="C7" s="10"/>
      <c r="D7" s="10"/>
      <c r="E7" s="10"/>
      <c r="F7" s="10"/>
      <c r="G7" s="10"/>
      <c r="H7" s="10"/>
      <c r="I7" s="12"/>
    </row>
    <row r="8">
      <c r="A8" s="13" t="s">
        <v>9</v>
      </c>
      <c r="B8" s="10"/>
      <c r="C8" s="14">
        <f>'Stavební rozpočet'!G4</f>
      </c>
      <c r="D8" s="10"/>
      <c r="E8" s="14" t="s">
        <v>15</v>
      </c>
      <c r="F8" s="14">
        <f>'Stavební rozpočet'!G6</f>
      </c>
      <c r="G8" s="10"/>
      <c r="H8" s="10" t="s">
        <v>537</v>
      </c>
      <c r="I8" s="82" t="n">
        <v>116</v>
      </c>
    </row>
    <row r="9">
      <c r="A9" s="9"/>
      <c r="B9" s="10"/>
      <c r="C9" s="10"/>
      <c r="D9" s="10"/>
      <c r="E9" s="10"/>
      <c r="F9" s="10"/>
      <c r="G9" s="10"/>
      <c r="H9" s="10"/>
      <c r="I9" s="12"/>
    </row>
    <row r="10">
      <c r="A10" s="13" t="s">
        <v>19</v>
      </c>
      <c r="B10" s="10"/>
      <c r="C10" s="14">
        <f>'Stavební rozpočet'!C8</f>
      </c>
      <c r="D10" s="10"/>
      <c r="E10" s="14" t="s">
        <v>23</v>
      </c>
      <c r="F10" s="14">
        <f>'Stavební rozpočet'!I8</f>
      </c>
      <c r="G10" s="10"/>
      <c r="H10" s="10" t="s">
        <v>538</v>
      </c>
      <c r="I10" s="83">
        <f>'Stavební rozpočet'!G8</f>
      </c>
    </row>
    <row r="11">
      <c r="A11" s="53"/>
      <c r="B11" s="54"/>
      <c r="C11" s="54"/>
      <c r="D11" s="54"/>
      <c r="E11" s="54"/>
      <c r="F11" s="54"/>
      <c r="G11" s="54"/>
      <c r="H11" s="54"/>
      <c r="I11" s="84"/>
    </row>
    <row r="13">
      <c r="A13" s="132" t="s">
        <v>576</v>
      </c>
      <c r="B13" s="132"/>
      <c r="C13" s="132"/>
      <c r="D13" s="132"/>
      <c r="E13" s="132"/>
    </row>
    <row r="14">
      <c r="A14" s="133" t="s">
        <v>577</v>
      </c>
      <c r="B14" s="134"/>
      <c r="C14" s="134"/>
      <c r="D14" s="134"/>
      <c r="E14" s="135"/>
      <c r="F14" s="136" t="s">
        <v>578</v>
      </c>
      <c r="G14" s="136" t="s">
        <v>579</v>
      </c>
      <c r="H14" s="136" t="s">
        <v>580</v>
      </c>
      <c r="I14" s="136" t="s">
        <v>578</v>
      </c>
    </row>
    <row r="15">
      <c r="A15" s="137" t="s">
        <v>548</v>
      </c>
      <c r="B15" s="138"/>
      <c r="C15" s="138"/>
      <c r="D15" s="138"/>
      <c r="E15" s="139"/>
      <c r="F15" s="140" t="n">
        <v>0</v>
      </c>
      <c r="G15" s="141" t="s">
        <v>55</v>
      </c>
      <c r="H15" s="141" t="s">
        <v>55</v>
      </c>
      <c r="I15" s="140">
        <f>F15</f>
      </c>
    </row>
    <row r="16">
      <c r="A16" s="137" t="s">
        <v>549</v>
      </c>
      <c r="B16" s="138"/>
      <c r="C16" s="138"/>
      <c r="D16" s="138"/>
      <c r="E16" s="139"/>
      <c r="F16" s="140" t="n">
        <v>0</v>
      </c>
      <c r="G16" s="141" t="s">
        <v>55</v>
      </c>
      <c r="H16" s="141" t="s">
        <v>55</v>
      </c>
      <c r="I16" s="140">
        <f>F16</f>
      </c>
    </row>
    <row r="17">
      <c r="A17" s="142" t="s">
        <v>552</v>
      </c>
      <c r="B17" s="143"/>
      <c r="C17" s="143"/>
      <c r="D17" s="143"/>
      <c r="E17" s="144"/>
      <c r="F17" s="145" t="n">
        <v>0</v>
      </c>
      <c r="G17" s="146" t="s">
        <v>55</v>
      </c>
      <c r="H17" s="146" t="s">
        <v>55</v>
      </c>
      <c r="I17" s="145">
        <f>F17</f>
      </c>
    </row>
    <row r="18">
      <c r="A18" s="147" t="s">
        <v>581</v>
      </c>
      <c r="B18" s="148"/>
      <c r="C18" s="148"/>
      <c r="D18" s="148"/>
      <c r="E18" s="149"/>
      <c r="F18" s="150" t="s">
        <v>55</v>
      </c>
      <c r="G18" s="151" t="s">
        <v>55</v>
      </c>
      <c r="H18" s="151" t="s">
        <v>55</v>
      </c>
      <c r="I18" s="152">
        <f>SUM(I15:I17)</f>
      </c>
    </row>
    <row r="20">
      <c r="A20" s="133" t="s">
        <v>545</v>
      </c>
      <c r="B20" s="134"/>
      <c r="C20" s="134"/>
      <c r="D20" s="134"/>
      <c r="E20" s="135"/>
      <c r="F20" s="136" t="s">
        <v>578</v>
      </c>
      <c r="G20" s="136" t="s">
        <v>579</v>
      </c>
      <c r="H20" s="136" t="s">
        <v>580</v>
      </c>
      <c r="I20" s="136" t="s">
        <v>578</v>
      </c>
    </row>
    <row r="21">
      <c r="A21" s="137" t="s">
        <v>478</v>
      </c>
      <c r="B21" s="138"/>
      <c r="C21" s="138"/>
      <c r="D21" s="138"/>
      <c r="E21" s="139"/>
      <c r="F21" s="140" t="n">
        <v>0</v>
      </c>
      <c r="G21" s="141" t="s">
        <v>55</v>
      </c>
      <c r="H21" s="141" t="s">
        <v>55</v>
      </c>
      <c r="I21" s="140">
        <f>F21</f>
      </c>
    </row>
    <row r="22">
      <c r="A22" s="137" t="s">
        <v>550</v>
      </c>
      <c r="B22" s="138"/>
      <c r="C22" s="138"/>
      <c r="D22" s="138"/>
      <c r="E22" s="139"/>
      <c r="F22" s="140" t="n">
        <v>0</v>
      </c>
      <c r="G22" s="141" t="s">
        <v>55</v>
      </c>
      <c r="H22" s="141" t="s">
        <v>55</v>
      </c>
      <c r="I22" s="140">
        <f>F22</f>
      </c>
    </row>
    <row r="23">
      <c r="A23" s="137" t="s">
        <v>492</v>
      </c>
      <c r="B23" s="138"/>
      <c r="C23" s="138"/>
      <c r="D23" s="138"/>
      <c r="E23" s="139"/>
      <c r="F23" s="140" t="n">
        <v>0</v>
      </c>
      <c r="G23" s="141" t="s">
        <v>55</v>
      </c>
      <c r="H23" s="141" t="s">
        <v>55</v>
      </c>
      <c r="I23" s="140">
        <f>F23</f>
      </c>
    </row>
    <row r="24">
      <c r="A24" s="137" t="s">
        <v>553</v>
      </c>
      <c r="B24" s="138"/>
      <c r="C24" s="138"/>
      <c r="D24" s="138"/>
      <c r="E24" s="139"/>
      <c r="F24" s="140" t="n">
        <v>0</v>
      </c>
      <c r="G24" s="141" t="s">
        <v>55</v>
      </c>
      <c r="H24" s="141" t="s">
        <v>55</v>
      </c>
      <c r="I24" s="140">
        <f>F24</f>
      </c>
    </row>
    <row r="25">
      <c r="A25" s="137" t="s">
        <v>555</v>
      </c>
      <c r="B25" s="138"/>
      <c r="C25" s="138"/>
      <c r="D25" s="138"/>
      <c r="E25" s="139"/>
      <c r="F25" s="140" t="n">
        <v>0</v>
      </c>
      <c r="G25" s="141" t="s">
        <v>55</v>
      </c>
      <c r="H25" s="141" t="s">
        <v>55</v>
      </c>
      <c r="I25" s="140">
        <f>F25</f>
      </c>
    </row>
    <row r="26">
      <c r="A26" s="142" t="s">
        <v>556</v>
      </c>
      <c r="B26" s="143"/>
      <c r="C26" s="143"/>
      <c r="D26" s="143"/>
      <c r="E26" s="144"/>
      <c r="F26" s="145" t="n">
        <v>0</v>
      </c>
      <c r="G26" s="146" t="s">
        <v>55</v>
      </c>
      <c r="H26" s="146" t="s">
        <v>55</v>
      </c>
      <c r="I26" s="145">
        <f>F26</f>
      </c>
    </row>
    <row r="27">
      <c r="A27" s="147" t="s">
        <v>582</v>
      </c>
      <c r="B27" s="148"/>
      <c r="C27" s="148"/>
      <c r="D27" s="148"/>
      <c r="E27" s="149"/>
      <c r="F27" s="150" t="s">
        <v>55</v>
      </c>
      <c r="G27" s="151" t="s">
        <v>55</v>
      </c>
      <c r="H27" s="151" t="s">
        <v>55</v>
      </c>
      <c r="I27" s="152">
        <f>SUM(I21:I26)</f>
      </c>
    </row>
    <row r="29">
      <c r="A29" s="153" t="s">
        <v>583</v>
      </c>
      <c r="B29" s="154"/>
      <c r="C29" s="154"/>
      <c r="D29" s="154"/>
      <c r="E29" s="155"/>
      <c r="F29" s="156">
        <f>I18+I27</f>
      </c>
      <c r="G29" s="157"/>
      <c r="H29" s="157"/>
      <c r="I29" s="158"/>
    </row>
    <row r="33">
      <c r="A33" s="132" t="s">
        <v>584</v>
      </c>
      <c r="B33" s="132"/>
      <c r="C33" s="132"/>
      <c r="D33" s="132"/>
      <c r="E33" s="132"/>
    </row>
    <row r="34">
      <c r="A34" s="133" t="s">
        <v>585</v>
      </c>
      <c r="B34" s="134"/>
      <c r="C34" s="134"/>
      <c r="D34" s="134"/>
      <c r="E34" s="135"/>
      <c r="F34" s="136" t="s">
        <v>578</v>
      </c>
      <c r="G34" s="136" t="s">
        <v>579</v>
      </c>
      <c r="H34" s="136" t="s">
        <v>580</v>
      </c>
      <c r="I34" s="136" t="s">
        <v>578</v>
      </c>
    </row>
    <row r="35">
      <c r="A35" s="137" t="s">
        <v>469</v>
      </c>
      <c r="B35" s="138"/>
      <c r="C35" s="138"/>
      <c r="D35" s="138"/>
      <c r="E35" s="139"/>
      <c r="F35" s="140">
        <f>SUM('Stavební rozpočet'!BM12:BM157)</f>
      </c>
      <c r="G35" s="141" t="s">
        <v>55</v>
      </c>
      <c r="H35" s="141" t="s">
        <v>55</v>
      </c>
      <c r="I35" s="140">
        <f>F35</f>
      </c>
    </row>
    <row r="36">
      <c r="A36" s="137" t="s">
        <v>586</v>
      </c>
      <c r="B36" s="138"/>
      <c r="C36" s="138"/>
      <c r="D36" s="138"/>
      <c r="E36" s="139"/>
      <c r="F36" s="140">
        <f>SUM('Stavební rozpočet'!BN12:BN157)</f>
      </c>
      <c r="G36" s="141" t="s">
        <v>55</v>
      </c>
      <c r="H36" s="141" t="s">
        <v>55</v>
      </c>
      <c r="I36" s="140">
        <f>F36</f>
      </c>
    </row>
    <row r="37">
      <c r="A37" s="137" t="s">
        <v>478</v>
      </c>
      <c r="B37" s="138"/>
      <c r="C37" s="138"/>
      <c r="D37" s="138"/>
      <c r="E37" s="139"/>
      <c r="F37" s="140">
        <f>SUM('Stavební rozpočet'!BO12:BO157)</f>
      </c>
      <c r="G37" s="141" t="s">
        <v>55</v>
      </c>
      <c r="H37" s="141" t="s">
        <v>55</v>
      </c>
      <c r="I37" s="140">
        <f>F37</f>
      </c>
    </row>
    <row r="38">
      <c r="A38" s="137" t="s">
        <v>483</v>
      </c>
      <c r="B38" s="138"/>
      <c r="C38" s="138"/>
      <c r="D38" s="138"/>
      <c r="E38" s="139"/>
      <c r="F38" s="140">
        <f>SUM('Stavební rozpočet'!BP12:BP157)</f>
      </c>
      <c r="G38" s="141" t="s">
        <v>55</v>
      </c>
      <c r="H38" s="141" t="s">
        <v>55</v>
      </c>
      <c r="I38" s="140">
        <f>F38</f>
      </c>
    </row>
    <row r="39">
      <c r="A39" s="137" t="s">
        <v>587</v>
      </c>
      <c r="B39" s="138"/>
      <c r="C39" s="138"/>
      <c r="D39" s="138"/>
      <c r="E39" s="139"/>
      <c r="F39" s="140">
        <f>SUM('Stavební rozpočet'!BQ12:BQ157)</f>
      </c>
      <c r="G39" s="141" t="s">
        <v>55</v>
      </c>
      <c r="H39" s="141" t="s">
        <v>55</v>
      </c>
      <c r="I39" s="140">
        <f>F39</f>
      </c>
    </row>
    <row r="40">
      <c r="A40" s="137" t="s">
        <v>492</v>
      </c>
      <c r="B40" s="138"/>
      <c r="C40" s="138"/>
      <c r="D40" s="138"/>
      <c r="E40" s="139"/>
      <c r="F40" s="140">
        <f>SUM('Stavební rozpočet'!BR12:BR157)</f>
      </c>
      <c r="G40" s="141" t="s">
        <v>55</v>
      </c>
      <c r="H40" s="141" t="s">
        <v>55</v>
      </c>
      <c r="I40" s="140">
        <f>F40</f>
      </c>
    </row>
    <row r="41">
      <c r="A41" s="137" t="s">
        <v>553</v>
      </c>
      <c r="B41" s="138"/>
      <c r="C41" s="138"/>
      <c r="D41" s="138"/>
      <c r="E41" s="139"/>
      <c r="F41" s="140">
        <f>SUM('Stavební rozpočet'!BS12:BS157)</f>
      </c>
      <c r="G41" s="141" t="s">
        <v>55</v>
      </c>
      <c r="H41" s="141" t="s">
        <v>55</v>
      </c>
      <c r="I41" s="140">
        <f>F41</f>
      </c>
    </row>
    <row r="42">
      <c r="A42" s="137" t="s">
        <v>588</v>
      </c>
      <c r="B42" s="138"/>
      <c r="C42" s="138"/>
      <c r="D42" s="138"/>
      <c r="E42" s="139"/>
      <c r="F42" s="140">
        <f>SUM('Stavební rozpočet'!BT12:BT157)</f>
      </c>
      <c r="G42" s="141" t="s">
        <v>55</v>
      </c>
      <c r="H42" s="141" t="s">
        <v>55</v>
      </c>
      <c r="I42" s="140">
        <f>F42</f>
      </c>
    </row>
    <row r="43">
      <c r="A43" s="137" t="s">
        <v>589</v>
      </c>
      <c r="B43" s="138"/>
      <c r="C43" s="138"/>
      <c r="D43" s="138"/>
      <c r="E43" s="139"/>
      <c r="F43" s="140">
        <f>SUM('Stavební rozpočet'!BU12:BU157)</f>
      </c>
      <c r="G43" s="141" t="s">
        <v>55</v>
      </c>
      <c r="H43" s="141" t="s">
        <v>55</v>
      </c>
      <c r="I43" s="140">
        <f>F43</f>
      </c>
    </row>
    <row r="44">
      <c r="A44" s="142" t="s">
        <v>590</v>
      </c>
      <c r="B44" s="143"/>
      <c r="C44" s="143"/>
      <c r="D44" s="143"/>
      <c r="E44" s="144"/>
      <c r="F44" s="145">
        <f>SUM('Stavební rozpočet'!BV12:BV157)</f>
      </c>
      <c r="G44" s="146" t="s">
        <v>55</v>
      </c>
      <c r="H44" s="146" t="s">
        <v>55</v>
      </c>
      <c r="I44" s="145">
        <f>F44</f>
      </c>
    </row>
    <row r="45">
      <c r="A45" s="147" t="s">
        <v>591</v>
      </c>
      <c r="B45" s="148"/>
      <c r="C45" s="148"/>
      <c r="D45" s="148"/>
      <c r="E45" s="149"/>
      <c r="F45" s="150" t="s">
        <v>55</v>
      </c>
      <c r="G45" s="151" t="s">
        <v>55</v>
      </c>
      <c r="H45" s="151" t="s">
        <v>55</v>
      </c>
      <c r="I45" s="152">
        <f>SUM(I35:I44)</f>
      </c>
    </row>
  </sheetData>
  <mergeCells>
    <mergeCell ref="A1:I1"/>
    <mergeCell ref="A2:B3"/>
    <mergeCell ref="A4:B5"/>
    <mergeCell ref="A6:B7"/>
    <mergeCell ref="A8:B9"/>
    <mergeCell ref="A10:B11"/>
    <mergeCell ref="E2:E3"/>
    <mergeCell ref="E4:E5"/>
    <mergeCell ref="E6:E7"/>
    <mergeCell ref="E8:E9"/>
    <mergeCell ref="E10:E11"/>
    <mergeCell ref="H2:H3"/>
    <mergeCell ref="H4:H5"/>
    <mergeCell ref="H6:H7"/>
    <mergeCell ref="H8:H9"/>
    <mergeCell ref="H10:H11"/>
    <mergeCell ref="C2:D3"/>
    <mergeCell ref="C4:D5"/>
    <mergeCell ref="C6:D7"/>
    <mergeCell ref="C8:D9"/>
    <mergeCell ref="C10:D11"/>
    <mergeCell ref="F2:G3"/>
    <mergeCell ref="F4:G5"/>
    <mergeCell ref="F6:G7"/>
    <mergeCell ref="F8:G9"/>
    <mergeCell ref="F10:G11"/>
    <mergeCell ref="I2:I3"/>
    <mergeCell ref="I4:I5"/>
    <mergeCell ref="I6:I7"/>
    <mergeCell ref="I8:I9"/>
    <mergeCell ref="I10:I11"/>
    <mergeCell ref="A13:E13"/>
    <mergeCell ref="A14:E14"/>
    <mergeCell ref="A15:E15"/>
    <mergeCell ref="A16:E16"/>
    <mergeCell ref="A17:E17"/>
    <mergeCell ref="A18:E18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F29:I29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</mergeCells>
  <pageMargins left="0.393999993801117" top="0.591000020503998" right="0.393999993801117" bottom="0.591000020503998" header="0" footer="0"/>
  <pageSetup orientation="landscape" fitToHeight="0" fitToWidth="1" cellComments="none"/>
  <drawing r:id="rId1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HP</dc:creator>
  <cp:lastModifiedBy>HP</cp:lastModifiedBy>
  <dcterms:created xsi:type="dcterms:W3CDTF">2021-06-10T20:06:38.031Z</dcterms:created>
  <dcterms:modified xsi:type="dcterms:W3CDTF">2021-06-10T20:06:38.351Z</dcterms:modified>
</cp:coreProperties>
</file>