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124" yWindow="-12" windowWidth="22968" windowHeight="22668" activeTab="2"/>
  </bookViews>
  <sheets>
    <sheet name="Rekapitulace rozpočtu" sheetId="2" r:id="rId1"/>
    <sheet name="Způsobilé výdaje" sheetId="1" r:id="rId2"/>
    <sheet name="Nezpůsobilé výdaje" sheetId="3" r:id="rId3"/>
  </sheets>
  <definedNames>
    <definedName name="_xlnm.Print_Titles" localSheetId="1">'Způsobilé výdaje'!$3:$4</definedName>
    <definedName name="_xlnm.Print_Area" localSheetId="2">'Nezpůsobilé výdaje'!$A$2:$H$188</definedName>
    <definedName name="_xlnm.Print_Area" localSheetId="0">'Rekapitulace rozpočtu'!$A$2:$H$22</definedName>
    <definedName name="_xlnm.Print_Area" localSheetId="1">'Způsobilé výdaje'!$A$3:$H$238</definedName>
  </definedNames>
  <calcPr calcId="145621"/>
</workbook>
</file>

<file path=xl/calcChain.xml><?xml version="1.0" encoding="utf-8"?>
<calcChain xmlns="http://schemas.openxmlformats.org/spreadsheetml/2006/main">
  <c r="D141" i="1" l="1"/>
  <c r="F25" i="2"/>
  <c r="H166" i="3"/>
  <c r="H168" i="3" s="1"/>
  <c r="F166" i="3"/>
  <c r="F168" i="3" s="1"/>
  <c r="F169" i="3" s="1"/>
  <c r="H162" i="3"/>
  <c r="F162" i="3"/>
  <c r="H161" i="3"/>
  <c r="F161" i="3"/>
  <c r="H160" i="3"/>
  <c r="F160" i="3"/>
  <c r="H159" i="3"/>
  <c r="F159" i="3"/>
  <c r="H158" i="3"/>
  <c r="F158" i="3"/>
  <c r="H156" i="3"/>
  <c r="F156" i="3"/>
  <c r="H155" i="3"/>
  <c r="F155" i="3"/>
  <c r="H154" i="3"/>
  <c r="F154" i="3"/>
  <c r="H204" i="1"/>
  <c r="H203" i="1"/>
  <c r="H202" i="1"/>
  <c r="H200" i="1"/>
  <c r="H206" i="1" s="1"/>
  <c r="H209" i="1"/>
  <c r="H201" i="1"/>
  <c r="F204" i="1"/>
  <c r="F203" i="1"/>
  <c r="F202" i="1"/>
  <c r="F200" i="1"/>
  <c r="F201" i="1"/>
  <c r="F209" i="1"/>
  <c r="H144" i="3"/>
  <c r="F144" i="3"/>
  <c r="H143" i="3"/>
  <c r="F143" i="3"/>
  <c r="H142" i="3"/>
  <c r="F142" i="3"/>
  <c r="H141" i="3"/>
  <c r="F141" i="3"/>
  <c r="H138" i="3"/>
  <c r="F138" i="3"/>
  <c r="D131" i="3"/>
  <c r="F131" i="3" s="1"/>
  <c r="H45" i="3"/>
  <c r="F45" i="3"/>
  <c r="D44" i="3"/>
  <c r="H44" i="3" s="1"/>
  <c r="H43" i="3"/>
  <c r="F43" i="3"/>
  <c r="H41" i="3"/>
  <c r="F41" i="3"/>
  <c r="H40" i="3"/>
  <c r="F40" i="3"/>
  <c r="H39" i="3"/>
  <c r="F39" i="3"/>
  <c r="H38" i="3"/>
  <c r="F38" i="3"/>
  <c r="H42" i="3"/>
  <c r="F42" i="3"/>
  <c r="D84" i="3"/>
  <c r="F163" i="3" l="1"/>
  <c r="H163" i="3"/>
  <c r="H172" i="3" s="1"/>
  <c r="H146" i="3"/>
  <c r="D149" i="3" s="1"/>
  <c r="F149" i="3" s="1"/>
  <c r="F146" i="3"/>
  <c r="F147" i="3" s="1"/>
  <c r="H46" i="3"/>
  <c r="F44" i="3"/>
  <c r="F46" i="3" s="1"/>
  <c r="F177" i="3" s="1"/>
  <c r="D171" i="3" l="1"/>
  <c r="F171" i="3" s="1"/>
  <c r="F172" i="3" s="1"/>
  <c r="F184" i="3" s="1"/>
  <c r="F150" i="3"/>
  <c r="F183" i="3" s="1"/>
  <c r="D77" i="3" l="1"/>
  <c r="H77" i="3" s="1"/>
  <c r="D78" i="3"/>
  <c r="H78" i="3" s="1"/>
  <c r="D79" i="3"/>
  <c r="F79" i="3" s="1"/>
  <c r="H86" i="3"/>
  <c r="F85" i="3"/>
  <c r="H69" i="3"/>
  <c r="F69" i="3"/>
  <c r="H68" i="3"/>
  <c r="F68" i="3"/>
  <c r="D64" i="3"/>
  <c r="H64" i="3" s="1"/>
  <c r="F242" i="1"/>
  <c r="H13" i="3"/>
  <c r="H14" i="3" s="1"/>
  <c r="F13" i="3"/>
  <c r="F14" i="3" s="1"/>
  <c r="F15" i="3" s="1"/>
  <c r="H8" i="3"/>
  <c r="D7" i="3"/>
  <c r="F7" i="3" s="1"/>
  <c r="H6" i="3"/>
  <c r="F6" i="3"/>
  <c r="D170" i="1"/>
  <c r="H170" i="1" s="1"/>
  <c r="H159" i="1"/>
  <c r="F159" i="1"/>
  <c r="D189" i="1"/>
  <c r="H189" i="1" s="1"/>
  <c r="D164" i="1"/>
  <c r="H164" i="1" s="1"/>
  <c r="D163" i="1"/>
  <c r="H163" i="1" s="1"/>
  <c r="D162" i="1"/>
  <c r="H162" i="1" s="1"/>
  <c r="D165" i="1"/>
  <c r="F165" i="1" s="1"/>
  <c r="H160" i="1"/>
  <c r="F160" i="1"/>
  <c r="H161" i="1"/>
  <c r="F161" i="1"/>
  <c r="H183" i="1"/>
  <c r="F183" i="1"/>
  <c r="F184" i="1"/>
  <c r="F182" i="1"/>
  <c r="H184" i="1"/>
  <c r="H182" i="1"/>
  <c r="H180" i="1"/>
  <c r="F180" i="1"/>
  <c r="F181" i="1"/>
  <c r="H70" i="3"/>
  <c r="H61" i="3"/>
  <c r="F61" i="3"/>
  <c r="F62" i="3" s="1"/>
  <c r="F179" i="3" s="1"/>
  <c r="F78" i="3" l="1"/>
  <c r="F77" i="3"/>
  <c r="D65" i="3"/>
  <c r="H65" i="3" s="1"/>
  <c r="D74" i="3"/>
  <c r="D73" i="3"/>
  <c r="D71" i="3"/>
  <c r="H71" i="3" s="1"/>
  <c r="D75" i="3"/>
  <c r="H75" i="3" s="1"/>
  <c r="D66" i="3"/>
  <c r="H66" i="3" s="1"/>
  <c r="H84" i="3"/>
  <c r="D67" i="3"/>
  <c r="H67" i="3" s="1"/>
  <c r="F86" i="3"/>
  <c r="H85" i="3"/>
  <c r="F64" i="3"/>
  <c r="H18" i="3"/>
  <c r="D17" i="3"/>
  <c r="F17" i="3" s="1"/>
  <c r="F70" i="3"/>
  <c r="H79" i="3"/>
  <c r="H7" i="3"/>
  <c r="F8" i="3"/>
  <c r="H165" i="1"/>
  <c r="H167" i="1" s="1"/>
  <c r="F189" i="1"/>
  <c r="F190" i="1" s="1"/>
  <c r="F164" i="1"/>
  <c r="F163" i="1"/>
  <c r="F162" i="1"/>
  <c r="F170" i="1"/>
  <c r="F171" i="1" s="1"/>
  <c r="F172" i="1" s="1"/>
  <c r="F186" i="1"/>
  <c r="H181" i="1"/>
  <c r="H186" i="1" s="1"/>
  <c r="D107" i="3"/>
  <c r="F107" i="3" s="1"/>
  <c r="D106" i="3"/>
  <c r="F106" i="3" s="1"/>
  <c r="H105" i="3"/>
  <c r="F105" i="3"/>
  <c r="H99" i="3"/>
  <c r="F99" i="3"/>
  <c r="D96" i="3"/>
  <c r="D113" i="3" s="1"/>
  <c r="F67" i="3" l="1"/>
  <c r="F167" i="1"/>
  <c r="F65" i="3"/>
  <c r="H88" i="3"/>
  <c r="H73" i="3"/>
  <c r="D72" i="3"/>
  <c r="F66" i="3"/>
  <c r="F73" i="3"/>
  <c r="F75" i="3"/>
  <c r="D76" i="3"/>
  <c r="H74" i="3"/>
  <c r="F74" i="3"/>
  <c r="F71" i="3"/>
  <c r="F84" i="3"/>
  <c r="F88" i="3" s="1"/>
  <c r="F89" i="3" s="1"/>
  <c r="D98" i="3"/>
  <c r="H98" i="3" s="1"/>
  <c r="D100" i="3"/>
  <c r="H100" i="3" s="1"/>
  <c r="D97" i="3"/>
  <c r="H97" i="3" s="1"/>
  <c r="D122" i="3"/>
  <c r="H106" i="3"/>
  <c r="H10" i="3"/>
  <c r="F10" i="3"/>
  <c r="F18" i="3" s="1"/>
  <c r="F175" i="3" s="1"/>
  <c r="H190" i="1"/>
  <c r="D193" i="1" s="1"/>
  <c r="F108" i="3"/>
  <c r="F109" i="3" s="1"/>
  <c r="H107" i="3"/>
  <c r="H96" i="3"/>
  <c r="D101" i="3"/>
  <c r="H101" i="3" s="1"/>
  <c r="D112" i="3"/>
  <c r="H112" i="3" s="1"/>
  <c r="F113" i="3"/>
  <c r="H113" i="3"/>
  <c r="F98" i="3"/>
  <c r="D114" i="3"/>
  <c r="F96" i="3"/>
  <c r="F100" i="3" l="1"/>
  <c r="F97" i="3"/>
  <c r="H76" i="3"/>
  <c r="F76" i="3"/>
  <c r="H72" i="3"/>
  <c r="F72" i="3"/>
  <c r="H103" i="3"/>
  <c r="F101" i="3"/>
  <c r="H108" i="3"/>
  <c r="F112" i="3"/>
  <c r="F122" i="3"/>
  <c r="H122" i="3"/>
  <c r="D123" i="3"/>
  <c r="H171" i="1"/>
  <c r="D174" i="1" s="1"/>
  <c r="F174" i="1" s="1"/>
  <c r="F114" i="3"/>
  <c r="H114" i="3"/>
  <c r="H115" i="3" s="1"/>
  <c r="F103" i="3" l="1"/>
  <c r="H81" i="3"/>
  <c r="H92" i="3" s="1"/>
  <c r="D91" i="3" s="1"/>
  <c r="F91" i="3" s="1"/>
  <c r="F81" i="3"/>
  <c r="H119" i="3"/>
  <c r="D118" i="3" s="1"/>
  <c r="F118" i="3" s="1"/>
  <c r="F115" i="3"/>
  <c r="F116" i="3" s="1"/>
  <c r="H123" i="3"/>
  <c r="D124" i="3"/>
  <c r="F123" i="3"/>
  <c r="F176" i="1"/>
  <c r="F92" i="3" l="1"/>
  <c r="F180" i="3" s="1"/>
  <c r="F119" i="3"/>
  <c r="H124" i="3"/>
  <c r="H125" i="3" s="1"/>
  <c r="F124" i="3"/>
  <c r="F125" i="3" s="1"/>
  <c r="H129" i="3" l="1"/>
  <c r="D127" i="3"/>
  <c r="F127" i="3" s="1"/>
  <c r="F129" i="3" s="1"/>
  <c r="F181" i="3" s="1"/>
  <c r="H213" i="1" l="1"/>
  <c r="F213" i="1"/>
  <c r="H212" i="1"/>
  <c r="F212" i="1"/>
  <c r="H211" i="1"/>
  <c r="F211" i="1"/>
  <c r="H210" i="1"/>
  <c r="F210" i="1"/>
  <c r="F206" i="1"/>
  <c r="F215" i="1" l="1"/>
  <c r="H215" i="1"/>
  <c r="D219" i="1" s="1"/>
  <c r="D22" i="3"/>
  <c r="D153" i="1"/>
  <c r="F153" i="1" s="1"/>
  <c r="H151" i="1"/>
  <c r="H153" i="1" l="1"/>
  <c r="H155" i="1" s="1"/>
  <c r="F151" i="1"/>
  <c r="F155" i="1" s="1"/>
  <c r="F232" i="1" s="1"/>
  <c r="H22" i="3" l="1"/>
  <c r="F22" i="3" l="1"/>
  <c r="H88" i="1" l="1"/>
  <c r="H98" i="1"/>
  <c r="F98" i="1"/>
  <c r="D97" i="1"/>
  <c r="H97" i="1" s="1"/>
  <c r="H96" i="1"/>
  <c r="F96" i="1"/>
  <c r="H95" i="1"/>
  <c r="F95" i="1"/>
  <c r="D94" i="1"/>
  <c r="H94" i="1" s="1"/>
  <c r="D93" i="1"/>
  <c r="H93" i="1" s="1"/>
  <c r="D92" i="1"/>
  <c r="H92" i="1" s="1"/>
  <c r="D91" i="1"/>
  <c r="H91" i="1" s="1"/>
  <c r="D90" i="1"/>
  <c r="H90" i="1" s="1"/>
  <c r="F89" i="1"/>
  <c r="H89" i="1"/>
  <c r="F85" i="1"/>
  <c r="D86" i="1"/>
  <c r="F94" i="1" l="1"/>
  <c r="F90" i="1"/>
  <c r="F93" i="1"/>
  <c r="F86" i="1"/>
  <c r="D87" i="1"/>
  <c r="H86" i="1"/>
  <c r="H85" i="1"/>
  <c r="F88" i="1"/>
  <c r="F92" i="1"/>
  <c r="F91" i="1"/>
  <c r="F97" i="1"/>
  <c r="H53" i="3"/>
  <c r="H52" i="3"/>
  <c r="H51" i="3"/>
  <c r="H50" i="3"/>
  <c r="H49" i="3"/>
  <c r="H33" i="3"/>
  <c r="H32" i="3"/>
  <c r="H28" i="3"/>
  <c r="H27" i="3"/>
  <c r="H26" i="3"/>
  <c r="H25" i="3"/>
  <c r="H24" i="3"/>
  <c r="H23" i="3"/>
  <c r="H31" i="3"/>
  <c r="F30" i="3"/>
  <c r="D75" i="1"/>
  <c r="D73" i="1"/>
  <c r="H73" i="1" s="1"/>
  <c r="D21" i="1"/>
  <c r="D104" i="1"/>
  <c r="D121" i="1" s="1"/>
  <c r="H87" i="1" l="1"/>
  <c r="H100" i="1" s="1"/>
  <c r="F87" i="1"/>
  <c r="H30" i="3"/>
  <c r="F31" i="3"/>
  <c r="D122" i="1"/>
  <c r="F73" i="1"/>
  <c r="D120" i="1"/>
  <c r="D109" i="1"/>
  <c r="H34" i="3" l="1"/>
  <c r="F100" i="1"/>
  <c r="F228" i="1" s="1"/>
  <c r="D115" i="1"/>
  <c r="D114" i="1"/>
  <c r="H122" i="1"/>
  <c r="F121" i="1"/>
  <c r="H120" i="1"/>
  <c r="H113" i="1"/>
  <c r="F113" i="1"/>
  <c r="F107" i="1"/>
  <c r="H104" i="1"/>
  <c r="F104" i="1"/>
  <c r="H66" i="1"/>
  <c r="F66" i="1"/>
  <c r="H65" i="1"/>
  <c r="H60" i="1"/>
  <c r="F60" i="1"/>
  <c r="H59" i="1"/>
  <c r="F59" i="1"/>
  <c r="H58" i="1"/>
  <c r="F58" i="1"/>
  <c r="H57" i="1"/>
  <c r="F57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61" i="1"/>
  <c r="F61" i="1"/>
  <c r="H62" i="1"/>
  <c r="F62" i="1"/>
  <c r="H63" i="1"/>
  <c r="F63" i="1"/>
  <c r="H64" i="1"/>
  <c r="F64" i="1"/>
  <c r="F65" i="1"/>
  <c r="H45" i="1"/>
  <c r="F45" i="1"/>
  <c r="H46" i="1"/>
  <c r="F46" i="1"/>
  <c r="F37" i="1"/>
  <c r="H144" i="1"/>
  <c r="F144" i="1"/>
  <c r="D142" i="1"/>
  <c r="H142" i="1" s="1"/>
  <c r="H143" i="1"/>
  <c r="F141" i="1"/>
  <c r="H139" i="1"/>
  <c r="F139" i="1"/>
  <c r="H137" i="1"/>
  <c r="F137" i="1"/>
  <c r="H116" i="1" l="1"/>
  <c r="D105" i="1"/>
  <c r="D108" i="1"/>
  <c r="H114" i="1"/>
  <c r="F109" i="1"/>
  <c r="H115" i="1"/>
  <c r="D106" i="1"/>
  <c r="F115" i="1"/>
  <c r="F114" i="1"/>
  <c r="F120" i="1"/>
  <c r="D145" i="1"/>
  <c r="H121" i="1"/>
  <c r="F122" i="1"/>
  <c r="H109" i="1"/>
  <c r="H141" i="1"/>
  <c r="H107" i="1"/>
  <c r="F142" i="1"/>
  <c r="F143" i="1"/>
  <c r="F116" i="1" l="1"/>
  <c r="F117" i="1" s="1"/>
  <c r="F108" i="1"/>
  <c r="H108" i="1"/>
  <c r="H105" i="1"/>
  <c r="F105" i="1"/>
  <c r="H106" i="1"/>
  <c r="F106" i="1"/>
  <c r="H111" i="1" l="1"/>
  <c r="H123" i="1"/>
  <c r="F123" i="1"/>
  <c r="F124" i="1" s="1"/>
  <c r="F111" i="1"/>
  <c r="H132" i="1"/>
  <c r="F132" i="1"/>
  <c r="D16" i="1"/>
  <c r="F20" i="1"/>
  <c r="H19" i="1"/>
  <c r="F19" i="1"/>
  <c r="H128" i="1" l="1"/>
  <c r="D126" i="1" s="1"/>
  <c r="F126" i="1" s="1"/>
  <c r="F128" i="1" s="1"/>
  <c r="J53" i="3"/>
  <c r="F53" i="3"/>
  <c r="J52" i="3"/>
  <c r="F52" i="3"/>
  <c r="J49" i="3"/>
  <c r="F49" i="3"/>
  <c r="F28" i="3"/>
  <c r="F27" i="3"/>
  <c r="F26" i="3"/>
  <c r="F25" i="3"/>
  <c r="F24" i="3"/>
  <c r="F23" i="3"/>
  <c r="F33" i="3"/>
  <c r="F32" i="3"/>
  <c r="F51" i="3"/>
  <c r="F50" i="3"/>
  <c r="J51" i="3"/>
  <c r="J50" i="3"/>
  <c r="H75" i="1"/>
  <c r="H74" i="1"/>
  <c r="F74" i="1"/>
  <c r="F34" i="3" l="1"/>
  <c r="F176" i="3" s="1"/>
  <c r="J54" i="3"/>
  <c r="D55" i="3" s="1"/>
  <c r="D57" i="3" s="1"/>
  <c r="F75" i="1"/>
  <c r="D56" i="3" l="1"/>
  <c r="F56" i="3" s="1"/>
  <c r="F55" i="3"/>
  <c r="H55" i="3"/>
  <c r="F57" i="3"/>
  <c r="H57" i="3"/>
  <c r="H16" i="1"/>
  <c r="D17" i="1"/>
  <c r="D18" i="1" s="1"/>
  <c r="H18" i="1" s="1"/>
  <c r="D12" i="1"/>
  <c r="D13" i="1"/>
  <c r="F13" i="1" s="1"/>
  <c r="D9" i="1"/>
  <c r="H9" i="1" s="1"/>
  <c r="H7" i="1"/>
  <c r="F7" i="1"/>
  <c r="F58" i="3" l="1"/>
  <c r="F178" i="3" s="1"/>
  <c r="H56" i="3"/>
  <c r="H58" i="3" s="1"/>
  <c r="F18" i="1"/>
  <c r="F16" i="1"/>
  <c r="D15" i="1"/>
  <c r="D72" i="1" s="1"/>
  <c r="H13" i="1"/>
  <c r="D14" i="1"/>
  <c r="H14" i="1" s="1"/>
  <c r="F9" i="1"/>
  <c r="F14" i="1" l="1"/>
  <c r="H145" i="1" l="1"/>
  <c r="F145" i="1" l="1"/>
  <c r="F216" i="1" l="1"/>
  <c r="H140" i="1" l="1"/>
  <c r="F140" i="1"/>
  <c r="H136" i="1"/>
  <c r="F136" i="1"/>
  <c r="H138" i="1"/>
  <c r="F138" i="1"/>
  <c r="H135" i="1"/>
  <c r="F135" i="1"/>
  <c r="H134" i="1"/>
  <c r="F134" i="1"/>
  <c r="H133" i="1"/>
  <c r="F133" i="1"/>
  <c r="F147" i="1" l="1"/>
  <c r="F227" i="1" s="1"/>
  <c r="H147" i="1"/>
  <c r="H20" i="1" l="1"/>
  <c r="H8" i="1"/>
  <c r="F72" i="1" l="1"/>
  <c r="H72" i="1"/>
  <c r="H11" i="1"/>
  <c r="F11" i="1"/>
  <c r="H17" i="1"/>
  <c r="D71" i="1"/>
  <c r="F17" i="1"/>
  <c r="H12" i="1"/>
  <c r="F8" i="1"/>
  <c r="H47" i="1"/>
  <c r="F47" i="1"/>
  <c r="H43" i="1"/>
  <c r="F43" i="1"/>
  <c r="H42" i="1"/>
  <c r="F42" i="1"/>
  <c r="H41" i="1"/>
  <c r="F41" i="1"/>
  <c r="H40" i="1"/>
  <c r="F40" i="1"/>
  <c r="H38" i="1"/>
  <c r="F38" i="1"/>
  <c r="H37" i="1"/>
  <c r="H36" i="1"/>
  <c r="F36" i="1"/>
  <c r="H35" i="1"/>
  <c r="F35" i="1"/>
  <c r="H34" i="1"/>
  <c r="F34" i="1"/>
  <c r="H33" i="1"/>
  <c r="F33" i="1"/>
  <c r="H32" i="1"/>
  <c r="F32" i="1"/>
  <c r="H30" i="1"/>
  <c r="F30" i="1"/>
  <c r="H29" i="1"/>
  <c r="F29" i="1"/>
  <c r="H28" i="1"/>
  <c r="F28" i="1"/>
  <c r="H27" i="1"/>
  <c r="F27" i="1"/>
  <c r="H10" i="1"/>
  <c r="F10" i="1"/>
  <c r="F67" i="1" l="1"/>
  <c r="F68" i="1" s="1"/>
  <c r="F71" i="1"/>
  <c r="H71" i="1"/>
  <c r="H15" i="1"/>
  <c r="F12" i="1"/>
  <c r="H67" i="1"/>
  <c r="F193" i="1"/>
  <c r="F15" i="1"/>
  <c r="H21" i="1" l="1"/>
  <c r="H23" i="1" s="1"/>
  <c r="F21" i="1"/>
  <c r="F23" i="1" s="1"/>
  <c r="F191" i="1"/>
  <c r="F195" i="1" s="1"/>
  <c r="F230" i="1" s="1"/>
  <c r="H76" i="1" l="1"/>
  <c r="H81" i="1" s="1"/>
  <c r="F76" i="1"/>
  <c r="F77" i="1" s="1"/>
  <c r="D79" i="1" l="1"/>
  <c r="F79" i="1" s="1"/>
  <c r="F81" i="1" s="1"/>
  <c r="F226" i="1" l="1"/>
  <c r="F219" i="1"/>
  <c r="F221" i="1" s="1"/>
  <c r="F229" i="1" l="1"/>
  <c r="F231" i="1" s="1"/>
  <c r="F182" i="3" l="1"/>
  <c r="F233" i="1"/>
  <c r="F234" i="1" s="1"/>
  <c r="F236" i="1" l="1"/>
  <c r="E12" i="2" s="1"/>
  <c r="F12" i="2" s="1"/>
  <c r="F186" i="3"/>
  <c r="E18" i="2" l="1"/>
  <c r="F18" i="2" s="1"/>
  <c r="F237" i="1"/>
  <c r="F238" i="1" s="1"/>
  <c r="E13" i="2"/>
  <c r="F187" i="3"/>
  <c r="E14" i="2" l="1"/>
  <c r="F14" i="2" s="1"/>
  <c r="F13" i="2"/>
  <c r="E19" i="2"/>
  <c r="E20" i="2" l="1"/>
  <c r="F19" i="2"/>
  <c r="F20" i="2" s="1"/>
</calcChain>
</file>

<file path=xl/sharedStrings.xml><?xml version="1.0" encoding="utf-8"?>
<sst xmlns="http://schemas.openxmlformats.org/spreadsheetml/2006/main" count="777" uniqueCount="376">
  <si>
    <t>Položka</t>
  </si>
  <si>
    <t>kus</t>
  </si>
  <si>
    <t>t</t>
  </si>
  <si>
    <t>Počet</t>
  </si>
  <si>
    <t>Cena / m.j.</t>
  </si>
  <si>
    <t>Cena celkem</t>
  </si>
  <si>
    <t>Celkem</t>
  </si>
  <si>
    <t>číslo</t>
  </si>
  <si>
    <t>popis</t>
  </si>
  <si>
    <t>m.j.</t>
  </si>
  <si>
    <t>Kč</t>
  </si>
  <si>
    <t>kg</t>
  </si>
  <si>
    <t>Celkem bez DPH</t>
  </si>
  <si>
    <t>Celkem s DPH</t>
  </si>
  <si>
    <t>823-1</t>
  </si>
  <si>
    <t>R</t>
  </si>
  <si>
    <t>DPH 21%</t>
  </si>
  <si>
    <t>Specifikace ostatní celkem = mezisoučet x 1,03 (ztratné) x 1,25 (PPN)</t>
  </si>
  <si>
    <t>800-1</t>
  </si>
  <si>
    <t>ks</t>
  </si>
  <si>
    <t>Hmot./ m.j.</t>
  </si>
  <si>
    <t>Specifikace ostatní celkem = mezisoučet x 1,02 (ztratné) x 1,25 (PPN)</t>
  </si>
  <si>
    <t>Specifikace rostliny</t>
  </si>
  <si>
    <t>Mezisoučet specifikace rostliny</t>
  </si>
  <si>
    <t>998 23-1311</t>
  </si>
  <si>
    <t>Přesun hmot  pro sadovnické a krajinářské úpravy, dopr. vzdálenost do 5000 m</t>
  </si>
  <si>
    <t>184 10-2114</t>
  </si>
  <si>
    <t>184 21-5132</t>
  </si>
  <si>
    <t>stromy jehličnaté</t>
  </si>
  <si>
    <t>stromy listnaté</t>
  </si>
  <si>
    <t>keře listnaté opadavé</t>
  </si>
  <si>
    <t>112 15-1112</t>
  </si>
  <si>
    <t>112 15-1113</t>
  </si>
  <si>
    <t>VÝSADBA DŘEVIN</t>
  </si>
  <si>
    <t>OCHRANA A OŠETŘENÍ STÁVAJÍCÍCH STROMŮ</t>
  </si>
  <si>
    <t>184 10-2112</t>
  </si>
  <si>
    <r>
      <t>Výsadba dřeviny s balem do předem vyhloubené jamky se zalitím v rovině při prům. balu do 500 mm (</t>
    </r>
    <r>
      <rPr>
        <i/>
        <sz val="10"/>
        <rFont val="Arial"/>
        <family val="2"/>
        <charset val="238"/>
      </rPr>
      <t>stromy jehličnaté a listnaté</t>
    </r>
    <r>
      <rPr>
        <sz val="10"/>
        <rFont val="Arial"/>
        <family val="2"/>
      </rPr>
      <t>)</t>
    </r>
  </si>
  <si>
    <r>
      <t>m</t>
    </r>
    <r>
      <rPr>
        <vertAlign val="superscript"/>
        <sz val="10"/>
        <rFont val="Arial"/>
        <family val="2"/>
      </rPr>
      <t>2</t>
    </r>
  </si>
  <si>
    <t>184 80-6151</t>
  </si>
  <si>
    <t>184 85-1411</t>
  </si>
  <si>
    <t>185 80-4311</t>
  </si>
  <si>
    <t>185 85-1121</t>
  </si>
  <si>
    <t>Dovoz vody pro zálivku rostlin na vzdálenost do 1000m</t>
  </si>
  <si>
    <r>
      <t>m</t>
    </r>
    <r>
      <rPr>
        <vertAlign val="superscript"/>
        <sz val="10"/>
        <rFont val="Arial"/>
        <family val="2"/>
      </rPr>
      <t>3</t>
    </r>
  </si>
  <si>
    <t>183 21-5172</t>
  </si>
  <si>
    <t>184 85-2213</t>
  </si>
  <si>
    <t>184 85-2214</t>
  </si>
  <si>
    <t>184 85-2215</t>
  </si>
  <si>
    <t>184 85-2218</t>
  </si>
  <si>
    <t>184 85-2216</t>
  </si>
  <si>
    <t>184 85-2219</t>
  </si>
  <si>
    <t>Montáž výsadba dřevin mezisoučet</t>
  </si>
  <si>
    <t>Specifikace rostliny celkem = mezisoučet x 1,03 (ztratné) x 1,25 (PPN)</t>
  </si>
  <si>
    <t>Montáž založení ploch trávníku mezisoučet</t>
  </si>
  <si>
    <t>181 45-1131</t>
  </si>
  <si>
    <t xml:space="preserve">Mezisoučet specifikace ostatní </t>
  </si>
  <si>
    <t>REKAPITULACE ZPŮSOBILÉ VÝDAJE</t>
  </si>
  <si>
    <t>KÁCENÍ DŘEVIN</t>
  </si>
  <si>
    <t>Specifikacevýsadba dřevin ostatní</t>
  </si>
  <si>
    <t>936 00-1001</t>
  </si>
  <si>
    <t>Specifikace ostatní celkem = mezisoučet x 1,01 (ztratné) x 1,25 (PPN)</t>
  </si>
  <si>
    <t>183 20-5111</t>
  </si>
  <si>
    <t>184 80-2111</t>
  </si>
  <si>
    <t>litr</t>
  </si>
  <si>
    <t>Herbicidy - totální bal. 1 l, dávkování 5l/ha (2x)</t>
  </si>
  <si>
    <t xml:space="preserve">Kůl ke stromu impregnovaný průměr 60mm, délka 2,5 m (dřevěný oloupaný kůl, frézovaný s fazetou, včetně úvazků, příček ad. pomocného materiálu) </t>
  </si>
  <si>
    <t>112 15-1111</t>
  </si>
  <si>
    <t>Objednatel:</t>
  </si>
  <si>
    <t>Projektant:</t>
  </si>
  <si>
    <t>Ing. Eva Jonešová, autorizovaný architekt - krajinářská architektura (A.3), č. autorizace ČKA 01 362,
Putimov 75, 393 01 Pelhřimov, IČ: 466 51 322</t>
  </si>
  <si>
    <t>bez DPH</t>
  </si>
  <si>
    <t>včetně DPH</t>
  </si>
  <si>
    <t>Název akce:</t>
  </si>
  <si>
    <t>162 20-1411</t>
  </si>
  <si>
    <t>Vodorovné přemístění  s naložením a dopravou do 1 000 m kmenů stromů listnatých průměru od 100 do 300 mm</t>
  </si>
  <si>
    <t>162 20-1412</t>
  </si>
  <si>
    <t>Vodorovné přemístění  s naložením a dopravou do 1 000 m kmenů stromů listnatých průměru od 300 do 500 mm</t>
  </si>
  <si>
    <t>REKAPITULACE NEZPŮSOBILÉ VÝDAJE</t>
  </si>
  <si>
    <t>Odvoz ořezaných větví stromů k likvidaci (včetně poplatku za uložení na kompostárnu)</t>
  </si>
  <si>
    <t>Odvoz větví stromů listnatých k likvidaci (včetně poplatku za uložení na kompostárnu), se snášením na hromady, stromů listnatých v rovině, průměr kmene do 30 cm</t>
  </si>
  <si>
    <t>Odvoz větví stromů listnatých k likvidaci (včetně poplatku za uložení na kompostárnu), stromů listnatých v rovině, průměr kmene přes 30 cm</t>
  </si>
  <si>
    <t>Rekonstrukce veřejné zeleně v lokalitě Dukelských bojovníků v Táboře</t>
  </si>
  <si>
    <t>Město Tábor</t>
  </si>
  <si>
    <r>
      <t xml:space="preserve">Hloubení jamek pro vysazování rostlinu v zemině tř. 1až 4 s vým.půdy na 50%, v rovině, objemu do 0,01m3 </t>
    </r>
    <r>
      <rPr>
        <i/>
        <sz val="10"/>
        <rFont val="Arial"/>
        <family val="2"/>
        <charset val="238"/>
      </rPr>
      <t>(keře jehličnaté a listnaté ve skupinách kromě živých plotů)</t>
    </r>
  </si>
  <si>
    <t>Substrát do jamek včetně půdního kondicionéru a hydrogelu</t>
  </si>
  <si>
    <r>
      <t xml:space="preserve">Hloubení jamek pro vysazování rostlinu v zemině tř. 1až 4 s vým.půdy na 50%, v rovině, objemu do 0,05m3 </t>
    </r>
    <r>
      <rPr>
        <i/>
        <sz val="10"/>
        <rFont val="Arial"/>
        <family val="2"/>
        <charset val="238"/>
      </rPr>
      <t>(keře solitérní)</t>
    </r>
  </si>
  <si>
    <t>183 11-1213</t>
  </si>
  <si>
    <t>183 10-1213</t>
  </si>
  <si>
    <t>183 10-1215</t>
  </si>
  <si>
    <r>
      <t xml:space="preserve">Hloubení jamek pro vysazování rostlinu v zemině tř. 1až 4 s výměnou půdy na 50%, v rovině, objemu do 0,4 m3 </t>
    </r>
    <r>
      <rPr>
        <i/>
        <sz val="10"/>
        <rFont val="Arial"/>
        <family val="2"/>
        <charset val="238"/>
      </rPr>
      <t>(stromy jehličnaté a listnaté)</t>
    </r>
  </si>
  <si>
    <t>m</t>
  </si>
  <si>
    <r>
      <t xml:space="preserve">Hloubení rýh pro vysazování rostlin v zemině tř. 1až 4 s výměnou půdy na 50%, v rovině, šířky 1000mm, hl. 400mm </t>
    </r>
    <r>
      <rPr>
        <i/>
        <sz val="10"/>
        <rFont val="Arial"/>
        <family val="2"/>
        <charset val="238"/>
      </rPr>
      <t>(živé ploty)</t>
    </r>
  </si>
  <si>
    <r>
      <t>Založení záhonu pro výsadbu rostlin (</t>
    </r>
    <r>
      <rPr>
        <i/>
        <sz val="10"/>
        <rFont val="Arial"/>
        <family val="2"/>
        <charset val="238"/>
      </rPr>
      <t>záhony pro výsadbu keřů ve skupinách kromě živých plotů)</t>
    </r>
  </si>
  <si>
    <t>184 10-2111</t>
  </si>
  <si>
    <r>
      <t>Výsadba dřeviny s balem do předem vyhloubené jamky se zalitím v rovině při prům. balu do 300 mm (</t>
    </r>
    <r>
      <rPr>
        <i/>
        <sz val="10"/>
        <rFont val="Arial"/>
        <family val="2"/>
        <charset val="238"/>
      </rPr>
      <t>keře solitérní</t>
    </r>
    <r>
      <rPr>
        <sz val="10"/>
        <rFont val="Arial"/>
        <family val="2"/>
      </rPr>
      <t>)</t>
    </r>
  </si>
  <si>
    <r>
      <t>Výsadba dřeviny s balem do předem vyhloubené jamky se zalitím v rovině při prům. balu do 200 mm (</t>
    </r>
    <r>
      <rPr>
        <i/>
        <sz val="10"/>
        <rFont val="Arial"/>
        <family val="2"/>
        <charset val="238"/>
      </rPr>
      <t>keře jehličnaté a listnaté ve skupinách a živé ploty</t>
    </r>
    <r>
      <rPr>
        <sz val="10"/>
        <rFont val="Arial"/>
        <family val="2"/>
      </rPr>
      <t>)</t>
    </r>
  </si>
  <si>
    <r>
      <t>Ukotvení dřeviny třemi kůly délky do 2 m (</t>
    </r>
    <r>
      <rPr>
        <i/>
        <sz val="10"/>
        <rFont val="Arial"/>
        <family val="2"/>
        <charset val="238"/>
      </rPr>
      <t>stromy listnaté a jehličnaté a solitérní keře</t>
    </r>
    <r>
      <rPr>
        <sz val="10"/>
        <rFont val="Arial"/>
        <family val="2"/>
      </rPr>
      <t>)</t>
    </r>
  </si>
  <si>
    <r>
      <t>Chemické odplevelení půdy před založením kultury (</t>
    </r>
    <r>
      <rPr>
        <i/>
        <sz val="10"/>
        <rFont val="Arial"/>
        <family val="2"/>
        <charset val="238"/>
      </rPr>
      <t>záhony pro výsadbu skupin keřů a živých plotů</t>
    </r>
    <r>
      <rPr>
        <sz val="10"/>
        <rFont val="Arial"/>
        <family val="2"/>
      </rPr>
      <t>) v rovině, postřikem na široko (2 x)</t>
    </r>
  </si>
  <si>
    <t>184 91-1421</t>
  </si>
  <si>
    <t>Mulčování vysazených rostlin mulčovací kůrou tl. do 100 mm v rovině</t>
  </si>
  <si>
    <r>
      <t>Polož</t>
    </r>
    <r>
      <rPr>
        <sz val="10"/>
        <rFont val="Arial"/>
        <family val="2"/>
        <charset val="238"/>
      </rPr>
      <t xml:space="preserve">ení mulčovací textilie z juty a slámy na svahu do 1:2 včetně dodání materiálu </t>
    </r>
    <r>
      <rPr>
        <i/>
        <sz val="10"/>
        <rFont val="Arial"/>
        <family val="2"/>
        <charset val="238"/>
      </rPr>
      <t>(jutová protierozní síť na svahu u silnice na ploše 1 a mulčovací slámovo-jutová rohož pro záhony trav na ploše 1 a 2)</t>
    </r>
  </si>
  <si>
    <t>184 50-1141</t>
  </si>
  <si>
    <t>966 00-1311</t>
  </si>
  <si>
    <t>Odstranění odpadkového koše s betonovou patkou</t>
  </si>
  <si>
    <t>suť t/m.j.</t>
  </si>
  <si>
    <t>suť t celk.</t>
  </si>
  <si>
    <t>Odstranění klepadel na koberce vč. beton. patek - počítány kusy patek</t>
  </si>
  <si>
    <t xml:space="preserve">Odstranění sloupků sušáků na prádlo vč. beton. patek </t>
  </si>
  <si>
    <t>966 00-1211</t>
  </si>
  <si>
    <t>Odstranění lavičky parkové stabilní zabetonované</t>
  </si>
  <si>
    <t>Odstranění lemu záhonu z kamene, betonových obrubníků nebo cihel - nemají základ</t>
  </si>
  <si>
    <t>822-1</t>
  </si>
  <si>
    <t>997 22-1571</t>
  </si>
  <si>
    <t>Vodorovná doprava vybouraných hmot do 1 km se složením a hrubým urovnáním</t>
  </si>
  <si>
    <t>997 22-1579</t>
  </si>
  <si>
    <t>Příplatek za každý započatý 1 km přes 1 km - zde 4 km</t>
  </si>
  <si>
    <t>Poplatek za uložení na skládce - smíšené hmoty</t>
  </si>
  <si>
    <r>
      <t>Oplocení záhonu zelenou plastovou  stínovkou v. 0,75 m napnutou mezi dřevěnými kolíky vzdálenými 1 m od sebe včetně dodání materiálu (</t>
    </r>
    <r>
      <rPr>
        <i/>
        <sz val="10"/>
        <rFont val="Arial"/>
        <family val="2"/>
        <charset val="238"/>
      </rPr>
      <t>popis v prův. zprávě, kapitole Postup prací a biotech. sad. úprav)</t>
    </r>
  </si>
  <si>
    <r>
      <t>Zhotovení obalu kmene z rákosové rohože v rovině (</t>
    </r>
    <r>
      <rPr>
        <i/>
        <sz val="10"/>
        <rFont val="Arial"/>
        <family val="2"/>
        <charset val="238"/>
      </rPr>
      <t>listnaté stromy - 0,5 m2 na kus + doplnit ke stávajícímu stromu inv. č. 70)</t>
    </r>
  </si>
  <si>
    <t>Rákosová rohož k ochraně kmenů proti korní spále, pro 1 strom pruh výška 1m, šířka 0,5 m - tzn. 0,5 m2, celkem 41x0,5=20,5 m2 + 0,5 m2 pro stávající strom inv. č. 70)</t>
  </si>
  <si>
    <t>112 15-1511</t>
  </si>
  <si>
    <t>Řez a průklest stromů pomocí mobilní plošiny výšky stromu do 10 m (stromy inv. č. 1-33, M, A2,B2,D2,71)</t>
  </si>
  <si>
    <r>
      <t xml:space="preserve">Řez stromů prováděný lezeckou technikou, </t>
    </r>
    <r>
      <rPr>
        <b/>
        <sz val="10"/>
        <rFont val="Arial"/>
        <family val="2"/>
        <charset val="238"/>
      </rPr>
      <t>zdravotní,</t>
    </r>
    <r>
      <rPr>
        <sz val="10"/>
        <rFont val="Arial"/>
        <family val="2"/>
      </rPr>
      <t xml:space="preserve"> plocha koruny stromu do 90 m2 </t>
    </r>
    <r>
      <rPr>
        <i/>
        <sz val="10"/>
        <rFont val="Arial"/>
        <family val="2"/>
        <charset val="238"/>
      </rPr>
      <t>(stromy č: 34,47,48,55,60,)</t>
    </r>
  </si>
  <si>
    <r>
      <t xml:space="preserve">Řez stromů prováděný lezeckou technikou, </t>
    </r>
    <r>
      <rPr>
        <b/>
        <sz val="10"/>
        <rFont val="Arial"/>
        <family val="2"/>
        <charset val="238"/>
      </rPr>
      <t>zdravotní,</t>
    </r>
    <r>
      <rPr>
        <sz val="10"/>
        <rFont val="Arial"/>
        <family val="2"/>
      </rPr>
      <t xml:space="preserve"> plocha koruny stromu do 120 m2 </t>
    </r>
    <r>
      <rPr>
        <i/>
        <sz val="10"/>
        <rFont val="Arial"/>
        <family val="2"/>
        <charset val="238"/>
      </rPr>
      <t>(stromy č: 38,40,44,82,88,89)</t>
    </r>
  </si>
  <si>
    <r>
      <t xml:space="preserve">Řez stromů prováděný lezeckou technikou, </t>
    </r>
    <r>
      <rPr>
        <b/>
        <sz val="10"/>
        <rFont val="Arial"/>
        <family val="2"/>
        <charset val="238"/>
      </rPr>
      <t>zdravotní,</t>
    </r>
    <r>
      <rPr>
        <sz val="10"/>
        <rFont val="Arial"/>
        <family val="2"/>
      </rPr>
      <t xml:space="preserve"> plocha koruny stromu do 150 m2 </t>
    </r>
    <r>
      <rPr>
        <i/>
        <sz val="10"/>
        <rFont val="Arial"/>
        <family val="2"/>
        <charset val="238"/>
      </rPr>
      <t>(stromy č: 41,42,53,61,64,80,)</t>
    </r>
  </si>
  <si>
    <r>
      <t xml:space="preserve">Řez stromů prováděný lezeckou technikou, </t>
    </r>
    <r>
      <rPr>
        <b/>
        <sz val="10"/>
        <rFont val="Arial"/>
        <family val="2"/>
        <charset val="238"/>
      </rPr>
      <t>zdravotní,</t>
    </r>
    <r>
      <rPr>
        <sz val="10"/>
        <rFont val="Arial"/>
        <family val="2"/>
      </rPr>
      <t xml:space="preserve"> plocha koruny stromu do 180 m2 </t>
    </r>
    <r>
      <rPr>
        <i/>
        <sz val="10"/>
        <rFont val="Arial"/>
        <family val="2"/>
        <charset val="238"/>
      </rPr>
      <t>(strom č: 81,)</t>
    </r>
  </si>
  <si>
    <t>184 85-2217</t>
  </si>
  <si>
    <r>
      <t xml:space="preserve">Řez stromů prováděný lezeckou technikou, </t>
    </r>
    <r>
      <rPr>
        <b/>
        <sz val="10"/>
        <rFont val="Arial"/>
        <family val="2"/>
        <charset val="238"/>
      </rPr>
      <t>zdravotní,</t>
    </r>
    <r>
      <rPr>
        <sz val="10"/>
        <rFont val="Arial"/>
        <family val="2"/>
      </rPr>
      <t xml:space="preserve"> plocha koruny stromu do 210 m2 </t>
    </r>
    <r>
      <rPr>
        <i/>
        <sz val="10"/>
        <rFont val="Arial"/>
        <family val="2"/>
        <charset val="238"/>
      </rPr>
      <t>(stromy č: 43,51,90,)</t>
    </r>
  </si>
  <si>
    <r>
      <t xml:space="preserve">Řez stromů prováděný lezeckou technikou, </t>
    </r>
    <r>
      <rPr>
        <b/>
        <sz val="10"/>
        <rFont val="Arial"/>
        <family val="2"/>
        <charset val="238"/>
      </rPr>
      <t>zdravotní,</t>
    </r>
    <r>
      <rPr>
        <sz val="10"/>
        <rFont val="Arial"/>
        <family val="2"/>
      </rPr>
      <t xml:space="preserve"> plocha koruny stromu do 240 m2 </t>
    </r>
    <r>
      <rPr>
        <i/>
        <sz val="10"/>
        <rFont val="Arial"/>
        <family val="2"/>
        <charset val="238"/>
      </rPr>
      <t>(stromy č: 63,75,77,)</t>
    </r>
  </si>
  <si>
    <r>
      <t xml:space="preserve">Řez stromů prováděný lezeckou technikou, </t>
    </r>
    <r>
      <rPr>
        <b/>
        <sz val="10"/>
        <rFont val="Arial"/>
        <family val="2"/>
        <charset val="238"/>
      </rPr>
      <t>zdravotní,</t>
    </r>
    <r>
      <rPr>
        <sz val="10"/>
        <rFont val="Arial"/>
        <family val="2"/>
      </rPr>
      <t xml:space="preserve"> plocha koruny stromu do 270 m2 </t>
    </r>
    <r>
      <rPr>
        <i/>
        <sz val="10"/>
        <rFont val="Arial"/>
        <family val="2"/>
        <charset val="238"/>
      </rPr>
      <t>(stromy č: 66,73,)</t>
    </r>
  </si>
  <si>
    <t>184 85-2221</t>
  </si>
  <si>
    <r>
      <t xml:space="preserve">Řez stromů prováděný lezeckou technikou, </t>
    </r>
    <r>
      <rPr>
        <b/>
        <sz val="10"/>
        <rFont val="Arial"/>
        <family val="2"/>
        <charset val="238"/>
      </rPr>
      <t>zdravotní,</t>
    </r>
    <r>
      <rPr>
        <sz val="10"/>
        <rFont val="Arial"/>
        <family val="2"/>
      </rPr>
      <t xml:space="preserve"> plocha koruny stromu do 300 m2 </t>
    </r>
    <r>
      <rPr>
        <i/>
        <sz val="10"/>
        <rFont val="Arial"/>
        <family val="2"/>
        <charset val="238"/>
      </rPr>
      <t>(strom č: 67,)</t>
    </r>
  </si>
  <si>
    <t>184 80-6172</t>
  </si>
  <si>
    <t>Zmlazení skupin keřů a živých plotů v. do 1,5 m kromě šeříků na ploše 7</t>
  </si>
  <si>
    <r>
      <t>Řez keřů zmlazením  keřů netrnitých v. do 3 m (</t>
    </r>
    <r>
      <rPr>
        <i/>
        <sz val="10"/>
        <rFont val="Arial"/>
        <family val="2"/>
        <charset val="238"/>
      </rPr>
      <t>solitérní keře)</t>
    </r>
  </si>
  <si>
    <t>Zmlazení části šeříků na ploše 7 - speciální postup popsaný v průvodní zprávě</t>
  </si>
  <si>
    <t>Odvoz ořezaných větví keřů k likvidaci (včetně poplatku za uložení na kompostárnu)</t>
  </si>
  <si>
    <t>1 Pinus nigra - borovice černá, v. 125-150 cm, bal</t>
  </si>
  <si>
    <t>2 Pinus sylvestris - borovice lesní, v. 200-250cm, bal</t>
  </si>
  <si>
    <t>4 Pinus uncinata var. rotundata - borovice blatka, v. 100-125cm, bal</t>
  </si>
  <si>
    <t>3 Pinus sylvestris ´Watereri´ - borovice lesní, v. 125-150 cm, bal</t>
  </si>
  <si>
    <t>5 Acer griseum - javor šedý, obv. kmene 10-12cm, bal</t>
  </si>
  <si>
    <t>6 Amelanchier arborea "ROBIN HILL"-muchovník stromový, Kts, vk 180cm, obv. km. 10-12cm, bal</t>
  </si>
  <si>
    <t>7 Liquidambar styraciflua ´WORPLESDON- ambroň západní, Vk, obv. kmene 10-12cm, ko 40l</t>
  </si>
  <si>
    <t>8 Prunus serrulata ´KIKU-SHIDARE-ZAKURA´ - okrasná třešeň, sakura, obv. kmene 12-14 cm, bal</t>
  </si>
  <si>
    <t>9 Prunus subhirtella "FUKUBANA" - okrasná třešeň, obv. kmene 12-14 cm, bal</t>
  </si>
  <si>
    <t>10 Sorbus aucuparia ´Edulis´ - jeřáb obecný, obv. kmene 12-14 cm, bal</t>
  </si>
  <si>
    <t>11 Sorbus intermedia ´Brouwers´- jeřáb prostřední, Vk, obv km 10–12, ko40l</t>
  </si>
  <si>
    <t>dřeviny pro tvarované živé ploty</t>
  </si>
  <si>
    <t>12 Ligustrum vulgare ´Atrovirens´- ptačí zob obecný, v 40-60, ko2l</t>
  </si>
  <si>
    <t>14 Spiraea x vanhouttei - tavolník van Houtteův, v 40-60, ko2l</t>
  </si>
  <si>
    <t>15 Symphoricarpos orbiculatus - pámelník červenoplodý, v 40-60, ko2l</t>
  </si>
  <si>
    <t>13 Carpinus betulus - habr obecný, v 40-60, ko3l</t>
  </si>
  <si>
    <t>keře listnaté stálezelené</t>
  </si>
  <si>
    <t>16 Cotoneaster salicifolius ´Parkteppich´ - skalník vrbolistý, v 30–40, ko 1l</t>
  </si>
  <si>
    <t>17 Hypericum calycinum - třezalka kalíškatá, v 30–40, ko 1l</t>
  </si>
  <si>
    <t>18 Vinca minor - barvínek menší, ko 0,5 l</t>
  </si>
  <si>
    <t>19 Acer ginnala - javor amurský, v 250-300, ko 8l</t>
  </si>
  <si>
    <t>20 Amelanchier x grandiflora "BALLERINA" - muchovník, v 200–250, ko</t>
  </si>
  <si>
    <t>21 Berberis thunbergii - dřišťál Thunbergův, v 40–60, ko2l</t>
  </si>
  <si>
    <t>22 Berberis thunbergii ´Green Carpet´- dřišťál Thunbergův, v 20–30, ko 1l</t>
  </si>
  <si>
    <t>23 Cornus florida - dřín květnatý, v 80-100, ko 10l</t>
  </si>
  <si>
    <t>24 Cornus kousa var. CHINENSIS - dřín japonský, v 80-100, ko 10l</t>
  </si>
  <si>
    <t>25 Cornus mas - dřín obecný, Pyr, v 150–200, bal</t>
  </si>
  <si>
    <t>27 Ribes alpinum - meruzalka alpská, v 30–40, ko2l</t>
  </si>
  <si>
    <t>28 Ribes alpinum ´Pumilum´- meruzalka alpská, v 20–30, ko1,5l</t>
  </si>
  <si>
    <t>29 Ribes alpinum ´Schmidt´- meruzalka alpská, v 20–30, ko1,5l</t>
  </si>
  <si>
    <t>30 Rosa KORDES Amber Sun ® měděná barva květů, v 30-40, ko 2l</t>
  </si>
  <si>
    <t>31 Rosa KORDES Aprikola® meruňková barva květů, v 30-40, ko 2l</t>
  </si>
  <si>
    <t>32 Rosa KORDES Gărtenfreude®  červená barva květů, v 30-40, ko 2l</t>
  </si>
  <si>
    <t>33 Rosa KORDES Innocencia ® bílá barva květů, v 30-40, ko 2l</t>
  </si>
  <si>
    <t>34 Rosa KORDES Milano®  červená barva květů, v 30-40, ko 2l</t>
  </si>
  <si>
    <t>35 Rosa KORDES Solero®  plné žluté květy, v 30-40, ko 2l</t>
  </si>
  <si>
    <t>36 Spiraea x bumalda ´Crispa´- tavolník nízký, v 30-40, ko 2l</t>
  </si>
  <si>
    <t>Montáž výsadba květin a okrasných trav mezisoučet</t>
  </si>
  <si>
    <t>Specifikace výsadba květin a okrasných trav ostatní</t>
  </si>
  <si>
    <t>sazenice okrasných trav, ko 0,5 l - sortiment v průvodní zprávě</t>
  </si>
  <si>
    <t>cibuloviny (v záhonech květin i volně v trávníku) - sortiment v průvodní zprávě</t>
  </si>
  <si>
    <t>sazenice květin (v květinových i travnatých záhonech)- sortiment v průvodní zprávě</t>
  </si>
  <si>
    <t>183 21-1211</t>
  </si>
  <si>
    <r>
      <t>Založení štěrkového záhonu  pro výsadbu květin a okrasných trav  (</t>
    </r>
    <r>
      <rPr>
        <i/>
        <sz val="10"/>
        <rFont val="Arial"/>
        <family val="2"/>
      </rPr>
      <t>vč. výkopu, vrstvení materiálů, odvozu zbylého výkopku do 20 km ale bez materiálu - písku k promísení se zeminou a štěrku na mulčování )</t>
    </r>
  </si>
  <si>
    <t>183 21-1313</t>
  </si>
  <si>
    <t>Výsadba cibulí do připravené půdy se zalitím</t>
  </si>
  <si>
    <t>Příplatek za výsadbvu cibulovin do trávníku</t>
  </si>
  <si>
    <t>183 21-1322</t>
  </si>
  <si>
    <t>Výsadba květin a okrasných trav hrnkovaných o prům. květináče 80 - 120 mm do připravené půdy se zalitím</t>
  </si>
  <si>
    <t>183 11-1111</t>
  </si>
  <si>
    <r>
      <t>Hloubení jamek bez vým. půdy do 0,002 m3 (</t>
    </r>
    <r>
      <rPr>
        <i/>
        <sz val="10"/>
        <rFont val="Arial"/>
        <family val="2"/>
        <charset val="238"/>
      </rPr>
      <t>pro trvalky a trávy)</t>
    </r>
  </si>
  <si>
    <r>
      <t>Chemické odplevelení půdy před založením kultury postřikem na široko (</t>
    </r>
    <r>
      <rPr>
        <i/>
        <sz val="10"/>
        <rFont val="Arial"/>
        <family val="2"/>
        <charset val="238"/>
      </rPr>
      <t>záhony trvalek a okr. trav) opakováno 2x</t>
    </r>
  </si>
  <si>
    <t>Hrubší praný písek frakce 2-3 mm (vrstva 8 cm k promíchání s původní zeminou - viz technologie v prův. zporávě)</t>
  </si>
  <si>
    <r>
      <t xml:space="preserve">Dovoz vody pro zálivku rostlin na vzdálenost do 1000m </t>
    </r>
    <r>
      <rPr>
        <i/>
        <sz val="10"/>
        <rFont val="Arial"/>
        <family val="2"/>
        <charset val="238"/>
      </rPr>
      <t>(z hydrantu, 0,020 m</t>
    </r>
    <r>
      <rPr>
        <i/>
        <vertAlign val="superscript"/>
        <sz val="10"/>
        <rFont val="Arial"/>
        <family val="2"/>
        <charset val="238"/>
      </rPr>
      <t>3</t>
    </r>
    <r>
      <rPr>
        <i/>
        <sz val="10"/>
        <rFont val="Arial"/>
        <family val="2"/>
        <charset val="238"/>
      </rPr>
      <t>/keř; 0,050m</t>
    </r>
    <r>
      <rPr>
        <i/>
        <vertAlign val="superscript"/>
        <sz val="10"/>
        <rFont val="Arial"/>
        <family val="2"/>
        <charset val="238"/>
      </rPr>
      <t>3</t>
    </r>
    <r>
      <rPr>
        <i/>
        <sz val="10"/>
        <rFont val="Arial"/>
        <family val="2"/>
        <charset val="238"/>
      </rPr>
      <t>/strom)</t>
    </r>
  </si>
  <si>
    <t>Drcená borka (kůra jehličnatých stromů) pro mulčování záhonů keřů a živých plotů vyhnojená LAV dle popisu v průvodní zprávě</t>
  </si>
  <si>
    <t>Štěrk světlý ostrohranný, frakce 8/16 pro mulčování ve vrstvě 7 cm - záhony květin a trav kromě záhonů trav na ploše 1 a 2, kde se použije mulčovací rohož</t>
  </si>
  <si>
    <t>184 80-6111</t>
  </si>
  <si>
    <r>
      <t>Řez průklestem (</t>
    </r>
    <r>
      <rPr>
        <i/>
        <sz val="10"/>
        <rFont val="Arial"/>
        <family val="2"/>
        <charset val="238"/>
      </rPr>
      <t>zde výchovný</t>
    </r>
    <r>
      <rPr>
        <sz val="10"/>
        <rFont val="Arial"/>
        <family val="2"/>
      </rPr>
      <t xml:space="preserve">) stromů netrnitých o prům. koruny do 2 m </t>
    </r>
    <r>
      <rPr>
        <i/>
        <sz val="10"/>
        <rFont val="Arial"/>
        <family val="2"/>
        <charset val="238"/>
      </rPr>
      <t>(stromy listnaté1. rok po výsadbě)</t>
    </r>
  </si>
  <si>
    <r>
      <t>Řez průklestem (</t>
    </r>
    <r>
      <rPr>
        <i/>
        <sz val="10"/>
        <rFont val="Arial"/>
        <family val="2"/>
        <charset val="238"/>
      </rPr>
      <t>zde výchovný</t>
    </r>
    <r>
      <rPr>
        <sz val="10"/>
        <rFont val="Arial"/>
        <family val="2"/>
      </rPr>
      <t xml:space="preserve">) stromů netrnitých o prům. koruny do 2 m </t>
    </r>
    <r>
      <rPr>
        <i/>
        <sz val="10"/>
        <rFont val="Arial"/>
        <family val="2"/>
        <charset val="238"/>
      </rPr>
      <t>(stromy listnaté2. rok po výsadbě)</t>
    </r>
  </si>
  <si>
    <r>
      <t>Řez průklestem (</t>
    </r>
    <r>
      <rPr>
        <i/>
        <sz val="10"/>
        <rFont val="Arial"/>
        <family val="2"/>
        <charset val="238"/>
      </rPr>
      <t>zde výchovný</t>
    </r>
    <r>
      <rPr>
        <sz val="10"/>
        <rFont val="Arial"/>
        <family val="2"/>
      </rPr>
      <t xml:space="preserve">) stromů netrnitých o prům. koruny do 2 m </t>
    </r>
    <r>
      <rPr>
        <i/>
        <sz val="10"/>
        <rFont val="Arial"/>
        <family val="2"/>
        <charset val="238"/>
      </rPr>
      <t>(stromy listnaté3. rok po výsadbě)</t>
    </r>
  </si>
  <si>
    <r>
      <t xml:space="preserve">Zpětný řez keřů po výsadbě netrnitých výšky do 0,5 m </t>
    </r>
    <r>
      <rPr>
        <i/>
        <sz val="10"/>
        <rFont val="Arial"/>
        <family val="2"/>
        <charset val="238"/>
      </rPr>
      <t>(všechny keře ve skupinách vč. živých plotů)</t>
    </r>
  </si>
  <si>
    <r>
      <t xml:space="preserve">Řez průklestem keřů netrnitých o prům. koruny do 1,5 m </t>
    </r>
    <r>
      <rPr>
        <i/>
        <sz val="10"/>
        <rFont val="Arial"/>
        <family val="2"/>
        <charset val="238"/>
      </rPr>
      <t>(keře listnaté 2. rok po výsadbě)</t>
    </r>
  </si>
  <si>
    <t>184 80-3111</t>
  </si>
  <si>
    <r>
      <t>Řez a tvarování živých plotů  a stěn přímých do v.0,8m a š. 0,8 m - (</t>
    </r>
    <r>
      <rPr>
        <i/>
        <sz val="10"/>
        <rFont val="Arial"/>
        <family val="2"/>
        <charset val="238"/>
      </rPr>
      <t>živé ploty 2. rok po výsadbě v předjaří, délka záhonů 310m, š. plotu 0,8m</t>
    </r>
    <r>
      <rPr>
        <sz val="10"/>
        <rFont val="Arial"/>
        <family val="2"/>
      </rPr>
      <t>)</t>
    </r>
  </si>
  <si>
    <r>
      <t>Řez a tvarování živých plotů  a stěn přímých do v.0,8m a š. 0,8 m - (</t>
    </r>
    <r>
      <rPr>
        <i/>
        <sz val="10"/>
        <rFont val="Arial"/>
        <family val="2"/>
        <charset val="238"/>
      </rPr>
      <t>živé ploty 2. rok po výsadbě v létě, délka záhonů 310m, š. plotu 0,8m</t>
    </r>
    <r>
      <rPr>
        <sz val="10"/>
        <rFont val="Arial"/>
        <family val="2"/>
      </rPr>
      <t>)</t>
    </r>
  </si>
  <si>
    <r>
      <t>Řez a tvarování živých plotů  a stěn přímých do v.0,8m a š. 0,8 m - (</t>
    </r>
    <r>
      <rPr>
        <i/>
        <sz val="10"/>
        <rFont val="Arial"/>
        <family val="2"/>
        <charset val="238"/>
      </rPr>
      <t>živé ploty 3. rok po výsadbě v létě, délka záhonů 310m, š. plotu 0,8m</t>
    </r>
    <r>
      <rPr>
        <sz val="10"/>
        <rFont val="Arial"/>
        <family val="2"/>
      </rPr>
      <t>)</t>
    </r>
  </si>
  <si>
    <r>
      <t>Řez a tvarování živých plotů  a stěn přímých do v.0,8m a š. 0,8 m - (</t>
    </r>
    <r>
      <rPr>
        <i/>
        <sz val="10"/>
        <rFont val="Arial"/>
        <family val="2"/>
        <charset val="238"/>
      </rPr>
      <t>živé ploty 3. rok po výsadbě v předjaří, délka záhonů 310m, š. plotu 0,8m</t>
    </r>
    <r>
      <rPr>
        <sz val="10"/>
        <rFont val="Arial"/>
        <family val="2"/>
      </rPr>
      <t>)</t>
    </r>
  </si>
  <si>
    <r>
      <t>Zalití rostlin vodou jednotlivě</t>
    </r>
    <r>
      <rPr>
        <i/>
        <sz val="10"/>
        <rFont val="Arial"/>
        <family val="2"/>
        <charset val="238"/>
      </rPr>
      <t xml:space="preserve"> (stromy 3 x ročně 50 litrů, tzn za 1 rok 51 x3 x 50=7650 litrů x 3 roky=22950 litrů, solitérní keře 3 x ročně 30 litrů, tzn. za 1 rok 26 x 3 x 30=2340 litrů x 3 roky = 7020…22950+7020=29970 litrů = 30m3)</t>
    </r>
  </si>
  <si>
    <t>185 80-4312</t>
  </si>
  <si>
    <r>
      <t>Zalití rostlin vodou záhony přes 20 m2</t>
    </r>
    <r>
      <rPr>
        <i/>
        <sz val="10"/>
        <rFont val="Arial"/>
        <family val="2"/>
        <charset val="238"/>
      </rPr>
      <t xml:space="preserve"> (keře živého plotu 1 x ročně 5 litrů na 1 rostlinu,zalévat celkem 2 roky, tzn za 1 rok 872x5=4360litrů x 2 roky=8720 litrů, keře ve skupinách1 x ročně 10 litrů pro rostlinu, zalévat 2 roky, tzn. za 1 rok 1491x10=14910 litrů x 2 roky = 29820...8720 +29820=38540 litrů = 39m3)</t>
    </r>
  </si>
  <si>
    <r>
      <rPr>
        <b/>
        <i/>
        <sz val="12"/>
        <rFont val="Arial CE"/>
        <charset val="238"/>
      </rPr>
      <t>NÁSLEDNÁ PÉČE O DŘEVINY PO DOBU 3 LET</t>
    </r>
    <r>
      <rPr>
        <i/>
        <sz val="10"/>
        <rFont val="Arial CE"/>
        <charset val="238"/>
      </rPr>
      <t xml:space="preserve"> (dokončovací péče od provedení výsadby do okamžiku předání díla a jeho převzetí zadavatelem + rozvojová péče od okamžiku opřevzetí díla zadavatelem do dosažení plné funkčnosti stromu - zde pouze do 3 let po výsadbě (patří sem zálivka, výchovný řez, kontrola a odstranění kotvících prvků, hnojení, kypření, odplevelování, ochrana proti chorobám a škůdcům, ochrana před vlivem mrazu, doplňování mulče) - nebo keřů (zálivka, odplevelování, kypření)</t>
    </r>
  </si>
  <si>
    <t>185 80-4214</t>
  </si>
  <si>
    <r>
      <t xml:space="preserve">Odstranění ukotvení dřeviny třemi kůly </t>
    </r>
    <r>
      <rPr>
        <i/>
        <sz val="10"/>
        <rFont val="Arial"/>
        <family val="2"/>
        <charset val="238"/>
      </rPr>
      <t>(listané a jehličnaté stromy a solitérní keře - provést dva roky po výsadbě)</t>
    </r>
  </si>
  <si>
    <t>ODSTRANĚNÍ STÁVAJÍCÍHO MOBILIÁŘE</t>
  </si>
  <si>
    <t>Odkopávky a prokopávky nezapažené v ho. 1 a2 do 100 m3</t>
  </si>
  <si>
    <t>Vodorovné přemístění výkopku po suchu do vzdálenosti 500m (ornice se použije v rámci stavby na vyrovnání nerovností apod.)</t>
  </si>
  <si>
    <t>Rozprostření a urovnání ornice při tl. vrstvy do 100mm a souvislé ploše do 500m2</t>
  </si>
  <si>
    <t>zhotovené horní obrusné vrstvy plochy pro pěší  z kameniva tl. 30 mm,(montáž a dodávka povrchu z výsivky pískovcové barvy tl.3cm)</t>
  </si>
  <si>
    <t>Záhonový obrubník délka 100cm, š. 5cm, výška 20 cm</t>
  </si>
  <si>
    <t>Lože pod obrubníky, krajníky nebo obruby z dlažebních kostek z betonu prostého</t>
  </si>
  <si>
    <t>122 10-1101</t>
  </si>
  <si>
    <t>162 30-1101</t>
  </si>
  <si>
    <t>181 30-1101</t>
  </si>
  <si>
    <t>564 84-1113</t>
  </si>
  <si>
    <t>Podklad nebo lože pod dlažbu vodorovný nebo do sklonu 1:5 z kameniva drceného 16/32 tl 140 mm</t>
  </si>
  <si>
    <t>Podklad nebo lože pod dlažbu vodorovný nebo do sklonu 1:5 z kameniva drceného 8/16 tl 80 mm (drobný štěrk celkem 8 cm)</t>
  </si>
  <si>
    <t>564 82-1111</t>
  </si>
  <si>
    <t>916 23-1213</t>
  </si>
  <si>
    <r>
      <t>Osazení chodníkového obrubníku betonového stojatého s boční opěrou z betonu do lože z betonu prostého (</t>
    </r>
    <r>
      <rPr>
        <i/>
        <sz val="10"/>
        <rFont val="Arial CE"/>
        <charset val="238"/>
      </rPr>
      <t xml:space="preserve">Osazení betonové obruby š. 5 cm, výšky 20 cm zabudované v úrovni mlatu do lože z betonu s boční opěrou </t>
    </r>
    <r>
      <rPr>
        <sz val="10"/>
        <rFont val="Arial CE"/>
        <charset val="238"/>
      </rPr>
      <t>)</t>
    </r>
  </si>
  <si>
    <t>916 99-1112</t>
  </si>
  <si>
    <t>Montáž zhotovení mlatových ploch mezisoučet</t>
  </si>
  <si>
    <t xml:space="preserve">Specifikace zhotovení mlatových ploch </t>
  </si>
  <si>
    <t xml:space="preserve">Mezisoučet specifikace zhotovení mlatových ploch </t>
  </si>
  <si>
    <t>Specifikace mobiliář</t>
  </si>
  <si>
    <t>936 10-4211</t>
  </si>
  <si>
    <t>Montáž odpadkového koše do betonové patky</t>
  </si>
  <si>
    <t>Montáž lavičky parkové přichycené kotevními šrouby do betonové patky</t>
  </si>
  <si>
    <t>936 00-1002</t>
  </si>
  <si>
    <r>
      <t>Montáž prvků městské a zahradní architektury hmotnosti přes 0,1 t (</t>
    </r>
    <r>
      <rPr>
        <i/>
        <sz val="10"/>
        <rFont val="Arial CE"/>
        <charset val="238"/>
      </rPr>
      <t>hmyzí hotely)</t>
    </r>
  </si>
  <si>
    <t>Hmyzí hotel dle specifikace v průvodní zprávě, cena včetně základů</t>
  </si>
  <si>
    <t>Psí pisoár dle specifikace v průvodní zprávě</t>
  </si>
  <si>
    <t>Odpadkový koš objem 70 l, kombinace kov, borové dřevo, kovová stříška, další podrobnosti v průvodní zprávě</t>
  </si>
  <si>
    <t>Sušák na prádlo - specifikace v průvodní zprávě, pro jeden kompletní sušák jsou potřeba dva rámy</t>
  </si>
  <si>
    <t>Mezisoučet specifikace ostatní</t>
  </si>
  <si>
    <r>
      <rPr>
        <b/>
        <i/>
        <sz val="12"/>
        <rFont val="Arial CE"/>
        <charset val="238"/>
      </rPr>
      <t>KÁCENÍ DŘEVIN</t>
    </r>
    <r>
      <rPr>
        <i/>
        <sz val="10"/>
        <rFont val="Arial CE"/>
        <charset val="238"/>
      </rPr>
      <t xml:space="preserve"> (je způsobilým výdajem pouze v případě, že bude prokazatelně nezbytné k založení nové zeleně, příp. k revitalizaci zeleně stávající)</t>
    </r>
  </si>
  <si>
    <t>111 21-2351</t>
  </si>
  <si>
    <t>Pokácení stromu směrové v celku s odřez. kmene a odvětvením, pr. kmene do 200 mm (stromy inv. č. 57 a 65)</t>
  </si>
  <si>
    <t>Pokácení stromu směrové v celku s odřez. kmene a odvětvením, pr. kmene do 300 mm  (strom inv. č. 58)</t>
  </si>
  <si>
    <t>Pokácení stromu směrové v celku s odřez. kmene a odvětvením, pr. kmene do 400 mm (strom inv. č. 56)</t>
  </si>
  <si>
    <t>Odstranění pařezu v rovině o průměru pařezu na řezné ploše do 200 mm</t>
  </si>
  <si>
    <t xml:space="preserve">Odstranění pařezu v rovině o průměru pařezu na řezné ploše do 300 mm </t>
  </si>
  <si>
    <t>112 20-1111</t>
  </si>
  <si>
    <t>112 20-1112</t>
  </si>
  <si>
    <t>112 20-1113</t>
  </si>
  <si>
    <t>Odstranění pařezu v rovině o průměru pařezu na řezné ploše do 400 mm</t>
  </si>
  <si>
    <t>VÝSADBA KVĚTIN, CIBULOVIN A OKRASNÝCH TRAV (do způsobilých výdajů je zařazena pouze část specifikovaná v rekapitulaci na konci rozpočtu!)</t>
  </si>
  <si>
    <t>MOBILIÁŘ - POŘÍZENÍ A INSTALACE (do způsobilých výdajů je zařazena pouze část specifikovaná v rekapitulaci na konci rozpočtu!)</t>
  </si>
  <si>
    <t>Mezisoučet montáž</t>
  </si>
  <si>
    <r>
      <rPr>
        <b/>
        <i/>
        <sz val="12"/>
        <rFont val="Arial CE"/>
        <charset val="238"/>
      </rPr>
      <t>KÁCENÍ DŘEVIN</t>
    </r>
    <r>
      <rPr>
        <i/>
        <sz val="10"/>
        <rFont val="Arial CE"/>
        <charset val="238"/>
      </rPr>
      <t xml:space="preserve"> (je způsobilým výdajem pouze v případě, že bude prokazatelně nezbytné k založení nové zeleně, příp. k revitalizaci zeleně stávající - zde keře a živé ploty : na ploše č.2 - 14m2, na ploše č. 4 - 7m2, na ploše č. 6 - 80 m2,celkem 101 m2)</t>
    </r>
  </si>
  <si>
    <r>
      <t>Odstranění nevhodných dřevin průměru kmene do 100 mm výšky přes 1 s odstraněním pařezu do 100 m2</t>
    </r>
    <r>
      <rPr>
        <i/>
        <sz val="10"/>
        <rFont val="Arial"/>
        <family val="2"/>
        <charset val="238"/>
      </rPr>
      <t xml:space="preserve"> v rovině(živé ploty a keřové skupiny - jednotlivé menší skupiny + 8 solitérních keřů kromě keřů a živých plotů vyjmenovaných ve způsobilých výdajích)</t>
    </r>
  </si>
  <si>
    <t>111 21-2311</t>
  </si>
  <si>
    <r>
      <t>Odstranění nevhodných dřevin průměru kmene do 100 mm výšky přes 1 bez odstranění pařezu do 100 m2</t>
    </r>
    <r>
      <rPr>
        <i/>
        <sz val="10"/>
        <rFont val="Arial"/>
        <family val="2"/>
        <charset val="238"/>
      </rPr>
      <t xml:space="preserve"> v rovině(živé ploty a keřové skupiny vyjmenované nahoře)</t>
    </r>
  </si>
  <si>
    <t>162 30-1501</t>
  </si>
  <si>
    <t>Vodorovné přemístění smýcených křovin na vzd. do 5 000 m</t>
  </si>
  <si>
    <t>Montáž sušáků na prádlo do betonových patek (4 patky pro každý sušák - 2 rámy pro každý sušák, každý rám 2 patky)</t>
  </si>
  <si>
    <t>VÝSADBA KVĚTIN, CIBULOVIN A OKRASNÝCH TRAV (do nezpůsobilých výdajů je zařazena pouze část specifikovaná v rekapitulaci na konci rozpočtu!)</t>
  </si>
  <si>
    <t>Následná péče 1. rok po výsadbě</t>
  </si>
  <si>
    <t>Následná péče 2. rok po výsadbě</t>
  </si>
  <si>
    <t>Následná péče 3. rok po výsadbě</t>
  </si>
  <si>
    <t xml:space="preserve">Mezisoučet </t>
  </si>
  <si>
    <t>VÝSADBA DŘEVIN CELKEM</t>
  </si>
  <si>
    <t>NÁSLEDNÁ PÉČE CELKEM</t>
  </si>
  <si>
    <t>VÝSADBA KVĚTIN A OKRASNÝCH TRAV CELKEM</t>
  </si>
  <si>
    <t>OŠETŘENÍ STÁVAJÍCÍCH STROMŮ CELKEM</t>
  </si>
  <si>
    <t>KÁCENÍ DŘEVIN CELKEM</t>
  </si>
  <si>
    <t>MOBILIÁŘ POŘÍZENÍ A INSTALACE CELKEM</t>
  </si>
  <si>
    <t>ODSTRANĚNÍ STÁVAJÍCÍHO MOBILIÁŘE CELKEM</t>
  </si>
  <si>
    <t>ODSTRANĚNÍ STÁVAJÍCÍCH KVĚTINOVÝCH ZÁHONŮ</t>
  </si>
  <si>
    <t>Odstranění květin včetně podzemních orgánů,  odvezení materiálu na skládku a urovnání záhonu</t>
  </si>
  <si>
    <t>ODSTRANĚNÍ STÁVAJÍCÍCH KVĚTINOVÝCH ZÁHONŮ CELKEM</t>
  </si>
  <si>
    <t>NÁSLEDNÁ PÉČE O VÝSADBY KVĚTIN, CIBULOVIN A OKRASNÝCH TRAV (KROMĚ CIBULOVIN V TRÁVNÍKU) PO DOBU 3 ROKY - zahrnuje předjarní sestřih rostlin,  selektivní pletí vyškolenými pracovníky!, výměnu uhynulých rostlin)</t>
  </si>
  <si>
    <t>REGENERACE  STÁVAJÍCÍHO TRÁVNÍKU - popis v průvodní zprávě, plocha 2794 m2 (do způsobilých výdajů je zařazena pouze část specifikovaná v rekapitulaci na konci rozpočtu!)</t>
  </si>
  <si>
    <t>183 45-1351</t>
  </si>
  <si>
    <t>183 40-3161</t>
  </si>
  <si>
    <r>
      <t>Provzdušnění travnatých ploch hloubky do 100mm souvislé plochy do 1000m2 s přísevem travního osiva v rovině (</t>
    </r>
    <r>
      <rPr>
        <i/>
        <sz val="10"/>
        <rFont val="Arial"/>
        <family val="2"/>
        <charset val="238"/>
      </rPr>
      <t>včetně zapravení osiva hrabáním</t>
    </r>
    <r>
      <rPr>
        <sz val="10"/>
        <rFont val="Arial"/>
        <family val="2"/>
      </rPr>
      <t>)</t>
    </r>
  </si>
  <si>
    <r>
      <t xml:space="preserve">Obděláníé půdy válením v rovině </t>
    </r>
    <r>
      <rPr>
        <i/>
        <sz val="10"/>
        <rFont val="Arial"/>
        <family val="2"/>
        <charset val="238"/>
      </rPr>
      <t>(po zasetí a zapravení travního osiva)</t>
    </r>
  </si>
  <si>
    <r>
      <t xml:space="preserve">Obdělání půdy válením v rovině </t>
    </r>
    <r>
      <rPr>
        <i/>
        <sz val="10"/>
        <rFont val="Arial"/>
        <family val="2"/>
        <charset val="238"/>
      </rPr>
      <t>(po zasetí a zapravení travního osiva) - opakování</t>
    </r>
  </si>
  <si>
    <t>Montáž regenerace stávajícího trávníku mezisoučet</t>
  </si>
  <si>
    <t xml:space="preserve">Specifikace regenerace stávajícího trávníku </t>
  </si>
  <si>
    <r>
      <t xml:space="preserve">Travní směs pro renovaci rekreačního trávníku dle specifikace v průvodní zprávě </t>
    </r>
    <r>
      <rPr>
        <i/>
        <sz val="10"/>
        <rFont val="Arial"/>
        <family val="2"/>
        <charset val="238"/>
      </rPr>
      <t>(výsevek 25g/m2)</t>
    </r>
  </si>
  <si>
    <t>REGENERACE STÁVAJÍCÍHO TRÁVNÍKU CELKEM</t>
  </si>
  <si>
    <t>ZALOŽENÍ PLOCH TRÁVNÍKU - popis v průvodní zprávě, plocha 4419 m2 (do způsobilých výdajů je zařazena pouze část specifikovaná v rekapitulaci na konci rozpočtu!)</t>
  </si>
  <si>
    <t>183 40-3114</t>
  </si>
  <si>
    <t>Obdělání půdy kultivátorováním v rovině</t>
  </si>
  <si>
    <t>183 40-3152</t>
  </si>
  <si>
    <t>Obdělání půdy vláčením v rovině</t>
  </si>
  <si>
    <t>Obdělání půdy vláčením v rovině - opakování</t>
  </si>
  <si>
    <t>Obdělání půdy hrabáním v rovině</t>
  </si>
  <si>
    <t>183 40-3153</t>
  </si>
  <si>
    <t>Chemické odplevelení trávníku selektivním herbicidem proti dvouděložným rostlinám postřikem na široko včetně herbicidu</t>
  </si>
  <si>
    <t>Chemické odplevelení trávníku selektivním herbicidem proti dvouděložným rostlinám postřikem na široko vč. herbicidu - opakování</t>
  </si>
  <si>
    <t>Cemické odplevelení trávníku totálním herbicidem  postřikem na široko vč. herbicidu</t>
  </si>
  <si>
    <t>Cemické odplevelení trávníku totálním herbicidem  postřikem na široko vč. herbicidu - opakování</t>
  </si>
  <si>
    <t>Založení trávníku plochy přes 1 000m2 parkového v rovině včetně utažení</t>
  </si>
  <si>
    <t xml:space="preserve">Specifikacezaložení ploch trávníku </t>
  </si>
  <si>
    <r>
      <t xml:space="preserve">Travní směs univerzální rekreačnídle specifikace v průvodní zprávě </t>
    </r>
    <r>
      <rPr>
        <i/>
        <sz val="10"/>
        <rFont val="Arial"/>
        <family val="2"/>
        <charset val="238"/>
      </rPr>
      <t>(výsevek 30g/m2)</t>
    </r>
  </si>
  <si>
    <r>
      <t xml:space="preserve">Hloubení jamek pro vysazování rostlinu v zemině tř. 1až 4 s vým.půdy na 50%, v rovině, objemu do 0,05m3 </t>
    </r>
    <r>
      <rPr>
        <i/>
        <sz val="10"/>
        <rFont val="Arial"/>
        <family val="2"/>
        <charset val="238"/>
      </rPr>
      <t>(keř solitérní - Rhus typhina)</t>
    </r>
  </si>
  <si>
    <t>Výsadba dřeviny s balem do předem vyhloubené jamky se zalitím v rovině při prům. balu do 300 mm</t>
  </si>
  <si>
    <t>26 Rhus typhyna - škumpa orobincová, v 150-200, bal ( tendo druh je NEUZPŮSOBILÝ VÝDAJ)</t>
  </si>
  <si>
    <t>ZHOTOVENÍ MLATOVÝCH PLOCH CELKEM</t>
  </si>
  <si>
    <t>mezisoučet</t>
  </si>
  <si>
    <t>NÁSLEDNÁ PÉČE O DŘEVINY PO DOBU 3 LET</t>
  </si>
  <si>
    <t>CELKOVÁ PLOCHA OPATŘENÍ</t>
  </si>
  <si>
    <t>AGR.POLOŽKA KČ/M2</t>
  </si>
  <si>
    <t>MAX. CENA BEZ DPH DLE NOO</t>
  </si>
  <si>
    <t>26 Rhus typhina mezi nezpůs. výdaji</t>
  </si>
  <si>
    <t>111 15-1121</t>
  </si>
  <si>
    <t>Pokosení trávníku parkového v rovině souvislé plochy do 1000 m2</t>
  </si>
  <si>
    <t>Pokosení trávníku parkového v rovině souvislé plochy do 1000 m2 - opakování 9 x 1. rok</t>
  </si>
  <si>
    <t>Pokosení trávníku parkového v rovině souvislé plochy do 1000 m2 - opakování 10 x 2. rok</t>
  </si>
  <si>
    <t>Pokosení trávníku parkového v rovině souvislé plochy do 1000 m2 - opakování 10 x 3. rok</t>
  </si>
  <si>
    <t>185 80-2113</t>
  </si>
  <si>
    <t>Hnojení trávníku umělým hnojivem na široko včetně hnojiva  (1. rok 7 213 m2 x 0,02 kg/m2 x 4 opakování = 577 kg)</t>
  </si>
  <si>
    <t>Hnojení trávníku umělým hnojivem na široko včetně hnojiva  - opakování 2. rok</t>
  </si>
  <si>
    <t>Hnojení trávníku umělým hnojivem na široko včetně hnojiva  - opakování 3. rok</t>
  </si>
  <si>
    <t>Montáž následná péče o trávník mezisoučet</t>
  </si>
  <si>
    <t>Specifikace následná péče o trávník ostatní</t>
  </si>
  <si>
    <t>NÁSLEDNÁ PÉČE O TRÁVNÍK CELKEM</t>
  </si>
  <si>
    <t>LAV hnojivo (každoročně 3 x plocha 7 213 po 0,02 kg/m2, tzn. 433 kg x 3 roky = 1299 kg)</t>
  </si>
  <si>
    <t>Plné hnojivo každoročně 1 x plocha 7 213 po 0,02 kg/m2, tzn. 144 kg x 3 roky = 432 kg)</t>
  </si>
  <si>
    <r>
      <t>Provzdušnění travnatých ploch hloubky do 100mm souvislé plochy do 1000m2 s přísevem travního osiva v rovině (</t>
    </r>
    <r>
      <rPr>
        <i/>
        <sz val="10"/>
        <rFont val="Arial"/>
        <family val="2"/>
        <charset val="238"/>
      </rPr>
      <t>včetně zapravení osiva hrabáním</t>
    </r>
    <r>
      <rPr>
        <sz val="10"/>
        <rFont val="Arial"/>
        <family val="2"/>
      </rPr>
      <t>) opakování 2. rok</t>
    </r>
  </si>
  <si>
    <r>
      <t>Provzdušnění travnatých ploch hloubky do 100mm souvislé plochy do 1000m2 s přísevem travního osiva v rovině (</t>
    </r>
    <r>
      <rPr>
        <i/>
        <sz val="10"/>
        <rFont val="Arial"/>
        <family val="2"/>
        <charset val="238"/>
      </rPr>
      <t>včetně zapravení osiva hrabáním</t>
    </r>
    <r>
      <rPr>
        <sz val="10"/>
        <rFont val="Arial"/>
        <family val="2"/>
      </rPr>
      <t>) opakování 3. rok</t>
    </r>
  </si>
  <si>
    <t>Obdělání půdy válením</t>
  </si>
  <si>
    <t>Obdělání půdy válením 2.rok</t>
  </si>
  <si>
    <t>Obdělání půdy válením 3. rok</t>
  </si>
  <si>
    <t>NÁSLEDNÁ PÉČE O TRÁVNÍK - zahrnuje kosení 10 x ročně včetně vyhrabání hmoty a odvozu na skládku do 20 km - na podzim včetně spadaného listí, hnojení 4 x ročně dle popisu v prův. zprávě, válení na jaře 1x, dosetí ploch 1% ročně s výsevkem 20 g/m2,odpíchnutí okrajů záhonů (rýha mezi okrajem a trávníkem proti prorůstání trávníku do záhonu)  - zahnuje regenerovaný i nově založený trávník, tzn. 2794 + 4419 m2= 7 213 m2</t>
  </si>
  <si>
    <t>Zarovnání okrajů záhonů proti prorůstání trávníku</t>
  </si>
  <si>
    <t>Zarovnání okrajů záhonů proti prorůstání trávníku - opakování 2. rok</t>
  </si>
  <si>
    <t>Zarovnání okrajů záhonů proti prorůstání trávníku - opakování 3. rok</t>
  </si>
  <si>
    <r>
      <t xml:space="preserve">Travní směs pro renovaci rekreačního trávníku dle specifikace v průvodní zprávě </t>
    </r>
    <r>
      <rPr>
        <i/>
        <sz val="10"/>
        <rFont val="Arial"/>
        <family val="2"/>
        <charset val="238"/>
      </rPr>
      <t>(výsevek 20g/m2)</t>
    </r>
  </si>
  <si>
    <t>ODSTRANĚNÍ PAŘEZŮ</t>
  </si>
  <si>
    <t>ODSTRANĚNÍ PAŘEZŮ CELKEM</t>
  </si>
  <si>
    <r>
      <t xml:space="preserve">Odstranění pařezu v rovině o průměru na řezné ploše do 200 mm </t>
    </r>
    <r>
      <rPr>
        <i/>
        <sz val="10"/>
        <rFont val="Arial"/>
        <family val="2"/>
        <charset val="238"/>
      </rPr>
      <t>(kácené stromy + 2 stávající pařezy na ploše č. 2)</t>
    </r>
  </si>
  <si>
    <r>
      <t xml:space="preserve">Odstranění pařezu v rovině o průměru na řezné ploše do 300 mm </t>
    </r>
    <r>
      <rPr>
        <i/>
        <sz val="10"/>
        <rFont val="Arial"/>
        <family val="2"/>
        <charset val="238"/>
      </rPr>
      <t>(kácené stromy + 1 stávající pařez na ploše č. 6)</t>
    </r>
  </si>
  <si>
    <r>
      <t xml:space="preserve">Odstranění pařezu v rovině o průměru na řezné ploše do 400 mm </t>
    </r>
    <r>
      <rPr>
        <i/>
        <sz val="10"/>
        <rFont val="Arial"/>
        <family val="2"/>
        <charset val="238"/>
      </rPr>
      <t>(kácený strom + 1 stávající pařez na ploše č. 6)</t>
    </r>
  </si>
  <si>
    <t>112 20-1115</t>
  </si>
  <si>
    <r>
      <t>Odstranění pařezu v rovině o průměru na řezné ploše do 600 mm (</t>
    </r>
    <r>
      <rPr>
        <i/>
        <sz val="10"/>
        <rFont val="Arial"/>
        <family val="2"/>
        <charset val="238"/>
      </rPr>
      <t>1 stávající pařez na ploše č. 6)</t>
    </r>
  </si>
  <si>
    <t>112 20-1116</t>
  </si>
  <si>
    <r>
      <t>Odstranění pařezu v rovině o průměru na řezné ploše do 700 mm (</t>
    </r>
    <r>
      <rPr>
        <i/>
        <sz val="10"/>
        <rFont val="Arial"/>
        <family val="2"/>
        <charset val="238"/>
      </rPr>
      <t>1 stávající pařez na ploše č. 6)</t>
    </r>
  </si>
  <si>
    <r>
      <t xml:space="preserve">Odstranění pařízků (po odstraněných nevhodných dřevinách průměru kmene do 100 mm výšky přes 1 bez odstranění pařezu  - </t>
    </r>
    <r>
      <rPr>
        <i/>
        <sz val="10"/>
        <rFont val="Arial"/>
        <family val="2"/>
        <charset val="238"/>
      </rPr>
      <t>živé ploty a keřové skupiny vi způsobilé výdaje)</t>
    </r>
  </si>
  <si>
    <t>Vodorovné přemístění dřevní hmoty z odstraněných pařezů křovin do 5 000 m s naložením, složením a dopravou</t>
  </si>
  <si>
    <t>Vodorovné přemístění dřevní hmoty z odstraněných pařezů stromů do 5 000 m s naložením, složením a dopravou</t>
  </si>
  <si>
    <t>NÁSLEDNÁ PÉČE O TRÁVNÍK</t>
  </si>
  <si>
    <t>NÁSLEDNÁ PÉČE O VÝSADBY KVĚTIN, CIBULOVIN A OKRASNÝCH TRAV</t>
  </si>
  <si>
    <t>MOBILIÁŘ - POŘÍZENÍ A INSTALACE (do nezpůsobilých výdajů je zařazena pouze část specifikovaná v rekapitulaci na konci rozpočtu!)</t>
  </si>
  <si>
    <t>VÝSADBA KVĚTIN, CIBULOVIN A OKRASNÝCH TRAV (do nezpůsobilých výdajů je zařazena pouze část výdajů, zbytek je ve způsobilých výdajích)</t>
  </si>
  <si>
    <t>INSTALACE A POŘÍZENÍ MOBILIÁŘE  (do nezpůsobilých výdajů je zařazena pouze část výdajů, zbytek je ve způsobilých výdajích)</t>
  </si>
  <si>
    <r>
      <t>m</t>
    </r>
    <r>
      <rPr>
        <i/>
        <vertAlign val="superscript"/>
        <sz val="10"/>
        <color rgb="FFFF0000"/>
        <rFont val="Arial"/>
        <family val="2"/>
      </rPr>
      <t>2</t>
    </r>
  </si>
  <si>
    <t>č.opatření</t>
  </si>
  <si>
    <t>NEZBYTNÉ KÁCENÍ DŘEVIN</t>
  </si>
  <si>
    <t>5 realizace zeleně</t>
  </si>
  <si>
    <t>INSTALACE A POŘÍZENÍ MOBILIÁŘE  - pouze 20% z celkových způsobilých výdajů souvisejících s realizací zeleně tzn. 20 % z opatření č. 5)</t>
  </si>
  <si>
    <t>VÝSADBA KVĚTIN, CIBULOVIN A OKRASNÝCH TRAV - pouze 20% z celkových způsobilých výdajů souvisejících s výsadbou či ošetřováním dřevin, tzn. 20% z opatření č. 1</t>
  </si>
  <si>
    <t>REGENERACE STÁVAJÍCÍHO TRÁVNÍKU A ZALOŽENÍ PLOCH TRÁVNÍKU - pouze 20% z celkových způsobilých výdajů souvisejících s výsadbou či ošetřováním dřevin, tzn. maximálně 20 % z opatření č. 1, zde výdaje této částky nedosahují</t>
  </si>
  <si>
    <r>
      <t>Montáž prvků městské a zahradní architektury hmotnosti do 0,1 t (</t>
    </r>
    <r>
      <rPr>
        <i/>
        <sz val="10"/>
        <rFont val="Arial CE"/>
        <charset val="238"/>
      </rPr>
      <t>psí pisoáry )</t>
    </r>
  </si>
  <si>
    <t>ZPŮSOBILÉ VÝDAJE</t>
  </si>
  <si>
    <t>NEZPŮSOBILÉ VÝDAJE</t>
  </si>
  <si>
    <t>č. opatření</t>
  </si>
  <si>
    <t xml:space="preserve">ZHOTOVENÍ MLATOVÝCH PLOCH </t>
  </si>
  <si>
    <r>
      <t>Vypletí dřevin ve skupinách (</t>
    </r>
    <r>
      <rPr>
        <i/>
        <sz val="10"/>
        <rFont val="Arial"/>
        <family val="2"/>
        <charset val="238"/>
      </rPr>
      <t>keře ve skupinách a živé ploty po dobu 3 roky, tzn. plocha (310+280) x 3)</t>
    </r>
  </si>
  <si>
    <t>opatření 10 ZRN (základní rozpočtové náklady) - součet opatření 5+6+7+8+9</t>
  </si>
  <si>
    <t>opatření 11 VRN vedlejší rozpočtové náklady) - 3% ze ZRN</t>
  </si>
  <si>
    <t>Přímé realizační výdaje - součet 10 a 11</t>
  </si>
  <si>
    <t>opatření 10 ZRN (základní rozpočtové náklady) - součet opatření 5+6+7+8+9+10</t>
  </si>
  <si>
    <t>REKAPITULACE  VÝKAZU VÝMĚR</t>
  </si>
  <si>
    <r>
      <t>Montáž prvků městské a zahradní architektury hmotnosti do 0,1 t (</t>
    </r>
    <r>
      <rPr>
        <i/>
        <sz val="10"/>
        <color rgb="FFFF0000"/>
        <rFont val="Arial CE"/>
        <charset val="238"/>
      </rPr>
      <t>psí pisoáry)</t>
    </r>
  </si>
  <si>
    <t>Rozpočet - způsobilé výdaje - VZD 2</t>
  </si>
  <si>
    <r>
      <t xml:space="preserve">Sadová lavice s opěradlem, lamely z </t>
    </r>
    <r>
      <rPr>
        <b/>
        <i/>
        <sz val="10"/>
        <rFont val="Arial"/>
        <family val="2"/>
        <charset val="238"/>
      </rPr>
      <t>borového dřeva</t>
    </r>
    <r>
      <rPr>
        <i/>
        <sz val="10"/>
        <rFont val="Arial"/>
        <family val="2"/>
        <charset val="238"/>
      </rPr>
      <t xml:space="preserve">, kovová konstrukce, délka 185 cm, další podrobnosti </t>
    </r>
    <r>
      <rPr>
        <b/>
        <i/>
        <sz val="10"/>
        <rFont val="Arial"/>
        <family val="2"/>
        <charset val="238"/>
      </rPr>
      <t>viz upřesnění ve vysvětlení zadávací dokumentace č. 1</t>
    </r>
  </si>
  <si>
    <r>
      <t xml:space="preserve">Sadová lavice s opěradlem, lamely z </t>
    </r>
    <r>
      <rPr>
        <b/>
        <i/>
        <sz val="10"/>
        <rFont val="Arial"/>
        <family val="2"/>
        <charset val="238"/>
      </rPr>
      <t>borového</t>
    </r>
    <r>
      <rPr>
        <i/>
        <sz val="10"/>
        <rFont val="Arial"/>
        <family val="2"/>
        <charset val="238"/>
      </rPr>
      <t xml:space="preserve"> dřeva, kovová konstrukce, délka 185 cm, další podrobnosti </t>
    </r>
    <r>
      <rPr>
        <b/>
        <i/>
        <sz val="10"/>
        <rFont val="Arial"/>
        <family val="2"/>
        <charset val="238"/>
      </rPr>
      <t>viz upřesnění ve vysvětlení zadávací dokumentace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</si>
</sst>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\ _K_č"/>
    <numFmt numFmtId="165" formatCode="0.00000"/>
    <numFmt numFmtId="166" formatCode="#,##0\ &quot;Kč&quot;"/>
    <numFmt numFmtId="167" formatCode="0.000"/>
    <numFmt numFmtId="168" formatCode="#,##0\ _K_č"/>
    <numFmt numFmtId="169" formatCode="0.0"/>
    <numFmt numFmtId="170" formatCode="#,##0.000\ _K_č"/>
    <numFmt numFmtId="171" formatCode="#,##0.00\ &quot;Kč&quot;"/>
  </numFmts>
  <fonts count="47" x14ac:knownFonts="1"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</font>
    <font>
      <b/>
      <sz val="11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0"/>
      <color theme="9" tint="-0.249977111117893"/>
      <name val="Arial"/>
      <family val="2"/>
    </font>
    <font>
      <sz val="10"/>
      <color theme="9" tint="-0.249977111117893"/>
      <name val="Arial CE"/>
      <charset val="238"/>
    </font>
    <font>
      <b/>
      <i/>
      <sz val="12"/>
      <color theme="9" tint="-0.249977111117893"/>
      <name val="Arial CE"/>
      <charset val="238"/>
    </font>
    <font>
      <sz val="10"/>
      <color theme="9" tint="-0.249977111117893"/>
      <name val="Arial"/>
      <family val="2"/>
    </font>
    <font>
      <i/>
      <sz val="10"/>
      <color theme="9" tint="-0.249977111117893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b/>
      <i/>
      <sz val="10"/>
      <color theme="9" tint="-0.249977111117893"/>
      <name val="Arial"/>
      <family val="2"/>
    </font>
    <font>
      <sz val="10"/>
      <color theme="9" tint="-0.249977111117893"/>
      <name val="Arial CE"/>
      <family val="2"/>
      <charset val="238"/>
    </font>
    <font>
      <i/>
      <sz val="10"/>
      <color theme="9" tint="-0.249977111117893"/>
      <name val="Arial CE"/>
      <charset val="238"/>
    </font>
    <font>
      <b/>
      <sz val="10"/>
      <color theme="9" tint="-0.249977111117893"/>
      <name val="Calibri"/>
      <family val="2"/>
      <charset val="238"/>
      <scheme val="minor"/>
    </font>
    <font>
      <i/>
      <sz val="8"/>
      <color theme="9" tint="-0.249977111117893"/>
      <name val="Arial CE"/>
      <charset val="238"/>
    </font>
    <font>
      <i/>
      <sz val="8"/>
      <color theme="9" tint="-0.24997711111789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b/>
      <i/>
      <sz val="10"/>
      <name val="Arial"/>
      <family val="2"/>
    </font>
    <font>
      <sz val="10"/>
      <name val="Arial CE"/>
      <charset val="238"/>
    </font>
    <font>
      <i/>
      <sz val="10"/>
      <name val="Arial"/>
      <family val="2"/>
    </font>
    <font>
      <i/>
      <vertAlign val="superscript"/>
      <sz val="10"/>
      <name val="Arial"/>
      <family val="2"/>
      <charset val="238"/>
    </font>
    <font>
      <sz val="10"/>
      <color theme="9" tint="-0.499984740745262"/>
      <name val="Arial"/>
      <family val="2"/>
    </font>
    <font>
      <b/>
      <i/>
      <sz val="10"/>
      <name val="Arial"/>
      <family val="2"/>
      <charset val="238"/>
    </font>
    <font>
      <i/>
      <sz val="10"/>
      <name val="Arial CE"/>
      <charset val="238"/>
    </font>
    <font>
      <sz val="8"/>
      <name val="Trebuchet MS"/>
      <family val="2"/>
      <charset val="238"/>
    </font>
    <font>
      <b/>
      <sz val="12"/>
      <name val="Arial CE"/>
      <charset val="238"/>
    </font>
    <font>
      <b/>
      <sz val="10"/>
      <name val="Calibri"/>
      <family val="2"/>
      <charset val="238"/>
      <scheme val="minor"/>
    </font>
    <font>
      <i/>
      <sz val="8"/>
      <name val="Arial CE"/>
      <charset val="238"/>
    </font>
    <font>
      <b/>
      <i/>
      <sz val="10"/>
      <name val="Arial CE"/>
      <charset val="238"/>
    </font>
    <font>
      <i/>
      <sz val="10"/>
      <color rgb="FFFF0000"/>
      <name val="Arial CE"/>
      <charset val="238"/>
    </font>
    <font>
      <i/>
      <sz val="10"/>
      <color rgb="FFFF0000"/>
      <name val="Arial"/>
      <family val="2"/>
    </font>
    <font>
      <i/>
      <vertAlign val="superscript"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</font>
    <font>
      <b/>
      <i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0" fontId="6" fillId="0" borderId="0"/>
    <xf numFmtId="0" fontId="32" fillId="0" borderId="0" applyAlignment="0">
      <alignment vertical="top" wrapText="1"/>
      <protection locked="0"/>
    </xf>
  </cellStyleXfs>
  <cellXfs count="327">
    <xf numFmtId="0" fontId="0" fillId="0" borderId="0" xfId="0"/>
    <xf numFmtId="164" fontId="0" fillId="0" borderId="1" xfId="0" applyNumberFormat="1" applyFont="1" applyBorder="1" applyAlignment="1">
      <alignment vertical="top"/>
    </xf>
    <xf numFmtId="168" fontId="1" fillId="0" borderId="1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0" fillId="0" borderId="0" xfId="0" applyBorder="1"/>
    <xf numFmtId="0" fontId="8" fillId="0" borderId="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right" vertical="top"/>
    </xf>
    <xf numFmtId="166" fontId="9" fillId="0" borderId="0" xfId="0" applyNumberFormat="1" applyFont="1" applyBorder="1"/>
    <xf numFmtId="166" fontId="0" fillId="0" borderId="0" xfId="0" applyNumberFormat="1" applyFont="1" applyBorder="1"/>
    <xf numFmtId="0" fontId="2" fillId="0" borderId="1" xfId="0" applyFont="1" applyBorder="1" applyAlignment="1">
      <alignment horizontal="center" vertical="top"/>
    </xf>
    <xf numFmtId="0" fontId="12" fillId="0" borderId="0" xfId="0" applyFont="1" applyBorder="1"/>
    <xf numFmtId="0" fontId="12" fillId="0" borderId="1" xfId="0" applyFont="1" applyBorder="1"/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2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0" fontId="12" fillId="0" borderId="0" xfId="0" applyFont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4" fillId="0" borderId="1" xfId="0" applyNumberFormat="1" applyFont="1" applyFill="1" applyBorder="1" applyAlignment="1">
      <alignment horizontal="right" vertical="top"/>
    </xf>
    <xf numFmtId="0" fontId="14" fillId="0" borderId="1" xfId="0" applyFont="1" applyBorder="1" applyAlignment="1">
      <alignment horizontal="center" vertical="top"/>
    </xf>
    <xf numFmtId="168" fontId="14" fillId="0" borderId="1" xfId="0" applyNumberFormat="1" applyFont="1" applyFill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right" vertical="top"/>
    </xf>
    <xf numFmtId="165" fontId="14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0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top" wrapText="1"/>
    </xf>
    <xf numFmtId="0" fontId="17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164" fontId="17" fillId="0" borderId="1" xfId="0" applyNumberFormat="1" applyFont="1" applyFill="1" applyBorder="1" applyAlignment="1">
      <alignment horizontal="right" vertical="top"/>
    </xf>
    <xf numFmtId="165" fontId="17" fillId="0" borderId="1" xfId="0" applyNumberFormat="1" applyFont="1" applyFill="1" applyBorder="1" applyAlignment="1">
      <alignment vertical="top"/>
    </xf>
    <xf numFmtId="0" fontId="12" fillId="0" borderId="1" xfId="0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/>
    </xf>
    <xf numFmtId="0" fontId="18" fillId="0" borderId="1" xfId="0" applyFont="1" applyBorder="1"/>
    <xf numFmtId="0" fontId="14" fillId="0" borderId="1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NumberFormat="1" applyFont="1" applyFill="1" applyBorder="1" applyAlignment="1">
      <alignment horizontal="center" vertical="top"/>
    </xf>
    <xf numFmtId="168" fontId="14" fillId="0" borderId="3" xfId="0" applyNumberFormat="1" applyFont="1" applyFill="1" applyBorder="1" applyAlignment="1">
      <alignment horizontal="center" vertical="top" wrapText="1"/>
    </xf>
    <xf numFmtId="164" fontId="14" fillId="0" borderId="3" xfId="0" applyNumberFormat="1" applyFont="1" applyFill="1" applyBorder="1" applyAlignment="1">
      <alignment horizontal="right" vertical="top"/>
    </xf>
    <xf numFmtId="165" fontId="14" fillId="0" borderId="3" xfId="0" applyNumberFormat="1" applyFont="1" applyFill="1" applyBorder="1" applyAlignment="1">
      <alignment vertical="top"/>
    </xf>
    <xf numFmtId="0" fontId="12" fillId="0" borderId="4" xfId="0" applyFont="1" applyBorder="1"/>
    <xf numFmtId="0" fontId="14" fillId="0" borderId="6" xfId="0" applyFont="1" applyFill="1" applyBorder="1" applyAlignment="1">
      <alignment horizontal="center" vertical="top" wrapText="1"/>
    </xf>
    <xf numFmtId="0" fontId="14" fillId="0" borderId="6" xfId="0" applyNumberFormat="1" applyFont="1" applyFill="1" applyBorder="1" applyAlignment="1">
      <alignment horizontal="center" vertical="top"/>
    </xf>
    <xf numFmtId="168" fontId="14" fillId="0" borderId="6" xfId="0" applyNumberFormat="1" applyFont="1" applyFill="1" applyBorder="1" applyAlignment="1">
      <alignment horizontal="center" vertical="top" wrapText="1"/>
    </xf>
    <xf numFmtId="164" fontId="14" fillId="0" borderId="6" xfId="0" applyNumberFormat="1" applyFont="1" applyFill="1" applyBorder="1" applyAlignment="1">
      <alignment horizontal="right" vertical="top"/>
    </xf>
    <xf numFmtId="165" fontId="14" fillId="0" borderId="6" xfId="0" applyNumberFormat="1" applyFont="1" applyFill="1" applyBorder="1" applyAlignment="1">
      <alignment vertical="top"/>
    </xf>
    <xf numFmtId="164" fontId="15" fillId="0" borderId="1" xfId="0" applyNumberFormat="1" applyFont="1" applyFill="1" applyBorder="1" applyAlignment="1">
      <alignment horizontal="right" vertical="top"/>
    </xf>
    <xf numFmtId="168" fontId="17" fillId="0" borderId="1" xfId="0" applyNumberFormat="1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164" fontId="19" fillId="0" borderId="1" xfId="0" applyNumberFormat="1" applyFont="1" applyBorder="1" applyAlignment="1">
      <alignment vertical="top"/>
    </xf>
    <xf numFmtId="2" fontId="13" fillId="0" borderId="1" xfId="0" applyNumberFormat="1" applyFont="1" applyBorder="1" applyAlignment="1">
      <alignment horizontal="center" vertical="top"/>
    </xf>
    <xf numFmtId="0" fontId="20" fillId="0" borderId="0" xfId="0" applyFont="1" applyAlignment="1">
      <alignment wrapText="1"/>
    </xf>
    <xf numFmtId="0" fontId="21" fillId="0" borderId="1" xfId="0" applyFont="1" applyBorder="1" applyAlignment="1">
      <alignment horizontal="right"/>
    </xf>
    <xf numFmtId="0" fontId="22" fillId="0" borderId="1" xfId="0" applyFont="1" applyFill="1" applyBorder="1" applyAlignment="1">
      <alignment horizontal="right" vertical="top"/>
    </xf>
    <xf numFmtId="169" fontId="0" fillId="0" borderId="0" xfId="0" applyNumberFormat="1" applyFont="1"/>
    <xf numFmtId="169" fontId="1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4" fillId="0" borderId="1" xfId="1" applyFont="1" applyBorder="1"/>
    <xf numFmtId="0" fontId="24" fillId="0" borderId="1" xfId="1" applyFont="1" applyBorder="1" applyAlignment="1">
      <alignment wrapText="1"/>
    </xf>
    <xf numFmtId="165" fontId="2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/>
    </xf>
    <xf numFmtId="168" fontId="1" fillId="0" borderId="3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right" vertical="top"/>
    </xf>
    <xf numFmtId="165" fontId="1" fillId="0" borderId="3" xfId="0" applyNumberFormat="1" applyFont="1" applyFill="1" applyBorder="1" applyAlignment="1">
      <alignment vertical="top"/>
    </xf>
    <xf numFmtId="0" fontId="24" fillId="0" borderId="1" xfId="1" applyFont="1" applyBorder="1" applyAlignment="1">
      <alignment wrapText="1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24" fillId="0" borderId="1" xfId="1" applyFont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0" fontId="0" fillId="0" borderId="3" xfId="0" applyFont="1" applyBorder="1"/>
    <xf numFmtId="0" fontId="23" fillId="0" borderId="3" xfId="0" applyFont="1" applyFill="1" applyBorder="1" applyAlignment="1">
      <alignment vertical="top" wrapText="1"/>
    </xf>
    <xf numFmtId="0" fontId="24" fillId="0" borderId="1" xfId="1" applyFont="1" applyBorder="1" applyAlignment="1">
      <alignment wrapText="1"/>
    </xf>
    <xf numFmtId="0" fontId="24" fillId="0" borderId="1" xfId="1" applyFont="1" applyBorder="1" applyAlignment="1">
      <alignment wrapText="1"/>
    </xf>
    <xf numFmtId="0" fontId="6" fillId="0" borderId="3" xfId="0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/>
    </xf>
    <xf numFmtId="168" fontId="6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25" fillId="0" borderId="1" xfId="0" applyNumberFormat="1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164" fontId="25" fillId="0" borderId="1" xfId="0" applyNumberFormat="1" applyFont="1" applyFill="1" applyBorder="1" applyAlignment="1">
      <alignment horizontal="right" vertical="top"/>
    </xf>
    <xf numFmtId="165" fontId="25" fillId="0" borderId="1" xfId="0" applyNumberFormat="1" applyFont="1" applyFill="1" applyBorder="1" applyAlignment="1">
      <alignment vertical="top"/>
    </xf>
    <xf numFmtId="165" fontId="27" fillId="0" borderId="1" xfId="0" applyNumberFormat="1" applyFont="1" applyFill="1" applyBorder="1" applyAlignment="1">
      <alignment vertical="top"/>
    </xf>
    <xf numFmtId="0" fontId="25" fillId="0" borderId="2" xfId="0" applyFont="1" applyFill="1" applyBorder="1" applyAlignment="1">
      <alignment horizontal="left" vertical="top"/>
    </xf>
    <xf numFmtId="0" fontId="25" fillId="0" borderId="2" xfId="0" applyFont="1" applyFill="1" applyBorder="1" applyAlignment="1">
      <alignment vertical="top" wrapText="1"/>
    </xf>
    <xf numFmtId="0" fontId="25" fillId="0" borderId="2" xfId="0" applyNumberFormat="1" applyFont="1" applyFill="1" applyBorder="1" applyAlignment="1">
      <alignment horizontal="center" vertical="top"/>
    </xf>
    <xf numFmtId="168" fontId="25" fillId="0" borderId="2" xfId="0" applyNumberFormat="1" applyFont="1" applyFill="1" applyBorder="1" applyAlignment="1">
      <alignment horizontal="center" vertical="top"/>
    </xf>
    <xf numFmtId="164" fontId="25" fillId="0" borderId="2" xfId="0" applyNumberFormat="1" applyFont="1" applyFill="1" applyBorder="1" applyAlignment="1">
      <alignment horizontal="right" vertical="top"/>
    </xf>
    <xf numFmtId="165" fontId="25" fillId="0" borderId="2" xfId="0" applyNumberFormat="1" applyFont="1" applyFill="1" applyBorder="1" applyAlignment="1">
      <alignment vertical="top"/>
    </xf>
    <xf numFmtId="0" fontId="5" fillId="0" borderId="0" xfId="0" applyFont="1"/>
    <xf numFmtId="164" fontId="3" fillId="0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Border="1" applyAlignment="1">
      <alignment horizontal="center" vertical="top"/>
    </xf>
    <xf numFmtId="0" fontId="25" fillId="0" borderId="2" xfId="0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vertical="top"/>
    </xf>
    <xf numFmtId="164" fontId="30" fillId="0" borderId="1" xfId="0" applyNumberFormat="1" applyFont="1" applyFill="1" applyBorder="1" applyAlignment="1">
      <alignment horizontal="right" vertical="top"/>
    </xf>
    <xf numFmtId="0" fontId="31" fillId="0" borderId="1" xfId="0" applyFont="1" applyBorder="1" applyAlignment="1">
      <alignment vertical="top" wrapText="1"/>
    </xf>
    <xf numFmtId="168" fontId="29" fillId="0" borderId="1" xfId="0" applyNumberFormat="1" applyFont="1" applyFill="1" applyBorder="1" applyAlignment="1">
      <alignment horizontal="right" vertical="top" wrapText="1"/>
    </xf>
    <xf numFmtId="165" fontId="26" fillId="0" borderId="1" xfId="1" applyNumberFormat="1" applyFont="1" applyBorder="1" applyAlignment="1">
      <alignment vertical="top" wrapText="1"/>
    </xf>
    <xf numFmtId="0" fontId="26" fillId="0" borderId="1" xfId="1" applyFont="1" applyBorder="1" applyAlignment="1">
      <alignment wrapText="1"/>
    </xf>
    <xf numFmtId="0" fontId="26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0" fillId="0" borderId="2" xfId="1" applyFont="1" applyFill="1" applyBorder="1" applyAlignment="1">
      <alignment wrapText="1"/>
    </xf>
    <xf numFmtId="0" fontId="0" fillId="0" borderId="0" xfId="0" applyFont="1" applyFill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center" vertical="top" wrapText="1"/>
    </xf>
    <xf numFmtId="165" fontId="0" fillId="0" borderId="1" xfId="1" applyNumberFormat="1" applyFont="1" applyBorder="1" applyAlignment="1">
      <alignment vertical="top" wrapText="1"/>
    </xf>
    <xf numFmtId="0" fontId="27" fillId="0" borderId="1" xfId="0" applyNumberFormat="1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164" fontId="27" fillId="0" borderId="1" xfId="0" applyNumberFormat="1" applyFont="1" applyFill="1" applyBorder="1" applyAlignment="1">
      <alignment horizontal="right" vertical="top"/>
    </xf>
    <xf numFmtId="165" fontId="23" fillId="0" borderId="1" xfId="0" applyNumberFormat="1" applyFont="1" applyFill="1" applyBorder="1" applyAlignment="1">
      <alignment vertical="top"/>
    </xf>
    <xf numFmtId="167" fontId="1" fillId="0" borderId="1" xfId="0" applyNumberFormat="1" applyFont="1" applyFill="1" applyBorder="1" applyAlignment="1">
      <alignment horizontal="center" vertical="top"/>
    </xf>
    <xf numFmtId="0" fontId="0" fillId="0" borderId="0" xfId="0" applyFont="1"/>
    <xf numFmtId="164" fontId="1" fillId="0" borderId="1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vertical="top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0" xfId="0"/>
    <xf numFmtId="164" fontId="0" fillId="0" borderId="1" xfId="0" applyNumberFormat="1" applyFont="1" applyBorder="1" applyAlignment="1">
      <alignment vertical="top"/>
    </xf>
    <xf numFmtId="168" fontId="1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/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right" vertical="top"/>
    </xf>
    <xf numFmtId="0" fontId="12" fillId="0" borderId="0" xfId="0" applyFont="1" applyBorder="1"/>
    <xf numFmtId="0" fontId="12" fillId="0" borderId="1" xfId="0" applyFont="1" applyBorder="1"/>
    <xf numFmtId="0" fontId="12" fillId="0" borderId="0" xfId="0" applyFont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4" fillId="0" borderId="1" xfId="0" applyNumberFormat="1" applyFont="1" applyFill="1" applyBorder="1" applyAlignment="1">
      <alignment horizontal="righ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/>
    </xf>
    <xf numFmtId="165" fontId="14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0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top" wrapText="1"/>
    </xf>
    <xf numFmtId="0" fontId="17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164" fontId="17" fillId="0" borderId="1" xfId="0" applyNumberFormat="1" applyFont="1" applyFill="1" applyBorder="1" applyAlignment="1">
      <alignment horizontal="right" vertical="top"/>
    </xf>
    <xf numFmtId="165" fontId="17" fillId="0" borderId="1" xfId="0" applyNumberFormat="1" applyFont="1" applyFill="1" applyBorder="1" applyAlignment="1">
      <alignment vertical="top"/>
    </xf>
    <xf numFmtId="0" fontId="12" fillId="0" borderId="1" xfId="0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/>
    </xf>
    <xf numFmtId="0" fontId="18" fillId="0" borderId="1" xfId="0" applyFont="1" applyBorder="1"/>
    <xf numFmtId="0" fontId="14" fillId="0" borderId="1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vertical="top" wrapText="1"/>
    </xf>
    <xf numFmtId="0" fontId="17" fillId="0" borderId="2" xfId="0" applyNumberFormat="1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top"/>
    </xf>
    <xf numFmtId="164" fontId="17" fillId="0" borderId="2" xfId="0" applyNumberFormat="1" applyFont="1" applyFill="1" applyBorder="1" applyAlignment="1">
      <alignment horizontal="right" vertical="top"/>
    </xf>
    <xf numFmtId="164" fontId="15" fillId="0" borderId="1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4" fillId="0" borderId="1" xfId="1" applyFont="1" applyBorder="1" applyAlignment="1">
      <alignment wrapText="1"/>
    </xf>
    <xf numFmtId="165" fontId="2" fillId="0" borderId="1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>
      <alignment horizontal="center" vertical="top"/>
    </xf>
    <xf numFmtId="0" fontId="0" fillId="0" borderId="4" xfId="0" applyFont="1" applyBorder="1"/>
    <xf numFmtId="0" fontId="6" fillId="0" borderId="3" xfId="0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/>
    </xf>
    <xf numFmtId="168" fontId="6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25" fillId="0" borderId="1" xfId="0" applyNumberFormat="1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164" fontId="25" fillId="0" borderId="1" xfId="0" applyNumberFormat="1" applyFont="1" applyFill="1" applyBorder="1" applyAlignment="1">
      <alignment horizontal="right" vertical="top"/>
    </xf>
    <xf numFmtId="165" fontId="25" fillId="0" borderId="1" xfId="0" applyNumberFormat="1" applyFont="1" applyFill="1" applyBorder="1" applyAlignment="1">
      <alignment vertical="top"/>
    </xf>
    <xf numFmtId="165" fontId="27" fillId="0" borderId="1" xfId="0" applyNumberFormat="1" applyFont="1" applyFill="1" applyBorder="1" applyAlignment="1">
      <alignment vertical="top"/>
    </xf>
    <xf numFmtId="0" fontId="25" fillId="0" borderId="2" xfId="0" applyFont="1" applyFill="1" applyBorder="1" applyAlignment="1">
      <alignment horizontal="left" vertical="top"/>
    </xf>
    <xf numFmtId="0" fontId="25" fillId="0" borderId="2" xfId="0" applyFont="1" applyFill="1" applyBorder="1" applyAlignment="1">
      <alignment vertical="top" wrapText="1"/>
    </xf>
    <xf numFmtId="0" fontId="25" fillId="0" borderId="2" xfId="0" applyNumberFormat="1" applyFont="1" applyFill="1" applyBorder="1" applyAlignment="1">
      <alignment horizontal="center" vertical="top"/>
    </xf>
    <xf numFmtId="168" fontId="25" fillId="0" borderId="2" xfId="0" applyNumberFormat="1" applyFont="1" applyFill="1" applyBorder="1" applyAlignment="1">
      <alignment horizontal="center" vertical="top"/>
    </xf>
    <xf numFmtId="164" fontId="25" fillId="0" borderId="2" xfId="0" applyNumberFormat="1" applyFont="1" applyFill="1" applyBorder="1" applyAlignment="1">
      <alignment horizontal="right" vertical="top"/>
    </xf>
    <xf numFmtId="165" fontId="25" fillId="0" borderId="2" xfId="0" applyNumberFormat="1" applyFont="1" applyFill="1" applyBorder="1" applyAlignment="1">
      <alignment vertical="top"/>
    </xf>
    <xf numFmtId="0" fontId="5" fillId="0" borderId="0" xfId="0" applyFont="1"/>
    <xf numFmtId="164" fontId="3" fillId="0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Border="1" applyAlignment="1">
      <alignment horizontal="center" vertical="top"/>
    </xf>
    <xf numFmtId="0" fontId="25" fillId="0" borderId="2" xfId="0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vertical="top"/>
    </xf>
    <xf numFmtId="164" fontId="30" fillId="0" borderId="1" xfId="0" applyNumberFormat="1" applyFont="1" applyFill="1" applyBorder="1" applyAlignment="1">
      <alignment horizontal="right" vertical="top"/>
    </xf>
    <xf numFmtId="0" fontId="12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wrapText="1"/>
    </xf>
    <xf numFmtId="165" fontId="12" fillId="0" borderId="1" xfId="1" applyNumberFormat="1" applyFont="1" applyBorder="1" applyAlignment="1">
      <alignment vertical="top" wrapText="1"/>
    </xf>
    <xf numFmtId="0" fontId="0" fillId="0" borderId="2" xfId="1" applyFont="1" applyBorder="1" applyAlignment="1">
      <alignment wrapText="1"/>
    </xf>
    <xf numFmtId="165" fontId="0" fillId="0" borderId="1" xfId="1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wrapText="1"/>
    </xf>
    <xf numFmtId="165" fontId="17" fillId="0" borderId="2" xfId="0" applyNumberFormat="1" applyFont="1" applyFill="1" applyBorder="1" applyAlignment="1">
      <alignment vertical="top"/>
    </xf>
    <xf numFmtId="165" fontId="1" fillId="0" borderId="2" xfId="0" applyNumberFormat="1" applyFont="1" applyFill="1" applyBorder="1" applyAlignment="1">
      <alignment vertical="top"/>
    </xf>
    <xf numFmtId="165" fontId="25" fillId="0" borderId="0" xfId="0" applyNumberFormat="1" applyFont="1" applyFill="1" applyBorder="1" applyAlignment="1">
      <alignment vertical="top"/>
    </xf>
    <xf numFmtId="164" fontId="23" fillId="0" borderId="1" xfId="0" applyNumberFormat="1" applyFont="1" applyFill="1" applyBorder="1" applyAlignment="1">
      <alignment horizontal="right" vertical="top"/>
    </xf>
    <xf numFmtId="0" fontId="33" fillId="0" borderId="1" xfId="0" applyFont="1" applyBorder="1"/>
    <xf numFmtId="4" fontId="13" fillId="0" borderId="0" xfId="0" applyNumberFormat="1" applyFont="1" applyBorder="1" applyAlignment="1">
      <alignment horizontal="left" vertical="top"/>
    </xf>
    <xf numFmtId="1" fontId="12" fillId="0" borderId="0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left" vertical="top"/>
    </xf>
    <xf numFmtId="0" fontId="24" fillId="0" borderId="6" xfId="1" applyFont="1" applyFill="1" applyBorder="1" applyAlignment="1">
      <alignment wrapText="1"/>
    </xf>
    <xf numFmtId="0" fontId="31" fillId="0" borderId="0" xfId="0" applyFont="1"/>
    <xf numFmtId="170" fontId="1" fillId="0" borderId="1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/>
    </xf>
    <xf numFmtId="164" fontId="31" fillId="0" borderId="1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horizontal="center" vertical="top"/>
    </xf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right"/>
    </xf>
    <xf numFmtId="0" fontId="5" fillId="0" borderId="0" xfId="0" applyFont="1" applyBorder="1"/>
    <xf numFmtId="0" fontId="36" fillId="0" borderId="1" xfId="0" applyFont="1" applyBorder="1"/>
    <xf numFmtId="0" fontId="36" fillId="0" borderId="0" xfId="0" applyFont="1"/>
    <xf numFmtId="0" fontId="36" fillId="0" borderId="0" xfId="0" applyFont="1" applyBorder="1"/>
    <xf numFmtId="0" fontId="37" fillId="0" borderId="1" xfId="0" applyFont="1" applyBorder="1"/>
    <xf numFmtId="0" fontId="37" fillId="0" borderId="1" xfId="0" applyFont="1" applyBorder="1" applyAlignment="1">
      <alignment wrapText="1"/>
    </xf>
    <xf numFmtId="0" fontId="37" fillId="0" borderId="0" xfId="0" applyFont="1"/>
    <xf numFmtId="0" fontId="38" fillId="0" borderId="1" xfId="0" applyFont="1" applyBorder="1" applyAlignment="1">
      <alignment horizontal="center" vertical="top"/>
    </xf>
    <xf numFmtId="1" fontId="38" fillId="0" borderId="1" xfId="0" applyNumberFormat="1" applyFont="1" applyFill="1" applyBorder="1" applyAlignment="1">
      <alignment horizontal="center" vertical="top"/>
    </xf>
    <xf numFmtId="164" fontId="38" fillId="0" borderId="1" xfId="0" applyNumberFormat="1" applyFont="1" applyFill="1" applyBorder="1" applyAlignment="1">
      <alignment horizontal="right" vertical="top"/>
    </xf>
    <xf numFmtId="164" fontId="40" fillId="0" borderId="1" xfId="0" applyNumberFormat="1" applyFont="1" applyFill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0" fontId="42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3" fillId="0" borderId="0" xfId="0" applyFo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14" xfId="0" applyBorder="1"/>
    <xf numFmtId="0" fontId="5" fillId="0" borderId="14" xfId="0" applyFont="1" applyBorder="1"/>
    <xf numFmtId="0" fontId="0" fillId="0" borderId="1" xfId="0" applyFont="1" applyBorder="1" applyAlignment="1">
      <alignment horizontal="center"/>
    </xf>
    <xf numFmtId="0" fontId="14" fillId="0" borderId="2" xfId="0" applyFont="1" applyFill="1" applyBorder="1" applyAlignment="1">
      <alignment vertical="top" wrapText="1"/>
    </xf>
    <xf numFmtId="165" fontId="23" fillId="0" borderId="2" xfId="0" applyNumberFormat="1" applyFont="1" applyFill="1" applyBorder="1" applyAlignment="1">
      <alignment vertical="top"/>
    </xf>
    <xf numFmtId="168" fontId="0" fillId="0" borderId="0" xfId="0" applyNumberFormat="1" applyFont="1"/>
    <xf numFmtId="4" fontId="36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4" fontId="12" fillId="0" borderId="1" xfId="0" applyNumberFormat="1" applyFont="1" applyBorder="1"/>
    <xf numFmtId="4" fontId="5" fillId="0" borderId="1" xfId="0" applyNumberFormat="1" applyFont="1" applyBorder="1"/>
    <xf numFmtId="4" fontId="0" fillId="0" borderId="1" xfId="0" applyNumberFormat="1" applyFont="1" applyBorder="1"/>
    <xf numFmtId="4" fontId="4" fillId="0" borderId="1" xfId="0" applyNumberFormat="1" applyFont="1" applyBorder="1"/>
    <xf numFmtId="4" fontId="0" fillId="0" borderId="1" xfId="0" applyNumberForma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" fontId="0" fillId="0" borderId="0" xfId="0" applyNumberFormat="1"/>
    <xf numFmtId="4" fontId="0" fillId="0" borderId="0" xfId="0" applyNumberFormat="1" applyFont="1"/>
    <xf numFmtId="171" fontId="0" fillId="0" borderId="0" xfId="0" applyNumberFormat="1" applyFont="1"/>
    <xf numFmtId="0" fontId="44" fillId="0" borderId="1" xfId="0" applyFont="1" applyBorder="1" applyAlignment="1">
      <alignment horizontal="center" vertical="top"/>
    </xf>
    <xf numFmtId="0" fontId="44" fillId="0" borderId="1" xfId="0" applyFont="1" applyBorder="1" applyAlignment="1">
      <alignment wrapText="1"/>
    </xf>
    <xf numFmtId="0" fontId="45" fillId="0" borderId="1" xfId="0" applyFont="1" applyBorder="1" applyAlignment="1">
      <alignment horizontal="center" vertical="top"/>
    </xf>
    <xf numFmtId="164" fontId="45" fillId="0" borderId="1" xfId="0" applyNumberFormat="1" applyFont="1" applyFill="1" applyBorder="1" applyAlignment="1">
      <alignment horizontal="right" vertical="top"/>
    </xf>
    <xf numFmtId="0" fontId="44" fillId="0" borderId="1" xfId="0" applyFont="1" applyBorder="1" applyAlignment="1">
      <alignment horizontal="center"/>
    </xf>
    <xf numFmtId="0" fontId="44" fillId="0" borderId="1" xfId="0" applyFont="1" applyBorder="1"/>
    <xf numFmtId="4" fontId="44" fillId="0" borderId="1" xfId="0" applyNumberFormat="1" applyFont="1" applyBorder="1" applyAlignment="1">
      <alignment horizontal="right"/>
    </xf>
    <xf numFmtId="0" fontId="40" fillId="0" borderId="1" xfId="0" applyFont="1" applyFill="1" applyBorder="1" applyAlignment="1">
      <alignment horizontal="left" vertical="top"/>
    </xf>
    <xf numFmtId="164" fontId="46" fillId="0" borderId="1" xfId="0" applyNumberFormat="1" applyFont="1" applyFill="1" applyBorder="1" applyAlignment="1">
      <alignment horizontal="right" vertical="top"/>
    </xf>
    <xf numFmtId="0" fontId="45" fillId="0" borderId="1" xfId="0" applyFont="1" applyFill="1" applyBorder="1" applyAlignment="1">
      <alignment vertical="top" wrapText="1"/>
    </xf>
    <xf numFmtId="0" fontId="40" fillId="0" borderId="1" xfId="0" applyNumberFormat="1" applyFont="1" applyFill="1" applyBorder="1" applyAlignment="1">
      <alignment horizontal="center" vertical="top"/>
    </xf>
    <xf numFmtId="0" fontId="40" fillId="0" borderId="1" xfId="0" applyFont="1" applyFill="1" applyBorder="1" applyAlignment="1">
      <alignment horizontal="center" vertical="top"/>
    </xf>
    <xf numFmtId="0" fontId="42" fillId="0" borderId="0" xfId="0" applyFont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</cellXfs>
  <cellStyles count="4">
    <cellStyle name="Normální" xfId="0" builtinId="0"/>
    <cellStyle name="Normální 2" xfId="2"/>
    <cellStyle name="Normální 3" xfId="1"/>
    <cellStyle name="Normální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view="pageLayout" zoomScaleNormal="100" workbookViewId="0">
      <selection activeCell="H18" sqref="H18"/>
    </sheetView>
  </sheetViews>
  <sheetFormatPr defaultRowHeight="13.2" x14ac:dyDescent="0.25"/>
  <cols>
    <col min="2" max="2" width="20.5546875" bestFit="1" customWidth="1"/>
    <col min="3" max="3" width="33.44140625" customWidth="1"/>
    <col min="4" max="7" width="14.6640625" bestFit="1" customWidth="1"/>
    <col min="10" max="10" width="12" bestFit="1" customWidth="1"/>
  </cols>
  <sheetData>
    <row r="1" spans="1:10" s="3" customFormat="1" x14ac:dyDescent="0.25"/>
    <row r="2" spans="1:10" s="3" customFormat="1" x14ac:dyDescent="0.25">
      <c r="A2" s="8"/>
      <c r="B2" s="9"/>
      <c r="C2" s="9"/>
      <c r="D2" s="9"/>
      <c r="E2" s="9"/>
      <c r="F2" s="9"/>
      <c r="G2" s="9"/>
      <c r="H2" s="10"/>
    </row>
    <row r="3" spans="1:10" s="3" customFormat="1" ht="13.8" x14ac:dyDescent="0.25">
      <c r="A3" s="11"/>
      <c r="B3" s="12"/>
      <c r="C3" s="13" t="s">
        <v>371</v>
      </c>
      <c r="D3" s="12"/>
      <c r="E3" s="12"/>
      <c r="F3" s="12"/>
      <c r="G3" s="12"/>
      <c r="H3" s="14"/>
    </row>
    <row r="4" spans="1:10" x14ac:dyDescent="0.25">
      <c r="A4" s="11"/>
      <c r="B4" s="12"/>
      <c r="C4" s="12"/>
      <c r="D4" s="12"/>
      <c r="E4" s="12"/>
      <c r="F4" s="12"/>
      <c r="G4" s="12"/>
      <c r="H4" s="14"/>
    </row>
    <row r="5" spans="1:10" x14ac:dyDescent="0.25">
      <c r="A5" s="11"/>
      <c r="B5" s="5" t="s">
        <v>72</v>
      </c>
      <c r="C5" s="323" t="s">
        <v>81</v>
      </c>
      <c r="D5" s="323"/>
      <c r="E5" s="323"/>
      <c r="F5" s="323"/>
      <c r="G5" s="323"/>
      <c r="H5" s="14"/>
    </row>
    <row r="6" spans="1:10" ht="12.75" customHeight="1" x14ac:dyDescent="0.25">
      <c r="A6" s="11"/>
      <c r="B6" s="12"/>
      <c r="C6" s="12"/>
      <c r="D6" s="12"/>
      <c r="E6" s="12"/>
      <c r="F6" s="12"/>
      <c r="G6" s="12"/>
      <c r="H6" s="14"/>
    </row>
    <row r="7" spans="1:10" x14ac:dyDescent="0.25">
      <c r="A7" s="11"/>
      <c r="B7" s="5" t="s">
        <v>67</v>
      </c>
      <c r="C7" s="323" t="s">
        <v>82</v>
      </c>
      <c r="D7" s="323"/>
      <c r="E7" s="323"/>
      <c r="F7" s="323"/>
      <c r="G7" s="323"/>
      <c r="H7" s="14"/>
    </row>
    <row r="8" spans="1:10" x14ac:dyDescent="0.25">
      <c r="A8" s="11"/>
      <c r="B8" s="12"/>
      <c r="C8" s="12"/>
      <c r="D8" s="12"/>
      <c r="E8" s="12"/>
      <c r="F8" s="12"/>
      <c r="G8" s="12"/>
      <c r="H8" s="14"/>
    </row>
    <row r="9" spans="1:10" x14ac:dyDescent="0.25">
      <c r="A9" s="11"/>
      <c r="B9" s="6" t="s">
        <v>68</v>
      </c>
      <c r="C9" s="324" t="s">
        <v>69</v>
      </c>
      <c r="D9" s="324"/>
      <c r="E9" s="324"/>
      <c r="F9" s="324"/>
      <c r="G9" s="324"/>
      <c r="H9" s="14"/>
    </row>
    <row r="10" spans="1:10" s="163" customFormat="1" x14ac:dyDescent="0.25">
      <c r="A10" s="11"/>
      <c r="B10" s="289"/>
      <c r="C10" s="290"/>
      <c r="D10" s="290"/>
      <c r="E10" s="290"/>
      <c r="F10" s="290"/>
      <c r="G10" s="290"/>
      <c r="H10" s="14"/>
      <c r="J10" s="307"/>
    </row>
    <row r="11" spans="1:10" s="163" customFormat="1" x14ac:dyDescent="0.25">
      <c r="A11" s="11"/>
      <c r="B11" s="292" t="s">
        <v>362</v>
      </c>
      <c r="C11" s="5"/>
      <c r="D11" s="5"/>
      <c r="E11" s="5" t="s">
        <v>70</v>
      </c>
      <c r="F11" s="5" t="s">
        <v>71</v>
      </c>
      <c r="G11" s="5"/>
      <c r="H11" s="14"/>
      <c r="J11" s="307"/>
    </row>
    <row r="12" spans="1:10" s="163" customFormat="1" x14ac:dyDescent="0.25">
      <c r="A12" s="11"/>
      <c r="B12" s="291" t="s">
        <v>367</v>
      </c>
      <c r="C12" s="5"/>
      <c r="D12" s="5"/>
      <c r="E12" s="305">
        <f>'Způsobilé výdaje'!F236</f>
        <v>0</v>
      </c>
      <c r="F12" s="305">
        <f>E12*1.21</f>
        <v>0</v>
      </c>
      <c r="G12" s="5"/>
      <c r="H12" s="14"/>
      <c r="J12" s="307"/>
    </row>
    <row r="13" spans="1:10" s="163" customFormat="1" x14ac:dyDescent="0.25">
      <c r="A13" s="11"/>
      <c r="B13" s="291" t="s">
        <v>368</v>
      </c>
      <c r="C13" s="5"/>
      <c r="D13" s="5"/>
      <c r="E13" s="305">
        <f>E12*0.03</f>
        <v>0</v>
      </c>
      <c r="F13" s="305">
        <f>E13*1.21</f>
        <v>0</v>
      </c>
      <c r="G13" s="282"/>
      <c r="H13" s="14"/>
      <c r="J13" s="307"/>
    </row>
    <row r="14" spans="1:10" s="163" customFormat="1" x14ac:dyDescent="0.25">
      <c r="A14" s="11"/>
      <c r="B14" s="292" t="s">
        <v>369</v>
      </c>
      <c r="C14" s="5"/>
      <c r="D14" s="5"/>
      <c r="E14" s="306">
        <f>SUM(E12:E13)</f>
        <v>0</v>
      </c>
      <c r="F14" s="305">
        <f>E14*1.21</f>
        <v>0</v>
      </c>
      <c r="G14" s="282"/>
      <c r="H14" s="14"/>
      <c r="J14" s="307"/>
    </row>
    <row r="15" spans="1:10" s="163" customFormat="1" x14ac:dyDescent="0.25">
      <c r="A15" s="11"/>
      <c r="B15" s="289"/>
      <c r="C15" s="290"/>
      <c r="D15" s="290"/>
      <c r="E15" s="290"/>
      <c r="F15" s="290"/>
      <c r="G15" s="290"/>
      <c r="H15" s="14"/>
      <c r="J15" s="307"/>
    </row>
    <row r="16" spans="1:10" s="163" customFormat="1" x14ac:dyDescent="0.25">
      <c r="A16" s="11"/>
      <c r="B16" s="289"/>
      <c r="C16" s="290"/>
      <c r="D16" s="290"/>
      <c r="E16" s="290"/>
      <c r="F16" s="290"/>
      <c r="G16" s="290"/>
      <c r="H16" s="14"/>
      <c r="J16" s="307"/>
    </row>
    <row r="17" spans="1:8" s="163" customFormat="1" x14ac:dyDescent="0.25">
      <c r="A17" s="11"/>
      <c r="B17" s="292" t="s">
        <v>363</v>
      </c>
      <c r="C17" s="5"/>
      <c r="D17" s="5"/>
      <c r="E17" s="5" t="s">
        <v>70</v>
      </c>
      <c r="F17" s="5" t="s">
        <v>71</v>
      </c>
      <c r="G17" s="5"/>
      <c r="H17" s="14"/>
    </row>
    <row r="18" spans="1:8" s="163" customFormat="1" x14ac:dyDescent="0.25">
      <c r="A18" s="11"/>
      <c r="B18" s="291" t="s">
        <v>370</v>
      </c>
      <c r="C18" s="5"/>
      <c r="D18" s="5"/>
      <c r="E18" s="305">
        <f>'Nezpůsobilé výdaje'!F186</f>
        <v>0</v>
      </c>
      <c r="F18" s="305">
        <f>(E18*1.21)</f>
        <v>0</v>
      </c>
      <c r="G18" s="5"/>
      <c r="H18" s="14"/>
    </row>
    <row r="19" spans="1:8" ht="12.75" customHeight="1" x14ac:dyDescent="0.25">
      <c r="A19" s="11"/>
      <c r="B19" s="291" t="s">
        <v>368</v>
      </c>
      <c r="C19" s="5"/>
      <c r="D19" s="5"/>
      <c r="E19" s="305">
        <f>E18*0.03</f>
        <v>0</v>
      </c>
      <c r="F19" s="305">
        <f>E19*1.21</f>
        <v>0</v>
      </c>
      <c r="G19" s="282"/>
      <c r="H19" s="14"/>
    </row>
    <row r="20" spans="1:8" x14ac:dyDescent="0.25">
      <c r="A20" s="11"/>
      <c r="B20" s="292" t="s">
        <v>369</v>
      </c>
      <c r="C20" s="5"/>
      <c r="D20" s="5"/>
      <c r="E20" s="306">
        <f>SUM(E18:E19)</f>
        <v>0</v>
      </c>
      <c r="F20" s="305">
        <f>F18+F19</f>
        <v>0</v>
      </c>
      <c r="G20" s="282"/>
      <c r="H20" s="14"/>
    </row>
    <row r="21" spans="1:8" x14ac:dyDescent="0.25">
      <c r="A21" s="11"/>
      <c r="B21" s="12"/>
      <c r="C21" s="12"/>
      <c r="D21" s="12"/>
      <c r="E21" s="12"/>
      <c r="F21" s="12"/>
      <c r="G21" s="12"/>
      <c r="H21" s="14"/>
    </row>
    <row r="22" spans="1:8" x14ac:dyDescent="0.25">
      <c r="A22" s="15"/>
      <c r="B22" s="7"/>
      <c r="C22" s="7"/>
      <c r="D22" s="7"/>
      <c r="E22" s="7"/>
      <c r="F22" s="7"/>
      <c r="G22" s="7"/>
      <c r="H22" s="16"/>
    </row>
    <row r="23" spans="1:8" s="163" customFormat="1" x14ac:dyDescent="0.25">
      <c r="A23" s="15"/>
      <c r="B23" s="7"/>
      <c r="C23" s="7"/>
      <c r="D23" s="7"/>
      <c r="E23" s="7"/>
      <c r="F23" s="7"/>
      <c r="G23" s="7"/>
      <c r="H23" s="16"/>
    </row>
    <row r="24" spans="1:8" s="277" customFormat="1" ht="39.6" x14ac:dyDescent="0.25">
      <c r="A24" s="275"/>
      <c r="B24" s="275"/>
      <c r="C24" s="275"/>
      <c r="D24" s="275"/>
      <c r="E24" s="276" t="s">
        <v>310</v>
      </c>
      <c r="F24" s="276" t="s">
        <v>311</v>
      </c>
      <c r="G24" s="275"/>
      <c r="H24" s="275"/>
    </row>
    <row r="25" spans="1:8" s="277" customFormat="1" ht="26.4" x14ac:dyDescent="0.25">
      <c r="A25" s="275"/>
      <c r="B25" s="276" t="s">
        <v>309</v>
      </c>
      <c r="C25" s="278" t="s">
        <v>354</v>
      </c>
      <c r="D25" s="279">
        <v>11560</v>
      </c>
      <c r="E25" s="280">
        <v>0</v>
      </c>
      <c r="F25" s="281">
        <f>D25*E25</f>
        <v>0</v>
      </c>
      <c r="G25" s="275"/>
      <c r="H25" s="275"/>
    </row>
    <row r="27" spans="1:8" s="242" customFormat="1" x14ac:dyDescent="0.25"/>
    <row r="28" spans="1:8" x14ac:dyDescent="0.25">
      <c r="B28" s="288"/>
    </row>
    <row r="29" spans="1:8" ht="15.75" customHeight="1" x14ac:dyDescent="0.25">
      <c r="B29" s="322"/>
      <c r="C29" s="322"/>
      <c r="D29" s="322"/>
    </row>
    <row r="30" spans="1:8" ht="15" x14ac:dyDescent="0.25">
      <c r="B30" s="284"/>
      <c r="C30" s="284"/>
      <c r="D30" s="284"/>
    </row>
    <row r="31" spans="1:8" ht="15.6" x14ac:dyDescent="0.25">
      <c r="B31" s="285"/>
      <c r="C31" s="285"/>
      <c r="D31" s="285"/>
    </row>
    <row r="32" spans="1:8" ht="15.6" x14ac:dyDescent="0.25">
      <c r="B32" s="285"/>
      <c r="C32" s="283"/>
      <c r="D32" s="283"/>
    </row>
    <row r="33" spans="2:4" ht="15.6" x14ac:dyDescent="0.25">
      <c r="B33" s="285"/>
      <c r="C33" s="283"/>
      <c r="D33" s="286"/>
    </row>
    <row r="34" spans="2:4" ht="15.6" x14ac:dyDescent="0.25">
      <c r="B34" s="285"/>
      <c r="C34" s="283"/>
      <c r="D34" s="286"/>
    </row>
    <row r="35" spans="2:4" ht="15.6" x14ac:dyDescent="0.25">
      <c r="B35" s="285"/>
      <c r="C35" s="283"/>
      <c r="D35" s="286"/>
    </row>
    <row r="36" spans="2:4" ht="15" x14ac:dyDescent="0.25">
      <c r="B36" s="284"/>
      <c r="C36" s="284"/>
      <c r="D36" s="284"/>
    </row>
    <row r="37" spans="2:4" ht="15.6" x14ac:dyDescent="0.25">
      <c r="B37" s="285"/>
      <c r="C37" s="283"/>
      <c r="D37" s="286"/>
    </row>
    <row r="38" spans="2:4" ht="15" x14ac:dyDescent="0.25">
      <c r="B38" s="284"/>
      <c r="C38" s="284"/>
      <c r="D38" s="284"/>
    </row>
    <row r="39" spans="2:4" ht="15.6" x14ac:dyDescent="0.25">
      <c r="B39" s="285"/>
      <c r="C39" s="283"/>
      <c r="D39" s="286"/>
    </row>
    <row r="40" spans="2:4" ht="15.6" x14ac:dyDescent="0.25">
      <c r="B40" s="285"/>
      <c r="C40" s="283"/>
      <c r="D40" s="286"/>
    </row>
    <row r="41" spans="2:4" ht="15.6" x14ac:dyDescent="0.25">
      <c r="B41" s="285"/>
      <c r="C41" s="283"/>
      <c r="D41" s="286"/>
    </row>
    <row r="42" spans="2:4" ht="15.6" x14ac:dyDescent="0.25">
      <c r="B42" s="285"/>
      <c r="C42" s="283"/>
      <c r="D42" s="286"/>
    </row>
    <row r="43" spans="2:4" ht="15" x14ac:dyDescent="0.25">
      <c r="B43" s="284"/>
      <c r="C43" s="284"/>
      <c r="D43" s="287"/>
    </row>
    <row r="44" spans="2:4" ht="15.6" x14ac:dyDescent="0.25">
      <c r="B44" s="285"/>
      <c r="C44" s="283"/>
      <c r="D44" s="286"/>
    </row>
    <row r="45" spans="2:4" ht="15.6" x14ac:dyDescent="0.25">
      <c r="B45" s="285"/>
      <c r="C45" s="283"/>
      <c r="D45" s="286"/>
    </row>
    <row r="46" spans="2:4" ht="15.6" x14ac:dyDescent="0.25">
      <c r="B46" s="285"/>
      <c r="C46" s="283"/>
      <c r="D46" s="286"/>
    </row>
  </sheetData>
  <mergeCells count="4">
    <mergeCell ref="B29:D29"/>
    <mergeCell ref="C5:G5"/>
    <mergeCell ref="C7:G7"/>
    <mergeCell ref="C9:G9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&amp;CPříloha č. 5 - Soupis stavebních prací, dodávek a služeb s výkazem výměr - VZD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65"/>
  <sheetViews>
    <sheetView topLeftCell="A175" zoomScale="98" zoomScaleNormal="98" zoomScaleSheetLayoutView="100" workbookViewId="0">
      <selection activeCell="B212" sqref="B212"/>
    </sheetView>
  </sheetViews>
  <sheetFormatPr defaultRowHeight="13.2" x14ac:dyDescent="0.25"/>
  <cols>
    <col min="1" max="1" width="11.109375" bestFit="1" customWidth="1"/>
    <col min="2" max="2" width="45.5546875" customWidth="1"/>
    <col min="4" max="4" width="15" customWidth="1"/>
    <col min="5" max="5" width="12.33203125" bestFit="1" customWidth="1"/>
    <col min="6" max="6" width="19.5546875" bestFit="1" customWidth="1"/>
    <col min="7" max="7" width="10.88671875" bestFit="1" customWidth="1"/>
    <col min="8" max="8" width="10.33203125" bestFit="1" customWidth="1"/>
    <col min="10" max="10" width="12" bestFit="1" customWidth="1"/>
  </cols>
  <sheetData>
    <row r="1" spans="1:58" s="4" customFormat="1" ht="17.399999999999999" x14ac:dyDescent="0.25">
      <c r="B1" s="17" t="s">
        <v>373</v>
      </c>
    </row>
    <row r="2" spans="1:58" s="4" customFormat="1" x14ac:dyDescent="0.25"/>
    <row r="3" spans="1:58" s="42" customFormat="1" x14ac:dyDescent="0.25">
      <c r="A3" s="325" t="s">
        <v>0</v>
      </c>
      <c r="B3" s="325"/>
      <c r="C3" s="325"/>
      <c r="D3" s="40" t="s">
        <v>3</v>
      </c>
      <c r="E3" s="29" t="s">
        <v>4</v>
      </c>
      <c r="F3" s="29" t="s">
        <v>5</v>
      </c>
      <c r="G3" s="29" t="s">
        <v>20</v>
      </c>
      <c r="H3" s="29" t="s">
        <v>6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</row>
    <row r="4" spans="1:58" s="47" customFormat="1" x14ac:dyDescent="0.25">
      <c r="A4" s="30" t="s">
        <v>7</v>
      </c>
      <c r="B4" s="31" t="s">
        <v>8</v>
      </c>
      <c r="C4" s="32" t="s">
        <v>9</v>
      </c>
      <c r="D4" s="30" t="s">
        <v>9</v>
      </c>
      <c r="E4" s="33" t="s">
        <v>10</v>
      </c>
      <c r="F4" s="33" t="s">
        <v>10</v>
      </c>
      <c r="G4" s="33" t="s">
        <v>2</v>
      </c>
      <c r="H4" s="33" t="s">
        <v>2</v>
      </c>
    </row>
    <row r="5" spans="1:58" s="47" customFormat="1" ht="15.6" x14ac:dyDescent="0.25">
      <c r="A5" s="26"/>
      <c r="B5" s="27" t="s">
        <v>33</v>
      </c>
      <c r="C5" s="26"/>
      <c r="D5" s="1"/>
      <c r="E5" s="1"/>
      <c r="F5" s="23"/>
      <c r="G5" s="1"/>
      <c r="H5" s="20"/>
    </row>
    <row r="6" spans="1:58" s="47" customFormat="1" ht="15.6" x14ac:dyDescent="0.25">
      <c r="A6" s="26" t="s">
        <v>14</v>
      </c>
      <c r="B6" s="27"/>
      <c r="C6" s="26"/>
      <c r="D6" s="1"/>
      <c r="E6" s="1"/>
      <c r="F6" s="23"/>
      <c r="G6" s="1"/>
      <c r="H6" s="20"/>
    </row>
    <row r="7" spans="1:58" s="47" customFormat="1" ht="52.8" x14ac:dyDescent="0.25">
      <c r="A7" s="35" t="s">
        <v>86</v>
      </c>
      <c r="B7" s="36" t="s">
        <v>83</v>
      </c>
      <c r="C7" s="35" t="s">
        <v>1</v>
      </c>
      <c r="D7" s="2">
        <v>1491</v>
      </c>
      <c r="E7" s="37">
        <v>0</v>
      </c>
      <c r="F7" s="23">
        <f t="shared" ref="F7:F21" si="0">D7*E7</f>
        <v>0</v>
      </c>
      <c r="G7" s="24">
        <v>0</v>
      </c>
      <c r="H7" s="24">
        <f t="shared" ref="H7:H21" si="1">D7*G7</f>
        <v>0</v>
      </c>
    </row>
    <row r="8" spans="1:58" s="47" customFormat="1" ht="39.6" x14ac:dyDescent="0.25">
      <c r="A8" s="35" t="s">
        <v>87</v>
      </c>
      <c r="B8" s="36" t="s">
        <v>85</v>
      </c>
      <c r="C8" s="35" t="s">
        <v>1</v>
      </c>
      <c r="D8" s="2">
        <v>26</v>
      </c>
      <c r="E8" s="183">
        <v>0</v>
      </c>
      <c r="F8" s="23">
        <f t="shared" si="0"/>
        <v>0</v>
      </c>
      <c r="G8" s="24">
        <v>0</v>
      </c>
      <c r="H8" s="24">
        <f t="shared" si="1"/>
        <v>0</v>
      </c>
    </row>
    <row r="9" spans="1:58" s="19" customFormat="1" ht="39.6" x14ac:dyDescent="0.25">
      <c r="A9" s="35" t="s">
        <v>88</v>
      </c>
      <c r="B9" s="36" t="s">
        <v>89</v>
      </c>
      <c r="C9" s="35" t="s">
        <v>1</v>
      </c>
      <c r="D9" s="2">
        <f>10+41</f>
        <v>51</v>
      </c>
      <c r="E9" s="183">
        <v>0</v>
      </c>
      <c r="F9" s="23">
        <f t="shared" si="0"/>
        <v>0</v>
      </c>
      <c r="G9" s="24">
        <v>0</v>
      </c>
      <c r="H9" s="24">
        <f t="shared" si="1"/>
        <v>0</v>
      </c>
    </row>
    <row r="10" spans="1:58" s="19" customFormat="1" ht="39.6" x14ac:dyDescent="0.25">
      <c r="A10" s="35" t="s">
        <v>15</v>
      </c>
      <c r="B10" s="36" t="s">
        <v>91</v>
      </c>
      <c r="C10" s="35" t="s">
        <v>90</v>
      </c>
      <c r="D10" s="2">
        <v>310</v>
      </c>
      <c r="E10" s="183">
        <v>0</v>
      </c>
      <c r="F10" s="23">
        <f t="shared" si="0"/>
        <v>0</v>
      </c>
      <c r="G10" s="24">
        <v>0</v>
      </c>
      <c r="H10" s="24">
        <f t="shared" si="1"/>
        <v>0</v>
      </c>
    </row>
    <row r="11" spans="1:58" s="19" customFormat="1" ht="26.4" x14ac:dyDescent="0.25">
      <c r="A11" s="35" t="s">
        <v>61</v>
      </c>
      <c r="B11" s="36" t="s">
        <v>92</v>
      </c>
      <c r="C11" s="35" t="s">
        <v>37</v>
      </c>
      <c r="D11" s="2">
        <v>280</v>
      </c>
      <c r="E11" s="183">
        <v>0</v>
      </c>
      <c r="F11" s="23">
        <f t="shared" si="0"/>
        <v>0</v>
      </c>
      <c r="G11" s="24">
        <v>0</v>
      </c>
      <c r="H11" s="24">
        <f t="shared" si="1"/>
        <v>0</v>
      </c>
    </row>
    <row r="12" spans="1:58" s="19" customFormat="1" ht="39.6" x14ac:dyDescent="0.25">
      <c r="A12" s="35" t="s">
        <v>93</v>
      </c>
      <c r="B12" s="36" t="s">
        <v>95</v>
      </c>
      <c r="C12" s="35" t="s">
        <v>1</v>
      </c>
      <c r="D12" s="2">
        <f>D7+872</f>
        <v>2363</v>
      </c>
      <c r="E12" s="183">
        <v>0</v>
      </c>
      <c r="F12" s="23">
        <f t="shared" si="0"/>
        <v>0</v>
      </c>
      <c r="G12" s="24">
        <v>0</v>
      </c>
      <c r="H12" s="24">
        <f t="shared" si="1"/>
        <v>0</v>
      </c>
    </row>
    <row r="13" spans="1:58" s="19" customFormat="1" ht="39.6" x14ac:dyDescent="0.25">
      <c r="A13" s="35" t="s">
        <v>35</v>
      </c>
      <c r="B13" s="36" t="s">
        <v>94</v>
      </c>
      <c r="C13" s="35" t="s">
        <v>1</v>
      </c>
      <c r="D13" s="2">
        <f>D8</f>
        <v>26</v>
      </c>
      <c r="E13" s="183">
        <v>0</v>
      </c>
      <c r="F13" s="23">
        <f t="shared" si="0"/>
        <v>0</v>
      </c>
      <c r="G13" s="24">
        <v>0</v>
      </c>
      <c r="H13" s="24">
        <f t="shared" si="1"/>
        <v>0</v>
      </c>
    </row>
    <row r="14" spans="1:58" s="19" customFormat="1" ht="39.6" x14ac:dyDescent="0.25">
      <c r="A14" s="35" t="s">
        <v>26</v>
      </c>
      <c r="B14" s="36" t="s">
        <v>36</v>
      </c>
      <c r="C14" s="35" t="s">
        <v>1</v>
      </c>
      <c r="D14" s="2">
        <f>D9</f>
        <v>51</v>
      </c>
      <c r="E14" s="183">
        <v>0</v>
      </c>
      <c r="F14" s="23">
        <f t="shared" si="0"/>
        <v>0</v>
      </c>
      <c r="G14" s="24">
        <v>0</v>
      </c>
      <c r="H14" s="24">
        <f t="shared" si="1"/>
        <v>0</v>
      </c>
    </row>
    <row r="15" spans="1:58" s="19" customFormat="1" ht="26.4" x14ac:dyDescent="0.25">
      <c r="A15" s="35" t="s">
        <v>27</v>
      </c>
      <c r="B15" s="36" t="s">
        <v>96</v>
      </c>
      <c r="C15" s="35" t="s">
        <v>1</v>
      </c>
      <c r="D15" s="2">
        <f>D8+D9</f>
        <v>77</v>
      </c>
      <c r="E15" s="183">
        <v>0</v>
      </c>
      <c r="F15" s="23">
        <f t="shared" si="0"/>
        <v>0</v>
      </c>
      <c r="G15" s="24">
        <v>5.0000000000000002E-5</v>
      </c>
      <c r="H15" s="24">
        <f t="shared" si="1"/>
        <v>3.8500000000000001E-3</v>
      </c>
    </row>
    <row r="16" spans="1:58" s="19" customFormat="1" ht="39.6" x14ac:dyDescent="0.25">
      <c r="A16" s="35" t="s">
        <v>101</v>
      </c>
      <c r="B16" s="36" t="s">
        <v>118</v>
      </c>
      <c r="C16" s="35" t="s">
        <v>37</v>
      </c>
      <c r="D16" s="2">
        <f>(41*0.5)+0.5</f>
        <v>21</v>
      </c>
      <c r="E16" s="183">
        <v>0</v>
      </c>
      <c r="F16" s="23">
        <f t="shared" si="0"/>
        <v>0</v>
      </c>
      <c r="G16" s="24">
        <v>3.0000000000000001E-5</v>
      </c>
      <c r="H16" s="24">
        <f t="shared" si="1"/>
        <v>6.3000000000000003E-4</v>
      </c>
    </row>
    <row r="17" spans="1:8" s="19" customFormat="1" ht="39.6" x14ac:dyDescent="0.25">
      <c r="A17" s="35" t="s">
        <v>62</v>
      </c>
      <c r="B17" s="36" t="s">
        <v>97</v>
      </c>
      <c r="C17" s="35" t="s">
        <v>37</v>
      </c>
      <c r="D17" s="2">
        <f>(D11+335)*2</f>
        <v>1230</v>
      </c>
      <c r="E17" s="183">
        <v>0</v>
      </c>
      <c r="F17" s="23">
        <f t="shared" si="0"/>
        <v>0</v>
      </c>
      <c r="G17" s="24">
        <v>0</v>
      </c>
      <c r="H17" s="24">
        <f t="shared" si="1"/>
        <v>0</v>
      </c>
    </row>
    <row r="18" spans="1:8" s="19" customFormat="1" ht="26.4" x14ac:dyDescent="0.25">
      <c r="A18" s="35" t="s">
        <v>98</v>
      </c>
      <c r="B18" s="36" t="s">
        <v>99</v>
      </c>
      <c r="C18" s="35" t="s">
        <v>37</v>
      </c>
      <c r="D18" s="2">
        <f>D17</f>
        <v>1230</v>
      </c>
      <c r="E18" s="183">
        <v>0</v>
      </c>
      <c r="F18" s="23">
        <f t="shared" si="0"/>
        <v>0</v>
      </c>
      <c r="G18" s="24">
        <v>3.0000000000000001E-3</v>
      </c>
      <c r="H18" s="24">
        <f t="shared" si="1"/>
        <v>3.69</v>
      </c>
    </row>
    <row r="19" spans="1:8" s="19" customFormat="1" ht="52.8" x14ac:dyDescent="0.25">
      <c r="A19" s="35" t="s">
        <v>15</v>
      </c>
      <c r="B19" s="36" t="s">
        <v>100</v>
      </c>
      <c r="C19" s="35" t="s">
        <v>37</v>
      </c>
      <c r="D19" s="35">
        <v>285</v>
      </c>
      <c r="E19" s="183">
        <v>0</v>
      </c>
      <c r="F19" s="23">
        <f t="shared" si="0"/>
        <v>0</v>
      </c>
      <c r="G19" s="24">
        <v>3.0000000000000001E-3</v>
      </c>
      <c r="H19" s="24">
        <f t="shared" si="1"/>
        <v>0.85499999999999998</v>
      </c>
    </row>
    <row r="20" spans="1:8" s="19" customFormat="1" ht="52.8" x14ac:dyDescent="0.25">
      <c r="A20" s="35" t="s">
        <v>15</v>
      </c>
      <c r="B20" s="36" t="s">
        <v>117</v>
      </c>
      <c r="C20" s="35" t="s">
        <v>90</v>
      </c>
      <c r="D20" s="35">
        <v>274</v>
      </c>
      <c r="E20" s="183">
        <v>0</v>
      </c>
      <c r="F20" s="23">
        <f t="shared" si="0"/>
        <v>0</v>
      </c>
      <c r="G20" s="24">
        <v>2E-3</v>
      </c>
      <c r="H20" s="24">
        <f t="shared" si="1"/>
        <v>0.54800000000000004</v>
      </c>
    </row>
    <row r="21" spans="1:8" s="19" customFormat="1" ht="28.2" x14ac:dyDescent="0.25">
      <c r="A21" s="35" t="s">
        <v>41</v>
      </c>
      <c r="B21" s="36" t="s">
        <v>190</v>
      </c>
      <c r="C21" s="35" t="s">
        <v>43</v>
      </c>
      <c r="D21" s="134">
        <f>(SUM(D27:D38)*0.05)+(SUM(D40:D55)*0.02)+(SUM(D57:D66)*0.02)</f>
        <v>49.210000000000008</v>
      </c>
      <c r="E21" s="183">
        <v>0</v>
      </c>
      <c r="F21" s="23">
        <f t="shared" si="0"/>
        <v>0</v>
      </c>
      <c r="G21" s="24">
        <v>0</v>
      </c>
      <c r="H21" s="24">
        <f t="shared" si="1"/>
        <v>0</v>
      </c>
    </row>
    <row r="22" spans="1:8" s="47" customFormat="1" x14ac:dyDescent="0.25">
      <c r="A22" s="56"/>
      <c r="B22" s="57"/>
      <c r="C22" s="58"/>
      <c r="D22" s="59"/>
      <c r="E22" s="51"/>
      <c r="F22" s="51"/>
      <c r="G22" s="55"/>
      <c r="H22" s="55"/>
    </row>
    <row r="23" spans="1:8" s="19" customFormat="1" x14ac:dyDescent="0.25">
      <c r="A23" s="96" t="s">
        <v>51</v>
      </c>
      <c r="B23" s="120"/>
      <c r="C23" s="121"/>
      <c r="D23" s="122"/>
      <c r="E23" s="123"/>
      <c r="F23" s="123">
        <f>SUM(F7:F21)</f>
        <v>0</v>
      </c>
      <c r="G23" s="124"/>
      <c r="H23" s="125">
        <f>SUM(H7:H21)</f>
        <v>5.09748</v>
      </c>
    </row>
    <row r="24" spans="1:8" s="47" customFormat="1" x14ac:dyDescent="0.25">
      <c r="A24" s="48"/>
      <c r="B24" s="66"/>
      <c r="C24" s="48"/>
      <c r="D24" s="50"/>
      <c r="E24" s="50"/>
      <c r="F24" s="67"/>
      <c r="G24" s="50"/>
      <c r="H24" s="68"/>
    </row>
    <row r="25" spans="1:8" s="19" customFormat="1" x14ac:dyDescent="0.25">
      <c r="A25" s="96" t="s">
        <v>22</v>
      </c>
      <c r="B25" s="95"/>
      <c r="C25" s="94"/>
      <c r="D25" s="93"/>
      <c r="E25" s="92"/>
      <c r="F25" s="92"/>
      <c r="G25" s="99"/>
      <c r="H25" s="99"/>
    </row>
    <row r="26" spans="1:8" s="19" customFormat="1" x14ac:dyDescent="0.25">
      <c r="A26" s="25"/>
      <c r="B26" s="100" t="s">
        <v>28</v>
      </c>
      <c r="C26" s="101"/>
      <c r="D26" s="139"/>
      <c r="E26" s="23"/>
      <c r="F26" s="23"/>
      <c r="G26" s="24"/>
      <c r="H26" s="24"/>
    </row>
    <row r="27" spans="1:8" s="19" customFormat="1" x14ac:dyDescent="0.25">
      <c r="A27" s="25">
        <v>1</v>
      </c>
      <c r="B27" s="97" t="s">
        <v>137</v>
      </c>
      <c r="C27" s="101" t="s">
        <v>19</v>
      </c>
      <c r="D27" s="2">
        <v>2</v>
      </c>
      <c r="E27" s="23">
        <v>0</v>
      </c>
      <c r="F27" s="23">
        <f>D27*E27</f>
        <v>0</v>
      </c>
      <c r="G27" s="24">
        <v>1.2E-2</v>
      </c>
      <c r="H27" s="24">
        <f>G27*D27</f>
        <v>2.4E-2</v>
      </c>
    </row>
    <row r="28" spans="1:8" s="19" customFormat="1" x14ac:dyDescent="0.25">
      <c r="A28" s="25">
        <v>2</v>
      </c>
      <c r="B28" s="97" t="s">
        <v>138</v>
      </c>
      <c r="C28" s="101" t="s">
        <v>19</v>
      </c>
      <c r="D28" s="2">
        <v>3</v>
      </c>
      <c r="E28" s="171">
        <v>0</v>
      </c>
      <c r="F28" s="23">
        <f>D28*E28</f>
        <v>0</v>
      </c>
      <c r="G28" s="24">
        <v>0.02</v>
      </c>
      <c r="H28" s="24">
        <f>G28*D28</f>
        <v>0.06</v>
      </c>
    </row>
    <row r="29" spans="1:8" s="19" customFormat="1" ht="26.4" x14ac:dyDescent="0.25">
      <c r="A29" s="25">
        <v>3</v>
      </c>
      <c r="B29" s="98" t="s">
        <v>140</v>
      </c>
      <c r="C29" s="101" t="s">
        <v>19</v>
      </c>
      <c r="D29" s="2">
        <v>5</v>
      </c>
      <c r="E29" s="171">
        <v>0</v>
      </c>
      <c r="F29" s="23">
        <f>D29*E29</f>
        <v>0</v>
      </c>
      <c r="G29" s="24">
        <v>1.2E-2</v>
      </c>
      <c r="H29" s="24">
        <f>G29*D29</f>
        <v>0.06</v>
      </c>
    </row>
    <row r="30" spans="1:8" s="19" customFormat="1" ht="26.4" x14ac:dyDescent="0.25">
      <c r="A30" s="25">
        <v>4</v>
      </c>
      <c r="B30" s="98" t="s">
        <v>139</v>
      </c>
      <c r="C30" s="101" t="s">
        <v>19</v>
      </c>
      <c r="D30" s="2">
        <v>8</v>
      </c>
      <c r="E30" s="171">
        <v>0</v>
      </c>
      <c r="F30" s="23">
        <f>D30*E30</f>
        <v>0</v>
      </c>
      <c r="G30" s="24">
        <v>1.2E-2</v>
      </c>
      <c r="H30" s="24">
        <f>G30*D30</f>
        <v>9.6000000000000002E-2</v>
      </c>
    </row>
    <row r="31" spans="1:8" s="47" customFormat="1" x14ac:dyDescent="0.25">
      <c r="A31" s="69"/>
      <c r="B31" s="100" t="s">
        <v>29</v>
      </c>
      <c r="C31" s="58"/>
      <c r="D31" s="53"/>
      <c r="E31" s="171">
        <v>0</v>
      </c>
      <c r="F31" s="51"/>
      <c r="G31" s="55"/>
      <c r="H31" s="55"/>
    </row>
    <row r="32" spans="1:8" s="19" customFormat="1" ht="26.4" x14ac:dyDescent="0.25">
      <c r="A32" s="25">
        <v>5</v>
      </c>
      <c r="B32" s="105" t="s">
        <v>141</v>
      </c>
      <c r="C32" s="101" t="s">
        <v>19</v>
      </c>
      <c r="D32" s="2">
        <v>11</v>
      </c>
      <c r="E32" s="171">
        <v>0</v>
      </c>
      <c r="F32" s="23">
        <f t="shared" ref="F32:F38" si="2">D32*E32</f>
        <v>0</v>
      </c>
      <c r="G32" s="24">
        <v>1.4999999999999999E-2</v>
      </c>
      <c r="H32" s="24">
        <f t="shared" ref="H32:H38" si="3">G32*D32</f>
        <v>0.16499999999999998</v>
      </c>
    </row>
    <row r="33" spans="1:53" s="19" customFormat="1" ht="26.4" x14ac:dyDescent="0.25">
      <c r="A33" s="25">
        <v>6</v>
      </c>
      <c r="B33" s="105" t="s">
        <v>142</v>
      </c>
      <c r="C33" s="101" t="s">
        <v>19</v>
      </c>
      <c r="D33" s="2">
        <v>11</v>
      </c>
      <c r="E33" s="171">
        <v>0</v>
      </c>
      <c r="F33" s="23">
        <f t="shared" si="2"/>
        <v>0</v>
      </c>
      <c r="G33" s="24">
        <v>1.4999999999999999E-2</v>
      </c>
      <c r="H33" s="24">
        <f t="shared" si="3"/>
        <v>0.16499999999999998</v>
      </c>
    </row>
    <row r="34" spans="1:53" s="19" customFormat="1" ht="26.4" x14ac:dyDescent="0.25">
      <c r="A34" s="25">
        <v>7</v>
      </c>
      <c r="B34" s="105" t="s">
        <v>143</v>
      </c>
      <c r="C34" s="101" t="s">
        <v>19</v>
      </c>
      <c r="D34" s="2">
        <v>1</v>
      </c>
      <c r="E34" s="171">
        <v>0</v>
      </c>
      <c r="F34" s="23">
        <f t="shared" si="2"/>
        <v>0</v>
      </c>
      <c r="G34" s="24">
        <v>0.05</v>
      </c>
      <c r="H34" s="24">
        <f t="shared" si="3"/>
        <v>0.05</v>
      </c>
      <c r="J34" s="296"/>
    </row>
    <row r="35" spans="1:53" s="19" customFormat="1" ht="26.4" x14ac:dyDescent="0.25">
      <c r="A35" s="25">
        <v>8</v>
      </c>
      <c r="B35" s="105" t="s">
        <v>144</v>
      </c>
      <c r="C35" s="101" t="s">
        <v>19</v>
      </c>
      <c r="D35" s="2">
        <v>1</v>
      </c>
      <c r="E35" s="171">
        <v>0</v>
      </c>
      <c r="F35" s="23">
        <f t="shared" si="2"/>
        <v>0</v>
      </c>
      <c r="G35" s="24">
        <v>1.4999999999999999E-2</v>
      </c>
      <c r="H35" s="24">
        <f t="shared" si="3"/>
        <v>1.4999999999999999E-2</v>
      </c>
    </row>
    <row r="36" spans="1:53" s="19" customFormat="1" ht="26.4" x14ac:dyDescent="0.25">
      <c r="A36" s="25">
        <v>9</v>
      </c>
      <c r="B36" s="105" t="s">
        <v>145</v>
      </c>
      <c r="C36" s="101" t="s">
        <v>19</v>
      </c>
      <c r="D36" s="2">
        <v>6</v>
      </c>
      <c r="E36" s="171">
        <v>0</v>
      </c>
      <c r="F36" s="23">
        <f t="shared" si="2"/>
        <v>0</v>
      </c>
      <c r="G36" s="24">
        <v>1.4999999999999999E-2</v>
      </c>
      <c r="H36" s="24">
        <f t="shared" si="3"/>
        <v>0.09</v>
      </c>
    </row>
    <row r="37" spans="1:53" s="19" customFormat="1" ht="26.4" x14ac:dyDescent="0.25">
      <c r="A37" s="25">
        <v>10</v>
      </c>
      <c r="B37" s="105" t="s">
        <v>146</v>
      </c>
      <c r="C37" s="101" t="s">
        <v>19</v>
      </c>
      <c r="D37" s="2">
        <v>2</v>
      </c>
      <c r="E37" s="171">
        <v>0</v>
      </c>
      <c r="F37" s="23">
        <f t="shared" si="2"/>
        <v>0</v>
      </c>
      <c r="G37" s="24">
        <v>1.4999999999999999E-2</v>
      </c>
      <c r="H37" s="24">
        <f t="shared" si="3"/>
        <v>0.03</v>
      </c>
    </row>
    <row r="38" spans="1:53" s="19" customFormat="1" ht="26.4" x14ac:dyDescent="0.25">
      <c r="A38" s="25">
        <v>11</v>
      </c>
      <c r="B38" s="105" t="s">
        <v>147</v>
      </c>
      <c r="C38" s="101" t="s">
        <v>19</v>
      </c>
      <c r="D38" s="2">
        <v>9</v>
      </c>
      <c r="E38" s="171">
        <v>0</v>
      </c>
      <c r="F38" s="23">
        <f t="shared" si="2"/>
        <v>0</v>
      </c>
      <c r="G38" s="24">
        <v>1.4999999999999999E-2</v>
      </c>
      <c r="H38" s="24">
        <f t="shared" si="3"/>
        <v>0.13500000000000001</v>
      </c>
    </row>
    <row r="39" spans="1:53" s="47" customFormat="1" x14ac:dyDescent="0.25">
      <c r="A39" s="70"/>
      <c r="B39" s="100" t="s">
        <v>148</v>
      </c>
      <c r="C39" s="71"/>
      <c r="D39" s="72"/>
      <c r="E39" s="171">
        <v>0</v>
      </c>
      <c r="F39" s="73"/>
      <c r="G39" s="74"/>
      <c r="H39" s="55"/>
    </row>
    <row r="40" spans="1:53" s="19" customFormat="1" ht="26.4" x14ac:dyDescent="0.25">
      <c r="A40" s="107">
        <v>12</v>
      </c>
      <c r="B40" s="108" t="s">
        <v>149</v>
      </c>
      <c r="C40" s="106" t="s">
        <v>19</v>
      </c>
      <c r="D40" s="102">
        <v>366</v>
      </c>
      <c r="E40" s="171">
        <v>0</v>
      </c>
      <c r="F40" s="103">
        <f>D40*E40</f>
        <v>0</v>
      </c>
      <c r="G40" s="104">
        <v>3.0000000000000001E-3</v>
      </c>
      <c r="H40" s="24">
        <f>G40*D40</f>
        <v>1.0980000000000001</v>
      </c>
    </row>
    <row r="41" spans="1:53" s="20" customFormat="1" x14ac:dyDescent="0.25">
      <c r="A41" s="25">
        <v>13</v>
      </c>
      <c r="B41" s="108" t="s">
        <v>152</v>
      </c>
      <c r="C41" s="101" t="s">
        <v>19</v>
      </c>
      <c r="D41" s="2">
        <v>180</v>
      </c>
      <c r="E41" s="171">
        <v>0</v>
      </c>
      <c r="F41" s="23">
        <f>D41*E41</f>
        <v>0</v>
      </c>
      <c r="G41" s="24">
        <v>4.0000000000000001E-3</v>
      </c>
      <c r="H41" s="24">
        <f>G41*D41</f>
        <v>0.72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109"/>
    </row>
    <row r="42" spans="1:53" s="20" customFormat="1" ht="14.25" customHeight="1" x14ac:dyDescent="0.25">
      <c r="A42" s="25">
        <v>14</v>
      </c>
      <c r="B42" s="108" t="s">
        <v>150</v>
      </c>
      <c r="C42" s="101" t="s">
        <v>19</v>
      </c>
      <c r="D42" s="2">
        <v>116</v>
      </c>
      <c r="E42" s="171">
        <v>0</v>
      </c>
      <c r="F42" s="23">
        <f>D42*E42</f>
        <v>0</v>
      </c>
      <c r="G42" s="24">
        <v>3.0000000000000001E-3</v>
      </c>
      <c r="H42" s="24">
        <f>G42*D42</f>
        <v>0.34800000000000003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109"/>
    </row>
    <row r="43" spans="1:53" s="20" customFormat="1" ht="26.4" x14ac:dyDescent="0.25">
      <c r="A43" s="25">
        <v>15</v>
      </c>
      <c r="B43" s="108" t="s">
        <v>151</v>
      </c>
      <c r="C43" s="101" t="s">
        <v>19</v>
      </c>
      <c r="D43" s="2">
        <v>138</v>
      </c>
      <c r="E43" s="171">
        <v>0</v>
      </c>
      <c r="F43" s="23">
        <f>D43*E43</f>
        <v>0</v>
      </c>
      <c r="G43" s="24">
        <v>3.0000000000000001E-3</v>
      </c>
      <c r="H43" s="24">
        <f>G43*D43</f>
        <v>0.41400000000000003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110"/>
      <c r="AP43" s="111"/>
      <c r="AQ43" s="111"/>
      <c r="AR43" s="111"/>
    </row>
    <row r="44" spans="1:53" s="47" customFormat="1" x14ac:dyDescent="0.25">
      <c r="A44" s="76"/>
      <c r="B44" s="112" t="s">
        <v>153</v>
      </c>
      <c r="C44" s="77"/>
      <c r="D44" s="78"/>
      <c r="E44" s="171">
        <v>0</v>
      </c>
      <c r="F44" s="79"/>
      <c r="G44" s="80"/>
      <c r="H44" s="55"/>
    </row>
    <row r="45" spans="1:53" s="42" customFormat="1" ht="26.4" x14ac:dyDescent="0.25">
      <c r="A45" s="25">
        <v>16</v>
      </c>
      <c r="B45" s="113" t="s">
        <v>154</v>
      </c>
      <c r="C45" s="101" t="s">
        <v>19</v>
      </c>
      <c r="D45" s="2">
        <v>96</v>
      </c>
      <c r="E45" s="171">
        <v>0</v>
      </c>
      <c r="F45" s="23">
        <f>D45*E45</f>
        <v>0</v>
      </c>
      <c r="G45" s="24">
        <v>1.5E-3</v>
      </c>
      <c r="H45" s="24">
        <f>G45*D45</f>
        <v>0.14400000000000002</v>
      </c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75"/>
    </row>
    <row r="46" spans="1:53" s="42" customFormat="1" ht="26.4" x14ac:dyDescent="0.25">
      <c r="A46" s="25">
        <v>17</v>
      </c>
      <c r="B46" s="113" t="s">
        <v>155</v>
      </c>
      <c r="C46" s="101" t="s">
        <v>19</v>
      </c>
      <c r="D46" s="2">
        <v>60</v>
      </c>
      <c r="E46" s="171">
        <v>0</v>
      </c>
      <c r="F46" s="23">
        <f>D46*E46</f>
        <v>0</v>
      </c>
      <c r="G46" s="24">
        <v>1.5E-3</v>
      </c>
      <c r="H46" s="24">
        <f>G46*D46</f>
        <v>0.09</v>
      </c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75"/>
    </row>
    <row r="47" spans="1:53" s="42" customFormat="1" x14ac:dyDescent="0.25">
      <c r="A47" s="25">
        <v>18</v>
      </c>
      <c r="B47" s="113" t="s">
        <v>156</v>
      </c>
      <c r="C47" s="101" t="s">
        <v>19</v>
      </c>
      <c r="D47" s="2">
        <v>683</v>
      </c>
      <c r="E47" s="171">
        <v>0</v>
      </c>
      <c r="F47" s="23">
        <f>D47*E47</f>
        <v>0</v>
      </c>
      <c r="G47" s="24">
        <v>8.0000000000000004E-4</v>
      </c>
      <c r="H47" s="24">
        <f>G47*D47</f>
        <v>0.5464</v>
      </c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75"/>
    </row>
    <row r="48" spans="1:53" s="47" customFormat="1" x14ac:dyDescent="0.25">
      <c r="A48" s="76"/>
      <c r="B48" s="112" t="s">
        <v>30</v>
      </c>
      <c r="C48" s="77"/>
      <c r="D48" s="78"/>
      <c r="E48" s="171">
        <v>0</v>
      </c>
      <c r="F48" s="79"/>
      <c r="G48" s="80"/>
      <c r="H48" s="55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</row>
    <row r="49" spans="1:53" s="42" customFormat="1" x14ac:dyDescent="0.25">
      <c r="A49" s="25">
        <v>19</v>
      </c>
      <c r="B49" s="114" t="s">
        <v>157</v>
      </c>
      <c r="C49" s="101" t="s">
        <v>19</v>
      </c>
      <c r="D49" s="2">
        <v>7</v>
      </c>
      <c r="E49" s="171">
        <v>0</v>
      </c>
      <c r="F49" s="23">
        <f t="shared" ref="F49:F55" si="4">D49*E49</f>
        <v>0</v>
      </c>
      <c r="G49" s="24">
        <v>0.01</v>
      </c>
      <c r="H49" s="24">
        <f t="shared" ref="H49:H55" si="5">G49*D49</f>
        <v>7.0000000000000007E-2</v>
      </c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75"/>
    </row>
    <row r="50" spans="1:53" s="42" customFormat="1" ht="26.4" x14ac:dyDescent="0.25">
      <c r="A50" s="25">
        <v>20</v>
      </c>
      <c r="B50" s="114" t="s">
        <v>158</v>
      </c>
      <c r="C50" s="101" t="s">
        <v>19</v>
      </c>
      <c r="D50" s="2">
        <v>4</v>
      </c>
      <c r="E50" s="171">
        <v>0</v>
      </c>
      <c r="F50" s="23">
        <f t="shared" si="4"/>
        <v>0</v>
      </c>
      <c r="G50" s="24">
        <v>0.01</v>
      </c>
      <c r="H50" s="24">
        <f t="shared" si="5"/>
        <v>0.04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75"/>
    </row>
    <row r="51" spans="1:53" s="42" customFormat="1" ht="26.4" x14ac:dyDescent="0.25">
      <c r="A51" s="25">
        <v>21</v>
      </c>
      <c r="B51" s="114" t="s">
        <v>159</v>
      </c>
      <c r="C51" s="101" t="s">
        <v>19</v>
      </c>
      <c r="D51" s="2">
        <v>45</v>
      </c>
      <c r="E51" s="171">
        <v>0</v>
      </c>
      <c r="F51" s="23">
        <f t="shared" si="4"/>
        <v>0</v>
      </c>
      <c r="G51" s="24">
        <v>3.0000000000000001E-3</v>
      </c>
      <c r="H51" s="24">
        <f t="shared" si="5"/>
        <v>0.13500000000000001</v>
      </c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75"/>
    </row>
    <row r="52" spans="1:53" s="42" customFormat="1" ht="26.4" x14ac:dyDescent="0.25">
      <c r="A52" s="25">
        <v>22</v>
      </c>
      <c r="B52" s="114" t="s">
        <v>160</v>
      </c>
      <c r="C52" s="101" t="s">
        <v>19</v>
      </c>
      <c r="D52" s="2">
        <v>26</v>
      </c>
      <c r="E52" s="171">
        <v>0</v>
      </c>
      <c r="F52" s="23">
        <f t="shared" si="4"/>
        <v>0</v>
      </c>
      <c r="G52" s="24">
        <v>1.5E-3</v>
      </c>
      <c r="H52" s="24">
        <f t="shared" si="5"/>
        <v>3.9E-2</v>
      </c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75"/>
    </row>
    <row r="53" spans="1:53" s="42" customFormat="1" x14ac:dyDescent="0.25">
      <c r="A53" s="25">
        <v>23</v>
      </c>
      <c r="B53" s="114" t="s">
        <v>161</v>
      </c>
      <c r="C53" s="101" t="s">
        <v>19</v>
      </c>
      <c r="D53" s="2">
        <v>2</v>
      </c>
      <c r="E53" s="171">
        <v>0</v>
      </c>
      <c r="F53" s="23">
        <f t="shared" si="4"/>
        <v>0</v>
      </c>
      <c r="G53" s="24">
        <v>1.2E-2</v>
      </c>
      <c r="H53" s="24">
        <f t="shared" si="5"/>
        <v>2.4E-2</v>
      </c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75"/>
    </row>
    <row r="54" spans="1:53" s="42" customFormat="1" ht="26.4" x14ac:dyDescent="0.25">
      <c r="A54" s="25">
        <v>24</v>
      </c>
      <c r="B54" s="114" t="s">
        <v>162</v>
      </c>
      <c r="C54" s="101" t="s">
        <v>19</v>
      </c>
      <c r="D54" s="2">
        <v>3</v>
      </c>
      <c r="E54" s="171">
        <v>0</v>
      </c>
      <c r="F54" s="23">
        <f t="shared" si="4"/>
        <v>0</v>
      </c>
      <c r="G54" s="24">
        <v>0.01</v>
      </c>
      <c r="H54" s="24">
        <f t="shared" si="5"/>
        <v>0.03</v>
      </c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75"/>
    </row>
    <row r="55" spans="1:53" s="42" customFormat="1" x14ac:dyDescent="0.25">
      <c r="A55" s="25">
        <v>25</v>
      </c>
      <c r="B55" s="114" t="s">
        <v>163</v>
      </c>
      <c r="C55" s="101" t="s">
        <v>19</v>
      </c>
      <c r="D55" s="2">
        <v>6</v>
      </c>
      <c r="E55" s="171">
        <v>0</v>
      </c>
      <c r="F55" s="23">
        <f t="shared" si="4"/>
        <v>0</v>
      </c>
      <c r="G55" s="24">
        <v>0.01</v>
      </c>
      <c r="H55" s="24">
        <f t="shared" si="5"/>
        <v>0.06</v>
      </c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75"/>
    </row>
    <row r="56" spans="1:53" x14ac:dyDescent="0.25">
      <c r="B56" s="263" t="s">
        <v>312</v>
      </c>
      <c r="E56" s="171">
        <v>0</v>
      </c>
    </row>
    <row r="57" spans="1:53" s="42" customFormat="1" x14ac:dyDescent="0.25">
      <c r="A57" s="25">
        <v>27</v>
      </c>
      <c r="B57" s="114" t="s">
        <v>164</v>
      </c>
      <c r="C57" s="101" t="s">
        <v>19</v>
      </c>
      <c r="D57" s="2">
        <v>24</v>
      </c>
      <c r="E57" s="171">
        <v>0</v>
      </c>
      <c r="F57" s="23">
        <f t="shared" ref="F57:F66" si="6">D57*E57</f>
        <v>0</v>
      </c>
      <c r="G57" s="24">
        <v>0.03</v>
      </c>
      <c r="H57" s="24">
        <f t="shared" ref="H57:H66" si="7">G57*D57</f>
        <v>0.72</v>
      </c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75"/>
    </row>
    <row r="58" spans="1:53" s="42" customFormat="1" ht="26.4" x14ac:dyDescent="0.25">
      <c r="A58" s="25">
        <v>28</v>
      </c>
      <c r="B58" s="114" t="s">
        <v>165</v>
      </c>
      <c r="C58" s="101" t="s">
        <v>19</v>
      </c>
      <c r="D58" s="2">
        <v>104</v>
      </c>
      <c r="E58" s="171">
        <v>0</v>
      </c>
      <c r="F58" s="23">
        <f t="shared" si="6"/>
        <v>0</v>
      </c>
      <c r="G58" s="24">
        <v>2E-3</v>
      </c>
      <c r="H58" s="24">
        <f t="shared" si="7"/>
        <v>0.20800000000000002</v>
      </c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75"/>
    </row>
    <row r="59" spans="1:53" s="42" customFormat="1" ht="26.4" x14ac:dyDescent="0.25">
      <c r="A59" s="25">
        <v>29</v>
      </c>
      <c r="B59" s="114" t="s">
        <v>166</v>
      </c>
      <c r="C59" s="101" t="s">
        <v>19</v>
      </c>
      <c r="D59" s="2">
        <v>48</v>
      </c>
      <c r="E59" s="171">
        <v>0</v>
      </c>
      <c r="F59" s="23">
        <f t="shared" si="6"/>
        <v>0</v>
      </c>
      <c r="G59" s="24">
        <v>2E-3</v>
      </c>
      <c r="H59" s="24">
        <f t="shared" si="7"/>
        <v>9.6000000000000002E-2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75"/>
    </row>
    <row r="60" spans="1:53" s="42" customFormat="1" ht="26.4" x14ac:dyDescent="0.25">
      <c r="A60" s="25">
        <v>30</v>
      </c>
      <c r="B60" s="114" t="s">
        <v>167</v>
      </c>
      <c r="C60" s="101" t="s">
        <v>19</v>
      </c>
      <c r="D60" s="2">
        <v>124</v>
      </c>
      <c r="E60" s="171">
        <v>0</v>
      </c>
      <c r="F60" s="23">
        <f t="shared" si="6"/>
        <v>0</v>
      </c>
      <c r="G60" s="24">
        <v>3.0000000000000001E-3</v>
      </c>
      <c r="H60" s="24">
        <f t="shared" si="7"/>
        <v>0.372</v>
      </c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75"/>
    </row>
    <row r="61" spans="1:53" s="42" customFormat="1" ht="26.4" x14ac:dyDescent="0.25">
      <c r="A61" s="25">
        <v>31</v>
      </c>
      <c r="B61" s="114" t="s">
        <v>168</v>
      </c>
      <c r="C61" s="101" t="s">
        <v>19</v>
      </c>
      <c r="D61" s="2">
        <v>24</v>
      </c>
      <c r="E61" s="171">
        <v>0</v>
      </c>
      <c r="F61" s="23">
        <f t="shared" si="6"/>
        <v>0</v>
      </c>
      <c r="G61" s="24">
        <v>3.0000000000000001E-3</v>
      </c>
      <c r="H61" s="24">
        <f t="shared" si="7"/>
        <v>7.2000000000000008E-2</v>
      </c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75"/>
    </row>
    <row r="62" spans="1:53" s="42" customFormat="1" ht="26.4" x14ac:dyDescent="0.25">
      <c r="A62" s="25">
        <v>32</v>
      </c>
      <c r="B62" s="114" t="s">
        <v>169</v>
      </c>
      <c r="C62" s="101" t="s">
        <v>19</v>
      </c>
      <c r="D62" s="2">
        <v>32</v>
      </c>
      <c r="E62" s="171">
        <v>0</v>
      </c>
      <c r="F62" s="23">
        <f t="shared" si="6"/>
        <v>0</v>
      </c>
      <c r="G62" s="24">
        <v>3.0000000000000001E-3</v>
      </c>
      <c r="H62" s="24">
        <f t="shared" si="7"/>
        <v>9.6000000000000002E-2</v>
      </c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75"/>
    </row>
    <row r="63" spans="1:53" s="42" customFormat="1" ht="26.4" x14ac:dyDescent="0.25">
      <c r="A63" s="25">
        <v>33</v>
      </c>
      <c r="B63" s="114" t="s">
        <v>170</v>
      </c>
      <c r="C63" s="101" t="s">
        <v>19</v>
      </c>
      <c r="D63" s="2">
        <v>50</v>
      </c>
      <c r="E63" s="171">
        <v>0</v>
      </c>
      <c r="F63" s="23">
        <f t="shared" si="6"/>
        <v>0</v>
      </c>
      <c r="G63" s="24">
        <v>3.0000000000000001E-3</v>
      </c>
      <c r="H63" s="24">
        <f t="shared" si="7"/>
        <v>0.15</v>
      </c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75"/>
    </row>
    <row r="64" spans="1:53" s="42" customFormat="1" ht="26.4" x14ac:dyDescent="0.25">
      <c r="A64" s="25">
        <v>34</v>
      </c>
      <c r="B64" s="114" t="s">
        <v>171</v>
      </c>
      <c r="C64" s="101" t="s">
        <v>19</v>
      </c>
      <c r="D64" s="2">
        <v>52</v>
      </c>
      <c r="E64" s="171">
        <v>0</v>
      </c>
      <c r="F64" s="23">
        <f t="shared" si="6"/>
        <v>0</v>
      </c>
      <c r="G64" s="24">
        <v>3.0000000000000001E-3</v>
      </c>
      <c r="H64" s="24">
        <f t="shared" si="7"/>
        <v>0.156</v>
      </c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75"/>
    </row>
    <row r="65" spans="1:53" s="42" customFormat="1" ht="26.4" x14ac:dyDescent="0.25">
      <c r="A65" s="25">
        <v>35</v>
      </c>
      <c r="B65" s="114" t="s">
        <v>172</v>
      </c>
      <c r="C65" s="101" t="s">
        <v>19</v>
      </c>
      <c r="D65" s="2">
        <v>75</v>
      </c>
      <c r="E65" s="171">
        <v>0</v>
      </c>
      <c r="F65" s="23">
        <f t="shared" si="6"/>
        <v>0</v>
      </c>
      <c r="G65" s="24">
        <v>3.0000000000000001E-3</v>
      </c>
      <c r="H65" s="24">
        <f t="shared" si="7"/>
        <v>0.22500000000000001</v>
      </c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75"/>
    </row>
    <row r="66" spans="1:53" s="42" customFormat="1" ht="26.4" x14ac:dyDescent="0.25">
      <c r="A66" s="25">
        <v>36</v>
      </c>
      <c r="B66" s="114" t="s">
        <v>173</v>
      </c>
      <c r="C66" s="101" t="s">
        <v>19</v>
      </c>
      <c r="D66" s="2">
        <v>48</v>
      </c>
      <c r="E66" s="171">
        <v>0</v>
      </c>
      <c r="F66" s="23">
        <f t="shared" si="6"/>
        <v>0</v>
      </c>
      <c r="G66" s="24">
        <v>3.0000000000000001E-3</v>
      </c>
      <c r="H66" s="24">
        <f t="shared" si="7"/>
        <v>0.14400000000000002</v>
      </c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75"/>
    </row>
    <row r="67" spans="1:53" s="19" customFormat="1" x14ac:dyDescent="0.25">
      <c r="A67" s="126" t="s">
        <v>23</v>
      </c>
      <c r="B67" s="127"/>
      <c r="C67" s="128"/>
      <c r="D67" s="135"/>
      <c r="E67" s="130"/>
      <c r="F67" s="130">
        <f>SUM(F27:F66)</f>
        <v>0</v>
      </c>
      <c r="G67" s="131"/>
      <c r="H67" s="136">
        <f>SUM(H27:H66)</f>
        <v>6.8873999999999995</v>
      </c>
    </row>
    <row r="68" spans="1:53" s="19" customFormat="1" x14ac:dyDescent="0.25">
      <c r="A68" s="96" t="s">
        <v>52</v>
      </c>
      <c r="B68" s="120"/>
      <c r="C68" s="121"/>
      <c r="D68" s="122"/>
      <c r="E68" s="123"/>
      <c r="F68" s="123">
        <f>F67*1.03*1.25</f>
        <v>0</v>
      </c>
      <c r="G68" s="24"/>
      <c r="H68" s="24"/>
    </row>
    <row r="69" spans="1:53" s="47" customFormat="1" x14ac:dyDescent="0.25">
      <c r="A69" s="60"/>
      <c r="B69" s="61"/>
      <c r="C69" s="62"/>
      <c r="D69" s="63"/>
      <c r="E69" s="64"/>
      <c r="F69" s="64"/>
      <c r="G69" s="55"/>
      <c r="H69" s="55"/>
    </row>
    <row r="70" spans="1:53" s="132" customFormat="1" x14ac:dyDescent="0.25">
      <c r="A70" s="96" t="s">
        <v>58</v>
      </c>
      <c r="B70" s="95"/>
      <c r="C70" s="94"/>
      <c r="D70" s="93"/>
      <c r="E70" s="92"/>
      <c r="F70" s="92"/>
      <c r="G70" s="99"/>
      <c r="H70" s="99"/>
    </row>
    <row r="71" spans="1:53" s="132" customFormat="1" x14ac:dyDescent="0.25">
      <c r="A71" s="25"/>
      <c r="B71" s="36" t="s">
        <v>64</v>
      </c>
      <c r="C71" s="35" t="s">
        <v>63</v>
      </c>
      <c r="D71" s="35">
        <f>D17/10000*5*2</f>
        <v>1.23</v>
      </c>
      <c r="E71" s="37">
        <v>0</v>
      </c>
      <c r="F71" s="133">
        <f>E71*D71</f>
        <v>0</v>
      </c>
      <c r="G71" s="24">
        <v>1E-3</v>
      </c>
      <c r="H71" s="24">
        <f t="shared" ref="H71:H75" si="8">D71*G71</f>
        <v>1.23E-3</v>
      </c>
    </row>
    <row r="72" spans="1:53" s="47" customFormat="1" ht="39.6" x14ac:dyDescent="0.25">
      <c r="A72" s="69"/>
      <c r="B72" s="36" t="s">
        <v>65</v>
      </c>
      <c r="C72" s="35" t="s">
        <v>1</v>
      </c>
      <c r="D72" s="35">
        <f>D15*3</f>
        <v>231</v>
      </c>
      <c r="E72" s="183">
        <v>0</v>
      </c>
      <c r="F72" s="23">
        <f>E72*D72</f>
        <v>0</v>
      </c>
      <c r="G72" s="24">
        <v>3.0000000000000001E-3</v>
      </c>
      <c r="H72" s="24">
        <f t="shared" si="8"/>
        <v>0.69300000000000006</v>
      </c>
    </row>
    <row r="73" spans="1:53" s="47" customFormat="1" ht="26.4" x14ac:dyDescent="0.25">
      <c r="A73" s="69"/>
      <c r="B73" s="36" t="s">
        <v>84</v>
      </c>
      <c r="C73" s="35" t="s">
        <v>43</v>
      </c>
      <c r="D73" s="35">
        <f>SUM(7.5+0.65+10.2+62)</f>
        <v>80.349999999999994</v>
      </c>
      <c r="E73" s="183">
        <v>0</v>
      </c>
      <c r="F73" s="23">
        <f>D73*E73</f>
        <v>0</v>
      </c>
      <c r="G73" s="24">
        <v>0.6</v>
      </c>
      <c r="H73" s="24">
        <f t="shared" si="8"/>
        <v>48.209999999999994</v>
      </c>
    </row>
    <row r="74" spans="1:53" s="19" customFormat="1" ht="52.8" x14ac:dyDescent="0.25">
      <c r="A74" s="25"/>
      <c r="B74" s="36" t="s">
        <v>119</v>
      </c>
      <c r="C74" s="35" t="s">
        <v>37</v>
      </c>
      <c r="D74" s="35">
        <v>21</v>
      </c>
      <c r="E74" s="183">
        <v>0</v>
      </c>
      <c r="F74" s="91">
        <f>E74*D74</f>
        <v>0</v>
      </c>
      <c r="G74" s="24">
        <v>2.9999999999999997E-4</v>
      </c>
      <c r="H74" s="24">
        <f t="shared" si="8"/>
        <v>6.2999999999999992E-3</v>
      </c>
    </row>
    <row r="75" spans="1:53" s="19" customFormat="1" ht="39.6" x14ac:dyDescent="0.25">
      <c r="A75" s="25"/>
      <c r="B75" s="36" t="s">
        <v>191</v>
      </c>
      <c r="C75" s="35" t="s">
        <v>43</v>
      </c>
      <c r="D75" s="35">
        <f>SUM(D10:D11)*0.1</f>
        <v>59</v>
      </c>
      <c r="E75" s="183">
        <v>0</v>
      </c>
      <c r="F75" s="91">
        <f>E75*D75</f>
        <v>0</v>
      </c>
      <c r="G75" s="24">
        <v>0.6</v>
      </c>
      <c r="H75" s="24">
        <f t="shared" si="8"/>
        <v>35.4</v>
      </c>
    </row>
    <row r="76" spans="1:53" s="19" customFormat="1" x14ac:dyDescent="0.25">
      <c r="A76" s="96" t="s">
        <v>55</v>
      </c>
      <c r="B76" s="120"/>
      <c r="C76" s="121"/>
      <c r="D76" s="122"/>
      <c r="E76" s="123"/>
      <c r="F76" s="137">
        <f>SUM(F71:F75)</f>
        <v>0</v>
      </c>
      <c r="G76" s="124"/>
      <c r="H76" s="136">
        <f>SUM(H71:H75)</f>
        <v>84.31053</v>
      </c>
    </row>
    <row r="77" spans="1:53" s="19" customFormat="1" x14ac:dyDescent="0.25">
      <c r="A77" s="96" t="s">
        <v>21</v>
      </c>
      <c r="B77" s="120"/>
      <c r="C77" s="121"/>
      <c r="D77" s="122"/>
      <c r="E77" s="123"/>
      <c r="F77" s="123">
        <f>F76*1.02*1.25</f>
        <v>0</v>
      </c>
      <c r="G77" s="24"/>
      <c r="H77" s="24"/>
    </row>
    <row r="78" spans="1:53" s="19" customFormat="1" x14ac:dyDescent="0.25">
      <c r="A78" s="96"/>
      <c r="B78" s="120"/>
      <c r="C78" s="121"/>
      <c r="D78" s="122"/>
      <c r="E78" s="123"/>
      <c r="F78" s="123"/>
      <c r="G78" s="24"/>
      <c r="H78" s="24"/>
    </row>
    <row r="79" spans="1:53" s="19" customFormat="1" ht="26.4" x14ac:dyDescent="0.25">
      <c r="A79" s="22" t="s">
        <v>24</v>
      </c>
      <c r="B79" s="34" t="s">
        <v>25</v>
      </c>
      <c r="C79" s="101" t="s">
        <v>2</v>
      </c>
      <c r="D79" s="156">
        <f>H81</f>
        <v>96.295410000000004</v>
      </c>
      <c r="E79" s="23">
        <v>0</v>
      </c>
      <c r="F79" s="123">
        <f>D79*E79</f>
        <v>0</v>
      </c>
      <c r="G79" s="24">
        <v>0</v>
      </c>
      <c r="H79" s="24"/>
    </row>
    <row r="80" spans="1:53" s="19" customFormat="1" x14ac:dyDescent="0.25">
      <c r="A80" s="96"/>
      <c r="B80" s="120"/>
      <c r="C80" s="121"/>
      <c r="D80" s="122"/>
      <c r="E80" s="123"/>
      <c r="F80" s="123"/>
      <c r="G80" s="24"/>
      <c r="H80" s="24"/>
    </row>
    <row r="81" spans="1:8" s="19" customFormat="1" x14ac:dyDescent="0.25">
      <c r="A81" s="96" t="s">
        <v>267</v>
      </c>
      <c r="B81" s="120"/>
      <c r="C81" s="121"/>
      <c r="D81" s="122"/>
      <c r="E81" s="123"/>
      <c r="F81" s="123">
        <f>F23+F68+F77+F79</f>
        <v>0</v>
      </c>
      <c r="G81" s="124"/>
      <c r="H81" s="124">
        <f>H67+H23+H76</f>
        <v>96.295410000000004</v>
      </c>
    </row>
    <row r="82" spans="1:8" s="19" customFormat="1" x14ac:dyDescent="0.25">
      <c r="A82" s="96"/>
      <c r="B82" s="120"/>
      <c r="C82" s="121"/>
      <c r="D82" s="122"/>
      <c r="E82" s="123"/>
      <c r="F82" s="123"/>
      <c r="G82" s="124"/>
      <c r="H82" s="124"/>
    </row>
    <row r="83" spans="1:8" s="47" customFormat="1" ht="147" customHeight="1" x14ac:dyDescent="0.25">
      <c r="A83" s="48"/>
      <c r="B83" s="138" t="s">
        <v>207</v>
      </c>
      <c r="C83" s="48"/>
      <c r="D83" s="50"/>
      <c r="E83" s="50"/>
      <c r="F83" s="67"/>
      <c r="G83" s="50"/>
      <c r="H83" s="42"/>
    </row>
    <row r="84" spans="1:8" s="47" customFormat="1" ht="15.6" x14ac:dyDescent="0.25">
      <c r="A84" s="26" t="s">
        <v>14</v>
      </c>
      <c r="B84" s="49"/>
      <c r="C84" s="48"/>
      <c r="D84" s="50"/>
      <c r="E84" s="50"/>
      <c r="F84" s="67"/>
      <c r="G84" s="50"/>
      <c r="H84" s="42"/>
    </row>
    <row r="85" spans="1:8" s="19" customFormat="1" ht="39.6" x14ac:dyDescent="0.25">
      <c r="A85" s="35" t="s">
        <v>193</v>
      </c>
      <c r="B85" s="36" t="s">
        <v>194</v>
      </c>
      <c r="C85" s="35" t="s">
        <v>1</v>
      </c>
      <c r="D85" s="102">
        <v>41</v>
      </c>
      <c r="E85" s="37">
        <v>0</v>
      </c>
      <c r="F85" s="23">
        <f t="shared" ref="F85:F98" si="9">D85*E85</f>
        <v>0</v>
      </c>
      <c r="G85" s="24">
        <v>0</v>
      </c>
      <c r="H85" s="24">
        <f t="shared" ref="H85:H98" si="10">D85*G85</f>
        <v>0</v>
      </c>
    </row>
    <row r="86" spans="1:8" s="19" customFormat="1" ht="39.6" x14ac:dyDescent="0.25">
      <c r="A86" s="35" t="s">
        <v>193</v>
      </c>
      <c r="B86" s="36" t="s">
        <v>195</v>
      </c>
      <c r="C86" s="35" t="s">
        <v>1</v>
      </c>
      <c r="D86" s="102">
        <f>D85</f>
        <v>41</v>
      </c>
      <c r="E86" s="183">
        <v>0</v>
      </c>
      <c r="F86" s="23">
        <f t="shared" si="9"/>
        <v>0</v>
      </c>
      <c r="G86" s="24">
        <v>0</v>
      </c>
      <c r="H86" s="24">
        <f t="shared" si="10"/>
        <v>0</v>
      </c>
    </row>
    <row r="87" spans="1:8" s="19" customFormat="1" ht="39.6" x14ac:dyDescent="0.25">
      <c r="A87" s="35" t="s">
        <v>193</v>
      </c>
      <c r="B87" s="36" t="s">
        <v>196</v>
      </c>
      <c r="C87" s="35" t="s">
        <v>1</v>
      </c>
      <c r="D87" s="102">
        <f>D86</f>
        <v>41</v>
      </c>
      <c r="E87" s="183">
        <v>0</v>
      </c>
      <c r="F87" s="23">
        <f t="shared" si="9"/>
        <v>0</v>
      </c>
      <c r="G87" s="24">
        <v>0</v>
      </c>
      <c r="H87" s="24">
        <f t="shared" si="10"/>
        <v>0</v>
      </c>
    </row>
    <row r="88" spans="1:8" s="19" customFormat="1" ht="26.4" x14ac:dyDescent="0.25">
      <c r="A88" s="35" t="s">
        <v>39</v>
      </c>
      <c r="B88" s="36" t="s">
        <v>197</v>
      </c>
      <c r="C88" s="35" t="s">
        <v>1</v>
      </c>
      <c r="D88" s="2">
        <v>2313</v>
      </c>
      <c r="E88" s="183">
        <v>0</v>
      </c>
      <c r="F88" s="23">
        <f t="shared" si="9"/>
        <v>0</v>
      </c>
      <c r="G88" s="24">
        <v>0</v>
      </c>
      <c r="H88" s="24">
        <f t="shared" si="10"/>
        <v>0</v>
      </c>
    </row>
    <row r="89" spans="1:8" s="19" customFormat="1" ht="26.4" x14ac:dyDescent="0.25">
      <c r="A89" s="35" t="s">
        <v>38</v>
      </c>
      <c r="B89" s="36" t="s">
        <v>198</v>
      </c>
      <c r="C89" s="35" t="s">
        <v>1</v>
      </c>
      <c r="D89" s="102">
        <v>1514</v>
      </c>
      <c r="E89" s="183">
        <v>0</v>
      </c>
      <c r="F89" s="23">
        <f t="shared" si="9"/>
        <v>0</v>
      </c>
      <c r="G89" s="24">
        <v>0</v>
      </c>
      <c r="H89" s="24">
        <f t="shared" si="10"/>
        <v>0</v>
      </c>
    </row>
    <row r="90" spans="1:8" s="19" customFormat="1" ht="39.6" x14ac:dyDescent="0.25">
      <c r="A90" s="35" t="s">
        <v>199</v>
      </c>
      <c r="B90" s="36" t="s">
        <v>200</v>
      </c>
      <c r="C90" s="35" t="s">
        <v>37</v>
      </c>
      <c r="D90" s="102">
        <f>310*0.8</f>
        <v>248</v>
      </c>
      <c r="E90" s="183">
        <v>0</v>
      </c>
      <c r="F90" s="23">
        <f t="shared" si="9"/>
        <v>0</v>
      </c>
      <c r="G90" s="24">
        <v>0</v>
      </c>
      <c r="H90" s="24">
        <f t="shared" si="10"/>
        <v>0</v>
      </c>
    </row>
    <row r="91" spans="1:8" s="19" customFormat="1" ht="39.6" x14ac:dyDescent="0.25">
      <c r="A91" s="35" t="s">
        <v>199</v>
      </c>
      <c r="B91" s="36" t="s">
        <v>201</v>
      </c>
      <c r="C91" s="35" t="s">
        <v>37</v>
      </c>
      <c r="D91" s="102">
        <f>310*0.8</f>
        <v>248</v>
      </c>
      <c r="E91" s="183">
        <v>0</v>
      </c>
      <c r="F91" s="23">
        <f t="shared" si="9"/>
        <v>0</v>
      </c>
      <c r="G91" s="24">
        <v>0</v>
      </c>
      <c r="H91" s="24">
        <f t="shared" si="10"/>
        <v>0</v>
      </c>
    </row>
    <row r="92" spans="1:8" s="19" customFormat="1" ht="39.6" x14ac:dyDescent="0.25">
      <c r="A92" s="35" t="s">
        <v>199</v>
      </c>
      <c r="B92" s="36" t="s">
        <v>203</v>
      </c>
      <c r="C92" s="35" t="s">
        <v>37</v>
      </c>
      <c r="D92" s="102">
        <f>310*0.8</f>
        <v>248</v>
      </c>
      <c r="E92" s="183">
        <v>0</v>
      </c>
      <c r="F92" s="23">
        <f t="shared" si="9"/>
        <v>0</v>
      </c>
      <c r="G92" s="24">
        <v>0</v>
      </c>
      <c r="H92" s="24">
        <f t="shared" si="10"/>
        <v>0</v>
      </c>
    </row>
    <row r="93" spans="1:8" s="19" customFormat="1" ht="39.6" x14ac:dyDescent="0.25">
      <c r="A93" s="35" t="s">
        <v>199</v>
      </c>
      <c r="B93" s="36" t="s">
        <v>202</v>
      </c>
      <c r="C93" s="35" t="s">
        <v>37</v>
      </c>
      <c r="D93" s="102">
        <f>310*0.8</f>
        <v>248</v>
      </c>
      <c r="E93" s="183">
        <v>0</v>
      </c>
      <c r="F93" s="23">
        <f t="shared" si="9"/>
        <v>0</v>
      </c>
      <c r="G93" s="24">
        <v>0</v>
      </c>
      <c r="H93" s="24">
        <f t="shared" si="10"/>
        <v>0</v>
      </c>
    </row>
    <row r="94" spans="1:8" s="19" customFormat="1" ht="27.75" customHeight="1" x14ac:dyDescent="0.25">
      <c r="A94" s="35" t="s">
        <v>208</v>
      </c>
      <c r="B94" s="36" t="s">
        <v>366</v>
      </c>
      <c r="C94" s="35" t="s">
        <v>37</v>
      </c>
      <c r="D94" s="35">
        <f>(310+280)*3</f>
        <v>1770</v>
      </c>
      <c r="E94" s="183">
        <v>0</v>
      </c>
      <c r="F94" s="23">
        <f t="shared" si="9"/>
        <v>0</v>
      </c>
      <c r="G94" s="24">
        <v>0</v>
      </c>
      <c r="H94" s="24">
        <f t="shared" si="10"/>
        <v>0</v>
      </c>
    </row>
    <row r="95" spans="1:8" s="19" customFormat="1" ht="66" x14ac:dyDescent="0.25">
      <c r="A95" s="35" t="s">
        <v>40</v>
      </c>
      <c r="B95" s="36" t="s">
        <v>204</v>
      </c>
      <c r="C95" s="35" t="s">
        <v>43</v>
      </c>
      <c r="D95" s="35">
        <v>30</v>
      </c>
      <c r="E95" s="183">
        <v>0</v>
      </c>
      <c r="F95" s="23">
        <f t="shared" si="9"/>
        <v>0</v>
      </c>
      <c r="G95" s="24">
        <v>0</v>
      </c>
      <c r="H95" s="24">
        <f t="shared" si="10"/>
        <v>0</v>
      </c>
    </row>
    <row r="96" spans="1:8" s="19" customFormat="1" ht="80.25" customHeight="1" x14ac:dyDescent="0.25">
      <c r="A96" s="35" t="s">
        <v>205</v>
      </c>
      <c r="B96" s="36" t="s">
        <v>206</v>
      </c>
      <c r="C96" s="35" t="s">
        <v>43</v>
      </c>
      <c r="D96" s="35">
        <v>39</v>
      </c>
      <c r="E96" s="183">
        <v>0</v>
      </c>
      <c r="F96" s="23">
        <f t="shared" si="9"/>
        <v>0</v>
      </c>
      <c r="G96" s="24">
        <v>0</v>
      </c>
      <c r="H96" s="24">
        <f t="shared" si="10"/>
        <v>0</v>
      </c>
    </row>
    <row r="97" spans="1:8" s="19" customFormat="1" ht="26.4" x14ac:dyDescent="0.25">
      <c r="A97" s="35" t="s">
        <v>41</v>
      </c>
      <c r="B97" s="36" t="s">
        <v>42</v>
      </c>
      <c r="C97" s="35" t="s">
        <v>43</v>
      </c>
      <c r="D97" s="35">
        <f>D96+D95</f>
        <v>69</v>
      </c>
      <c r="E97" s="183">
        <v>0</v>
      </c>
      <c r="F97" s="23">
        <f t="shared" si="9"/>
        <v>0</v>
      </c>
      <c r="G97" s="24">
        <v>0</v>
      </c>
      <c r="H97" s="24">
        <f t="shared" si="10"/>
        <v>0</v>
      </c>
    </row>
    <row r="98" spans="1:8" s="19" customFormat="1" ht="39.6" x14ac:dyDescent="0.25">
      <c r="A98" s="35" t="s">
        <v>44</v>
      </c>
      <c r="B98" s="36" t="s">
        <v>209</v>
      </c>
      <c r="C98" s="35" t="s">
        <v>1</v>
      </c>
      <c r="D98" s="2">
        <v>77</v>
      </c>
      <c r="E98" s="183">
        <v>0</v>
      </c>
      <c r="F98" s="23">
        <f t="shared" si="9"/>
        <v>0</v>
      </c>
      <c r="G98" s="24">
        <v>0</v>
      </c>
      <c r="H98" s="24">
        <f t="shared" si="10"/>
        <v>0</v>
      </c>
    </row>
    <row r="99" spans="1:8" s="167" customFormat="1" x14ac:dyDescent="0.25">
      <c r="A99" s="181"/>
      <c r="B99" s="182"/>
      <c r="C99" s="181"/>
      <c r="D99" s="165"/>
      <c r="E99" s="183"/>
      <c r="F99" s="171"/>
      <c r="G99" s="172"/>
      <c r="H99" s="172"/>
    </row>
    <row r="100" spans="1:8" s="19" customFormat="1" x14ac:dyDescent="0.25">
      <c r="A100" s="96" t="s">
        <v>268</v>
      </c>
      <c r="B100" s="120"/>
      <c r="C100" s="121"/>
      <c r="D100" s="122"/>
      <c r="E100" s="123"/>
      <c r="F100" s="123">
        <f>SUM(F85:F98)</f>
        <v>0</v>
      </c>
      <c r="G100" s="124"/>
      <c r="H100" s="124">
        <f>SUM(H85:H98)</f>
        <v>0</v>
      </c>
    </row>
    <row r="101" spans="1:8" s="47" customFormat="1" x14ac:dyDescent="0.25">
      <c r="A101" s="60"/>
      <c r="B101" s="61"/>
      <c r="C101" s="62"/>
      <c r="D101" s="63"/>
      <c r="E101" s="64"/>
      <c r="F101" s="64"/>
      <c r="G101" s="65"/>
      <c r="H101" s="65"/>
    </row>
    <row r="102" spans="1:8" s="47" customFormat="1" ht="78" x14ac:dyDescent="0.25">
      <c r="A102" s="60"/>
      <c r="B102" s="27" t="s">
        <v>252</v>
      </c>
      <c r="C102" s="62"/>
      <c r="D102" s="63"/>
      <c r="E102" s="64"/>
      <c r="F102" s="64"/>
      <c r="G102" s="65"/>
      <c r="H102" s="65"/>
    </row>
    <row r="103" spans="1:8" s="47" customFormat="1" ht="15.6" x14ac:dyDescent="0.25">
      <c r="A103" s="26" t="s">
        <v>14</v>
      </c>
      <c r="B103" s="49"/>
      <c r="C103" s="48"/>
      <c r="D103" s="50"/>
      <c r="E103" s="50"/>
      <c r="F103" s="51"/>
      <c r="G103" s="50"/>
      <c r="H103" s="42"/>
    </row>
    <row r="104" spans="1:8" s="19" customFormat="1" ht="66" x14ac:dyDescent="0.25">
      <c r="A104" s="35" t="s">
        <v>179</v>
      </c>
      <c r="B104" s="36" t="s">
        <v>180</v>
      </c>
      <c r="C104" s="35" t="s">
        <v>37</v>
      </c>
      <c r="D104" s="2">
        <f>142+108+57+189</f>
        <v>496</v>
      </c>
      <c r="E104" s="37">
        <v>0</v>
      </c>
      <c r="F104" s="23">
        <f t="shared" ref="F104:F109" si="11">D104*E104</f>
        <v>0</v>
      </c>
      <c r="G104" s="24">
        <v>0</v>
      </c>
      <c r="H104" s="24">
        <f t="shared" ref="H104:H109" si="12">D104*G104</f>
        <v>0</v>
      </c>
    </row>
    <row r="105" spans="1:8" s="19" customFormat="1" ht="26.4" x14ac:dyDescent="0.25">
      <c r="A105" s="35" t="s">
        <v>186</v>
      </c>
      <c r="B105" s="36" t="s">
        <v>187</v>
      </c>
      <c r="C105" s="35" t="s">
        <v>1</v>
      </c>
      <c r="D105" s="2">
        <f>D113+D114</f>
        <v>3975</v>
      </c>
      <c r="E105" s="183">
        <v>0</v>
      </c>
      <c r="F105" s="23">
        <f t="shared" si="11"/>
        <v>0</v>
      </c>
      <c r="G105" s="24">
        <v>0</v>
      </c>
      <c r="H105" s="24">
        <f t="shared" si="12"/>
        <v>0</v>
      </c>
    </row>
    <row r="106" spans="1:8" s="19" customFormat="1" x14ac:dyDescent="0.25">
      <c r="A106" s="35" t="s">
        <v>181</v>
      </c>
      <c r="B106" s="36" t="s">
        <v>182</v>
      </c>
      <c r="C106" s="35" t="s">
        <v>1</v>
      </c>
      <c r="D106" s="2">
        <f>D115</f>
        <v>7974</v>
      </c>
      <c r="E106" s="183">
        <v>0</v>
      </c>
      <c r="F106" s="23">
        <f t="shared" ref="F106" si="13">D106*E106</f>
        <v>0</v>
      </c>
      <c r="G106" s="24">
        <v>0</v>
      </c>
      <c r="H106" s="24">
        <f t="shared" ref="H106" si="14">D106*G106</f>
        <v>0</v>
      </c>
    </row>
    <row r="107" spans="1:8" s="19" customFormat="1" x14ac:dyDescent="0.25">
      <c r="A107" s="35" t="s">
        <v>15</v>
      </c>
      <c r="B107" s="36" t="s">
        <v>183</v>
      </c>
      <c r="C107" s="35" t="s">
        <v>1</v>
      </c>
      <c r="D107" s="2">
        <v>500</v>
      </c>
      <c r="E107" s="183">
        <v>0</v>
      </c>
      <c r="F107" s="23">
        <f t="shared" si="11"/>
        <v>0</v>
      </c>
      <c r="G107" s="24">
        <v>0</v>
      </c>
      <c r="H107" s="24">
        <f t="shared" si="12"/>
        <v>0</v>
      </c>
    </row>
    <row r="108" spans="1:8" s="19" customFormat="1" ht="39.6" x14ac:dyDescent="0.25">
      <c r="A108" s="35" t="s">
        <v>184</v>
      </c>
      <c r="B108" s="36" t="s">
        <v>185</v>
      </c>
      <c r="C108" s="35" t="s">
        <v>1</v>
      </c>
      <c r="D108" s="2">
        <f>D113+D114</f>
        <v>3975</v>
      </c>
      <c r="E108" s="183">
        <v>0</v>
      </c>
      <c r="F108" s="23">
        <f t="shared" ref="F108" si="15">D108*E108</f>
        <v>0</v>
      </c>
      <c r="G108" s="24">
        <v>0</v>
      </c>
      <c r="H108" s="24">
        <f t="shared" ref="H108" si="16">D108*G108</f>
        <v>0</v>
      </c>
    </row>
    <row r="109" spans="1:8" s="19" customFormat="1" ht="39.6" x14ac:dyDescent="0.25">
      <c r="A109" s="35" t="s">
        <v>62</v>
      </c>
      <c r="B109" s="36" t="s">
        <v>188</v>
      </c>
      <c r="C109" s="35" t="s">
        <v>37</v>
      </c>
      <c r="D109" s="2">
        <f>D104*2</f>
        <v>992</v>
      </c>
      <c r="E109" s="183">
        <v>0</v>
      </c>
      <c r="F109" s="23">
        <f t="shared" si="11"/>
        <v>0</v>
      </c>
      <c r="G109" s="24">
        <v>0</v>
      </c>
      <c r="H109" s="24">
        <f t="shared" si="12"/>
        <v>0</v>
      </c>
    </row>
    <row r="110" spans="1:8" s="47" customFormat="1" ht="15.6" x14ac:dyDescent="0.25">
      <c r="A110" s="60"/>
      <c r="B110" s="49"/>
      <c r="C110" s="62"/>
      <c r="D110" s="63"/>
      <c r="E110" s="64"/>
      <c r="F110" s="64"/>
      <c r="G110" s="65"/>
      <c r="H110" s="65"/>
    </row>
    <row r="111" spans="1:8" s="19" customFormat="1" x14ac:dyDescent="0.25">
      <c r="A111" s="96" t="s">
        <v>174</v>
      </c>
      <c r="B111" s="120"/>
      <c r="C111" s="121"/>
      <c r="D111" s="122"/>
      <c r="E111" s="123"/>
      <c r="F111" s="123">
        <f>SUM(F104:F109)</f>
        <v>0</v>
      </c>
      <c r="G111" s="124"/>
      <c r="H111" s="125">
        <f>SUM(H104:H109)</f>
        <v>0</v>
      </c>
    </row>
    <row r="112" spans="1:8" s="19" customFormat="1" x14ac:dyDescent="0.25">
      <c r="A112" s="96" t="s">
        <v>22</v>
      </c>
      <c r="B112" s="95"/>
      <c r="C112" s="94"/>
      <c r="D112" s="93"/>
      <c r="E112" s="92"/>
      <c r="F112" s="92"/>
      <c r="G112" s="99"/>
      <c r="H112" s="99"/>
    </row>
    <row r="113" spans="1:8" s="47" customFormat="1" ht="26.4" x14ac:dyDescent="0.25">
      <c r="A113" s="69"/>
      <c r="B113" s="115" t="s">
        <v>176</v>
      </c>
      <c r="C113" s="116" t="s">
        <v>19</v>
      </c>
      <c r="D113" s="117">
        <v>1353</v>
      </c>
      <c r="E113" s="91">
        <v>0</v>
      </c>
      <c r="F113" s="91">
        <f>D113*E113</f>
        <v>0</v>
      </c>
      <c r="G113" s="118">
        <v>6.9999999999999999E-4</v>
      </c>
      <c r="H113" s="118">
        <f>G113*D113</f>
        <v>0.94709999999999994</v>
      </c>
    </row>
    <row r="114" spans="1:8" s="19" customFormat="1" ht="26.4" x14ac:dyDescent="0.25">
      <c r="A114" s="25"/>
      <c r="B114" s="119" t="s">
        <v>178</v>
      </c>
      <c r="C114" s="101" t="s">
        <v>19</v>
      </c>
      <c r="D114" s="2">
        <f>2538+84</f>
        <v>2622</v>
      </c>
      <c r="E114" s="23">
        <v>0</v>
      </c>
      <c r="F114" s="23">
        <f>D114*E114</f>
        <v>0</v>
      </c>
      <c r="G114" s="24">
        <v>6.9999999999999999E-4</v>
      </c>
      <c r="H114" s="24">
        <f>G114*D114</f>
        <v>1.8353999999999999</v>
      </c>
    </row>
    <row r="115" spans="1:8" s="19" customFormat="1" ht="26.4" x14ac:dyDescent="0.25">
      <c r="A115" s="25"/>
      <c r="B115" s="119" t="s">
        <v>177</v>
      </c>
      <c r="C115" s="101" t="s">
        <v>19</v>
      </c>
      <c r="D115" s="2">
        <f>2808+832+3834+500</f>
        <v>7974</v>
      </c>
      <c r="E115" s="23">
        <v>0</v>
      </c>
      <c r="F115" s="23">
        <f>D115*E115</f>
        <v>0</v>
      </c>
      <c r="G115" s="24">
        <v>5.0000000000000002E-5</v>
      </c>
      <c r="H115" s="24">
        <f>G115*D115</f>
        <v>0.3987</v>
      </c>
    </row>
    <row r="116" spans="1:8" s="47" customFormat="1" x14ac:dyDescent="0.25">
      <c r="A116" s="126" t="s">
        <v>23</v>
      </c>
      <c r="B116" s="127"/>
      <c r="C116" s="128"/>
      <c r="D116" s="129"/>
      <c r="E116" s="130"/>
      <c r="F116" s="130">
        <f>SUM(F113:F115)</f>
        <v>0</v>
      </c>
      <c r="G116" s="131"/>
      <c r="H116" s="125">
        <f>SUM(H113:H115)</f>
        <v>3.1811999999999996</v>
      </c>
    </row>
    <row r="117" spans="1:8" s="47" customFormat="1" x14ac:dyDescent="0.25">
      <c r="A117" s="96" t="s">
        <v>52</v>
      </c>
      <c r="B117" s="120"/>
      <c r="C117" s="121"/>
      <c r="D117" s="122"/>
      <c r="E117" s="123"/>
      <c r="F117" s="123">
        <f>F116*1.03*1.25</f>
        <v>0</v>
      </c>
      <c r="G117" s="24"/>
      <c r="H117" s="24"/>
    </row>
    <row r="118" spans="1:8" s="47" customFormat="1" ht="15.6" x14ac:dyDescent="0.25">
      <c r="A118" s="60"/>
      <c r="B118" s="49"/>
      <c r="C118" s="62"/>
      <c r="D118" s="63"/>
      <c r="E118" s="64"/>
      <c r="F118" s="64"/>
      <c r="G118" s="65"/>
      <c r="H118" s="65"/>
    </row>
    <row r="119" spans="1:8" s="132" customFormat="1" x14ac:dyDescent="0.25">
      <c r="A119" s="96" t="s">
        <v>175</v>
      </c>
      <c r="B119" s="95"/>
      <c r="C119" s="94"/>
      <c r="D119" s="93"/>
      <c r="E119" s="92"/>
      <c r="F119" s="92"/>
      <c r="G119" s="99"/>
      <c r="H119" s="99"/>
    </row>
    <row r="120" spans="1:8" s="132" customFormat="1" x14ac:dyDescent="0.25">
      <c r="A120" s="25"/>
      <c r="B120" s="36" t="s">
        <v>64</v>
      </c>
      <c r="C120" s="35" t="s">
        <v>63</v>
      </c>
      <c r="D120" s="35">
        <f>D104*0.0001*5*2</f>
        <v>0.49600000000000005</v>
      </c>
      <c r="E120" s="37">
        <v>0</v>
      </c>
      <c r="F120" s="133">
        <f>E120*D120</f>
        <v>0</v>
      </c>
      <c r="G120" s="24">
        <v>1E-3</v>
      </c>
      <c r="H120" s="24">
        <f>D120*G120</f>
        <v>4.9600000000000002E-4</v>
      </c>
    </row>
    <row r="121" spans="1:8" s="19" customFormat="1" ht="39.6" x14ac:dyDescent="0.25">
      <c r="A121" s="25"/>
      <c r="B121" s="36" t="s">
        <v>189</v>
      </c>
      <c r="C121" s="35" t="s">
        <v>43</v>
      </c>
      <c r="D121" s="35">
        <f>D104*0.08</f>
        <v>39.68</v>
      </c>
      <c r="E121" s="37">
        <v>0</v>
      </c>
      <c r="F121" s="23">
        <f>E121*D121</f>
        <v>0</v>
      </c>
      <c r="G121" s="24">
        <v>1.5</v>
      </c>
      <c r="H121" s="24">
        <f>D121*G121</f>
        <v>59.519999999999996</v>
      </c>
    </row>
    <row r="122" spans="1:8" s="19" customFormat="1" ht="39.6" x14ac:dyDescent="0.25">
      <c r="A122" s="25"/>
      <c r="B122" s="36" t="s">
        <v>192</v>
      </c>
      <c r="C122" s="35" t="s">
        <v>43</v>
      </c>
      <c r="D122" s="35">
        <f>(D104-100)*0.07</f>
        <v>27.720000000000002</v>
      </c>
      <c r="E122" s="37">
        <v>0</v>
      </c>
      <c r="F122" s="91">
        <f>E122*D122</f>
        <v>0</v>
      </c>
      <c r="G122" s="24">
        <v>1.5860000000000001</v>
      </c>
      <c r="H122" s="24">
        <f>D122*G122</f>
        <v>43.963920000000009</v>
      </c>
    </row>
    <row r="123" spans="1:8" s="19" customFormat="1" x14ac:dyDescent="0.25">
      <c r="A123" s="96" t="s">
        <v>55</v>
      </c>
      <c r="B123" s="120"/>
      <c r="C123" s="121"/>
      <c r="D123" s="122"/>
      <c r="E123" s="123"/>
      <c r="F123" s="137">
        <f>SUM(F120:F122)</f>
        <v>0</v>
      </c>
      <c r="G123" s="124"/>
      <c r="H123" s="136">
        <f>SUM(H120:H122)</f>
        <v>103.48441600000001</v>
      </c>
    </row>
    <row r="124" spans="1:8" s="19" customFormat="1" x14ac:dyDescent="0.25">
      <c r="A124" s="96" t="s">
        <v>21</v>
      </c>
      <c r="B124" s="120"/>
      <c r="C124" s="121"/>
      <c r="D124" s="122"/>
      <c r="E124" s="123"/>
      <c r="F124" s="123">
        <f>F123*1.02*1.25</f>
        <v>0</v>
      </c>
      <c r="G124" s="24"/>
      <c r="H124" s="24"/>
    </row>
    <row r="125" spans="1:8" s="19" customFormat="1" x14ac:dyDescent="0.25">
      <c r="A125" s="96"/>
      <c r="B125" s="120"/>
      <c r="C125" s="121"/>
      <c r="D125" s="122"/>
      <c r="E125" s="123"/>
      <c r="F125" s="123"/>
      <c r="G125" s="24"/>
      <c r="H125" s="24"/>
    </row>
    <row r="126" spans="1:8" s="19" customFormat="1" ht="26.4" x14ac:dyDescent="0.25">
      <c r="A126" s="22" t="s">
        <v>24</v>
      </c>
      <c r="B126" s="34" t="s">
        <v>25</v>
      </c>
      <c r="C126" s="101" t="s">
        <v>2</v>
      </c>
      <c r="D126" s="156">
        <f>H128</f>
        <v>106.66561600000001</v>
      </c>
      <c r="E126" s="23">
        <v>0</v>
      </c>
      <c r="F126" s="123">
        <f>D126*E126</f>
        <v>0</v>
      </c>
      <c r="G126" s="24">
        <v>0</v>
      </c>
      <c r="H126" s="24"/>
    </row>
    <row r="127" spans="1:8" s="19" customFormat="1" x14ac:dyDescent="0.25">
      <c r="A127" s="22"/>
      <c r="B127" s="34"/>
      <c r="C127" s="101"/>
      <c r="D127" s="156"/>
      <c r="E127" s="23"/>
      <c r="F127" s="123"/>
      <c r="G127" s="24"/>
      <c r="H127" s="24"/>
    </row>
    <row r="128" spans="1:8" s="19" customFormat="1" x14ac:dyDescent="0.25">
      <c r="A128" s="96" t="s">
        <v>269</v>
      </c>
      <c r="B128" s="120"/>
      <c r="C128" s="121"/>
      <c r="D128" s="122"/>
      <c r="E128" s="123"/>
      <c r="F128" s="123">
        <f>F111+F117+F124+F126</f>
        <v>0</v>
      </c>
      <c r="G128" s="124"/>
      <c r="H128" s="124">
        <f>H111+H116+H123</f>
        <v>106.66561600000001</v>
      </c>
    </row>
    <row r="129" spans="1:8" s="47" customFormat="1" x14ac:dyDescent="0.25">
      <c r="A129" s="43"/>
      <c r="B129" s="44"/>
      <c r="C129" s="45"/>
      <c r="D129" s="43"/>
      <c r="E129" s="46"/>
      <c r="F129" s="46"/>
      <c r="G129" s="46"/>
      <c r="H129" s="46"/>
    </row>
    <row r="130" spans="1:8" s="47" customFormat="1" ht="31.2" x14ac:dyDescent="0.25">
      <c r="A130" s="60"/>
      <c r="B130" s="27" t="s">
        <v>34</v>
      </c>
      <c r="C130" s="62"/>
      <c r="D130" s="63"/>
      <c r="E130" s="64"/>
      <c r="F130" s="64"/>
      <c r="G130" s="55"/>
      <c r="H130" s="55"/>
    </row>
    <row r="131" spans="1:8" s="47" customFormat="1" ht="15.6" x14ac:dyDescent="0.25">
      <c r="A131" s="35" t="s">
        <v>14</v>
      </c>
      <c r="B131" s="27"/>
      <c r="C131" s="62"/>
      <c r="D131" s="63"/>
      <c r="E131" s="64"/>
      <c r="F131" s="64"/>
      <c r="G131" s="55"/>
      <c r="H131" s="55"/>
    </row>
    <row r="132" spans="1:8" s="19" customFormat="1" ht="26.4" x14ac:dyDescent="0.25">
      <c r="A132" s="35" t="s">
        <v>120</v>
      </c>
      <c r="B132" s="36" t="s">
        <v>121</v>
      </c>
      <c r="C132" s="35" t="s">
        <v>1</v>
      </c>
      <c r="D132" s="2">
        <v>38</v>
      </c>
      <c r="E132" s="37">
        <v>0</v>
      </c>
      <c r="F132" s="23">
        <f t="shared" ref="F132" si="17">D132*E132</f>
        <v>0</v>
      </c>
      <c r="G132" s="24">
        <v>0</v>
      </c>
      <c r="H132" s="24">
        <f t="shared" ref="H132" si="18">D132*G132</f>
        <v>0</v>
      </c>
    </row>
    <row r="133" spans="1:8" s="19" customFormat="1" ht="39.6" x14ac:dyDescent="0.25">
      <c r="A133" s="35" t="s">
        <v>45</v>
      </c>
      <c r="B133" s="36" t="s">
        <v>122</v>
      </c>
      <c r="C133" s="35" t="s">
        <v>1</v>
      </c>
      <c r="D133" s="2">
        <v>5</v>
      </c>
      <c r="E133" s="183">
        <v>0</v>
      </c>
      <c r="F133" s="23">
        <f t="shared" ref="F133:F145" si="19">D133*E133</f>
        <v>0</v>
      </c>
      <c r="G133" s="24">
        <v>0</v>
      </c>
      <c r="H133" s="24">
        <f t="shared" ref="H133:H145" si="20">D133*G133</f>
        <v>0</v>
      </c>
    </row>
    <row r="134" spans="1:8" s="19" customFormat="1" ht="39.6" x14ac:dyDescent="0.25">
      <c r="A134" s="35" t="s">
        <v>46</v>
      </c>
      <c r="B134" s="36" t="s">
        <v>123</v>
      </c>
      <c r="C134" s="35" t="s">
        <v>1</v>
      </c>
      <c r="D134" s="2">
        <v>6</v>
      </c>
      <c r="E134" s="183">
        <v>0</v>
      </c>
      <c r="F134" s="23">
        <f t="shared" si="19"/>
        <v>0</v>
      </c>
      <c r="G134" s="24">
        <v>0</v>
      </c>
      <c r="H134" s="24">
        <f t="shared" si="20"/>
        <v>0</v>
      </c>
    </row>
    <row r="135" spans="1:8" s="19" customFormat="1" ht="39.6" x14ac:dyDescent="0.25">
      <c r="A135" s="35" t="s">
        <v>47</v>
      </c>
      <c r="B135" s="36" t="s">
        <v>124</v>
      </c>
      <c r="C135" s="35" t="s">
        <v>1</v>
      </c>
      <c r="D135" s="2">
        <v>6</v>
      </c>
      <c r="E135" s="183">
        <v>0</v>
      </c>
      <c r="F135" s="23">
        <f t="shared" si="19"/>
        <v>0</v>
      </c>
      <c r="G135" s="24">
        <v>0</v>
      </c>
      <c r="H135" s="24">
        <f t="shared" si="20"/>
        <v>0</v>
      </c>
    </row>
    <row r="136" spans="1:8" s="19" customFormat="1" ht="39.6" x14ac:dyDescent="0.25">
      <c r="A136" s="35" t="s">
        <v>49</v>
      </c>
      <c r="B136" s="36" t="s">
        <v>125</v>
      </c>
      <c r="C136" s="35" t="s">
        <v>1</v>
      </c>
      <c r="D136" s="2">
        <v>1</v>
      </c>
      <c r="E136" s="183">
        <v>0</v>
      </c>
      <c r="F136" s="23">
        <f t="shared" si="19"/>
        <v>0</v>
      </c>
      <c r="G136" s="24">
        <v>0</v>
      </c>
      <c r="H136" s="24">
        <f t="shared" si="20"/>
        <v>0</v>
      </c>
    </row>
    <row r="137" spans="1:8" s="19" customFormat="1" ht="39.6" x14ac:dyDescent="0.25">
      <c r="A137" s="35" t="s">
        <v>126</v>
      </c>
      <c r="B137" s="36" t="s">
        <v>127</v>
      </c>
      <c r="C137" s="35" t="s">
        <v>1</v>
      </c>
      <c r="D137" s="2">
        <v>3</v>
      </c>
      <c r="E137" s="183">
        <v>0</v>
      </c>
      <c r="F137" s="23">
        <f t="shared" ref="F137" si="21">D137*E137</f>
        <v>0</v>
      </c>
      <c r="G137" s="24">
        <v>0</v>
      </c>
      <c r="H137" s="24">
        <f t="shared" ref="H137" si="22">D137*G137</f>
        <v>0</v>
      </c>
    </row>
    <row r="138" spans="1:8" s="19" customFormat="1" ht="39.6" x14ac:dyDescent="0.25">
      <c r="A138" s="35" t="s">
        <v>48</v>
      </c>
      <c r="B138" s="36" t="s">
        <v>128</v>
      </c>
      <c r="C138" s="35" t="s">
        <v>1</v>
      </c>
      <c r="D138" s="2">
        <v>3</v>
      </c>
      <c r="E138" s="183">
        <v>0</v>
      </c>
      <c r="F138" s="23">
        <f t="shared" si="19"/>
        <v>0</v>
      </c>
      <c r="G138" s="24">
        <v>0</v>
      </c>
      <c r="H138" s="24">
        <f t="shared" si="20"/>
        <v>0</v>
      </c>
    </row>
    <row r="139" spans="1:8" s="19" customFormat="1" ht="39.6" x14ac:dyDescent="0.25">
      <c r="A139" s="35" t="s">
        <v>50</v>
      </c>
      <c r="B139" s="36" t="s">
        <v>129</v>
      </c>
      <c r="C139" s="35" t="s">
        <v>1</v>
      </c>
      <c r="D139" s="2">
        <v>2</v>
      </c>
      <c r="E139" s="183">
        <v>0</v>
      </c>
      <c r="F139" s="23">
        <f t="shared" ref="F139" si="23">D139*E139</f>
        <v>0</v>
      </c>
      <c r="G139" s="24">
        <v>0</v>
      </c>
      <c r="H139" s="24">
        <f t="shared" ref="H139" si="24">D139*G139</f>
        <v>0</v>
      </c>
    </row>
    <row r="140" spans="1:8" s="19" customFormat="1" ht="39.6" x14ac:dyDescent="0.25">
      <c r="A140" s="35" t="s">
        <v>130</v>
      </c>
      <c r="B140" s="36" t="s">
        <v>131</v>
      </c>
      <c r="C140" s="35" t="s">
        <v>1</v>
      </c>
      <c r="D140" s="2">
        <v>1</v>
      </c>
      <c r="E140" s="183">
        <v>0</v>
      </c>
      <c r="F140" s="23">
        <f t="shared" si="19"/>
        <v>0</v>
      </c>
      <c r="G140" s="24">
        <v>0</v>
      </c>
      <c r="H140" s="24">
        <f t="shared" si="20"/>
        <v>0</v>
      </c>
    </row>
    <row r="141" spans="1:8" s="19" customFormat="1" ht="26.4" x14ac:dyDescent="0.25">
      <c r="A141" s="35" t="s">
        <v>15</v>
      </c>
      <c r="B141" s="36" t="s">
        <v>78</v>
      </c>
      <c r="C141" s="35" t="s">
        <v>1</v>
      </c>
      <c r="D141" s="2">
        <f>SUM(D131:D140)</f>
        <v>65</v>
      </c>
      <c r="E141" s="183">
        <v>0</v>
      </c>
      <c r="F141" s="23">
        <f t="shared" ref="F141:F144" si="25">D141*E141</f>
        <v>0</v>
      </c>
      <c r="G141" s="24">
        <v>0</v>
      </c>
      <c r="H141" s="24">
        <f t="shared" ref="H141:H144" si="26">D141*G141</f>
        <v>0</v>
      </c>
    </row>
    <row r="142" spans="1:8" s="19" customFormat="1" ht="26.4" x14ac:dyDescent="0.25">
      <c r="A142" s="35" t="s">
        <v>15</v>
      </c>
      <c r="B142" s="36" t="s">
        <v>133</v>
      </c>
      <c r="C142" s="35" t="s">
        <v>37</v>
      </c>
      <c r="D142" s="2">
        <f>566-121</f>
        <v>445</v>
      </c>
      <c r="E142" s="183">
        <v>0</v>
      </c>
      <c r="F142" s="23">
        <f t="shared" ref="F142" si="27">D142*E142</f>
        <v>0</v>
      </c>
      <c r="G142" s="24">
        <v>0</v>
      </c>
      <c r="H142" s="24">
        <f t="shared" ref="H142" si="28">D142*G142</f>
        <v>0</v>
      </c>
    </row>
    <row r="143" spans="1:8" s="19" customFormat="1" ht="26.4" x14ac:dyDescent="0.25">
      <c r="A143" s="35" t="s">
        <v>15</v>
      </c>
      <c r="B143" s="36" t="s">
        <v>135</v>
      </c>
      <c r="C143" s="35" t="s">
        <v>37</v>
      </c>
      <c r="D143" s="2">
        <v>121</v>
      </c>
      <c r="E143" s="183">
        <v>0</v>
      </c>
      <c r="F143" s="23">
        <f t="shared" si="25"/>
        <v>0</v>
      </c>
      <c r="G143" s="24">
        <v>0</v>
      </c>
      <c r="H143" s="24">
        <f t="shared" si="26"/>
        <v>0</v>
      </c>
    </row>
    <row r="144" spans="1:8" s="19" customFormat="1" ht="26.4" x14ac:dyDescent="0.25">
      <c r="A144" s="35" t="s">
        <v>132</v>
      </c>
      <c r="B144" s="36" t="s">
        <v>134</v>
      </c>
      <c r="C144" s="35" t="s">
        <v>1</v>
      </c>
      <c r="D144" s="2">
        <v>8</v>
      </c>
      <c r="E144" s="183">
        <v>0</v>
      </c>
      <c r="F144" s="23">
        <f t="shared" si="25"/>
        <v>0</v>
      </c>
      <c r="G144" s="24">
        <v>0</v>
      </c>
      <c r="H144" s="24">
        <f t="shared" si="26"/>
        <v>0</v>
      </c>
    </row>
    <row r="145" spans="1:8" s="19" customFormat="1" ht="26.4" x14ac:dyDescent="0.25">
      <c r="A145" s="35" t="s">
        <v>15</v>
      </c>
      <c r="B145" s="36" t="s">
        <v>136</v>
      </c>
      <c r="C145" s="35" t="s">
        <v>37</v>
      </c>
      <c r="D145" s="2">
        <f>D142+D143+(8*3)</f>
        <v>590</v>
      </c>
      <c r="E145" s="183">
        <v>0</v>
      </c>
      <c r="F145" s="23">
        <f t="shared" si="19"/>
        <v>0</v>
      </c>
      <c r="G145" s="24">
        <v>0</v>
      </c>
      <c r="H145" s="24">
        <f t="shared" si="20"/>
        <v>0</v>
      </c>
    </row>
    <row r="146" spans="1:8" s="47" customFormat="1" x14ac:dyDescent="0.25">
      <c r="A146" s="60"/>
      <c r="B146" s="61"/>
      <c r="C146" s="62"/>
      <c r="D146" s="82"/>
      <c r="E146" s="64"/>
      <c r="F146" s="64"/>
      <c r="G146" s="55"/>
      <c r="H146" s="55"/>
    </row>
    <row r="147" spans="1:8" s="19" customFormat="1" x14ac:dyDescent="0.25">
      <c r="A147" s="96" t="s">
        <v>270</v>
      </c>
      <c r="B147" s="120"/>
      <c r="C147" s="121"/>
      <c r="D147" s="122"/>
      <c r="E147" s="123"/>
      <c r="F147" s="123">
        <f>SUM(F132:F145)</f>
        <v>0</v>
      </c>
      <c r="G147" s="124"/>
      <c r="H147" s="124">
        <f>SUM(H132:H145)</f>
        <v>0</v>
      </c>
    </row>
    <row r="148" spans="1:8" s="47" customFormat="1" x14ac:dyDescent="0.25">
      <c r="A148" s="60"/>
      <c r="B148" s="61"/>
      <c r="C148" s="62"/>
      <c r="D148" s="63"/>
      <c r="E148" s="64"/>
      <c r="F148" s="64"/>
      <c r="G148" s="55"/>
      <c r="H148" s="55"/>
    </row>
    <row r="149" spans="1:8" s="47" customFormat="1" ht="68.400000000000006" x14ac:dyDescent="0.25">
      <c r="A149" s="56"/>
      <c r="B149" s="138" t="s">
        <v>255</v>
      </c>
      <c r="C149" s="35"/>
      <c r="D149" s="84"/>
      <c r="E149" s="84"/>
      <c r="F149" s="85"/>
      <c r="G149" s="55"/>
      <c r="H149" s="55"/>
    </row>
    <row r="150" spans="1:8" s="47" customFormat="1" ht="13.8" x14ac:dyDescent="0.3">
      <c r="A150" s="22" t="s">
        <v>14</v>
      </c>
      <c r="B150" s="86"/>
      <c r="C150" s="42"/>
      <c r="D150" s="87"/>
      <c r="E150" s="42"/>
      <c r="F150" s="42"/>
      <c r="G150" s="42"/>
      <c r="H150" s="42"/>
    </row>
    <row r="151" spans="1:8" s="19" customFormat="1" ht="52.8" x14ac:dyDescent="0.25">
      <c r="A151" s="22" t="s">
        <v>257</v>
      </c>
      <c r="B151" s="34" t="s">
        <v>258</v>
      </c>
      <c r="C151" s="35" t="s">
        <v>37</v>
      </c>
      <c r="D151" s="22">
        <v>101</v>
      </c>
      <c r="E151" s="23">
        <v>0</v>
      </c>
      <c r="F151" s="23">
        <f t="shared" ref="F151" si="29">D151*E151</f>
        <v>0</v>
      </c>
      <c r="G151" s="24">
        <v>0</v>
      </c>
      <c r="H151" s="24">
        <f>D151*G151</f>
        <v>0</v>
      </c>
    </row>
    <row r="152" spans="1:8" s="47" customFormat="1" x14ac:dyDescent="0.25">
      <c r="A152" s="22" t="s">
        <v>18</v>
      </c>
      <c r="B152" s="57"/>
      <c r="C152" s="52"/>
      <c r="D152" s="88"/>
      <c r="E152" s="51"/>
      <c r="F152" s="51"/>
      <c r="G152" s="55"/>
      <c r="H152" s="55"/>
    </row>
    <row r="153" spans="1:8" s="19" customFormat="1" ht="42.75" customHeight="1" x14ac:dyDescent="0.25">
      <c r="A153" s="22" t="s">
        <v>259</v>
      </c>
      <c r="B153" s="34" t="s">
        <v>260</v>
      </c>
      <c r="C153" s="35" t="s">
        <v>37</v>
      </c>
      <c r="D153" s="22">
        <f>D151</f>
        <v>101</v>
      </c>
      <c r="E153" s="23">
        <v>0</v>
      </c>
      <c r="F153" s="23">
        <f>D153*E153</f>
        <v>0</v>
      </c>
      <c r="G153" s="24">
        <v>0</v>
      </c>
      <c r="H153" s="24">
        <f t="shared" ref="H153" si="30">D153*G153</f>
        <v>0</v>
      </c>
    </row>
    <row r="154" spans="1:8" s="47" customFormat="1" x14ac:dyDescent="0.25">
      <c r="A154" s="56"/>
      <c r="B154" s="120"/>
      <c r="C154" s="52"/>
      <c r="D154" s="56"/>
      <c r="E154" s="51"/>
      <c r="F154" s="51"/>
      <c r="G154" s="55"/>
      <c r="H154" s="55"/>
    </row>
    <row r="155" spans="1:8" s="19" customFormat="1" ht="15.6" x14ac:dyDescent="0.25">
      <c r="A155" s="96" t="s">
        <v>271</v>
      </c>
      <c r="B155" s="49"/>
      <c r="C155" s="121"/>
      <c r="D155" s="122"/>
      <c r="E155" s="123"/>
      <c r="F155" s="123">
        <f>SUM(F150:F153)</f>
        <v>0</v>
      </c>
      <c r="G155" s="124"/>
      <c r="H155" s="124">
        <f>SUM(H150:H153)</f>
        <v>0</v>
      </c>
    </row>
    <row r="156" spans="1:8" s="167" customFormat="1" ht="15.6" x14ac:dyDescent="0.25">
      <c r="A156" s="220"/>
      <c r="B156" s="188"/>
      <c r="C156" s="231"/>
      <c r="D156" s="232"/>
      <c r="E156" s="233"/>
      <c r="F156" s="233"/>
      <c r="G156" s="234"/>
      <c r="H156" s="234"/>
    </row>
    <row r="157" spans="1:8" s="186" customFormat="1" ht="78" x14ac:dyDescent="0.25">
      <c r="A157" s="195"/>
      <c r="B157" s="175" t="s">
        <v>288</v>
      </c>
      <c r="C157" s="191"/>
      <c r="D157" s="195"/>
      <c r="E157" s="190"/>
      <c r="F157" s="190"/>
      <c r="G157" s="194"/>
      <c r="H157" s="194"/>
    </row>
    <row r="158" spans="1:8" s="186" customFormat="1" ht="15.6" x14ac:dyDescent="0.25">
      <c r="A158" s="170" t="s">
        <v>14</v>
      </c>
      <c r="B158" s="188"/>
      <c r="C158" s="191"/>
      <c r="D158" s="195"/>
      <c r="E158" s="190"/>
      <c r="F158" s="190"/>
      <c r="G158" s="194"/>
      <c r="H158" s="194"/>
    </row>
    <row r="159" spans="1:8" s="167" customFormat="1" ht="26.4" x14ac:dyDescent="0.25">
      <c r="A159" s="170" t="s">
        <v>54</v>
      </c>
      <c r="B159" s="182" t="s">
        <v>300</v>
      </c>
      <c r="C159" s="181" t="s">
        <v>37</v>
      </c>
      <c r="D159" s="170">
        <v>4419</v>
      </c>
      <c r="E159" s="171">
        <v>0</v>
      </c>
      <c r="F159" s="171">
        <f>D159*E159</f>
        <v>0</v>
      </c>
      <c r="G159" s="172">
        <v>0</v>
      </c>
      <c r="H159" s="172">
        <f t="shared" ref="H159" si="31">D159*G159</f>
        <v>0</v>
      </c>
    </row>
    <row r="160" spans="1:8" s="167" customFormat="1" ht="26.4" x14ac:dyDescent="0.25">
      <c r="A160" s="170" t="s">
        <v>15</v>
      </c>
      <c r="B160" s="182" t="s">
        <v>298</v>
      </c>
      <c r="C160" s="181" t="s">
        <v>37</v>
      </c>
      <c r="D160" s="170">
        <v>4419</v>
      </c>
      <c r="E160" s="171">
        <v>0</v>
      </c>
      <c r="F160" s="171">
        <f>D160*E160</f>
        <v>0</v>
      </c>
      <c r="G160" s="172">
        <v>0</v>
      </c>
      <c r="H160" s="172">
        <f t="shared" ref="H160" si="32">D160*G160</f>
        <v>0</v>
      </c>
    </row>
    <row r="161" spans="1:8" s="167" customFormat="1" ht="26.4" x14ac:dyDescent="0.25">
      <c r="A161" s="170" t="s">
        <v>15</v>
      </c>
      <c r="B161" s="182" t="s">
        <v>299</v>
      </c>
      <c r="C161" s="181" t="s">
        <v>37</v>
      </c>
      <c r="D161" s="170">
        <v>4419</v>
      </c>
      <c r="E161" s="171">
        <v>0</v>
      </c>
      <c r="F161" s="171">
        <f>D161*E161</f>
        <v>0</v>
      </c>
      <c r="G161" s="172">
        <v>0</v>
      </c>
      <c r="H161" s="172">
        <f>D161*G161</f>
        <v>0</v>
      </c>
    </row>
    <row r="162" spans="1:8" s="167" customFormat="1" ht="15.6" x14ac:dyDescent="0.25">
      <c r="A162" s="181" t="s">
        <v>289</v>
      </c>
      <c r="B162" s="182" t="s">
        <v>290</v>
      </c>
      <c r="C162" s="181" t="s">
        <v>37</v>
      </c>
      <c r="D162" s="170">
        <f>D160</f>
        <v>4419</v>
      </c>
      <c r="E162" s="171">
        <v>0</v>
      </c>
      <c r="F162" s="171">
        <f t="shared" ref="F162:F164" si="33">D162*E162</f>
        <v>0</v>
      </c>
      <c r="G162" s="172">
        <v>0</v>
      </c>
      <c r="H162" s="172">
        <f t="shared" ref="H162:H164" si="34">D162*G162</f>
        <v>0</v>
      </c>
    </row>
    <row r="163" spans="1:8" s="167" customFormat="1" ht="15.6" x14ac:dyDescent="0.25">
      <c r="A163" s="181" t="s">
        <v>291</v>
      </c>
      <c r="B163" s="182" t="s">
        <v>292</v>
      </c>
      <c r="C163" s="181" t="s">
        <v>37</v>
      </c>
      <c r="D163" s="170">
        <f>D160</f>
        <v>4419</v>
      </c>
      <c r="E163" s="171">
        <v>0</v>
      </c>
      <c r="F163" s="171">
        <f t="shared" si="33"/>
        <v>0</v>
      </c>
      <c r="G163" s="172">
        <v>0</v>
      </c>
      <c r="H163" s="172">
        <f t="shared" si="34"/>
        <v>0</v>
      </c>
    </row>
    <row r="164" spans="1:8" s="167" customFormat="1" ht="15.6" x14ac:dyDescent="0.25">
      <c r="A164" s="181" t="s">
        <v>291</v>
      </c>
      <c r="B164" s="182" t="s">
        <v>293</v>
      </c>
      <c r="C164" s="181" t="s">
        <v>37</v>
      </c>
      <c r="D164" s="170">
        <f>D160</f>
        <v>4419</v>
      </c>
      <c r="E164" s="171">
        <v>0</v>
      </c>
      <c r="F164" s="171">
        <f t="shared" si="33"/>
        <v>0</v>
      </c>
      <c r="G164" s="172">
        <v>0</v>
      </c>
      <c r="H164" s="172">
        <f t="shared" si="34"/>
        <v>0</v>
      </c>
    </row>
    <row r="165" spans="1:8" s="167" customFormat="1" ht="15.6" x14ac:dyDescent="0.25">
      <c r="A165" s="181" t="s">
        <v>295</v>
      </c>
      <c r="B165" s="182" t="s">
        <v>294</v>
      </c>
      <c r="C165" s="181" t="s">
        <v>37</v>
      </c>
      <c r="D165" s="170">
        <f>D160</f>
        <v>4419</v>
      </c>
      <c r="E165" s="171">
        <v>0</v>
      </c>
      <c r="F165" s="171">
        <f>D165*E165</f>
        <v>0</v>
      </c>
      <c r="G165" s="172">
        <v>0</v>
      </c>
      <c r="H165" s="172">
        <f>D165*G165</f>
        <v>0</v>
      </c>
    </row>
    <row r="166" spans="1:8" s="186" customFormat="1" x14ac:dyDescent="0.25">
      <c r="A166" s="187"/>
      <c r="B166" s="192"/>
      <c r="C166" s="191"/>
      <c r="D166" s="195"/>
      <c r="E166" s="190"/>
      <c r="F166" s="190"/>
      <c r="G166" s="194"/>
      <c r="H166" s="194"/>
    </row>
    <row r="167" spans="1:8" s="167" customFormat="1" x14ac:dyDescent="0.25">
      <c r="A167" s="220" t="s">
        <v>53</v>
      </c>
      <c r="B167" s="182"/>
      <c r="C167" s="181"/>
      <c r="D167" s="170"/>
      <c r="E167" s="171"/>
      <c r="F167" s="258">
        <f>SUM(F159:F165)</f>
        <v>0</v>
      </c>
      <c r="G167" s="172"/>
      <c r="H167" s="246">
        <f>SUM(H159:H165)</f>
        <v>0</v>
      </c>
    </row>
    <row r="168" spans="1:8" s="186" customFormat="1" x14ac:dyDescent="0.25">
      <c r="A168" s="187"/>
      <c r="B168" s="192"/>
      <c r="C168" s="191"/>
      <c r="D168" s="195"/>
      <c r="E168" s="190"/>
      <c r="F168" s="190"/>
      <c r="G168" s="194"/>
      <c r="H168" s="194"/>
    </row>
    <row r="169" spans="1:8" s="167" customFormat="1" x14ac:dyDescent="0.25">
      <c r="A169" s="220" t="s">
        <v>301</v>
      </c>
      <c r="B169" s="230"/>
      <c r="C169" s="181"/>
      <c r="D169" s="170"/>
      <c r="E169" s="171"/>
      <c r="F169" s="171"/>
      <c r="G169" s="172"/>
      <c r="H169" s="172"/>
    </row>
    <row r="170" spans="1:8" s="167" customFormat="1" ht="26.4" x14ac:dyDescent="0.25">
      <c r="A170" s="170"/>
      <c r="B170" s="182" t="s">
        <v>302</v>
      </c>
      <c r="C170" s="181" t="s">
        <v>11</v>
      </c>
      <c r="D170" s="181">
        <f>D161*0.03</f>
        <v>132.57</v>
      </c>
      <c r="E170" s="183">
        <v>0</v>
      </c>
      <c r="F170" s="243">
        <f>E170*D170</f>
        <v>0</v>
      </c>
      <c r="G170" s="172">
        <v>1E-3</v>
      </c>
      <c r="H170" s="172">
        <f>D170*G170</f>
        <v>0.13256999999999999</v>
      </c>
    </row>
    <row r="171" spans="1:8" s="167" customFormat="1" x14ac:dyDescent="0.25">
      <c r="A171" s="220" t="s">
        <v>55</v>
      </c>
      <c r="B171" s="230"/>
      <c r="C171" s="231"/>
      <c r="D171" s="232"/>
      <c r="E171" s="233"/>
      <c r="F171" s="247">
        <f>F170</f>
        <v>0</v>
      </c>
      <c r="G171" s="234"/>
      <c r="H171" s="246">
        <f>H167+H170</f>
        <v>0.13256999999999999</v>
      </c>
    </row>
    <row r="172" spans="1:8" s="167" customFormat="1" x14ac:dyDescent="0.25">
      <c r="A172" s="220" t="s">
        <v>17</v>
      </c>
      <c r="B172" s="230"/>
      <c r="C172" s="231"/>
      <c r="D172" s="232"/>
      <c r="E172" s="233"/>
      <c r="F172" s="233">
        <f>F171*1.03*1.25</f>
        <v>0</v>
      </c>
      <c r="G172" s="172"/>
      <c r="H172" s="172"/>
    </row>
    <row r="173" spans="1:8" s="186" customFormat="1" x14ac:dyDescent="0.25">
      <c r="A173" s="208"/>
      <c r="B173" s="200"/>
      <c r="C173" s="191"/>
      <c r="D173" s="191"/>
      <c r="E173" s="193"/>
      <c r="F173" s="214"/>
      <c r="G173" s="194"/>
      <c r="H173" s="194"/>
    </row>
    <row r="174" spans="1:8" s="167" customFormat="1" ht="26.4" x14ac:dyDescent="0.25">
      <c r="A174" s="170" t="s">
        <v>24</v>
      </c>
      <c r="B174" s="180" t="s">
        <v>25</v>
      </c>
      <c r="C174" s="223" t="s">
        <v>2</v>
      </c>
      <c r="D174" s="156">
        <f>H171</f>
        <v>0.13256999999999999</v>
      </c>
      <c r="E174" s="171">
        <v>0</v>
      </c>
      <c r="F174" s="247">
        <f>D174*E174</f>
        <v>0</v>
      </c>
      <c r="G174" s="172"/>
      <c r="H174" s="172"/>
    </row>
    <row r="175" spans="1:8" s="167" customFormat="1" x14ac:dyDescent="0.25">
      <c r="A175" s="170"/>
      <c r="B175" s="180"/>
      <c r="C175" s="223"/>
      <c r="D175" s="156"/>
      <c r="E175" s="171"/>
      <c r="F175" s="247"/>
      <c r="G175" s="172"/>
      <c r="H175" s="172"/>
    </row>
    <row r="176" spans="1:8" s="167" customFormat="1" x14ac:dyDescent="0.25">
      <c r="A176" s="220" t="s">
        <v>287</v>
      </c>
      <c r="B176" s="180"/>
      <c r="C176" s="223"/>
      <c r="D176" s="156"/>
      <c r="E176" s="171"/>
      <c r="F176" s="247">
        <f>F167+F172+F174</f>
        <v>0</v>
      </c>
      <c r="G176" s="172"/>
      <c r="H176" s="172"/>
    </row>
    <row r="177" spans="1:8" s="167" customFormat="1" ht="15.6" x14ac:dyDescent="0.25">
      <c r="A177" s="220"/>
      <c r="B177" s="188"/>
      <c r="C177" s="231"/>
      <c r="D177" s="232"/>
      <c r="E177" s="233"/>
      <c r="F177" s="233"/>
      <c r="G177" s="234"/>
      <c r="H177" s="234"/>
    </row>
    <row r="178" spans="1:8" s="167" customFormat="1" ht="78" x14ac:dyDescent="0.25">
      <c r="A178" s="170"/>
      <c r="B178" s="175" t="s">
        <v>278</v>
      </c>
      <c r="C178" s="181"/>
      <c r="D178" s="170"/>
      <c r="E178" s="171"/>
      <c r="F178" s="171"/>
      <c r="G178" s="172"/>
      <c r="H178" s="172"/>
    </row>
    <row r="179" spans="1:8" s="167" customFormat="1" ht="15.6" x14ac:dyDescent="0.25">
      <c r="A179" s="170" t="s">
        <v>14</v>
      </c>
      <c r="B179" s="175"/>
      <c r="C179" s="181"/>
      <c r="D179" s="170"/>
      <c r="E179" s="171"/>
      <c r="F179" s="171"/>
      <c r="G179" s="172"/>
      <c r="H179" s="172"/>
    </row>
    <row r="180" spans="1:8" s="167" customFormat="1" ht="39.6" x14ac:dyDescent="0.25">
      <c r="A180" s="170" t="s">
        <v>15</v>
      </c>
      <c r="B180" s="182" t="s">
        <v>296</v>
      </c>
      <c r="C180" s="181" t="s">
        <v>37</v>
      </c>
      <c r="D180" s="170">
        <v>2794</v>
      </c>
      <c r="E180" s="171">
        <v>0</v>
      </c>
      <c r="F180" s="171">
        <f>D180*E180</f>
        <v>0</v>
      </c>
      <c r="G180" s="172">
        <v>0</v>
      </c>
      <c r="H180" s="172">
        <f t="shared" ref="H180" si="35">D180*G180</f>
        <v>0</v>
      </c>
    </row>
    <row r="181" spans="1:8" s="167" customFormat="1" ht="39.6" x14ac:dyDescent="0.25">
      <c r="A181" s="170" t="s">
        <v>15</v>
      </c>
      <c r="B181" s="182" t="s">
        <v>297</v>
      </c>
      <c r="C181" s="181" t="s">
        <v>37</v>
      </c>
      <c r="D181" s="170">
        <v>2794</v>
      </c>
      <c r="E181" s="171">
        <v>0</v>
      </c>
      <c r="F181" s="171">
        <f>D181*E181</f>
        <v>0</v>
      </c>
      <c r="G181" s="172">
        <v>0</v>
      </c>
      <c r="H181" s="172">
        <f t="shared" ref="H181" si="36">D181*G181</f>
        <v>0</v>
      </c>
    </row>
    <row r="182" spans="1:8" s="167" customFormat="1" ht="39.6" x14ac:dyDescent="0.25">
      <c r="A182" s="181" t="s">
        <v>279</v>
      </c>
      <c r="B182" s="182" t="s">
        <v>281</v>
      </c>
      <c r="C182" s="181" t="s">
        <v>37</v>
      </c>
      <c r="D182" s="170">
        <v>2794</v>
      </c>
      <c r="E182" s="171">
        <v>0</v>
      </c>
      <c r="F182" s="171">
        <f t="shared" ref="F182:F184" si="37">D182*E182</f>
        <v>0</v>
      </c>
      <c r="G182" s="172">
        <v>0</v>
      </c>
      <c r="H182" s="172">
        <f t="shared" ref="H182:H183" si="38">D182*G182</f>
        <v>0</v>
      </c>
    </row>
    <row r="183" spans="1:8" s="167" customFormat="1" ht="26.4" x14ac:dyDescent="0.25">
      <c r="A183" s="174" t="s">
        <v>280</v>
      </c>
      <c r="B183" s="182" t="s">
        <v>282</v>
      </c>
      <c r="C183" s="181" t="s">
        <v>37</v>
      </c>
      <c r="D183" s="170">
        <v>2794</v>
      </c>
      <c r="E183" s="171">
        <v>0</v>
      </c>
      <c r="F183" s="171">
        <f t="shared" ref="F183" si="39">D183*E183</f>
        <v>0</v>
      </c>
      <c r="G183" s="172">
        <v>0</v>
      </c>
      <c r="H183" s="172">
        <f t="shared" si="38"/>
        <v>0</v>
      </c>
    </row>
    <row r="184" spans="1:8" s="167" customFormat="1" ht="26.4" x14ac:dyDescent="0.25">
      <c r="A184" s="174" t="s">
        <v>280</v>
      </c>
      <c r="B184" s="182" t="s">
        <v>283</v>
      </c>
      <c r="C184" s="181" t="s">
        <v>37</v>
      </c>
      <c r="D184" s="170">
        <v>2794</v>
      </c>
      <c r="E184" s="171">
        <v>0</v>
      </c>
      <c r="F184" s="171">
        <f t="shared" si="37"/>
        <v>0</v>
      </c>
      <c r="G184" s="172">
        <v>0</v>
      </c>
      <c r="H184" s="172">
        <f t="shared" ref="H184" si="40">D184*G184</f>
        <v>0</v>
      </c>
    </row>
    <row r="185" spans="1:8" s="167" customFormat="1" x14ac:dyDescent="0.25">
      <c r="A185" s="174"/>
      <c r="B185" s="182"/>
      <c r="C185" s="181"/>
      <c r="D185" s="170"/>
      <c r="E185" s="171"/>
      <c r="F185" s="171"/>
      <c r="G185" s="172"/>
      <c r="H185" s="172"/>
    </row>
    <row r="186" spans="1:8" s="167" customFormat="1" x14ac:dyDescent="0.25">
      <c r="A186" s="220" t="s">
        <v>284</v>
      </c>
      <c r="B186" s="182"/>
      <c r="C186" s="181"/>
      <c r="D186" s="170"/>
      <c r="E186" s="171"/>
      <c r="F186" s="258">
        <f>SUM(F180:F184)</f>
        <v>0</v>
      </c>
      <c r="G186" s="172"/>
      <c r="H186" s="246">
        <f>SUM(H180:H184)</f>
        <v>0</v>
      </c>
    </row>
    <row r="187" spans="1:8" s="167" customFormat="1" x14ac:dyDescent="0.25">
      <c r="A187" s="174"/>
      <c r="B187" s="182"/>
      <c r="C187" s="181"/>
      <c r="D187" s="170"/>
      <c r="E187" s="171"/>
      <c r="F187" s="171"/>
      <c r="G187" s="172"/>
      <c r="H187" s="172"/>
    </row>
    <row r="188" spans="1:8" s="167" customFormat="1" x14ac:dyDescent="0.25">
      <c r="A188" s="220" t="s">
        <v>285</v>
      </c>
      <c r="B188" s="230"/>
      <c r="C188" s="181"/>
      <c r="D188" s="170"/>
      <c r="E188" s="171"/>
      <c r="F188" s="171"/>
      <c r="G188" s="172"/>
      <c r="H188" s="172"/>
    </row>
    <row r="189" spans="1:8" s="167" customFormat="1" ht="26.4" x14ac:dyDescent="0.25">
      <c r="A189" s="170"/>
      <c r="B189" s="182" t="s">
        <v>286</v>
      </c>
      <c r="C189" s="181" t="s">
        <v>11</v>
      </c>
      <c r="D189" s="181">
        <f>D183*0.025</f>
        <v>69.850000000000009</v>
      </c>
      <c r="E189" s="183">
        <v>0</v>
      </c>
      <c r="F189" s="243">
        <f>E189*D189</f>
        <v>0</v>
      </c>
      <c r="G189" s="172">
        <v>1E-3</v>
      </c>
      <c r="H189" s="172">
        <f>D189*G189</f>
        <v>6.9850000000000009E-2</v>
      </c>
    </row>
    <row r="190" spans="1:8" s="167" customFormat="1" x14ac:dyDescent="0.25">
      <c r="A190" s="220" t="s">
        <v>55</v>
      </c>
      <c r="B190" s="230"/>
      <c r="C190" s="231"/>
      <c r="D190" s="232"/>
      <c r="E190" s="233"/>
      <c r="F190" s="247">
        <f>F189</f>
        <v>0</v>
      </c>
      <c r="G190" s="234"/>
      <c r="H190" s="246">
        <f>H189+H186</f>
        <v>6.9850000000000009E-2</v>
      </c>
    </row>
    <row r="191" spans="1:8" s="167" customFormat="1" x14ac:dyDescent="0.25">
      <c r="A191" s="220" t="s">
        <v>17</v>
      </c>
      <c r="B191" s="230"/>
      <c r="C191" s="231"/>
      <c r="D191" s="232"/>
      <c r="E191" s="233"/>
      <c r="F191" s="233">
        <f>F190*1.03*1.25</f>
        <v>0</v>
      </c>
      <c r="G191" s="172"/>
      <c r="H191" s="172"/>
    </row>
    <row r="192" spans="1:8" s="47" customFormat="1" x14ac:dyDescent="0.25">
      <c r="A192" s="69"/>
      <c r="B192" s="61"/>
      <c r="C192" s="52"/>
      <c r="D192" s="52"/>
      <c r="E192" s="54"/>
      <c r="F192" s="81"/>
      <c r="G192" s="55"/>
      <c r="H192" s="55"/>
    </row>
    <row r="193" spans="1:8" s="19" customFormat="1" ht="26.4" x14ac:dyDescent="0.25">
      <c r="A193" s="22" t="s">
        <v>24</v>
      </c>
      <c r="B193" s="34" t="s">
        <v>25</v>
      </c>
      <c r="C193" s="101" t="s">
        <v>2</v>
      </c>
      <c r="D193" s="156">
        <f>H190</f>
        <v>6.9850000000000009E-2</v>
      </c>
      <c r="E193" s="23">
        <v>0</v>
      </c>
      <c r="F193" s="137">
        <f>D193*E193</f>
        <v>0</v>
      </c>
      <c r="G193" s="24">
        <v>0</v>
      </c>
      <c r="H193" s="24"/>
    </row>
    <row r="194" spans="1:8" s="19" customFormat="1" x14ac:dyDescent="0.25">
      <c r="A194" s="22"/>
      <c r="B194" s="34"/>
      <c r="C194" s="101"/>
      <c r="D194" s="156"/>
      <c r="E194" s="23"/>
      <c r="F194" s="137"/>
      <c r="G194" s="24"/>
      <c r="H194" s="24"/>
    </row>
    <row r="195" spans="1:8" s="19" customFormat="1" x14ac:dyDescent="0.25">
      <c r="A195" s="220" t="s">
        <v>287</v>
      </c>
      <c r="B195" s="34"/>
      <c r="C195" s="101"/>
      <c r="D195" s="156"/>
      <c r="E195" s="23"/>
      <c r="F195" s="137">
        <f>F186+F191+F193</f>
        <v>0</v>
      </c>
      <c r="G195" s="24"/>
      <c r="H195" s="24"/>
    </row>
    <row r="196" spans="1:8" s="19" customFormat="1" x14ac:dyDescent="0.25">
      <c r="A196" s="22"/>
      <c r="B196" s="34"/>
      <c r="C196" s="101"/>
      <c r="D196" s="156"/>
      <c r="E196" s="23"/>
      <c r="F196" s="137"/>
      <c r="G196" s="24"/>
      <c r="H196" s="24"/>
    </row>
    <row r="197" spans="1:8" s="19" customFormat="1" ht="62.4" x14ac:dyDescent="0.25">
      <c r="A197" s="22"/>
      <c r="B197" s="27" t="s">
        <v>253</v>
      </c>
      <c r="C197" s="101"/>
      <c r="D197" s="156"/>
      <c r="E197" s="23"/>
      <c r="F197" s="137"/>
      <c r="G197" s="24"/>
      <c r="H197" s="24"/>
    </row>
    <row r="198" spans="1:8" s="47" customFormat="1" ht="15.6" x14ac:dyDescent="0.25">
      <c r="A198" s="42"/>
      <c r="B198" s="49"/>
      <c r="C198" s="42"/>
      <c r="D198" s="42"/>
      <c r="E198" s="42"/>
      <c r="F198" s="42"/>
      <c r="G198" s="42"/>
      <c r="H198" s="42"/>
    </row>
    <row r="199" spans="1:8" s="19" customFormat="1" ht="15.6" x14ac:dyDescent="0.25">
      <c r="A199" s="174" t="s">
        <v>14</v>
      </c>
      <c r="B199" s="188"/>
      <c r="C199" s="187"/>
      <c r="D199" s="189"/>
      <c r="E199" s="189"/>
      <c r="F199" s="206"/>
      <c r="G199" s="189"/>
      <c r="H199" s="185"/>
    </row>
    <row r="200" spans="1:8" s="47" customFormat="1" ht="26.4" x14ac:dyDescent="0.25">
      <c r="A200" s="174" t="s">
        <v>59</v>
      </c>
      <c r="B200" s="254" t="s">
        <v>361</v>
      </c>
      <c r="C200" s="174" t="s">
        <v>1</v>
      </c>
      <c r="D200" s="181">
        <v>14</v>
      </c>
      <c r="E200" s="171">
        <v>0</v>
      </c>
      <c r="F200" s="171">
        <f>E200*D200</f>
        <v>0</v>
      </c>
      <c r="G200" s="172">
        <v>0</v>
      </c>
      <c r="H200" s="172">
        <f>D200*G200</f>
        <v>0</v>
      </c>
    </row>
    <row r="201" spans="1:8" ht="26.4" x14ac:dyDescent="0.25">
      <c r="A201" s="174" t="s">
        <v>234</v>
      </c>
      <c r="B201" s="254" t="s">
        <v>235</v>
      </c>
      <c r="C201" s="174" t="s">
        <v>1</v>
      </c>
      <c r="D201" s="181">
        <v>4</v>
      </c>
      <c r="E201" s="171">
        <v>0</v>
      </c>
      <c r="F201" s="171">
        <f>E201*D201</f>
        <v>0</v>
      </c>
      <c r="G201" s="172">
        <v>0</v>
      </c>
      <c r="H201" s="172">
        <f>D201*G201</f>
        <v>0</v>
      </c>
    </row>
    <row r="202" spans="1:8" s="47" customFormat="1" x14ac:dyDescent="0.25">
      <c r="A202" s="174" t="s">
        <v>231</v>
      </c>
      <c r="B202" s="254" t="s">
        <v>232</v>
      </c>
      <c r="C202" s="174" t="s">
        <v>1</v>
      </c>
      <c r="D202" s="181">
        <v>3</v>
      </c>
      <c r="E202" s="171">
        <v>0</v>
      </c>
      <c r="F202" s="171">
        <f t="shared" ref="F202:F204" si="41">E202*D202</f>
        <v>0</v>
      </c>
      <c r="G202" s="172">
        <v>7.2870000000000004E-2</v>
      </c>
      <c r="H202" s="172">
        <f t="shared" ref="H202:H204" si="42">D202*G202</f>
        <v>0.21861000000000003</v>
      </c>
    </row>
    <row r="203" spans="1:8" s="47" customFormat="1" ht="26.4" x14ac:dyDescent="0.25">
      <c r="A203" s="174" t="s">
        <v>15</v>
      </c>
      <c r="B203" s="254" t="s">
        <v>233</v>
      </c>
      <c r="C203" s="174" t="s">
        <v>1</v>
      </c>
      <c r="D203" s="181">
        <v>61</v>
      </c>
      <c r="E203" s="171">
        <v>0</v>
      </c>
      <c r="F203" s="171">
        <f t="shared" si="41"/>
        <v>0</v>
      </c>
      <c r="G203" s="172">
        <v>0.35743999999999998</v>
      </c>
      <c r="H203" s="172">
        <f t="shared" si="42"/>
        <v>21.803839999999997</v>
      </c>
    </row>
    <row r="204" spans="1:8" s="19" customFormat="1" ht="39.6" x14ac:dyDescent="0.25">
      <c r="A204" s="174" t="s">
        <v>15</v>
      </c>
      <c r="B204" s="254" t="s">
        <v>261</v>
      </c>
      <c r="C204" s="174" t="s">
        <v>1</v>
      </c>
      <c r="D204" s="181">
        <v>18</v>
      </c>
      <c r="E204" s="171">
        <v>0</v>
      </c>
      <c r="F204" s="171">
        <f t="shared" si="41"/>
        <v>0</v>
      </c>
      <c r="G204" s="172">
        <v>0.7</v>
      </c>
      <c r="H204" s="172">
        <f t="shared" si="42"/>
        <v>12.6</v>
      </c>
    </row>
    <row r="205" spans="1:8" s="167" customFormat="1" x14ac:dyDescent="0.25">
      <c r="A205" s="174"/>
      <c r="B205" s="254"/>
      <c r="C205" s="174"/>
      <c r="D205" s="181"/>
      <c r="E205" s="171"/>
      <c r="F205" s="171"/>
      <c r="G205" s="172"/>
      <c r="H205" s="172"/>
    </row>
    <row r="206" spans="1:8" s="167" customFormat="1" x14ac:dyDescent="0.25">
      <c r="A206" s="220" t="s">
        <v>254</v>
      </c>
      <c r="B206" s="254"/>
      <c r="C206" s="174"/>
      <c r="D206" s="181"/>
      <c r="E206" s="171"/>
      <c r="F206" s="247">
        <f>SUM(F200:F204)</f>
        <v>0</v>
      </c>
      <c r="G206" s="172"/>
      <c r="H206" s="246">
        <f>SUM(H200:H204)</f>
        <v>34.622450000000001</v>
      </c>
    </row>
    <row r="207" spans="1:8" s="157" customFormat="1" x14ac:dyDescent="0.25">
      <c r="A207" s="160"/>
      <c r="B207" s="162"/>
      <c r="C207" s="160"/>
      <c r="D207" s="161"/>
      <c r="E207" s="158"/>
      <c r="F207" s="158"/>
      <c r="G207" s="159"/>
      <c r="H207" s="159"/>
    </row>
    <row r="208" spans="1:8" s="157" customFormat="1" x14ac:dyDescent="0.25">
      <c r="A208" s="220" t="s">
        <v>230</v>
      </c>
      <c r="B208" s="162"/>
      <c r="C208" s="160"/>
      <c r="D208" s="161"/>
      <c r="E208" s="158"/>
      <c r="F208" s="158"/>
      <c r="G208" s="159"/>
      <c r="H208" s="159"/>
    </row>
    <row r="209" spans="1:8" s="167" customFormat="1" ht="26.4" x14ac:dyDescent="0.25">
      <c r="A209" s="220"/>
      <c r="B209" s="182" t="s">
        <v>236</v>
      </c>
      <c r="C209" s="181" t="s">
        <v>1</v>
      </c>
      <c r="D209" s="165">
        <v>4</v>
      </c>
      <c r="E209" s="183">
        <v>0</v>
      </c>
      <c r="F209" s="171">
        <f>E209*D209</f>
        <v>0</v>
      </c>
      <c r="G209" s="172">
        <v>0.12</v>
      </c>
      <c r="H209" s="172">
        <f>D209*G209</f>
        <v>0.48</v>
      </c>
    </row>
    <row r="210" spans="1:8" s="157" customFormat="1" x14ac:dyDescent="0.25">
      <c r="A210" s="160"/>
      <c r="B210" s="34" t="s">
        <v>237</v>
      </c>
      <c r="C210" s="181" t="s">
        <v>19</v>
      </c>
      <c r="D210" s="173">
        <v>14</v>
      </c>
      <c r="E210" s="183">
        <v>0</v>
      </c>
      <c r="F210" s="171">
        <f>D210*E210</f>
        <v>0</v>
      </c>
      <c r="G210" s="172">
        <v>5.0000000000000001E-3</v>
      </c>
      <c r="H210" s="172">
        <f>D210*G210</f>
        <v>7.0000000000000007E-2</v>
      </c>
    </row>
    <row r="211" spans="1:8" s="157" customFormat="1" ht="39.6" x14ac:dyDescent="0.25">
      <c r="A211" s="160"/>
      <c r="B211" s="34" t="s">
        <v>238</v>
      </c>
      <c r="C211" s="181" t="s">
        <v>19</v>
      </c>
      <c r="D211" s="173">
        <v>3</v>
      </c>
      <c r="E211" s="183">
        <v>0</v>
      </c>
      <c r="F211" s="171">
        <f>D211*E211</f>
        <v>0</v>
      </c>
      <c r="G211" s="172">
        <v>0.06</v>
      </c>
      <c r="H211" s="172">
        <f>D211*G211</f>
        <v>0.18</v>
      </c>
    </row>
    <row r="212" spans="1:8" s="157" customFormat="1" ht="52.8" x14ac:dyDescent="0.25">
      <c r="A212" s="160"/>
      <c r="B212" s="326" t="s">
        <v>374</v>
      </c>
      <c r="C212" s="181" t="s">
        <v>19</v>
      </c>
      <c r="D212" s="173">
        <v>61</v>
      </c>
      <c r="E212" s="183">
        <v>0</v>
      </c>
      <c r="F212" s="171">
        <f>D212*E212</f>
        <v>0</v>
      </c>
      <c r="G212" s="172">
        <v>0.04</v>
      </c>
      <c r="H212" s="172">
        <f>D212*G212</f>
        <v>2.44</v>
      </c>
    </row>
    <row r="213" spans="1:8" s="157" customFormat="1" ht="26.4" x14ac:dyDescent="0.25">
      <c r="A213" s="160"/>
      <c r="B213" s="34" t="s">
        <v>239</v>
      </c>
      <c r="C213" s="181" t="s">
        <v>19</v>
      </c>
      <c r="D213" s="173">
        <v>18</v>
      </c>
      <c r="E213" s="183">
        <v>0</v>
      </c>
      <c r="F213" s="171">
        <f>D213*E213</f>
        <v>0</v>
      </c>
      <c r="G213" s="172">
        <v>0.08</v>
      </c>
      <c r="H213" s="172">
        <f>D213*G213</f>
        <v>1.44</v>
      </c>
    </row>
    <row r="214" spans="1:8" s="167" customFormat="1" x14ac:dyDescent="0.25">
      <c r="A214" s="174"/>
      <c r="B214" s="180"/>
      <c r="C214" s="181"/>
      <c r="D214" s="173"/>
      <c r="E214" s="171"/>
      <c r="F214" s="171"/>
      <c r="G214" s="172"/>
      <c r="H214" s="172"/>
    </row>
    <row r="215" spans="1:8" s="167" customFormat="1" x14ac:dyDescent="0.25">
      <c r="A215" s="96" t="s">
        <v>240</v>
      </c>
      <c r="B215" s="61"/>
      <c r="C215" s="152"/>
      <c r="D215" s="153"/>
      <c r="E215" s="154"/>
      <c r="F215" s="137">
        <f>SUM(F209:F213)</f>
        <v>0</v>
      </c>
      <c r="G215" s="125"/>
      <c r="H215" s="246">
        <f>SUM(H209:H213)</f>
        <v>4.6099999999999994</v>
      </c>
    </row>
    <row r="216" spans="1:8" s="167" customFormat="1" x14ac:dyDescent="0.25">
      <c r="A216" s="96" t="s">
        <v>60</v>
      </c>
      <c r="B216" s="19"/>
      <c r="C216" s="121"/>
      <c r="D216" s="122"/>
      <c r="E216" s="123"/>
      <c r="F216" s="123">
        <f>F215*1.01*1.25</f>
        <v>0</v>
      </c>
      <c r="G216" s="24"/>
      <c r="H216" s="24"/>
    </row>
    <row r="217" spans="1:8" s="167" customFormat="1" x14ac:dyDescent="0.25">
      <c r="A217" s="174"/>
      <c r="B217" s="180"/>
      <c r="C217" s="181"/>
      <c r="D217" s="173"/>
      <c r="E217" s="171"/>
      <c r="F217" s="171"/>
      <c r="G217" s="172"/>
      <c r="H217" s="172"/>
    </row>
    <row r="218" spans="1:8" s="157" customFormat="1" x14ac:dyDescent="0.25">
      <c r="A218" s="160"/>
      <c r="B218" s="162"/>
      <c r="C218" s="160"/>
      <c r="D218" s="161"/>
      <c r="E218" s="158"/>
      <c r="F218" s="158"/>
      <c r="G218" s="159"/>
      <c r="H218" s="159"/>
    </row>
    <row r="219" spans="1:8" s="19" customFormat="1" ht="26.4" x14ac:dyDescent="0.25">
      <c r="A219" s="22" t="s">
        <v>24</v>
      </c>
      <c r="B219" s="34" t="s">
        <v>25</v>
      </c>
      <c r="C219" s="101" t="s">
        <v>2</v>
      </c>
      <c r="D219" s="156">
        <f>H215+H206</f>
        <v>39.23245</v>
      </c>
      <c r="E219" s="23">
        <v>0</v>
      </c>
      <c r="F219" s="247">
        <f>D219*E219</f>
        <v>0</v>
      </c>
      <c r="G219" s="24"/>
      <c r="H219" s="24"/>
    </row>
    <row r="220" spans="1:8" s="47" customFormat="1" x14ac:dyDescent="0.25">
      <c r="A220" s="60"/>
      <c r="B220" s="57"/>
      <c r="C220" s="62"/>
      <c r="D220" s="63"/>
      <c r="E220" s="64"/>
      <c r="F220" s="64"/>
      <c r="G220" s="55"/>
      <c r="H220" s="55"/>
    </row>
    <row r="221" spans="1:8" s="19" customFormat="1" x14ac:dyDescent="0.25">
      <c r="A221" s="96" t="s">
        <v>272</v>
      </c>
      <c r="B221" s="57"/>
      <c r="C221" s="121"/>
      <c r="D221" s="122"/>
      <c r="E221" s="123"/>
      <c r="F221" s="123">
        <f>F219+F216+F206</f>
        <v>0</v>
      </c>
      <c r="G221" s="24"/>
      <c r="H221" s="155"/>
    </row>
    <row r="222" spans="1:8" s="167" customFormat="1" x14ac:dyDescent="0.25">
      <c r="A222" s="220"/>
      <c r="B222" s="196"/>
      <c r="C222" s="231"/>
      <c r="D222" s="232"/>
      <c r="E222" s="233"/>
      <c r="F222" s="233"/>
      <c r="G222" s="172"/>
      <c r="H222" s="155"/>
    </row>
    <row r="223" spans="1:8" s="167" customFormat="1" x14ac:dyDescent="0.25">
      <c r="A223" s="220"/>
      <c r="B223" s="196"/>
      <c r="C223" s="231"/>
      <c r="D223" s="232"/>
      <c r="E223" s="233"/>
      <c r="F223" s="233"/>
      <c r="G223" s="172"/>
      <c r="H223" s="155"/>
    </row>
    <row r="224" spans="1:8" s="47" customFormat="1" x14ac:dyDescent="0.25">
      <c r="A224" s="56"/>
      <c r="B224" s="61"/>
      <c r="C224" s="52"/>
      <c r="D224" s="56"/>
      <c r="E224" s="51"/>
      <c r="F224" s="51"/>
      <c r="G224" s="55"/>
      <c r="H224" s="55"/>
    </row>
    <row r="225" spans="1:10" s="242" customFormat="1" ht="15.6" x14ac:dyDescent="0.3">
      <c r="A225" s="242" t="s">
        <v>355</v>
      </c>
      <c r="B225" s="259" t="s">
        <v>56</v>
      </c>
      <c r="H225" s="222"/>
    </row>
    <row r="226" spans="1:10" s="167" customFormat="1" x14ac:dyDescent="0.25">
      <c r="A226" s="170">
        <v>1</v>
      </c>
      <c r="B226" s="168" t="s">
        <v>33</v>
      </c>
      <c r="C226" s="223"/>
      <c r="D226" s="156"/>
      <c r="E226" s="171"/>
      <c r="F226" s="297">
        <f>F81</f>
        <v>0</v>
      </c>
      <c r="G226" s="172"/>
      <c r="H226" s="172"/>
    </row>
    <row r="227" spans="1:10" s="167" customFormat="1" x14ac:dyDescent="0.25">
      <c r="A227" s="170">
        <v>1</v>
      </c>
      <c r="B227" s="168" t="s">
        <v>34</v>
      </c>
      <c r="C227" s="231"/>
      <c r="D227" s="232"/>
      <c r="E227" s="233"/>
      <c r="F227" s="297">
        <f>F147</f>
        <v>0</v>
      </c>
      <c r="G227" s="172"/>
      <c r="H227" s="172"/>
      <c r="J227" s="308"/>
    </row>
    <row r="228" spans="1:10" s="167" customFormat="1" x14ac:dyDescent="0.25">
      <c r="A228" s="170">
        <v>1</v>
      </c>
      <c r="B228" s="168" t="s">
        <v>308</v>
      </c>
      <c r="C228" s="223"/>
      <c r="D228" s="156"/>
      <c r="E228" s="171"/>
      <c r="F228" s="297">
        <f>F100</f>
        <v>0</v>
      </c>
      <c r="G228" s="172"/>
      <c r="H228" s="172"/>
    </row>
    <row r="229" spans="1:10" s="167" customFormat="1" ht="12" customHeight="1" x14ac:dyDescent="0.25">
      <c r="A229" s="170"/>
      <c r="B229" s="168" t="s">
        <v>307</v>
      </c>
      <c r="C229" s="223"/>
      <c r="D229" s="156"/>
      <c r="E229" s="171"/>
      <c r="F229" s="298">
        <f>SUM(F226:F228)</f>
        <v>0</v>
      </c>
      <c r="G229" s="172"/>
      <c r="H229" s="172"/>
    </row>
    <row r="230" spans="1:10" s="167" customFormat="1" ht="66" x14ac:dyDescent="0.25">
      <c r="A230" s="170">
        <v>2</v>
      </c>
      <c r="B230" s="254" t="s">
        <v>360</v>
      </c>
      <c r="C230" s="185"/>
      <c r="D230" s="185"/>
      <c r="E230" s="185"/>
      <c r="F230" s="297">
        <f>F176+F195</f>
        <v>0</v>
      </c>
      <c r="G230" s="185"/>
      <c r="H230" s="185"/>
    </row>
    <row r="231" spans="1:10" s="186" customFormat="1" ht="52.8" x14ac:dyDescent="0.25">
      <c r="A231" s="170">
        <v>3</v>
      </c>
      <c r="B231" s="254" t="s">
        <v>359</v>
      </c>
      <c r="C231" s="185"/>
      <c r="D231" s="185"/>
      <c r="E231" s="185"/>
      <c r="F231" s="297">
        <f>F229*0.2</f>
        <v>0</v>
      </c>
      <c r="G231" s="185"/>
      <c r="H231" s="185"/>
    </row>
    <row r="232" spans="1:10" s="167" customFormat="1" x14ac:dyDescent="0.25">
      <c r="A232" s="170">
        <v>4</v>
      </c>
      <c r="B232" s="168" t="s">
        <v>356</v>
      </c>
      <c r="C232" s="231"/>
      <c r="D232" s="232"/>
      <c r="E232" s="233"/>
      <c r="F232" s="297">
        <f>F155</f>
        <v>0</v>
      </c>
      <c r="G232" s="172"/>
      <c r="H232" s="172"/>
    </row>
    <row r="233" spans="1:10" s="167" customFormat="1" ht="31.5" customHeight="1" x14ac:dyDescent="0.25">
      <c r="A233" s="173" t="s">
        <v>357</v>
      </c>
      <c r="B233" s="168" t="s">
        <v>307</v>
      </c>
      <c r="C233" s="223"/>
      <c r="D233" s="156"/>
      <c r="E233" s="171"/>
      <c r="F233" s="298">
        <f>SUM(F229:F232)</f>
        <v>0</v>
      </c>
      <c r="G233" s="172"/>
      <c r="H233" s="172"/>
    </row>
    <row r="234" spans="1:10" s="167" customFormat="1" ht="39.6" x14ac:dyDescent="0.25">
      <c r="A234" s="170">
        <v>9</v>
      </c>
      <c r="B234" s="254" t="s">
        <v>358</v>
      </c>
      <c r="C234" s="223"/>
      <c r="D234" s="156"/>
      <c r="E234" s="171"/>
      <c r="F234" s="297">
        <f>F233*0.2</f>
        <v>0</v>
      </c>
      <c r="G234" s="172"/>
      <c r="H234" s="172"/>
    </row>
    <row r="235" spans="1:10" s="47" customFormat="1" x14ac:dyDescent="0.25">
      <c r="A235" s="42"/>
      <c r="B235" s="42"/>
      <c r="C235" s="42"/>
      <c r="D235" s="42"/>
      <c r="E235" s="42"/>
      <c r="F235" s="299"/>
      <c r="G235" s="42"/>
      <c r="H235" s="42"/>
    </row>
    <row r="236" spans="1:10" s="242" customFormat="1" x14ac:dyDescent="0.25">
      <c r="A236" s="166"/>
      <c r="B236" s="166" t="s">
        <v>12</v>
      </c>
      <c r="C236" s="166"/>
      <c r="D236" s="166"/>
      <c r="E236" s="166"/>
      <c r="F236" s="297">
        <f>F226+F227+F228+F230+F231+F232+F234</f>
        <v>0</v>
      </c>
      <c r="G236" s="166"/>
      <c r="H236" s="166"/>
    </row>
    <row r="237" spans="1:10" s="167" customFormat="1" x14ac:dyDescent="0.25">
      <c r="A237" s="168"/>
      <c r="B237" s="168" t="s">
        <v>16</v>
      </c>
      <c r="C237" s="168"/>
      <c r="D237" s="168"/>
      <c r="E237" s="168"/>
      <c r="F237" s="298">
        <f>F236*0.21</f>
        <v>0</v>
      </c>
      <c r="G237" s="168"/>
      <c r="H237" s="168"/>
    </row>
    <row r="238" spans="1:10" s="167" customFormat="1" ht="15.6" x14ac:dyDescent="0.3">
      <c r="A238" s="168"/>
      <c r="B238" s="262" t="s">
        <v>13</v>
      </c>
      <c r="C238" s="168"/>
      <c r="D238" s="168"/>
      <c r="E238" s="168"/>
      <c r="F238" s="300">
        <f>F237+F236</f>
        <v>0</v>
      </c>
      <c r="G238" s="168"/>
      <c r="H238" s="168"/>
    </row>
    <row r="239" spans="1:10" s="186" customFormat="1" ht="15.6" x14ac:dyDescent="0.25">
      <c r="A239" s="184"/>
      <c r="B239" s="260"/>
      <c r="C239" s="184"/>
      <c r="D239" s="184"/>
      <c r="E239" s="184"/>
      <c r="F239" s="261"/>
      <c r="G239" s="184"/>
      <c r="H239" s="184"/>
    </row>
    <row r="241" spans="1:9" s="277" customFormat="1" ht="26.4" x14ac:dyDescent="0.25">
      <c r="A241" s="275"/>
      <c r="B241" s="275"/>
      <c r="C241" s="275"/>
      <c r="D241" s="275"/>
      <c r="E241" s="276" t="s">
        <v>310</v>
      </c>
      <c r="F241" s="276" t="s">
        <v>311</v>
      </c>
      <c r="G241" s="275"/>
      <c r="H241" s="275"/>
    </row>
    <row r="242" spans="1:9" s="277" customFormat="1" ht="15" x14ac:dyDescent="0.25">
      <c r="A242" s="275"/>
      <c r="B242" s="275" t="s">
        <v>309</v>
      </c>
      <c r="C242" s="278" t="s">
        <v>354</v>
      </c>
      <c r="D242" s="279">
        <v>11560</v>
      </c>
      <c r="E242" s="280">
        <v>200</v>
      </c>
      <c r="F242" s="281">
        <f>D242*E242</f>
        <v>2312000</v>
      </c>
      <c r="G242" s="275"/>
      <c r="H242" s="275"/>
    </row>
    <row r="246" spans="1:9" x14ac:dyDescent="0.25">
      <c r="A246" s="242"/>
      <c r="B246" s="242"/>
      <c r="C246" s="242"/>
      <c r="D246" s="242"/>
      <c r="E246" s="242"/>
      <c r="F246" s="242"/>
      <c r="G246" s="242"/>
      <c r="H246" s="242"/>
      <c r="I246" s="242"/>
    </row>
    <row r="247" spans="1:9" x14ac:dyDescent="0.25">
      <c r="A247" s="288"/>
      <c r="B247" s="163"/>
      <c r="C247" s="163"/>
      <c r="D247" s="163"/>
      <c r="E247" s="163"/>
      <c r="F247" s="163"/>
      <c r="G247" s="163"/>
      <c r="H247" s="163"/>
      <c r="I247" s="163"/>
    </row>
    <row r="248" spans="1:9" ht="15.6" x14ac:dyDescent="0.25">
      <c r="A248" s="322"/>
      <c r="B248" s="322"/>
      <c r="C248" s="322"/>
      <c r="D248" s="163"/>
      <c r="E248" s="163"/>
      <c r="F248" s="163"/>
      <c r="G248" s="163"/>
      <c r="H248" s="163"/>
      <c r="I248" s="163"/>
    </row>
    <row r="249" spans="1:9" ht="15" x14ac:dyDescent="0.25">
      <c r="A249" s="284"/>
      <c r="B249" s="284"/>
      <c r="C249" s="284"/>
      <c r="D249" s="163"/>
      <c r="E249" s="163"/>
      <c r="F249" s="163"/>
      <c r="G249" s="163"/>
      <c r="H249" s="163"/>
      <c r="I249" s="163"/>
    </row>
    <row r="250" spans="1:9" ht="15.6" x14ac:dyDescent="0.25">
      <c r="A250" s="285"/>
      <c r="B250" s="285"/>
      <c r="C250" s="285"/>
      <c r="D250" s="163"/>
      <c r="E250" s="163"/>
      <c r="F250" s="163"/>
      <c r="G250" s="163"/>
      <c r="H250" s="163"/>
      <c r="I250" s="163"/>
    </row>
    <row r="251" spans="1:9" ht="15.6" x14ac:dyDescent="0.25">
      <c r="A251" s="285"/>
      <c r="B251" s="283"/>
      <c r="C251" s="283"/>
      <c r="D251" s="163"/>
      <c r="E251" s="163"/>
      <c r="F251" s="163"/>
      <c r="G251" s="163"/>
      <c r="H251" s="163"/>
      <c r="I251" s="163"/>
    </row>
    <row r="252" spans="1:9" ht="15.6" x14ac:dyDescent="0.25">
      <c r="A252" s="285"/>
      <c r="B252" s="283"/>
      <c r="C252" s="286"/>
      <c r="D252" s="163"/>
      <c r="E252" s="163"/>
      <c r="F252" s="163"/>
      <c r="G252" s="163"/>
      <c r="H252" s="163"/>
      <c r="I252" s="163"/>
    </row>
    <row r="253" spans="1:9" ht="15.6" x14ac:dyDescent="0.25">
      <c r="A253" s="285"/>
      <c r="B253" s="283"/>
      <c r="C253" s="286"/>
      <c r="D253" s="163"/>
      <c r="E253" s="163"/>
      <c r="F253" s="163"/>
      <c r="G253" s="163"/>
      <c r="H253" s="163"/>
      <c r="I253" s="163"/>
    </row>
    <row r="254" spans="1:9" ht="15.6" x14ac:dyDescent="0.25">
      <c r="A254" s="285"/>
      <c r="B254" s="283"/>
      <c r="C254" s="286"/>
      <c r="D254" s="163"/>
      <c r="E254" s="163"/>
      <c r="F254" s="163"/>
      <c r="G254" s="163"/>
      <c r="H254" s="163"/>
      <c r="I254" s="163"/>
    </row>
    <row r="255" spans="1:9" ht="15" x14ac:dyDescent="0.25">
      <c r="A255" s="284"/>
      <c r="B255" s="284"/>
      <c r="C255" s="284"/>
      <c r="D255" s="163"/>
      <c r="E255" s="163"/>
      <c r="F255" s="163"/>
      <c r="G255" s="163"/>
      <c r="H255" s="163"/>
      <c r="I255" s="163"/>
    </row>
    <row r="256" spans="1:9" ht="15.6" x14ac:dyDescent="0.25">
      <c r="A256" s="285"/>
      <c r="B256" s="283"/>
      <c r="C256" s="286"/>
      <c r="D256" s="163"/>
      <c r="E256" s="163"/>
      <c r="F256" s="163"/>
      <c r="G256" s="163"/>
      <c r="H256" s="163"/>
      <c r="I256" s="163"/>
    </row>
    <row r="257" spans="1:9" ht="15" x14ac:dyDescent="0.25">
      <c r="A257" s="284"/>
      <c r="B257" s="284"/>
      <c r="C257" s="284"/>
      <c r="D257" s="163"/>
      <c r="E257" s="163"/>
      <c r="F257" s="163"/>
      <c r="G257" s="163"/>
      <c r="H257" s="163"/>
      <c r="I257" s="163"/>
    </row>
    <row r="258" spans="1:9" ht="15.6" x14ac:dyDescent="0.25">
      <c r="A258" s="285"/>
      <c r="B258" s="283"/>
      <c r="C258" s="286"/>
      <c r="D258" s="163"/>
      <c r="E258" s="163"/>
      <c r="F258" s="163"/>
      <c r="G258" s="163"/>
      <c r="H258" s="163"/>
      <c r="I258" s="163"/>
    </row>
    <row r="259" spans="1:9" ht="15.6" x14ac:dyDescent="0.25">
      <c r="A259" s="285"/>
      <c r="B259" s="283"/>
      <c r="C259" s="286"/>
      <c r="D259" s="163"/>
      <c r="E259" s="163"/>
      <c r="F259" s="163"/>
      <c r="G259" s="163"/>
      <c r="H259" s="163"/>
      <c r="I259" s="163"/>
    </row>
    <row r="260" spans="1:9" ht="15.6" x14ac:dyDescent="0.25">
      <c r="A260" s="285"/>
      <c r="B260" s="283"/>
      <c r="C260" s="286"/>
      <c r="D260" s="163"/>
      <c r="E260" s="163"/>
      <c r="F260" s="163"/>
      <c r="G260" s="163"/>
      <c r="H260" s="163"/>
      <c r="I260" s="163"/>
    </row>
    <row r="261" spans="1:9" ht="15.6" x14ac:dyDescent="0.25">
      <c r="A261" s="285"/>
      <c r="B261" s="283"/>
      <c r="C261" s="286"/>
      <c r="D261" s="163"/>
      <c r="E261" s="163"/>
      <c r="F261" s="163"/>
      <c r="G261" s="163"/>
      <c r="H261" s="163"/>
      <c r="I261" s="163"/>
    </row>
    <row r="262" spans="1:9" ht="15" x14ac:dyDescent="0.25">
      <c r="A262" s="284"/>
      <c r="B262" s="284"/>
      <c r="C262" s="287"/>
      <c r="D262" s="163"/>
      <c r="E262" s="163"/>
      <c r="F262" s="163"/>
      <c r="G262" s="163"/>
      <c r="H262" s="163"/>
      <c r="I262" s="163"/>
    </row>
    <row r="263" spans="1:9" ht="15.6" x14ac:dyDescent="0.25">
      <c r="A263" s="285"/>
      <c r="B263" s="283"/>
      <c r="C263" s="286"/>
      <c r="D263" s="163"/>
      <c r="E263" s="163"/>
      <c r="F263" s="163"/>
      <c r="G263" s="163"/>
      <c r="H263" s="163"/>
      <c r="I263" s="163"/>
    </row>
    <row r="264" spans="1:9" ht="15.6" x14ac:dyDescent="0.25">
      <c r="A264" s="285"/>
      <c r="B264" s="283"/>
      <c r="C264" s="286"/>
      <c r="D264" s="163"/>
      <c r="E264" s="163"/>
      <c r="F264" s="163"/>
      <c r="G264" s="163"/>
      <c r="H264" s="163"/>
      <c r="I264" s="163"/>
    </row>
    <row r="265" spans="1:9" ht="15.6" x14ac:dyDescent="0.25">
      <c r="A265" s="285"/>
      <c r="B265" s="283"/>
      <c r="C265" s="286"/>
      <c r="D265" s="163"/>
      <c r="E265" s="163"/>
      <c r="F265" s="163"/>
      <c r="G265" s="163"/>
      <c r="H265" s="163"/>
      <c r="I265" s="163"/>
    </row>
  </sheetData>
  <mergeCells count="2">
    <mergeCell ref="A3:C3"/>
    <mergeCell ref="A248:C24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fitToHeight="0" orientation="landscape" useFirstPageNumber="1" r:id="rId1"/>
  <headerFooter alignWithMargins="0">
    <oddHeader>&amp;L
Rekonstrukce veřejné zeleně v lokalitě Dukelských bojovníků v Táboře
&amp;12
&amp;C
&amp;R
POLOŽKOVÝ ROZPOČET
ZPŮSOBILÉ VÝDAJE</oddHeader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10"/>
  <sheetViews>
    <sheetView tabSelected="1" zoomScaleNormal="100" zoomScaleSheetLayoutView="100" workbookViewId="0">
      <selection activeCell="B143" sqref="B143"/>
    </sheetView>
  </sheetViews>
  <sheetFormatPr defaultRowHeight="13.2" x14ac:dyDescent="0.25"/>
  <cols>
    <col min="1" max="1" width="11.5546875" customWidth="1"/>
    <col min="2" max="2" width="47.44140625" bestFit="1" customWidth="1"/>
    <col min="3" max="3" width="6.44140625" customWidth="1"/>
    <col min="4" max="4" width="9.33203125" customWidth="1"/>
    <col min="5" max="5" width="12" bestFit="1" customWidth="1"/>
    <col min="6" max="6" width="18.33203125" customWidth="1"/>
    <col min="7" max="7" width="10.88671875" bestFit="1" customWidth="1"/>
    <col min="8" max="8" width="11.44140625" bestFit="1" customWidth="1"/>
    <col min="10" max="10" width="14.6640625" bestFit="1" customWidth="1"/>
    <col min="14" max="14" width="12.88671875" bestFit="1" customWidth="1"/>
  </cols>
  <sheetData>
    <row r="1" spans="1:58" s="18" customFormat="1" x14ac:dyDescent="0.25"/>
    <row r="2" spans="1:58" x14ac:dyDescent="0.25">
      <c r="A2" s="325" t="s">
        <v>0</v>
      </c>
      <c r="B2" s="325"/>
      <c r="C2" s="325"/>
      <c r="D2" s="28" t="s">
        <v>3</v>
      </c>
      <c r="E2" s="29" t="s">
        <v>4</v>
      </c>
      <c r="F2" s="29" t="s">
        <v>5</v>
      </c>
      <c r="G2" s="29" t="s">
        <v>20</v>
      </c>
      <c r="H2" s="29" t="s">
        <v>6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</row>
    <row r="3" spans="1:58" x14ac:dyDescent="0.25">
      <c r="A3" s="30" t="s">
        <v>7</v>
      </c>
      <c r="B3" s="31" t="s">
        <v>8</v>
      </c>
      <c r="C3" s="32" t="s">
        <v>9</v>
      </c>
      <c r="D3" s="30" t="s">
        <v>9</v>
      </c>
      <c r="E3" s="33" t="s">
        <v>10</v>
      </c>
      <c r="F3" s="33" t="s">
        <v>10</v>
      </c>
      <c r="G3" s="33" t="s">
        <v>2</v>
      </c>
      <c r="H3" s="33" t="s">
        <v>2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</row>
    <row r="4" spans="1:58" s="186" customFormat="1" ht="15.6" x14ac:dyDescent="0.25">
      <c r="A4" s="174"/>
      <c r="B4" s="175" t="s">
        <v>33</v>
      </c>
      <c r="C4" s="174"/>
      <c r="D4" s="164"/>
      <c r="E4" s="164"/>
      <c r="F4" s="171"/>
      <c r="G4" s="164"/>
      <c r="H4" s="168"/>
    </row>
    <row r="5" spans="1:58" s="186" customFormat="1" ht="15.6" x14ac:dyDescent="0.25">
      <c r="A5" s="174" t="s">
        <v>14</v>
      </c>
      <c r="B5" s="175"/>
      <c r="C5" s="174"/>
      <c r="D5" s="164"/>
      <c r="E5" s="164"/>
      <c r="F5" s="171"/>
      <c r="G5" s="164"/>
      <c r="H5" s="168"/>
    </row>
    <row r="6" spans="1:58" s="186" customFormat="1" ht="39.6" x14ac:dyDescent="0.25">
      <c r="A6" s="181" t="s">
        <v>87</v>
      </c>
      <c r="B6" s="182" t="s">
        <v>303</v>
      </c>
      <c r="C6" s="181" t="s">
        <v>1</v>
      </c>
      <c r="D6" s="165">
        <v>1</v>
      </c>
      <c r="E6" s="183">
        <v>0</v>
      </c>
      <c r="F6" s="171">
        <f>D6*E6</f>
        <v>0</v>
      </c>
      <c r="G6" s="172">
        <v>0</v>
      </c>
      <c r="H6" s="172">
        <f>D6*G6</f>
        <v>0</v>
      </c>
    </row>
    <row r="7" spans="1:58" s="167" customFormat="1" ht="26.4" x14ac:dyDescent="0.25">
      <c r="A7" s="181" t="s">
        <v>35</v>
      </c>
      <c r="B7" s="182" t="s">
        <v>304</v>
      </c>
      <c r="C7" s="181" t="s">
        <v>1</v>
      </c>
      <c r="D7" s="165">
        <f>D6</f>
        <v>1</v>
      </c>
      <c r="E7" s="183">
        <v>0</v>
      </c>
      <c r="F7" s="171">
        <f t="shared" ref="F7:F8" si="0">D7*E7</f>
        <v>0</v>
      </c>
      <c r="G7" s="172">
        <v>0</v>
      </c>
      <c r="H7" s="172">
        <f t="shared" ref="H7:H8" si="1">D7*G7</f>
        <v>0</v>
      </c>
    </row>
    <row r="8" spans="1:58" s="167" customFormat="1" ht="28.2" x14ac:dyDescent="0.25">
      <c r="A8" s="181" t="s">
        <v>41</v>
      </c>
      <c r="B8" s="182" t="s">
        <v>190</v>
      </c>
      <c r="C8" s="181" t="s">
        <v>43</v>
      </c>
      <c r="D8" s="244">
        <v>0.02</v>
      </c>
      <c r="E8" s="183">
        <v>0</v>
      </c>
      <c r="F8" s="171">
        <f t="shared" si="0"/>
        <v>0</v>
      </c>
      <c r="G8" s="172">
        <v>0</v>
      </c>
      <c r="H8" s="172">
        <f t="shared" si="1"/>
        <v>0</v>
      </c>
    </row>
    <row r="9" spans="1:58" s="186" customFormat="1" x14ac:dyDescent="0.25">
      <c r="A9" s="195"/>
      <c r="B9" s="196"/>
      <c r="C9" s="197"/>
      <c r="D9" s="198"/>
      <c r="E9" s="190"/>
      <c r="F9" s="190"/>
      <c r="G9" s="194"/>
      <c r="H9" s="194"/>
    </row>
    <row r="10" spans="1:58" s="167" customFormat="1" x14ac:dyDescent="0.25">
      <c r="A10" s="220" t="s">
        <v>51</v>
      </c>
      <c r="B10" s="230"/>
      <c r="C10" s="231"/>
      <c r="D10" s="232"/>
      <c r="E10" s="233"/>
      <c r="F10" s="233">
        <f>SUM(F6:F8)</f>
        <v>0</v>
      </c>
      <c r="G10" s="234"/>
      <c r="H10" s="235">
        <f>SUM(H6:H8)</f>
        <v>0</v>
      </c>
    </row>
    <row r="11" spans="1:58" s="186" customFormat="1" x14ac:dyDescent="0.25">
      <c r="A11" s="187"/>
      <c r="B11" s="205"/>
      <c r="C11" s="187"/>
      <c r="D11" s="189"/>
      <c r="E11" s="189"/>
      <c r="F11" s="206"/>
      <c r="G11" s="189"/>
      <c r="H11" s="207"/>
    </row>
    <row r="12" spans="1:58" s="167" customFormat="1" x14ac:dyDescent="0.25">
      <c r="A12" s="220" t="s">
        <v>22</v>
      </c>
      <c r="B12" s="219"/>
      <c r="C12" s="218"/>
      <c r="D12" s="217"/>
      <c r="E12" s="216"/>
      <c r="F12" s="216"/>
      <c r="G12" s="222"/>
      <c r="H12" s="222"/>
    </row>
    <row r="13" spans="1:58" s="168" customFormat="1" ht="26.4" x14ac:dyDescent="0.25">
      <c r="A13" s="173">
        <v>26</v>
      </c>
      <c r="B13" s="221" t="s">
        <v>305</v>
      </c>
      <c r="C13" s="223" t="s">
        <v>19</v>
      </c>
      <c r="D13" s="165">
        <v>1</v>
      </c>
      <c r="E13" s="171">
        <v>0</v>
      </c>
      <c r="F13" s="171">
        <f>D13*E13</f>
        <v>0</v>
      </c>
      <c r="G13" s="172">
        <v>0.01</v>
      </c>
      <c r="H13" s="172">
        <f>G13*D13</f>
        <v>0.01</v>
      </c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224"/>
    </row>
    <row r="14" spans="1:58" s="167" customFormat="1" x14ac:dyDescent="0.25">
      <c r="A14" s="236" t="s">
        <v>23</v>
      </c>
      <c r="B14" s="237"/>
      <c r="C14" s="238"/>
      <c r="D14" s="245"/>
      <c r="E14" s="240"/>
      <c r="F14" s="240">
        <f>F13</f>
        <v>0</v>
      </c>
      <c r="G14" s="241"/>
      <c r="H14" s="246">
        <f>H13</f>
        <v>0.01</v>
      </c>
    </row>
    <row r="15" spans="1:58" s="167" customFormat="1" x14ac:dyDescent="0.25">
      <c r="A15" s="220" t="s">
        <v>52</v>
      </c>
      <c r="B15" s="230"/>
      <c r="C15" s="231"/>
      <c r="D15" s="232"/>
      <c r="E15" s="233"/>
      <c r="F15" s="233">
        <f>F14*1.03*1.25</f>
        <v>0</v>
      </c>
      <c r="G15" s="172"/>
      <c r="H15" s="172"/>
    </row>
    <row r="16" spans="1:58" s="163" customFormat="1" x14ac:dyDescent="0.25">
      <c r="A16" s="176"/>
      <c r="B16" s="177"/>
      <c r="C16" s="178"/>
      <c r="D16" s="176"/>
      <c r="E16" s="179"/>
      <c r="F16" s="179"/>
      <c r="G16" s="179"/>
      <c r="H16" s="179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</row>
    <row r="17" spans="1:58" s="167" customFormat="1" ht="26.4" x14ac:dyDescent="0.25">
      <c r="A17" s="170" t="s">
        <v>24</v>
      </c>
      <c r="B17" s="180" t="s">
        <v>25</v>
      </c>
      <c r="C17" s="223" t="s">
        <v>2</v>
      </c>
      <c r="D17" s="156">
        <f>H14</f>
        <v>0.01</v>
      </c>
      <c r="E17" s="171">
        <v>0</v>
      </c>
      <c r="F17" s="233">
        <f>D17*E17</f>
        <v>0</v>
      </c>
      <c r="G17" s="172">
        <v>0</v>
      </c>
      <c r="H17" s="172"/>
    </row>
    <row r="18" spans="1:58" s="167" customFormat="1" x14ac:dyDescent="0.25">
      <c r="A18" s="220" t="s">
        <v>267</v>
      </c>
      <c r="B18" s="230"/>
      <c r="C18" s="231"/>
      <c r="D18" s="232"/>
      <c r="E18" s="233"/>
      <c r="F18" s="233">
        <f>F10+F15+F17</f>
        <v>0</v>
      </c>
      <c r="G18" s="234"/>
      <c r="H18" s="234">
        <f>H14</f>
        <v>0.01</v>
      </c>
    </row>
    <row r="19" spans="1:58" s="163" customFormat="1" x14ac:dyDescent="0.25">
      <c r="A19" s="176"/>
      <c r="B19" s="177"/>
      <c r="C19" s="178"/>
      <c r="D19" s="176"/>
      <c r="E19" s="179"/>
      <c r="F19" s="179"/>
      <c r="G19" s="179"/>
      <c r="H19" s="179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</row>
    <row r="20" spans="1:58" s="47" customFormat="1" ht="42" x14ac:dyDescent="0.25">
      <c r="A20" s="56"/>
      <c r="B20" s="138" t="s">
        <v>241</v>
      </c>
      <c r="C20" s="83"/>
      <c r="D20" s="84"/>
      <c r="E20" s="84"/>
      <c r="F20" s="85"/>
      <c r="G20" s="55"/>
      <c r="H20" s="55"/>
    </row>
    <row r="21" spans="1:58" s="47" customFormat="1" ht="13.8" x14ac:dyDescent="0.3">
      <c r="A21" s="22" t="s">
        <v>14</v>
      </c>
      <c r="B21" s="86"/>
      <c r="C21" s="42"/>
      <c r="D21" s="87"/>
      <c r="E21" s="42"/>
      <c r="F21" s="42"/>
      <c r="G21" s="42"/>
      <c r="H21" s="42"/>
    </row>
    <row r="22" spans="1:58" s="19" customFormat="1" ht="66" x14ac:dyDescent="0.25">
      <c r="A22" s="22" t="s">
        <v>242</v>
      </c>
      <c r="B22" s="34" t="s">
        <v>256</v>
      </c>
      <c r="C22" s="35" t="s">
        <v>37</v>
      </c>
      <c r="D22" s="22">
        <f>111+187+12</f>
        <v>310</v>
      </c>
      <c r="E22" s="23">
        <v>0</v>
      </c>
      <c r="F22" s="23">
        <f t="shared" ref="F22" si="2">D22*E22</f>
        <v>0</v>
      </c>
      <c r="G22" s="24">
        <v>0</v>
      </c>
      <c r="H22" s="24">
        <f>D22*G22</f>
        <v>0</v>
      </c>
    </row>
    <row r="23" spans="1:58" s="19" customFormat="1" ht="39.6" x14ac:dyDescent="0.25">
      <c r="A23" s="22" t="s">
        <v>66</v>
      </c>
      <c r="B23" s="34" t="s">
        <v>243</v>
      </c>
      <c r="C23" s="35" t="s">
        <v>1</v>
      </c>
      <c r="D23" s="22">
        <v>2</v>
      </c>
      <c r="E23" s="171">
        <v>0</v>
      </c>
      <c r="F23" s="23">
        <f t="shared" ref="F23:F28" si="3">D23*E23</f>
        <v>0</v>
      </c>
      <c r="G23" s="24">
        <v>0</v>
      </c>
      <c r="H23" s="24">
        <f>D23*G23</f>
        <v>0</v>
      </c>
    </row>
    <row r="24" spans="1:58" s="19" customFormat="1" ht="26.4" x14ac:dyDescent="0.25">
      <c r="A24" s="22" t="s">
        <v>31</v>
      </c>
      <c r="B24" s="34" t="s">
        <v>244</v>
      </c>
      <c r="C24" s="35" t="s">
        <v>1</v>
      </c>
      <c r="D24" s="22">
        <v>1</v>
      </c>
      <c r="E24" s="171">
        <v>0</v>
      </c>
      <c r="F24" s="23">
        <f t="shared" si="3"/>
        <v>0</v>
      </c>
      <c r="G24" s="24">
        <v>0</v>
      </c>
      <c r="H24" s="24">
        <f t="shared" ref="H24:H33" si="4">D24*G24</f>
        <v>0</v>
      </c>
    </row>
    <row r="25" spans="1:58" s="19" customFormat="1" ht="26.4" x14ac:dyDescent="0.25">
      <c r="A25" s="22" t="s">
        <v>32</v>
      </c>
      <c r="B25" s="34" t="s">
        <v>245</v>
      </c>
      <c r="C25" s="35" t="s">
        <v>1</v>
      </c>
      <c r="D25" s="22">
        <v>1</v>
      </c>
      <c r="E25" s="171">
        <v>0</v>
      </c>
      <c r="F25" s="23">
        <f t="shared" si="3"/>
        <v>0</v>
      </c>
      <c r="G25" s="24">
        <v>0</v>
      </c>
      <c r="H25" s="24">
        <f t="shared" si="4"/>
        <v>0</v>
      </c>
    </row>
    <row r="26" spans="1:58" s="19" customFormat="1" ht="26.4" x14ac:dyDescent="0.25">
      <c r="A26" s="25" t="s">
        <v>248</v>
      </c>
      <c r="B26" s="119" t="s">
        <v>246</v>
      </c>
      <c r="C26" s="35" t="s">
        <v>1</v>
      </c>
      <c r="D26" s="22">
        <v>2</v>
      </c>
      <c r="E26" s="171">
        <v>0</v>
      </c>
      <c r="F26" s="23">
        <f t="shared" si="3"/>
        <v>0</v>
      </c>
      <c r="G26" s="24">
        <v>0</v>
      </c>
      <c r="H26" s="24">
        <f t="shared" si="4"/>
        <v>0</v>
      </c>
    </row>
    <row r="27" spans="1:58" s="19" customFormat="1" ht="26.4" x14ac:dyDescent="0.25">
      <c r="A27" s="25" t="s">
        <v>249</v>
      </c>
      <c r="B27" s="119" t="s">
        <v>247</v>
      </c>
      <c r="C27" s="35" t="s">
        <v>1</v>
      </c>
      <c r="D27" s="22">
        <v>1</v>
      </c>
      <c r="E27" s="171">
        <v>0</v>
      </c>
      <c r="F27" s="23">
        <f t="shared" si="3"/>
        <v>0</v>
      </c>
      <c r="G27" s="24">
        <v>0</v>
      </c>
      <c r="H27" s="24">
        <f t="shared" si="4"/>
        <v>0</v>
      </c>
    </row>
    <row r="28" spans="1:58" s="19" customFormat="1" ht="26.4" x14ac:dyDescent="0.25">
      <c r="A28" s="25" t="s">
        <v>250</v>
      </c>
      <c r="B28" s="119" t="s">
        <v>251</v>
      </c>
      <c r="C28" s="35" t="s">
        <v>1</v>
      </c>
      <c r="D28" s="22">
        <v>1</v>
      </c>
      <c r="E28" s="171">
        <v>0</v>
      </c>
      <c r="F28" s="23">
        <f t="shared" si="3"/>
        <v>0</v>
      </c>
      <c r="G28" s="24">
        <v>0</v>
      </c>
      <c r="H28" s="24">
        <f t="shared" si="4"/>
        <v>0</v>
      </c>
    </row>
    <row r="29" spans="1:58" s="47" customFormat="1" x14ac:dyDescent="0.25">
      <c r="A29" s="22" t="s">
        <v>18</v>
      </c>
      <c r="B29" s="57"/>
      <c r="C29" s="52"/>
      <c r="D29" s="88"/>
      <c r="E29" s="171">
        <v>0</v>
      </c>
      <c r="F29" s="51"/>
      <c r="G29" s="55"/>
      <c r="H29" s="55"/>
    </row>
    <row r="30" spans="1:58" s="19" customFormat="1" ht="42.75" customHeight="1" x14ac:dyDescent="0.25">
      <c r="A30" s="22" t="s">
        <v>15</v>
      </c>
      <c r="B30" s="34" t="s">
        <v>79</v>
      </c>
      <c r="C30" s="35" t="s">
        <v>1</v>
      </c>
      <c r="D30" s="22">
        <v>3</v>
      </c>
      <c r="E30" s="171">
        <v>0</v>
      </c>
      <c r="F30" s="23">
        <f>D30*E30</f>
        <v>0</v>
      </c>
      <c r="G30" s="24">
        <v>0</v>
      </c>
      <c r="H30" s="24">
        <f t="shared" si="4"/>
        <v>0</v>
      </c>
    </row>
    <row r="31" spans="1:58" s="19" customFormat="1" ht="39.6" x14ac:dyDescent="0.25">
      <c r="A31" s="22" t="s">
        <v>15</v>
      </c>
      <c r="B31" s="34" t="s">
        <v>80</v>
      </c>
      <c r="C31" s="35" t="s">
        <v>1</v>
      </c>
      <c r="D31" s="22">
        <v>1</v>
      </c>
      <c r="E31" s="171">
        <v>0</v>
      </c>
      <c r="F31" s="23">
        <f>D31*E31</f>
        <v>0</v>
      </c>
      <c r="G31" s="24">
        <v>0</v>
      </c>
      <c r="H31" s="24">
        <f t="shared" si="4"/>
        <v>0</v>
      </c>
    </row>
    <row r="32" spans="1:58" s="19" customFormat="1" ht="28.5" customHeight="1" x14ac:dyDescent="0.25">
      <c r="A32" s="22" t="s">
        <v>73</v>
      </c>
      <c r="B32" s="34" t="s">
        <v>74</v>
      </c>
      <c r="C32" s="35" t="s">
        <v>1</v>
      </c>
      <c r="D32" s="22">
        <v>3</v>
      </c>
      <c r="E32" s="171">
        <v>0</v>
      </c>
      <c r="F32" s="23">
        <f t="shared" ref="F32:F33" si="5">D32*E32</f>
        <v>0</v>
      </c>
      <c r="G32" s="24">
        <v>0</v>
      </c>
      <c r="H32" s="24">
        <f t="shared" si="4"/>
        <v>0</v>
      </c>
    </row>
    <row r="33" spans="1:10" s="19" customFormat="1" ht="27.75" customHeight="1" x14ac:dyDescent="0.25">
      <c r="A33" s="22" t="s">
        <v>75</v>
      </c>
      <c r="B33" s="34" t="s">
        <v>76</v>
      </c>
      <c r="C33" s="35" t="s">
        <v>1</v>
      </c>
      <c r="D33" s="22">
        <v>1</v>
      </c>
      <c r="E33" s="171">
        <v>0</v>
      </c>
      <c r="F33" s="23">
        <f t="shared" si="5"/>
        <v>0</v>
      </c>
      <c r="G33" s="24">
        <v>0</v>
      </c>
      <c r="H33" s="24">
        <f t="shared" si="4"/>
        <v>0</v>
      </c>
    </row>
    <row r="34" spans="1:10" s="19" customFormat="1" x14ac:dyDescent="0.25">
      <c r="A34" s="96" t="s">
        <v>271</v>
      </c>
      <c r="B34" s="120"/>
      <c r="C34" s="121"/>
      <c r="D34" s="122"/>
      <c r="E34" s="123"/>
      <c r="F34" s="123">
        <f>SUM(F22:F33)</f>
        <v>0</v>
      </c>
      <c r="G34" s="124"/>
      <c r="H34" s="124">
        <f>SUM(H22:H33)</f>
        <v>0</v>
      </c>
    </row>
    <row r="35" spans="1:10" s="167" customFormat="1" x14ac:dyDescent="0.25">
      <c r="A35" s="220"/>
      <c r="B35" s="230"/>
      <c r="C35" s="231"/>
      <c r="D35" s="232"/>
      <c r="E35" s="233"/>
      <c r="F35" s="233"/>
      <c r="G35" s="234"/>
      <c r="H35" s="234"/>
    </row>
    <row r="36" spans="1:10" s="167" customFormat="1" ht="15.6" x14ac:dyDescent="0.25">
      <c r="A36" s="170"/>
      <c r="B36" s="175" t="s">
        <v>337</v>
      </c>
      <c r="C36" s="266"/>
      <c r="D36" s="267"/>
      <c r="E36" s="267"/>
      <c r="F36" s="268"/>
      <c r="G36" s="172"/>
      <c r="H36" s="172"/>
    </row>
    <row r="37" spans="1:10" s="167" customFormat="1" ht="13.8" x14ac:dyDescent="0.3">
      <c r="A37" s="170" t="s">
        <v>14</v>
      </c>
      <c r="B37" s="269"/>
      <c r="C37" s="168"/>
      <c r="D37" s="270"/>
      <c r="E37" s="168"/>
      <c r="F37" s="168"/>
      <c r="G37" s="168"/>
      <c r="H37" s="168"/>
    </row>
    <row r="38" spans="1:10" s="167" customFormat="1" ht="39.6" x14ac:dyDescent="0.25">
      <c r="A38" s="170" t="s">
        <v>248</v>
      </c>
      <c r="B38" s="180" t="s">
        <v>339</v>
      </c>
      <c r="C38" s="181" t="s">
        <v>1</v>
      </c>
      <c r="D38" s="170">
        <v>51</v>
      </c>
      <c r="E38" s="171">
        <v>0</v>
      </c>
      <c r="F38" s="171">
        <f t="shared" ref="F38:F41" si="6">D38*E38</f>
        <v>0</v>
      </c>
      <c r="G38" s="172">
        <v>0</v>
      </c>
      <c r="H38" s="172">
        <f t="shared" ref="H38:H45" si="7">D38*G38</f>
        <v>0</v>
      </c>
    </row>
    <row r="39" spans="1:10" s="167" customFormat="1" ht="39.6" x14ac:dyDescent="0.25">
      <c r="A39" s="170" t="s">
        <v>249</v>
      </c>
      <c r="B39" s="180" t="s">
        <v>340</v>
      </c>
      <c r="C39" s="181" t="s">
        <v>1</v>
      </c>
      <c r="D39" s="170">
        <v>3</v>
      </c>
      <c r="E39" s="171">
        <v>0</v>
      </c>
      <c r="F39" s="171">
        <f t="shared" si="6"/>
        <v>0</v>
      </c>
      <c r="G39" s="172">
        <v>0</v>
      </c>
      <c r="H39" s="172">
        <f t="shared" si="7"/>
        <v>0</v>
      </c>
    </row>
    <row r="40" spans="1:10" s="167" customFormat="1" ht="39.6" x14ac:dyDescent="0.25">
      <c r="A40" s="170" t="s">
        <v>250</v>
      </c>
      <c r="B40" s="180" t="s">
        <v>341</v>
      </c>
      <c r="C40" s="181" t="s">
        <v>1</v>
      </c>
      <c r="D40" s="170">
        <v>2</v>
      </c>
      <c r="E40" s="171">
        <v>0</v>
      </c>
      <c r="F40" s="171">
        <f t="shared" si="6"/>
        <v>0</v>
      </c>
      <c r="G40" s="172">
        <v>0</v>
      </c>
      <c r="H40" s="172">
        <f t="shared" si="7"/>
        <v>0</v>
      </c>
    </row>
    <row r="41" spans="1:10" s="167" customFormat="1" ht="26.4" x14ac:dyDescent="0.25">
      <c r="A41" s="170" t="s">
        <v>342</v>
      </c>
      <c r="B41" s="180" t="s">
        <v>343</v>
      </c>
      <c r="C41" s="181" t="s">
        <v>1</v>
      </c>
      <c r="D41" s="170">
        <v>1</v>
      </c>
      <c r="E41" s="171">
        <v>0</v>
      </c>
      <c r="F41" s="171">
        <f t="shared" si="6"/>
        <v>0</v>
      </c>
      <c r="G41" s="172">
        <v>0</v>
      </c>
      <c r="H41" s="172">
        <f t="shared" si="7"/>
        <v>0</v>
      </c>
    </row>
    <row r="42" spans="1:10" s="167" customFormat="1" ht="26.4" x14ac:dyDescent="0.25">
      <c r="A42" s="170" t="s">
        <v>344</v>
      </c>
      <c r="B42" s="180" t="s">
        <v>345</v>
      </c>
      <c r="C42" s="181" t="s">
        <v>1</v>
      </c>
      <c r="D42" s="170">
        <v>1</v>
      </c>
      <c r="E42" s="171">
        <v>0</v>
      </c>
      <c r="F42" s="171">
        <f t="shared" ref="F42:F43" si="8">D42*E42</f>
        <v>0</v>
      </c>
      <c r="G42" s="172">
        <v>0</v>
      </c>
      <c r="H42" s="172">
        <f t="shared" si="7"/>
        <v>0</v>
      </c>
    </row>
    <row r="43" spans="1:10" s="167" customFormat="1" ht="39.75" customHeight="1" x14ac:dyDescent="0.25">
      <c r="A43" s="170" t="s">
        <v>15</v>
      </c>
      <c r="B43" s="180" t="s">
        <v>346</v>
      </c>
      <c r="C43" s="181" t="s">
        <v>37</v>
      </c>
      <c r="D43" s="170">
        <v>101</v>
      </c>
      <c r="E43" s="171">
        <v>0</v>
      </c>
      <c r="F43" s="171">
        <f t="shared" si="8"/>
        <v>0</v>
      </c>
      <c r="G43" s="172">
        <v>0</v>
      </c>
      <c r="H43" s="172">
        <f t="shared" si="7"/>
        <v>0</v>
      </c>
    </row>
    <row r="44" spans="1:10" s="167" customFormat="1" ht="39.6" x14ac:dyDescent="0.25">
      <c r="A44" s="170" t="s">
        <v>15</v>
      </c>
      <c r="B44" s="180" t="s">
        <v>348</v>
      </c>
      <c r="C44" s="181" t="s">
        <v>1</v>
      </c>
      <c r="D44" s="170">
        <f>SUM(D38:D42)</f>
        <v>58</v>
      </c>
      <c r="E44" s="171">
        <v>0</v>
      </c>
      <c r="F44" s="171">
        <f t="shared" ref="F44:F45" si="9">D44*E44</f>
        <v>0</v>
      </c>
      <c r="G44" s="172">
        <v>0</v>
      </c>
      <c r="H44" s="172">
        <f t="shared" si="7"/>
        <v>0</v>
      </c>
    </row>
    <row r="45" spans="1:10" s="167" customFormat="1" ht="39.6" x14ac:dyDescent="0.25">
      <c r="A45" s="170" t="s">
        <v>15</v>
      </c>
      <c r="B45" s="180" t="s">
        <v>347</v>
      </c>
      <c r="C45" s="181" t="s">
        <v>37</v>
      </c>
      <c r="D45" s="170">
        <v>101</v>
      </c>
      <c r="E45" s="171">
        <v>0</v>
      </c>
      <c r="F45" s="171">
        <f t="shared" si="9"/>
        <v>0</v>
      </c>
      <c r="G45" s="172">
        <v>0</v>
      </c>
      <c r="H45" s="172">
        <f t="shared" si="7"/>
        <v>0</v>
      </c>
    </row>
    <row r="46" spans="1:10" s="167" customFormat="1" x14ac:dyDescent="0.25">
      <c r="A46" s="220" t="s">
        <v>338</v>
      </c>
      <c r="B46" s="230"/>
      <c r="C46" s="231"/>
      <c r="D46" s="232"/>
      <c r="E46" s="233"/>
      <c r="F46" s="233">
        <f>SUM(F38:F45)</f>
        <v>0</v>
      </c>
      <c r="G46" s="234"/>
      <c r="H46" s="234">
        <f>SUM(H38:H45)</f>
        <v>0</v>
      </c>
    </row>
    <row r="47" spans="1:10" s="47" customFormat="1" ht="15.75" customHeight="1" x14ac:dyDescent="0.25">
      <c r="A47" s="56"/>
      <c r="B47" s="27" t="s">
        <v>210</v>
      </c>
      <c r="C47" s="52"/>
      <c r="D47" s="56"/>
      <c r="E47" s="51"/>
      <c r="F47" s="51"/>
      <c r="G47" s="55"/>
      <c r="H47" s="55"/>
      <c r="I47" s="29" t="s">
        <v>104</v>
      </c>
      <c r="J47" s="29" t="s">
        <v>105</v>
      </c>
    </row>
    <row r="48" spans="1:10" s="47" customFormat="1" x14ac:dyDescent="0.25">
      <c r="A48" s="22" t="s">
        <v>14</v>
      </c>
      <c r="B48" s="57"/>
      <c r="C48" s="52"/>
      <c r="D48" s="56"/>
      <c r="E48" s="51"/>
      <c r="F48" s="51"/>
      <c r="G48" s="55"/>
      <c r="H48" s="55"/>
    </row>
    <row r="49" spans="1:10" s="47" customFormat="1" x14ac:dyDescent="0.25">
      <c r="A49" s="22" t="s">
        <v>108</v>
      </c>
      <c r="B49" s="34" t="s">
        <v>109</v>
      </c>
      <c r="C49" s="35" t="s">
        <v>1</v>
      </c>
      <c r="D49" s="22">
        <v>25</v>
      </c>
      <c r="E49" s="23">
        <v>0</v>
      </c>
      <c r="F49" s="23">
        <f>D49*E49</f>
        <v>0</v>
      </c>
      <c r="G49" s="24">
        <v>0</v>
      </c>
      <c r="H49" s="24">
        <f t="shared" ref="H49:H57" si="10">D49*G49</f>
        <v>0</v>
      </c>
      <c r="I49" s="19">
        <v>0.48199999999999998</v>
      </c>
      <c r="J49" s="19">
        <f>I49*D49</f>
        <v>12.049999999999999</v>
      </c>
    </row>
    <row r="50" spans="1:10" s="47" customFormat="1" x14ac:dyDescent="0.25">
      <c r="A50" s="22" t="s">
        <v>102</v>
      </c>
      <c r="B50" s="34" t="s">
        <v>103</v>
      </c>
      <c r="C50" s="35" t="s">
        <v>1</v>
      </c>
      <c r="D50" s="22">
        <v>1</v>
      </c>
      <c r="E50" s="171">
        <v>0</v>
      </c>
      <c r="F50" s="23">
        <f>D50*E50</f>
        <v>0</v>
      </c>
      <c r="G50" s="24">
        <v>0</v>
      </c>
      <c r="H50" s="24">
        <f t="shared" si="10"/>
        <v>0</v>
      </c>
      <c r="I50" s="19">
        <v>8.6999999999999994E-2</v>
      </c>
      <c r="J50" s="19">
        <f>I50*D50</f>
        <v>8.6999999999999994E-2</v>
      </c>
    </row>
    <row r="51" spans="1:10" s="47" customFormat="1" ht="26.4" x14ac:dyDescent="0.25">
      <c r="A51" s="22" t="s">
        <v>15</v>
      </c>
      <c r="B51" s="34" t="s">
        <v>106</v>
      </c>
      <c r="C51" s="35" t="s">
        <v>1</v>
      </c>
      <c r="D51" s="22">
        <v>14</v>
      </c>
      <c r="E51" s="171">
        <v>0</v>
      </c>
      <c r="F51" s="23">
        <f t="shared" ref="F51:F57" si="11">D51*E51</f>
        <v>0</v>
      </c>
      <c r="G51" s="24">
        <v>0</v>
      </c>
      <c r="H51" s="24">
        <f t="shared" si="10"/>
        <v>0</v>
      </c>
      <c r="I51" s="19">
        <v>0.06</v>
      </c>
      <c r="J51" s="19">
        <f>I51*D51</f>
        <v>0.84</v>
      </c>
    </row>
    <row r="52" spans="1:10" s="47" customFormat="1" x14ac:dyDescent="0.25">
      <c r="A52" s="22" t="s">
        <v>15</v>
      </c>
      <c r="B52" s="34" t="s">
        <v>107</v>
      </c>
      <c r="C52" s="35" t="s">
        <v>1</v>
      </c>
      <c r="D52" s="22">
        <v>95</v>
      </c>
      <c r="E52" s="171">
        <v>0</v>
      </c>
      <c r="F52" s="23">
        <f t="shared" ref="F52:F56" si="12">D52*E52</f>
        <v>0</v>
      </c>
      <c r="G52" s="24">
        <v>0</v>
      </c>
      <c r="H52" s="24">
        <f t="shared" si="10"/>
        <v>0</v>
      </c>
      <c r="I52" s="19">
        <v>0.06</v>
      </c>
      <c r="J52" s="19">
        <f>I52*D52</f>
        <v>5.7</v>
      </c>
    </row>
    <row r="53" spans="1:10" s="47" customFormat="1" ht="26.4" x14ac:dyDescent="0.25">
      <c r="A53" s="22" t="s">
        <v>15</v>
      </c>
      <c r="B53" s="34" t="s">
        <v>110</v>
      </c>
      <c r="C53" s="35" t="s">
        <v>90</v>
      </c>
      <c r="D53" s="22">
        <v>84</v>
      </c>
      <c r="E53" s="171">
        <v>0</v>
      </c>
      <c r="F53" s="23">
        <f t="shared" si="12"/>
        <v>0</v>
      </c>
      <c r="G53" s="24">
        <v>0</v>
      </c>
      <c r="H53" s="24">
        <f t="shared" si="10"/>
        <v>0</v>
      </c>
      <c r="I53" s="19">
        <v>0.05</v>
      </c>
      <c r="J53" s="19">
        <f>I53*D53</f>
        <v>4.2</v>
      </c>
    </row>
    <row r="54" spans="1:10" s="47" customFormat="1" x14ac:dyDescent="0.25">
      <c r="A54" s="22" t="s">
        <v>111</v>
      </c>
      <c r="B54" s="34"/>
      <c r="C54" s="35"/>
      <c r="D54" s="22"/>
      <c r="E54" s="171">
        <v>0</v>
      </c>
      <c r="F54" s="23"/>
      <c r="G54" s="24"/>
      <c r="H54" s="24"/>
      <c r="I54" s="19"/>
      <c r="J54" s="89">
        <f>SUM(J49:J53)</f>
        <v>22.876999999999999</v>
      </c>
    </row>
    <row r="55" spans="1:10" s="47" customFormat="1" ht="26.4" x14ac:dyDescent="0.25">
      <c r="A55" s="22" t="s">
        <v>112</v>
      </c>
      <c r="B55" s="34" t="s">
        <v>113</v>
      </c>
      <c r="C55" s="35" t="s">
        <v>2</v>
      </c>
      <c r="D55" s="90">
        <f>J54</f>
        <v>22.876999999999999</v>
      </c>
      <c r="E55" s="171">
        <v>0</v>
      </c>
      <c r="F55" s="23">
        <f t="shared" ref="F55" si="13">D55*E55</f>
        <v>0</v>
      </c>
      <c r="G55" s="24">
        <v>0</v>
      </c>
      <c r="H55" s="24">
        <f t="shared" si="10"/>
        <v>0</v>
      </c>
      <c r="I55" s="19"/>
      <c r="J55" s="19"/>
    </row>
    <row r="56" spans="1:10" s="47" customFormat="1" ht="15.75" customHeight="1" x14ac:dyDescent="0.25">
      <c r="A56" s="22" t="s">
        <v>114</v>
      </c>
      <c r="B56" s="34" t="s">
        <v>115</v>
      </c>
      <c r="C56" s="35" t="s">
        <v>2</v>
      </c>
      <c r="D56" s="90">
        <f>D55*4</f>
        <v>91.507999999999996</v>
      </c>
      <c r="E56" s="171">
        <v>0</v>
      </c>
      <c r="F56" s="23">
        <f t="shared" si="12"/>
        <v>0</v>
      </c>
      <c r="G56" s="24">
        <v>0</v>
      </c>
      <c r="H56" s="24">
        <f t="shared" si="10"/>
        <v>0</v>
      </c>
      <c r="I56" s="19"/>
      <c r="J56" s="19"/>
    </row>
    <row r="57" spans="1:10" s="19" customFormat="1" x14ac:dyDescent="0.25">
      <c r="A57" s="22" t="s">
        <v>15</v>
      </c>
      <c r="B57" s="34" t="s">
        <v>116</v>
      </c>
      <c r="C57" s="35" t="s">
        <v>2</v>
      </c>
      <c r="D57" s="90">
        <f>D55</f>
        <v>22.876999999999999</v>
      </c>
      <c r="E57" s="171">
        <v>0</v>
      </c>
      <c r="F57" s="23">
        <f t="shared" si="11"/>
        <v>0</v>
      </c>
      <c r="G57" s="24">
        <v>0</v>
      </c>
      <c r="H57" s="24">
        <f t="shared" si="10"/>
        <v>0</v>
      </c>
    </row>
    <row r="58" spans="1:10" s="47" customFormat="1" x14ac:dyDescent="0.25">
      <c r="A58" s="96" t="s">
        <v>273</v>
      </c>
      <c r="B58" s="57"/>
      <c r="C58" s="52"/>
      <c r="D58" s="56"/>
      <c r="E58" s="51"/>
      <c r="F58" s="123">
        <f>SUM(F49:F57)</f>
        <v>0</v>
      </c>
      <c r="G58" s="55"/>
      <c r="H58" s="124">
        <f>SUM(H49:H57)</f>
        <v>0</v>
      </c>
      <c r="J58" s="124"/>
    </row>
    <row r="59" spans="1:10" s="186" customFormat="1" x14ac:dyDescent="0.25">
      <c r="A59" s="220"/>
      <c r="B59" s="196"/>
      <c r="C59" s="191"/>
      <c r="D59" s="195"/>
      <c r="E59" s="190"/>
      <c r="F59" s="233"/>
      <c r="G59" s="194"/>
      <c r="H59" s="234"/>
      <c r="J59" s="257"/>
    </row>
    <row r="60" spans="1:10" s="186" customFormat="1" ht="31.2" x14ac:dyDescent="0.25">
      <c r="A60" s="220"/>
      <c r="B60" s="175" t="s">
        <v>274</v>
      </c>
      <c r="C60" s="191"/>
      <c r="D60" s="195"/>
      <c r="E60" s="190"/>
      <c r="F60" s="233"/>
      <c r="G60" s="194"/>
      <c r="H60" s="234"/>
      <c r="J60" s="257"/>
    </row>
    <row r="61" spans="1:10" s="186" customFormat="1" ht="26.4" x14ac:dyDescent="0.25">
      <c r="A61" s="170" t="s">
        <v>15</v>
      </c>
      <c r="B61" s="180" t="s">
        <v>275</v>
      </c>
      <c r="C61" s="181" t="s">
        <v>37</v>
      </c>
      <c r="D61" s="170">
        <v>55</v>
      </c>
      <c r="E61" s="171">
        <v>0</v>
      </c>
      <c r="F61" s="171">
        <f t="shared" ref="F61" si="14">D61*E61</f>
        <v>0</v>
      </c>
      <c r="G61" s="172">
        <v>0</v>
      </c>
      <c r="H61" s="172">
        <f t="shared" ref="H61" si="15">D61*G61</f>
        <v>0</v>
      </c>
      <c r="J61" s="257"/>
    </row>
    <row r="62" spans="1:10" s="186" customFormat="1" x14ac:dyDescent="0.25">
      <c r="A62" s="220" t="s">
        <v>276</v>
      </c>
      <c r="C62" s="191"/>
      <c r="D62" s="195"/>
      <c r="E62" s="190"/>
      <c r="F62" s="233">
        <f>F61</f>
        <v>0</v>
      </c>
      <c r="G62" s="194"/>
      <c r="H62" s="234"/>
      <c r="J62" s="257"/>
    </row>
    <row r="63" spans="1:10" s="186" customFormat="1" ht="166.5" customHeight="1" x14ac:dyDescent="0.25">
      <c r="A63" s="209"/>
      <c r="B63" s="175" t="s">
        <v>332</v>
      </c>
      <c r="C63" s="211"/>
      <c r="D63" s="212"/>
      <c r="E63" s="213"/>
      <c r="F63" s="213"/>
      <c r="G63" s="255"/>
      <c r="H63" s="255"/>
    </row>
    <row r="64" spans="1:10" s="167" customFormat="1" ht="26.4" x14ac:dyDescent="0.25">
      <c r="A64" s="181" t="s">
        <v>313</v>
      </c>
      <c r="B64" s="182" t="s">
        <v>314</v>
      </c>
      <c r="C64" s="181" t="s">
        <v>37</v>
      </c>
      <c r="D64" s="165">
        <f>2794+4419</f>
        <v>7213</v>
      </c>
      <c r="E64" s="183">
        <v>0</v>
      </c>
      <c r="F64" s="171">
        <f t="shared" ref="F64:F66" si="16">D64*E64</f>
        <v>0</v>
      </c>
      <c r="G64" s="172">
        <v>0</v>
      </c>
      <c r="H64" s="172">
        <f t="shared" ref="H64:H66" si="17">D64*G64</f>
        <v>0</v>
      </c>
    </row>
    <row r="65" spans="1:8" s="167" customFormat="1" ht="26.4" x14ac:dyDescent="0.25">
      <c r="A65" s="181" t="s">
        <v>313</v>
      </c>
      <c r="B65" s="182" t="s">
        <v>315</v>
      </c>
      <c r="C65" s="181" t="s">
        <v>37</v>
      </c>
      <c r="D65" s="165">
        <f>D64*9</f>
        <v>64917</v>
      </c>
      <c r="E65" s="183">
        <v>0</v>
      </c>
      <c r="F65" s="171">
        <f t="shared" ref="F65" si="18">D65*E65</f>
        <v>0</v>
      </c>
      <c r="G65" s="172">
        <v>0</v>
      </c>
      <c r="H65" s="172">
        <f t="shared" ref="H65" si="19">D65*G65</f>
        <v>0</v>
      </c>
    </row>
    <row r="66" spans="1:8" s="167" customFormat="1" ht="26.4" x14ac:dyDescent="0.25">
      <c r="A66" s="181" t="s">
        <v>313</v>
      </c>
      <c r="B66" s="182" t="s">
        <v>316</v>
      </c>
      <c r="C66" s="181" t="s">
        <v>37</v>
      </c>
      <c r="D66" s="165">
        <f>D64*10</f>
        <v>72130</v>
      </c>
      <c r="E66" s="183">
        <v>0</v>
      </c>
      <c r="F66" s="171">
        <f t="shared" si="16"/>
        <v>0</v>
      </c>
      <c r="G66" s="172">
        <v>0</v>
      </c>
      <c r="H66" s="172">
        <f t="shared" si="17"/>
        <v>0</v>
      </c>
    </row>
    <row r="67" spans="1:8" s="167" customFormat="1" ht="26.4" x14ac:dyDescent="0.25">
      <c r="A67" s="181" t="s">
        <v>313</v>
      </c>
      <c r="B67" s="182" t="s">
        <v>317</v>
      </c>
      <c r="C67" s="181" t="s">
        <v>37</v>
      </c>
      <c r="D67" s="165">
        <f>D64*10</f>
        <v>72130</v>
      </c>
      <c r="E67" s="183">
        <v>0</v>
      </c>
      <c r="F67" s="171">
        <f t="shared" ref="F67:F79" si="20">D67*E67</f>
        <v>0</v>
      </c>
      <c r="G67" s="172">
        <v>0</v>
      </c>
      <c r="H67" s="172">
        <f t="shared" ref="H67:H79" si="21">D67*G67</f>
        <v>0</v>
      </c>
    </row>
    <row r="68" spans="1:8" s="167" customFormat="1" ht="39.6" x14ac:dyDescent="0.25">
      <c r="A68" s="181" t="s">
        <v>318</v>
      </c>
      <c r="B68" s="182" t="s">
        <v>319</v>
      </c>
      <c r="C68" s="181" t="s">
        <v>2</v>
      </c>
      <c r="D68" s="265">
        <v>0.57699999999999996</v>
      </c>
      <c r="E68" s="183">
        <v>0</v>
      </c>
      <c r="F68" s="171">
        <f t="shared" ref="F68:F69" si="22">D68*E68</f>
        <v>0</v>
      </c>
      <c r="G68" s="172">
        <v>0</v>
      </c>
      <c r="H68" s="172">
        <f t="shared" ref="H68:H69" si="23">D68*G68</f>
        <v>0</v>
      </c>
    </row>
    <row r="69" spans="1:8" s="167" customFormat="1" ht="26.4" x14ac:dyDescent="0.25">
      <c r="A69" s="181" t="s">
        <v>318</v>
      </c>
      <c r="B69" s="182" t="s">
        <v>320</v>
      </c>
      <c r="C69" s="181" t="s">
        <v>2</v>
      </c>
      <c r="D69" s="265">
        <v>0.57699999999999996</v>
      </c>
      <c r="E69" s="183">
        <v>0</v>
      </c>
      <c r="F69" s="171">
        <f t="shared" si="22"/>
        <v>0</v>
      </c>
      <c r="G69" s="172">
        <v>0</v>
      </c>
      <c r="H69" s="172">
        <f t="shared" si="23"/>
        <v>0</v>
      </c>
    </row>
    <row r="70" spans="1:8" s="167" customFormat="1" ht="26.4" x14ac:dyDescent="0.25">
      <c r="A70" s="181" t="s">
        <v>318</v>
      </c>
      <c r="B70" s="182" t="s">
        <v>321</v>
      </c>
      <c r="C70" s="181" t="s">
        <v>2</v>
      </c>
      <c r="D70" s="265">
        <v>0.57699999999999996</v>
      </c>
      <c r="E70" s="183">
        <v>0</v>
      </c>
      <c r="F70" s="171">
        <f t="shared" si="20"/>
        <v>0</v>
      </c>
      <c r="G70" s="172">
        <v>0</v>
      </c>
      <c r="H70" s="172">
        <f t="shared" si="21"/>
        <v>0</v>
      </c>
    </row>
    <row r="71" spans="1:8" s="186" customFormat="1" ht="39.6" x14ac:dyDescent="0.25">
      <c r="A71" s="181" t="s">
        <v>279</v>
      </c>
      <c r="B71" s="182" t="s">
        <v>281</v>
      </c>
      <c r="C71" s="181" t="s">
        <v>37</v>
      </c>
      <c r="D71" s="170">
        <f>D64*0.01</f>
        <v>72.13</v>
      </c>
      <c r="E71" s="183">
        <v>0</v>
      </c>
      <c r="F71" s="171">
        <f t="shared" ref="F71:F72" si="24">D71*E71</f>
        <v>0</v>
      </c>
      <c r="G71" s="172">
        <v>0</v>
      </c>
      <c r="H71" s="172">
        <f t="shared" ref="H71:H72" si="25">D71*G71</f>
        <v>0</v>
      </c>
    </row>
    <row r="72" spans="1:8" s="186" customFormat="1" ht="52.8" x14ac:dyDescent="0.25">
      <c r="A72" s="181" t="s">
        <v>279</v>
      </c>
      <c r="B72" s="182" t="s">
        <v>327</v>
      </c>
      <c r="C72" s="181" t="s">
        <v>37</v>
      </c>
      <c r="D72" s="170">
        <f>D73</f>
        <v>72.13</v>
      </c>
      <c r="E72" s="183">
        <v>0</v>
      </c>
      <c r="F72" s="171">
        <f t="shared" si="24"/>
        <v>0</v>
      </c>
      <c r="G72" s="172">
        <v>0</v>
      </c>
      <c r="H72" s="172">
        <f t="shared" si="25"/>
        <v>0</v>
      </c>
    </row>
    <row r="73" spans="1:8" s="186" customFormat="1" ht="52.8" x14ac:dyDescent="0.25">
      <c r="A73" s="181" t="s">
        <v>279</v>
      </c>
      <c r="B73" s="182" t="s">
        <v>328</v>
      </c>
      <c r="C73" s="181" t="s">
        <v>37</v>
      </c>
      <c r="D73" s="170">
        <f>D64*0.01</f>
        <v>72.13</v>
      </c>
      <c r="E73" s="183">
        <v>0</v>
      </c>
      <c r="F73" s="171">
        <f t="shared" si="20"/>
        <v>0</v>
      </c>
      <c r="G73" s="172">
        <v>0</v>
      </c>
      <c r="H73" s="172">
        <f t="shared" si="21"/>
        <v>0</v>
      </c>
    </row>
    <row r="74" spans="1:8" s="167" customFormat="1" ht="15.6" x14ac:dyDescent="0.25">
      <c r="A74" s="181" t="s">
        <v>280</v>
      </c>
      <c r="B74" s="182" t="s">
        <v>329</v>
      </c>
      <c r="C74" s="181" t="s">
        <v>37</v>
      </c>
      <c r="D74" s="165">
        <f>D64</f>
        <v>7213</v>
      </c>
      <c r="E74" s="183">
        <v>0</v>
      </c>
      <c r="F74" s="171">
        <f t="shared" si="20"/>
        <v>0</v>
      </c>
      <c r="G74" s="172">
        <v>0</v>
      </c>
      <c r="H74" s="172">
        <f t="shared" si="21"/>
        <v>0</v>
      </c>
    </row>
    <row r="75" spans="1:8" s="167" customFormat="1" ht="15.6" x14ac:dyDescent="0.25">
      <c r="A75" s="181" t="s">
        <v>280</v>
      </c>
      <c r="B75" s="182" t="s">
        <v>330</v>
      </c>
      <c r="C75" s="181" t="s">
        <v>37</v>
      </c>
      <c r="D75" s="165">
        <f>D64</f>
        <v>7213</v>
      </c>
      <c r="E75" s="183">
        <v>0</v>
      </c>
      <c r="F75" s="171">
        <f t="shared" si="20"/>
        <v>0</v>
      </c>
      <c r="G75" s="172">
        <v>0</v>
      </c>
      <c r="H75" s="172">
        <f t="shared" si="21"/>
        <v>0</v>
      </c>
    </row>
    <row r="76" spans="1:8" s="167" customFormat="1" ht="15.6" x14ac:dyDescent="0.25">
      <c r="A76" s="181" t="s">
        <v>280</v>
      </c>
      <c r="B76" s="182" t="s">
        <v>331</v>
      </c>
      <c r="C76" s="181" t="s">
        <v>37</v>
      </c>
      <c r="D76" s="165">
        <f>D74</f>
        <v>7213</v>
      </c>
      <c r="E76" s="183">
        <v>0</v>
      </c>
      <c r="F76" s="171">
        <f t="shared" ref="F76:F78" si="26">D76*E76</f>
        <v>0</v>
      </c>
      <c r="G76" s="172">
        <v>0</v>
      </c>
      <c r="H76" s="172">
        <f t="shared" ref="H76:H78" si="27">D76*G76</f>
        <v>0</v>
      </c>
    </row>
    <row r="77" spans="1:8" s="167" customFormat="1" x14ac:dyDescent="0.25">
      <c r="A77" s="181" t="s">
        <v>15</v>
      </c>
      <c r="B77" s="182" t="s">
        <v>333</v>
      </c>
      <c r="C77" s="181" t="s">
        <v>90</v>
      </c>
      <c r="D77" s="165">
        <f>(335+280+142+108+57+189)*0.4</f>
        <v>444.40000000000003</v>
      </c>
      <c r="E77" s="183">
        <v>0</v>
      </c>
      <c r="F77" s="171">
        <f t="shared" ref="F77" si="28">D77*E77</f>
        <v>0</v>
      </c>
      <c r="G77" s="172">
        <v>0</v>
      </c>
      <c r="H77" s="172">
        <f t="shared" ref="H77" si="29">D77*G77</f>
        <v>0</v>
      </c>
    </row>
    <row r="78" spans="1:8" s="167" customFormat="1" ht="26.4" x14ac:dyDescent="0.25">
      <c r="A78" s="181" t="s">
        <v>15</v>
      </c>
      <c r="B78" s="182" t="s">
        <v>334</v>
      </c>
      <c r="C78" s="181" t="s">
        <v>90</v>
      </c>
      <c r="D78" s="165">
        <f>(335+280+142+108+57+189)*0.4</f>
        <v>444.40000000000003</v>
      </c>
      <c r="E78" s="183">
        <v>0</v>
      </c>
      <c r="F78" s="171">
        <f t="shared" si="26"/>
        <v>0</v>
      </c>
      <c r="G78" s="172">
        <v>0</v>
      </c>
      <c r="H78" s="172">
        <f t="shared" si="27"/>
        <v>0</v>
      </c>
    </row>
    <row r="79" spans="1:8" s="167" customFormat="1" ht="26.4" x14ac:dyDescent="0.25">
      <c r="A79" s="181" t="s">
        <v>15</v>
      </c>
      <c r="B79" s="182" t="s">
        <v>335</v>
      </c>
      <c r="C79" s="181" t="s">
        <v>90</v>
      </c>
      <c r="D79" s="165">
        <f>(335+280+142+108+57+189)*0.4</f>
        <v>444.40000000000003</v>
      </c>
      <c r="E79" s="183">
        <v>0</v>
      </c>
      <c r="F79" s="171">
        <f t="shared" si="20"/>
        <v>0</v>
      </c>
      <c r="G79" s="172">
        <v>0</v>
      </c>
      <c r="H79" s="172">
        <f t="shared" si="21"/>
        <v>0</v>
      </c>
    </row>
    <row r="80" spans="1:8" s="186" customFormat="1" x14ac:dyDescent="0.25">
      <c r="A80" s="209"/>
      <c r="B80" s="210"/>
      <c r="C80" s="211"/>
      <c r="D80" s="212"/>
      <c r="E80" s="213"/>
      <c r="F80" s="213"/>
      <c r="G80" s="255"/>
      <c r="H80" s="255"/>
    </row>
    <row r="81" spans="1:8" s="167" customFormat="1" x14ac:dyDescent="0.25">
      <c r="A81" s="220" t="s">
        <v>322</v>
      </c>
      <c r="B81" s="230"/>
      <c r="C81" s="231"/>
      <c r="D81" s="232"/>
      <c r="E81" s="233"/>
      <c r="F81" s="233">
        <f>SUM(F64:F80)</f>
        <v>0</v>
      </c>
      <c r="G81" s="234"/>
      <c r="H81" s="235">
        <f>SUM(H64:H80)</f>
        <v>0</v>
      </c>
    </row>
    <row r="82" spans="1:8" s="186" customFormat="1" x14ac:dyDescent="0.25">
      <c r="A82" s="209"/>
      <c r="B82" s="210"/>
      <c r="C82" s="211"/>
      <c r="D82" s="212"/>
      <c r="E82" s="213"/>
      <c r="F82" s="213"/>
      <c r="G82" s="255"/>
      <c r="H82" s="255"/>
    </row>
    <row r="83" spans="1:8" s="242" customFormat="1" x14ac:dyDescent="0.25">
      <c r="A83" s="220" t="s">
        <v>323</v>
      </c>
      <c r="B83" s="219"/>
      <c r="C83" s="218"/>
      <c r="D83" s="217"/>
      <c r="E83" s="216"/>
      <c r="F83" s="216"/>
      <c r="G83" s="222"/>
      <c r="H83" s="222"/>
    </row>
    <row r="84" spans="1:8" s="242" customFormat="1" ht="26.4" x14ac:dyDescent="0.25">
      <c r="A84" s="220"/>
      <c r="B84" s="182" t="s">
        <v>336</v>
      </c>
      <c r="C84" s="181" t="s">
        <v>11</v>
      </c>
      <c r="D84" s="181">
        <f>3*72.13*0.02</f>
        <v>4.3277999999999999</v>
      </c>
      <c r="E84" s="183">
        <v>0</v>
      </c>
      <c r="F84" s="243">
        <f>E84*D84</f>
        <v>0</v>
      </c>
      <c r="G84" s="172">
        <v>1E-3</v>
      </c>
      <c r="H84" s="172">
        <f>D84*G84</f>
        <v>4.3277999999999997E-3</v>
      </c>
    </row>
    <row r="85" spans="1:8" s="242" customFormat="1" ht="26.4" x14ac:dyDescent="0.25">
      <c r="A85" s="220"/>
      <c r="B85" s="229" t="s">
        <v>325</v>
      </c>
      <c r="C85" s="181" t="s">
        <v>2</v>
      </c>
      <c r="D85" s="181">
        <v>1.2989999999999999</v>
      </c>
      <c r="E85" s="183">
        <v>0</v>
      </c>
      <c r="F85" s="171">
        <f>E85*D85</f>
        <v>0</v>
      </c>
      <c r="G85" s="172">
        <v>1</v>
      </c>
      <c r="H85" s="172">
        <f>D85*G85</f>
        <v>1.2989999999999999</v>
      </c>
    </row>
    <row r="86" spans="1:8" s="242" customFormat="1" ht="26.4" x14ac:dyDescent="0.25">
      <c r="A86" s="173"/>
      <c r="B86" s="182" t="s">
        <v>326</v>
      </c>
      <c r="C86" s="181" t="s">
        <v>2</v>
      </c>
      <c r="D86" s="181">
        <v>0.432</v>
      </c>
      <c r="E86" s="183">
        <v>0</v>
      </c>
      <c r="F86" s="171">
        <f>E86*D86</f>
        <v>0</v>
      </c>
      <c r="G86" s="172">
        <v>1</v>
      </c>
      <c r="H86" s="172">
        <f>D86*G86</f>
        <v>0.432</v>
      </c>
    </row>
    <row r="87" spans="1:8" s="186" customFormat="1" x14ac:dyDescent="0.25">
      <c r="A87" s="208"/>
      <c r="B87" s="192"/>
      <c r="C87" s="191"/>
      <c r="D87" s="191"/>
      <c r="E87" s="193"/>
      <c r="F87" s="190"/>
      <c r="G87" s="194"/>
      <c r="H87" s="194"/>
    </row>
    <row r="88" spans="1:8" s="167" customFormat="1" x14ac:dyDescent="0.25">
      <c r="A88" s="220" t="s">
        <v>55</v>
      </c>
      <c r="B88" s="230"/>
      <c r="C88" s="231"/>
      <c r="D88" s="232"/>
      <c r="E88" s="233"/>
      <c r="F88" s="247">
        <f>SUM(F84:F86)</f>
        <v>0</v>
      </c>
      <c r="G88" s="234"/>
      <c r="H88" s="246">
        <f>SUM(H84:H86)</f>
        <v>1.7353277999999999</v>
      </c>
    </row>
    <row r="89" spans="1:8" s="167" customFormat="1" x14ac:dyDescent="0.25">
      <c r="A89" s="220" t="s">
        <v>21</v>
      </c>
      <c r="B89" s="230"/>
      <c r="C89" s="231"/>
      <c r="D89" s="232"/>
      <c r="E89" s="233"/>
      <c r="F89" s="233">
        <f>F88*1.02*1.25</f>
        <v>0</v>
      </c>
      <c r="G89" s="172"/>
      <c r="H89" s="172"/>
    </row>
    <row r="90" spans="1:8" s="186" customFormat="1" x14ac:dyDescent="0.25">
      <c r="A90" s="199"/>
      <c r="B90" s="200"/>
      <c r="C90" s="201"/>
      <c r="D90" s="202"/>
      <c r="E90" s="203"/>
      <c r="F90" s="203"/>
      <c r="G90" s="194"/>
      <c r="H90" s="194"/>
    </row>
    <row r="91" spans="1:8" s="167" customFormat="1" ht="26.4" x14ac:dyDescent="0.25">
      <c r="A91" s="170" t="s">
        <v>24</v>
      </c>
      <c r="B91" s="180" t="s">
        <v>25</v>
      </c>
      <c r="C91" s="223" t="s">
        <v>2</v>
      </c>
      <c r="D91" s="156">
        <f>H92</f>
        <v>1.7353277999999999</v>
      </c>
      <c r="E91" s="171">
        <v>0</v>
      </c>
      <c r="F91" s="233">
        <f>D91*E91</f>
        <v>0</v>
      </c>
      <c r="G91" s="172">
        <v>0</v>
      </c>
      <c r="H91" s="172"/>
    </row>
    <row r="92" spans="1:8" s="167" customFormat="1" x14ac:dyDescent="0.25">
      <c r="A92" s="220" t="s">
        <v>324</v>
      </c>
      <c r="B92" s="230"/>
      <c r="C92" s="231"/>
      <c r="D92" s="232"/>
      <c r="E92" s="233"/>
      <c r="F92" s="233">
        <f>F81+F89+F91</f>
        <v>0</v>
      </c>
      <c r="G92" s="234"/>
      <c r="H92" s="234">
        <f>H81+H88</f>
        <v>1.7353277999999999</v>
      </c>
    </row>
    <row r="93" spans="1:8" s="186" customFormat="1" x14ac:dyDescent="0.25">
      <c r="A93" s="209"/>
      <c r="B93" s="210"/>
      <c r="C93" s="211"/>
      <c r="D93" s="212"/>
      <c r="E93" s="213"/>
      <c r="F93" s="213"/>
      <c r="G93" s="255"/>
      <c r="H93" s="255"/>
    </row>
    <row r="94" spans="1:8" s="186" customFormat="1" ht="78" x14ac:dyDescent="0.25">
      <c r="A94" s="199"/>
      <c r="B94" s="175" t="s">
        <v>262</v>
      </c>
      <c r="C94" s="201"/>
      <c r="D94" s="202"/>
      <c r="E94" s="203"/>
      <c r="F94" s="203"/>
      <c r="G94" s="204"/>
      <c r="H94" s="204"/>
    </row>
    <row r="95" spans="1:8" s="186" customFormat="1" ht="15.6" x14ac:dyDescent="0.25">
      <c r="A95" s="174" t="s">
        <v>14</v>
      </c>
      <c r="B95" s="188"/>
      <c r="C95" s="187"/>
      <c r="D95" s="189"/>
      <c r="E95" s="189"/>
      <c r="F95" s="190"/>
      <c r="G95" s="189"/>
      <c r="H95" s="185"/>
    </row>
    <row r="96" spans="1:8" s="167" customFormat="1" ht="54" customHeight="1" x14ac:dyDescent="0.25">
      <c r="A96" s="181" t="s">
        <v>179</v>
      </c>
      <c r="B96" s="182" t="s">
        <v>180</v>
      </c>
      <c r="C96" s="181" t="s">
        <v>37</v>
      </c>
      <c r="D96" s="165">
        <f>142+108+57+189</f>
        <v>496</v>
      </c>
      <c r="E96" s="183">
        <v>0</v>
      </c>
      <c r="F96" s="171">
        <f t="shared" ref="F96:F101" si="30">D96*E96</f>
        <v>0</v>
      </c>
      <c r="G96" s="172">
        <v>0</v>
      </c>
      <c r="H96" s="172">
        <f t="shared" ref="H96:H101" si="31">D96*G96</f>
        <v>0</v>
      </c>
    </row>
    <row r="97" spans="1:8" s="167" customFormat="1" ht="26.4" x14ac:dyDescent="0.25">
      <c r="A97" s="181" t="s">
        <v>186</v>
      </c>
      <c r="B97" s="182" t="s">
        <v>187</v>
      </c>
      <c r="C97" s="181" t="s">
        <v>1</v>
      </c>
      <c r="D97" s="165">
        <f>D105+D106</f>
        <v>3975</v>
      </c>
      <c r="E97" s="183">
        <v>0</v>
      </c>
      <c r="F97" s="171">
        <f t="shared" si="30"/>
        <v>0</v>
      </c>
      <c r="G97" s="172">
        <v>0</v>
      </c>
      <c r="H97" s="172">
        <f t="shared" si="31"/>
        <v>0</v>
      </c>
    </row>
    <row r="98" spans="1:8" s="167" customFormat="1" x14ac:dyDescent="0.25">
      <c r="A98" s="181" t="s">
        <v>181</v>
      </c>
      <c r="B98" s="182" t="s">
        <v>182</v>
      </c>
      <c r="C98" s="181" t="s">
        <v>1</v>
      </c>
      <c r="D98" s="165">
        <f>D107</f>
        <v>7974</v>
      </c>
      <c r="E98" s="183">
        <v>0</v>
      </c>
      <c r="F98" s="171">
        <f t="shared" si="30"/>
        <v>0</v>
      </c>
      <c r="G98" s="172">
        <v>0</v>
      </c>
      <c r="H98" s="172">
        <f t="shared" si="31"/>
        <v>0</v>
      </c>
    </row>
    <row r="99" spans="1:8" s="167" customFormat="1" x14ac:dyDescent="0.25">
      <c r="A99" s="181" t="s">
        <v>15</v>
      </c>
      <c r="B99" s="182" t="s">
        <v>183</v>
      </c>
      <c r="C99" s="181" t="s">
        <v>1</v>
      </c>
      <c r="D99" s="165">
        <v>500</v>
      </c>
      <c r="E99" s="183">
        <v>0</v>
      </c>
      <c r="F99" s="171">
        <f t="shared" si="30"/>
        <v>0</v>
      </c>
      <c r="G99" s="172">
        <v>0</v>
      </c>
      <c r="H99" s="172">
        <f t="shared" si="31"/>
        <v>0</v>
      </c>
    </row>
    <row r="100" spans="1:8" s="167" customFormat="1" ht="26.4" x14ac:dyDescent="0.25">
      <c r="A100" s="181" t="s">
        <v>184</v>
      </c>
      <c r="B100" s="182" t="s">
        <v>185</v>
      </c>
      <c r="C100" s="181" t="s">
        <v>1</v>
      </c>
      <c r="D100" s="165">
        <f>D105+D106</f>
        <v>3975</v>
      </c>
      <c r="E100" s="183">
        <v>0</v>
      </c>
      <c r="F100" s="171">
        <f t="shared" si="30"/>
        <v>0</v>
      </c>
      <c r="G100" s="172">
        <v>0</v>
      </c>
      <c r="H100" s="172">
        <f t="shared" si="31"/>
        <v>0</v>
      </c>
    </row>
    <row r="101" spans="1:8" s="167" customFormat="1" ht="39.6" x14ac:dyDescent="0.25">
      <c r="A101" s="181" t="s">
        <v>62</v>
      </c>
      <c r="B101" s="182" t="s">
        <v>188</v>
      </c>
      <c r="C101" s="181" t="s">
        <v>37</v>
      </c>
      <c r="D101" s="165">
        <f>D96*2</f>
        <v>992</v>
      </c>
      <c r="E101" s="183">
        <v>0</v>
      </c>
      <c r="F101" s="171">
        <f t="shared" si="30"/>
        <v>0</v>
      </c>
      <c r="G101" s="172">
        <v>0</v>
      </c>
      <c r="H101" s="172">
        <f t="shared" si="31"/>
        <v>0</v>
      </c>
    </row>
    <row r="102" spans="1:8" s="186" customFormat="1" ht="15.6" x14ac:dyDescent="0.25">
      <c r="A102" s="199"/>
      <c r="B102" s="188"/>
      <c r="C102" s="201"/>
      <c r="D102" s="202"/>
      <c r="E102" s="183">
        <v>0</v>
      </c>
      <c r="F102" s="203"/>
      <c r="G102" s="204"/>
      <c r="H102" s="204"/>
    </row>
    <row r="103" spans="1:8" s="167" customFormat="1" x14ac:dyDescent="0.25">
      <c r="A103" s="220" t="s">
        <v>174</v>
      </c>
      <c r="B103" s="230"/>
      <c r="C103" s="231"/>
      <c r="D103" s="232"/>
      <c r="E103" s="183">
        <v>0</v>
      </c>
      <c r="F103" s="233">
        <f>SUM(F96:F101)</f>
        <v>0</v>
      </c>
      <c r="G103" s="234"/>
      <c r="H103" s="235">
        <f>SUM(H96:H101)</f>
        <v>0</v>
      </c>
    </row>
    <row r="104" spans="1:8" s="167" customFormat="1" x14ac:dyDescent="0.25">
      <c r="A104" s="220" t="s">
        <v>22</v>
      </c>
      <c r="B104" s="219"/>
      <c r="C104" s="218"/>
      <c r="D104" s="217"/>
      <c r="E104" s="183">
        <v>0</v>
      </c>
      <c r="F104" s="216"/>
      <c r="G104" s="222"/>
      <c r="H104" s="222"/>
    </row>
    <row r="105" spans="1:8" s="186" customFormat="1" ht="26.4" x14ac:dyDescent="0.25">
      <c r="A105" s="208"/>
      <c r="B105" s="225" t="s">
        <v>176</v>
      </c>
      <c r="C105" s="226" t="s">
        <v>19</v>
      </c>
      <c r="D105" s="227">
        <v>1353</v>
      </c>
      <c r="E105" s="183">
        <v>0</v>
      </c>
      <c r="F105" s="215">
        <f>D105*E105</f>
        <v>0</v>
      </c>
      <c r="G105" s="228">
        <v>6.9999999999999999E-4</v>
      </c>
      <c r="H105" s="228">
        <f>G105*D105</f>
        <v>0.94709999999999994</v>
      </c>
    </row>
    <row r="106" spans="1:8" s="167" customFormat="1" ht="26.4" x14ac:dyDescent="0.25">
      <c r="A106" s="173"/>
      <c r="B106" s="229" t="s">
        <v>178</v>
      </c>
      <c r="C106" s="223" t="s">
        <v>19</v>
      </c>
      <c r="D106" s="165">
        <f>2538+84</f>
        <v>2622</v>
      </c>
      <c r="E106" s="183">
        <v>0</v>
      </c>
      <c r="F106" s="171">
        <f>D106*E106</f>
        <v>0</v>
      </c>
      <c r="G106" s="172">
        <v>6.9999999999999999E-4</v>
      </c>
      <c r="H106" s="172">
        <f>G106*D106</f>
        <v>1.8353999999999999</v>
      </c>
    </row>
    <row r="107" spans="1:8" s="167" customFormat="1" ht="26.4" x14ac:dyDescent="0.25">
      <c r="A107" s="173"/>
      <c r="B107" s="229" t="s">
        <v>177</v>
      </c>
      <c r="C107" s="223" t="s">
        <v>19</v>
      </c>
      <c r="D107" s="165">
        <f>2808+832+3834+500</f>
        <v>7974</v>
      </c>
      <c r="E107" s="183">
        <v>0</v>
      </c>
      <c r="F107" s="171">
        <f>D107*E107</f>
        <v>0</v>
      </c>
      <c r="G107" s="172">
        <v>5.0000000000000002E-5</v>
      </c>
      <c r="H107" s="172">
        <f>G107*D107</f>
        <v>0.3987</v>
      </c>
    </row>
    <row r="108" spans="1:8" s="186" customFormat="1" x14ac:dyDescent="0.25">
      <c r="A108" s="236" t="s">
        <v>23</v>
      </c>
      <c r="B108" s="237"/>
      <c r="C108" s="238"/>
      <c r="D108" s="239"/>
      <c r="E108" s="240"/>
      <c r="F108" s="240">
        <f>SUM(F105:F107)</f>
        <v>0</v>
      </c>
      <c r="G108" s="241"/>
      <c r="H108" s="235">
        <f>SUM(H105:H107)</f>
        <v>3.1811999999999996</v>
      </c>
    </row>
    <row r="109" spans="1:8" s="186" customFormat="1" x14ac:dyDescent="0.25">
      <c r="A109" s="220" t="s">
        <v>52</v>
      </c>
      <c r="B109" s="230"/>
      <c r="C109" s="231"/>
      <c r="D109" s="232"/>
      <c r="E109" s="233"/>
      <c r="F109" s="233">
        <f>F108*1.03*1.25</f>
        <v>0</v>
      </c>
      <c r="G109" s="172"/>
      <c r="H109" s="172"/>
    </row>
    <row r="110" spans="1:8" s="186" customFormat="1" ht="15.6" x14ac:dyDescent="0.25">
      <c r="A110" s="199"/>
      <c r="B110" s="188"/>
      <c r="C110" s="201"/>
      <c r="D110" s="202"/>
      <c r="E110" s="203"/>
      <c r="F110" s="203"/>
      <c r="G110" s="204"/>
      <c r="H110" s="204"/>
    </row>
    <row r="111" spans="1:8" s="242" customFormat="1" x14ac:dyDescent="0.25">
      <c r="A111" s="220" t="s">
        <v>175</v>
      </c>
      <c r="B111" s="219"/>
      <c r="C111" s="218"/>
      <c r="D111" s="217"/>
      <c r="E111" s="216"/>
      <c r="F111" s="216"/>
      <c r="G111" s="222"/>
      <c r="H111" s="222"/>
    </row>
    <row r="112" spans="1:8" s="242" customFormat="1" x14ac:dyDescent="0.25">
      <c r="A112" s="173"/>
      <c r="B112" s="182" t="s">
        <v>64</v>
      </c>
      <c r="C112" s="181" t="s">
        <v>63</v>
      </c>
      <c r="D112" s="181">
        <f>D96*0.0001*5*2</f>
        <v>0.49600000000000005</v>
      </c>
      <c r="E112" s="183">
        <v>0</v>
      </c>
      <c r="F112" s="243">
        <f>E112*D112</f>
        <v>0</v>
      </c>
      <c r="G112" s="172">
        <v>1E-3</v>
      </c>
      <c r="H112" s="172">
        <f>D112*G112</f>
        <v>4.9600000000000002E-4</v>
      </c>
    </row>
    <row r="113" spans="1:8" s="167" customFormat="1" ht="39.6" x14ac:dyDescent="0.25">
      <c r="A113" s="173"/>
      <c r="B113" s="182" t="s">
        <v>189</v>
      </c>
      <c r="C113" s="181" t="s">
        <v>43</v>
      </c>
      <c r="D113" s="181">
        <f>D96*0.08</f>
        <v>39.68</v>
      </c>
      <c r="E113" s="183">
        <v>0</v>
      </c>
      <c r="F113" s="171">
        <f>E113*D113</f>
        <v>0</v>
      </c>
      <c r="G113" s="172">
        <v>1.5</v>
      </c>
      <c r="H113" s="172">
        <f>D113*G113</f>
        <v>59.519999999999996</v>
      </c>
    </row>
    <row r="114" spans="1:8" s="167" customFormat="1" ht="39.6" x14ac:dyDescent="0.25">
      <c r="A114" s="173"/>
      <c r="B114" s="182" t="s">
        <v>192</v>
      </c>
      <c r="C114" s="181" t="s">
        <v>43</v>
      </c>
      <c r="D114" s="181">
        <f>(D96-100)*0.07</f>
        <v>27.720000000000002</v>
      </c>
      <c r="E114" s="183">
        <v>0</v>
      </c>
      <c r="F114" s="215">
        <f>E114*D114</f>
        <v>0</v>
      </c>
      <c r="G114" s="172">
        <v>1.5860000000000001</v>
      </c>
      <c r="H114" s="172">
        <f>D114*G114</f>
        <v>43.963920000000009</v>
      </c>
    </row>
    <row r="115" spans="1:8" s="167" customFormat="1" x14ac:dyDescent="0.25">
      <c r="A115" s="220" t="s">
        <v>55</v>
      </c>
      <c r="B115" s="230"/>
      <c r="C115" s="231"/>
      <c r="D115" s="232"/>
      <c r="E115" s="233"/>
      <c r="F115" s="247">
        <f>SUM(F112:F114)</f>
        <v>0</v>
      </c>
      <c r="G115" s="234"/>
      <c r="H115" s="246">
        <f>SUM(H112:H114)</f>
        <v>103.48441600000001</v>
      </c>
    </row>
    <row r="116" spans="1:8" s="167" customFormat="1" x14ac:dyDescent="0.25">
      <c r="A116" s="220" t="s">
        <v>21</v>
      </c>
      <c r="B116" s="230"/>
      <c r="C116" s="231"/>
      <c r="D116" s="232"/>
      <c r="E116" s="233"/>
      <c r="F116" s="233">
        <f>F115*1.02*1.25</f>
        <v>0</v>
      </c>
      <c r="G116" s="172"/>
      <c r="H116" s="172"/>
    </row>
    <row r="117" spans="1:8" s="167" customFormat="1" x14ac:dyDescent="0.25">
      <c r="A117" s="220"/>
      <c r="B117" s="230"/>
      <c r="C117" s="231"/>
      <c r="D117" s="232"/>
      <c r="E117" s="233"/>
      <c r="F117" s="233"/>
      <c r="G117" s="172"/>
      <c r="H117" s="172"/>
    </row>
    <row r="118" spans="1:8" s="167" customFormat="1" ht="26.4" x14ac:dyDescent="0.25">
      <c r="A118" s="170" t="s">
        <v>24</v>
      </c>
      <c r="B118" s="180" t="s">
        <v>25</v>
      </c>
      <c r="C118" s="223" t="s">
        <v>2</v>
      </c>
      <c r="D118" s="156">
        <f>H119</f>
        <v>106.66561600000001</v>
      </c>
      <c r="E118" s="171">
        <v>0</v>
      </c>
      <c r="F118" s="233">
        <f>D118*E118</f>
        <v>0</v>
      </c>
      <c r="G118" s="172">
        <v>0</v>
      </c>
      <c r="H118" s="172"/>
    </row>
    <row r="119" spans="1:8" s="167" customFormat="1" x14ac:dyDescent="0.25">
      <c r="A119" s="220" t="s">
        <v>269</v>
      </c>
      <c r="B119" s="230"/>
      <c r="C119" s="231"/>
      <c r="D119" s="232"/>
      <c r="E119" s="233"/>
      <c r="F119" s="233">
        <f>F103+F109+F116+F118</f>
        <v>0</v>
      </c>
      <c r="G119" s="234"/>
      <c r="H119" s="234">
        <f>H103+H108+H115</f>
        <v>106.66561600000001</v>
      </c>
    </row>
    <row r="120" spans="1:8" s="186" customFormat="1" x14ac:dyDescent="0.25">
      <c r="A120" s="209"/>
      <c r="B120" s="210"/>
      <c r="C120" s="211"/>
      <c r="D120" s="212"/>
      <c r="E120" s="213"/>
      <c r="F120" s="213"/>
      <c r="G120" s="255"/>
      <c r="H120" s="255"/>
    </row>
    <row r="121" spans="1:8" s="186" customFormat="1" ht="91.5" customHeight="1" x14ac:dyDescent="0.25">
      <c r="A121" s="209"/>
      <c r="B121" s="175" t="s">
        <v>277</v>
      </c>
      <c r="C121" s="211"/>
      <c r="D121" s="212"/>
      <c r="E121" s="213"/>
      <c r="F121" s="213"/>
      <c r="G121" s="255"/>
      <c r="H121" s="255"/>
    </row>
    <row r="122" spans="1:8" s="186" customFormat="1" ht="15.6" x14ac:dyDescent="0.25">
      <c r="A122" s="170" t="s">
        <v>15</v>
      </c>
      <c r="B122" s="251" t="s">
        <v>263</v>
      </c>
      <c r="C122" s="181" t="s">
        <v>37</v>
      </c>
      <c r="D122" s="181">
        <f>D96</f>
        <v>496</v>
      </c>
      <c r="E122" s="183">
        <v>0</v>
      </c>
      <c r="F122" s="171">
        <f t="shared" ref="F122" si="32">D122*E122</f>
        <v>0</v>
      </c>
      <c r="G122" s="252">
        <v>5.0000000000000001E-4</v>
      </c>
      <c r="H122" s="172">
        <f>D122*G122</f>
        <v>0.248</v>
      </c>
    </row>
    <row r="123" spans="1:8" s="186" customFormat="1" ht="15.6" x14ac:dyDescent="0.25">
      <c r="A123" s="170" t="s">
        <v>15</v>
      </c>
      <c r="B123" s="251" t="s">
        <v>264</v>
      </c>
      <c r="C123" s="181" t="s">
        <v>37</v>
      </c>
      <c r="D123" s="181">
        <f>D122</f>
        <v>496</v>
      </c>
      <c r="E123" s="183">
        <v>0</v>
      </c>
      <c r="F123" s="171">
        <f t="shared" ref="F123" si="33">D123*E123</f>
        <v>0</v>
      </c>
      <c r="G123" s="252">
        <v>5.0000000000000001E-4</v>
      </c>
      <c r="H123" s="172">
        <f>D123*G123</f>
        <v>0.248</v>
      </c>
    </row>
    <row r="124" spans="1:8" s="186" customFormat="1" ht="15.6" x14ac:dyDescent="0.25">
      <c r="A124" s="170" t="s">
        <v>15</v>
      </c>
      <c r="B124" s="251" t="s">
        <v>265</v>
      </c>
      <c r="C124" s="181" t="s">
        <v>37</v>
      </c>
      <c r="D124" s="181">
        <f>D123</f>
        <v>496</v>
      </c>
      <c r="E124" s="183">
        <v>0</v>
      </c>
      <c r="F124" s="171">
        <f t="shared" ref="F124" si="34">D124*E124</f>
        <v>0</v>
      </c>
      <c r="G124" s="252">
        <v>5.0000000000000001E-4</v>
      </c>
      <c r="H124" s="172">
        <f>D124*G124</f>
        <v>0.248</v>
      </c>
    </row>
    <row r="125" spans="1:8" s="186" customFormat="1" x14ac:dyDescent="0.25">
      <c r="A125" s="220" t="s">
        <v>266</v>
      </c>
      <c r="B125" s="251"/>
      <c r="C125" s="181"/>
      <c r="D125" s="181"/>
      <c r="E125" s="183"/>
      <c r="F125" s="247">
        <f>SUM(F122:F124)</f>
        <v>0</v>
      </c>
      <c r="G125" s="252"/>
      <c r="H125" s="246">
        <f>SUM(H122:H124)</f>
        <v>0.74399999999999999</v>
      </c>
    </row>
    <row r="126" spans="1:8" s="186" customFormat="1" x14ac:dyDescent="0.25">
      <c r="A126" s="170"/>
      <c r="B126" s="251"/>
      <c r="C126" s="181"/>
      <c r="D126" s="181"/>
      <c r="E126" s="183"/>
      <c r="F126" s="171"/>
      <c r="G126" s="252"/>
      <c r="H126" s="256"/>
    </row>
    <row r="127" spans="1:8" s="186" customFormat="1" ht="26.4" x14ac:dyDescent="0.25">
      <c r="A127" s="170" t="s">
        <v>24</v>
      </c>
      <c r="B127" s="180" t="s">
        <v>25</v>
      </c>
      <c r="C127" s="223" t="s">
        <v>2</v>
      </c>
      <c r="D127" s="156">
        <f>H125</f>
        <v>0.74399999999999999</v>
      </c>
      <c r="E127" s="171">
        <v>0</v>
      </c>
      <c r="F127" s="233">
        <f>D127*E127</f>
        <v>0</v>
      </c>
      <c r="G127" s="172">
        <v>0</v>
      </c>
      <c r="H127" s="255"/>
    </row>
    <row r="128" spans="1:8" s="186" customFormat="1" x14ac:dyDescent="0.25">
      <c r="A128" s="209"/>
      <c r="B128" s="210"/>
      <c r="C128" s="211"/>
      <c r="D128" s="212"/>
      <c r="E128" s="213"/>
      <c r="F128" s="213"/>
      <c r="G128" s="255"/>
      <c r="H128" s="255"/>
    </row>
    <row r="129" spans="1:8" s="167" customFormat="1" x14ac:dyDescent="0.25">
      <c r="A129" s="220" t="s">
        <v>269</v>
      </c>
      <c r="B129" s="230"/>
      <c r="C129" s="231"/>
      <c r="D129" s="232"/>
      <c r="E129" s="233"/>
      <c r="F129" s="233">
        <f>F125+F127</f>
        <v>0</v>
      </c>
      <c r="G129" s="234"/>
      <c r="H129" s="234">
        <f>SUM(H125)</f>
        <v>0.74399999999999999</v>
      </c>
    </row>
    <row r="130" spans="1:8" s="167" customFormat="1" x14ac:dyDescent="0.25">
      <c r="A130" s="236"/>
      <c r="B130" s="237"/>
      <c r="C130" s="238"/>
      <c r="D130" s="245"/>
      <c r="E130" s="240"/>
      <c r="F130" s="240"/>
      <c r="G130" s="241"/>
      <c r="H130" s="241"/>
    </row>
    <row r="131" spans="1:8" s="167" customFormat="1" ht="62.4" x14ac:dyDescent="0.25">
      <c r="A131" s="170"/>
      <c r="B131" s="175" t="s">
        <v>351</v>
      </c>
      <c r="C131" s="223" t="s">
        <v>2</v>
      </c>
      <c r="D131" s="156">
        <f>H132</f>
        <v>0</v>
      </c>
      <c r="E131" s="171">
        <v>0</v>
      </c>
      <c r="F131" s="247">
        <f>D131*E131</f>
        <v>0</v>
      </c>
      <c r="G131" s="172">
        <v>0</v>
      </c>
      <c r="H131" s="172"/>
    </row>
    <row r="132" spans="1:8" s="167" customFormat="1" ht="15.6" x14ac:dyDescent="0.25">
      <c r="A132" s="174" t="s">
        <v>14</v>
      </c>
      <c r="B132" s="188"/>
      <c r="C132" s="187"/>
      <c r="D132" s="189"/>
      <c r="E132" s="189"/>
      <c r="F132" s="206"/>
      <c r="G132" s="189"/>
      <c r="H132" s="185"/>
    </row>
    <row r="133" spans="1:8" s="186" customFormat="1" ht="26.4" x14ac:dyDescent="0.25">
      <c r="A133" s="310" t="s">
        <v>59</v>
      </c>
      <c r="B133" s="311" t="s">
        <v>372</v>
      </c>
      <c r="C133" s="310" t="s">
        <v>1</v>
      </c>
      <c r="D133" s="312">
        <v>14</v>
      </c>
      <c r="E133" s="313">
        <v>0</v>
      </c>
      <c r="F133" s="313">
        <v>0</v>
      </c>
      <c r="G133" s="172">
        <v>0</v>
      </c>
      <c r="H133" s="172">
        <v>0</v>
      </c>
    </row>
    <row r="134" spans="1:8" s="186" customFormat="1" x14ac:dyDescent="0.25">
      <c r="A134" s="310" t="s">
        <v>231</v>
      </c>
      <c r="B134" s="311" t="s">
        <v>232</v>
      </c>
      <c r="C134" s="310" t="s">
        <v>1</v>
      </c>
      <c r="D134" s="312">
        <v>3</v>
      </c>
      <c r="E134" s="313">
        <v>0</v>
      </c>
      <c r="F134" s="313">
        <v>0</v>
      </c>
      <c r="G134" s="172">
        <v>7.2870000000000004E-2</v>
      </c>
      <c r="H134" s="172">
        <v>0.21861000000000003</v>
      </c>
    </row>
    <row r="135" spans="1:8" s="186" customFormat="1" ht="26.4" x14ac:dyDescent="0.25">
      <c r="A135" s="310" t="s">
        <v>15</v>
      </c>
      <c r="B135" s="311" t="s">
        <v>233</v>
      </c>
      <c r="C135" s="310" t="s">
        <v>1</v>
      </c>
      <c r="D135" s="312">
        <v>61</v>
      </c>
      <c r="E135" s="313">
        <v>0</v>
      </c>
      <c r="F135" s="313">
        <v>0</v>
      </c>
      <c r="G135" s="172">
        <v>0.35743999999999998</v>
      </c>
      <c r="H135" s="172">
        <v>21.803839999999997</v>
      </c>
    </row>
    <row r="136" spans="1:8" s="167" customFormat="1" ht="39.6" x14ac:dyDescent="0.25">
      <c r="A136" s="310" t="s">
        <v>15</v>
      </c>
      <c r="B136" s="311" t="s">
        <v>261</v>
      </c>
      <c r="C136" s="310" t="s">
        <v>1</v>
      </c>
      <c r="D136" s="312">
        <v>18</v>
      </c>
      <c r="E136" s="313">
        <v>0</v>
      </c>
      <c r="F136" s="313">
        <v>0</v>
      </c>
      <c r="G136" s="172">
        <v>0.7</v>
      </c>
      <c r="H136" s="172">
        <v>12.6</v>
      </c>
    </row>
    <row r="137" spans="1:8" s="167" customFormat="1" x14ac:dyDescent="0.25">
      <c r="A137" s="310"/>
      <c r="B137" s="311"/>
      <c r="C137" s="310"/>
      <c r="D137" s="312"/>
      <c r="E137" s="313"/>
      <c r="F137" s="313"/>
      <c r="G137" s="172"/>
      <c r="H137" s="172"/>
    </row>
    <row r="138" spans="1:8" s="167" customFormat="1" x14ac:dyDescent="0.25">
      <c r="A138" s="317" t="s">
        <v>254</v>
      </c>
      <c r="B138" s="311"/>
      <c r="C138" s="310"/>
      <c r="D138" s="312"/>
      <c r="E138" s="313"/>
      <c r="F138" s="318">
        <f>SUM(F133:F136)</f>
        <v>0</v>
      </c>
      <c r="G138" s="172"/>
      <c r="H138" s="246">
        <f>SUM(H133:H136)</f>
        <v>34.622450000000001</v>
      </c>
    </row>
    <row r="139" spans="1:8" s="167" customFormat="1" x14ac:dyDescent="0.25">
      <c r="A139" s="174"/>
      <c r="B139" s="219"/>
      <c r="C139" s="174"/>
      <c r="D139" s="181"/>
      <c r="E139" s="171"/>
      <c r="F139" s="171"/>
      <c r="G139" s="172"/>
      <c r="H139" s="172"/>
    </row>
    <row r="140" spans="1:8" s="167" customFormat="1" x14ac:dyDescent="0.25">
      <c r="A140" s="220" t="s">
        <v>230</v>
      </c>
      <c r="B140" s="219"/>
      <c r="C140" s="174"/>
      <c r="D140" s="181"/>
      <c r="E140" s="171"/>
      <c r="F140" s="171"/>
      <c r="G140" s="172"/>
      <c r="H140" s="172"/>
    </row>
    <row r="141" spans="1:8" s="167" customFormat="1" x14ac:dyDescent="0.25">
      <c r="A141" s="174"/>
      <c r="B141" s="180" t="s">
        <v>237</v>
      </c>
      <c r="C141" s="181" t="s">
        <v>19</v>
      </c>
      <c r="D141" s="173">
        <v>14</v>
      </c>
      <c r="E141" s="171">
        <v>0</v>
      </c>
      <c r="F141" s="171">
        <f>D141*E141</f>
        <v>0</v>
      </c>
      <c r="G141" s="172">
        <v>5.0000000000000001E-3</v>
      </c>
      <c r="H141" s="172">
        <f>D141*G141</f>
        <v>7.0000000000000007E-2</v>
      </c>
    </row>
    <row r="142" spans="1:8" s="167" customFormat="1" ht="39.6" x14ac:dyDescent="0.25">
      <c r="A142" s="174"/>
      <c r="B142" s="180" t="s">
        <v>238</v>
      </c>
      <c r="C142" s="181" t="s">
        <v>19</v>
      </c>
      <c r="D142" s="173">
        <v>3</v>
      </c>
      <c r="E142" s="171">
        <v>0</v>
      </c>
      <c r="F142" s="171">
        <f>D142*E142</f>
        <v>0</v>
      </c>
      <c r="G142" s="172">
        <v>0.06</v>
      </c>
      <c r="H142" s="172">
        <f>D142*G142</f>
        <v>0.18</v>
      </c>
    </row>
    <row r="143" spans="1:8" s="167" customFormat="1" ht="42" customHeight="1" x14ac:dyDescent="0.25">
      <c r="A143" s="174"/>
      <c r="B143" s="326" t="s">
        <v>375</v>
      </c>
      <c r="C143" s="181" t="s">
        <v>19</v>
      </c>
      <c r="D143" s="173">
        <v>61</v>
      </c>
      <c r="E143" s="171">
        <v>0</v>
      </c>
      <c r="F143" s="171">
        <f>D143*E143</f>
        <v>0</v>
      </c>
      <c r="G143" s="172">
        <v>0.04</v>
      </c>
      <c r="H143" s="172">
        <f>D143*G143</f>
        <v>2.44</v>
      </c>
    </row>
    <row r="144" spans="1:8" s="167" customFormat="1" ht="26.4" x14ac:dyDescent="0.25">
      <c r="A144" s="174"/>
      <c r="B144" s="180" t="s">
        <v>239</v>
      </c>
      <c r="C144" s="181" t="s">
        <v>19</v>
      </c>
      <c r="D144" s="173">
        <v>18</v>
      </c>
      <c r="E144" s="171">
        <v>0</v>
      </c>
      <c r="F144" s="171">
        <f>D144*E144</f>
        <v>0</v>
      </c>
      <c r="G144" s="172">
        <v>0.08</v>
      </c>
      <c r="H144" s="172">
        <f>D144*G144</f>
        <v>1.44</v>
      </c>
    </row>
    <row r="145" spans="1:8" s="167" customFormat="1" x14ac:dyDescent="0.25">
      <c r="A145" s="174"/>
      <c r="B145" s="180"/>
      <c r="C145" s="181"/>
      <c r="D145" s="173"/>
      <c r="E145" s="171"/>
      <c r="F145" s="171"/>
      <c r="G145" s="172"/>
      <c r="H145" s="172"/>
    </row>
    <row r="146" spans="1:8" s="167" customFormat="1" x14ac:dyDescent="0.25">
      <c r="A146" s="220" t="s">
        <v>240</v>
      </c>
      <c r="B146" s="200"/>
      <c r="C146" s="152"/>
      <c r="D146" s="153"/>
      <c r="E146" s="154"/>
      <c r="F146" s="247">
        <f>SUM(F141:F144)</f>
        <v>0</v>
      </c>
      <c r="G146" s="235"/>
      <c r="H146" s="246">
        <f>SUM(H141:H144)</f>
        <v>4.13</v>
      </c>
    </row>
    <row r="147" spans="1:8" s="167" customFormat="1" x14ac:dyDescent="0.25">
      <c r="A147" s="220" t="s">
        <v>60</v>
      </c>
      <c r="C147" s="231"/>
      <c r="D147" s="232"/>
      <c r="E147" s="233"/>
      <c r="F147" s="233">
        <f>F146*1.01*1.25</f>
        <v>0</v>
      </c>
      <c r="G147" s="172"/>
      <c r="H147" s="172"/>
    </row>
    <row r="148" spans="1:8" s="167" customFormat="1" x14ac:dyDescent="0.25">
      <c r="A148" s="174"/>
      <c r="B148" s="180"/>
      <c r="C148" s="181"/>
      <c r="D148" s="173"/>
      <c r="E148" s="171"/>
      <c r="F148" s="171"/>
      <c r="G148" s="172"/>
      <c r="H148" s="172"/>
    </row>
    <row r="149" spans="1:8" s="167" customFormat="1" ht="26.4" x14ac:dyDescent="0.25">
      <c r="A149" s="170" t="s">
        <v>24</v>
      </c>
      <c r="B149" s="180" t="s">
        <v>25</v>
      </c>
      <c r="C149" s="223" t="s">
        <v>2</v>
      </c>
      <c r="D149" s="156">
        <f>H146+H138</f>
        <v>38.752450000000003</v>
      </c>
      <c r="E149" s="171">
        <v>0</v>
      </c>
      <c r="F149" s="154">
        <f>D149*E149</f>
        <v>0</v>
      </c>
      <c r="G149" s="172"/>
      <c r="H149" s="172"/>
    </row>
    <row r="150" spans="1:8" s="167" customFormat="1" x14ac:dyDescent="0.25">
      <c r="A150" s="317" t="s">
        <v>272</v>
      </c>
      <c r="B150" s="319"/>
      <c r="C150" s="320"/>
      <c r="D150" s="321"/>
      <c r="E150" s="281"/>
      <c r="F150" s="281">
        <f>F149+F147+F138</f>
        <v>0</v>
      </c>
      <c r="G150" s="172"/>
      <c r="H150" s="155"/>
    </row>
    <row r="151" spans="1:8" s="167" customFormat="1" x14ac:dyDescent="0.25">
      <c r="A151" s="236"/>
      <c r="B151" s="294"/>
      <c r="C151" s="238"/>
      <c r="D151" s="245"/>
      <c r="E151" s="240"/>
      <c r="F151" s="240"/>
      <c r="G151" s="256"/>
      <c r="H151" s="295"/>
    </row>
    <row r="152" spans="1:8" s="186" customFormat="1" ht="15.6" x14ac:dyDescent="0.25">
      <c r="A152" s="195"/>
      <c r="B152" s="175" t="s">
        <v>365</v>
      </c>
      <c r="C152" s="181"/>
      <c r="D152" s="170"/>
      <c r="E152" s="171"/>
      <c r="F152" s="171"/>
      <c r="G152" s="172"/>
      <c r="H152" s="172"/>
    </row>
    <row r="153" spans="1:8" s="186" customFormat="1" ht="15.6" x14ac:dyDescent="0.25">
      <c r="A153" s="146" t="s">
        <v>18</v>
      </c>
      <c r="B153" s="144"/>
      <c r="C153" s="145"/>
      <c r="D153" s="170"/>
      <c r="E153" s="171"/>
      <c r="F153" s="171"/>
      <c r="G153" s="172"/>
      <c r="H153" s="172"/>
    </row>
    <row r="154" spans="1:8" s="167" customFormat="1" ht="26.4" x14ac:dyDescent="0.25">
      <c r="A154" s="170" t="s">
        <v>217</v>
      </c>
      <c r="B154" s="251" t="s">
        <v>211</v>
      </c>
      <c r="C154" s="181" t="s">
        <v>43</v>
      </c>
      <c r="D154" s="181">
        <v>10</v>
      </c>
      <c r="E154" s="183">
        <v>0</v>
      </c>
      <c r="F154" s="171">
        <f t="shared" ref="F154:F166" si="35">D154*E154</f>
        <v>0</v>
      </c>
      <c r="G154" s="252">
        <v>0</v>
      </c>
      <c r="H154" s="172">
        <f t="shared" ref="H154:H166" si="36">D154*G154</f>
        <v>0</v>
      </c>
    </row>
    <row r="155" spans="1:8" s="167" customFormat="1" ht="39.6" x14ac:dyDescent="0.25">
      <c r="A155" s="173" t="s">
        <v>218</v>
      </c>
      <c r="B155" s="251" t="s">
        <v>212</v>
      </c>
      <c r="C155" s="181" t="s">
        <v>43</v>
      </c>
      <c r="D155" s="181">
        <v>10</v>
      </c>
      <c r="E155" s="183">
        <v>0</v>
      </c>
      <c r="F155" s="171">
        <f t="shared" si="35"/>
        <v>0</v>
      </c>
      <c r="G155" s="252">
        <v>0</v>
      </c>
      <c r="H155" s="172">
        <f t="shared" si="36"/>
        <v>0</v>
      </c>
    </row>
    <row r="156" spans="1:8" s="148" customFormat="1" ht="26.4" x14ac:dyDescent="0.25">
      <c r="A156" s="173" t="s">
        <v>219</v>
      </c>
      <c r="B156" s="147" t="s">
        <v>213</v>
      </c>
      <c r="C156" s="181" t="s">
        <v>37</v>
      </c>
      <c r="D156" s="170">
        <v>100</v>
      </c>
      <c r="E156" s="183">
        <v>0</v>
      </c>
      <c r="F156" s="171">
        <f t="shared" si="35"/>
        <v>0</v>
      </c>
      <c r="G156" s="252">
        <v>0</v>
      </c>
      <c r="H156" s="172">
        <f t="shared" si="36"/>
        <v>0</v>
      </c>
    </row>
    <row r="157" spans="1:8" s="148" customFormat="1" x14ac:dyDescent="0.25">
      <c r="A157" s="173" t="s">
        <v>111</v>
      </c>
      <c r="B157" s="147"/>
      <c r="C157" s="181"/>
      <c r="D157" s="170"/>
      <c r="E157" s="183">
        <v>0</v>
      </c>
      <c r="F157" s="171"/>
      <c r="G157" s="252"/>
      <c r="H157" s="172"/>
    </row>
    <row r="158" spans="1:8" s="167" customFormat="1" ht="39.6" x14ac:dyDescent="0.25">
      <c r="A158" s="170" t="s">
        <v>223</v>
      </c>
      <c r="B158" s="149" t="s">
        <v>222</v>
      </c>
      <c r="C158" s="181" t="s">
        <v>37</v>
      </c>
      <c r="D158" s="181">
        <v>40</v>
      </c>
      <c r="E158" s="183">
        <v>0</v>
      </c>
      <c r="F158" s="171">
        <f t="shared" ref="F158" si="37">D158*E158</f>
        <v>0</v>
      </c>
      <c r="G158" s="151">
        <v>0.15271999999999999</v>
      </c>
      <c r="H158" s="172">
        <f t="shared" ref="H158" si="38">D158*G158</f>
        <v>6.1087999999999996</v>
      </c>
    </row>
    <row r="159" spans="1:8" s="167" customFormat="1" ht="26.4" x14ac:dyDescent="0.25">
      <c r="A159" s="170" t="s">
        <v>220</v>
      </c>
      <c r="B159" s="149" t="s">
        <v>221</v>
      </c>
      <c r="C159" s="181" t="s">
        <v>37</v>
      </c>
      <c r="D159" s="181">
        <v>40</v>
      </c>
      <c r="E159" s="183">
        <v>0</v>
      </c>
      <c r="F159" s="171">
        <f t="shared" si="35"/>
        <v>0</v>
      </c>
      <c r="G159" s="151">
        <v>0.26177</v>
      </c>
      <c r="H159" s="172">
        <f t="shared" si="36"/>
        <v>10.470800000000001</v>
      </c>
    </row>
    <row r="160" spans="1:8" s="167" customFormat="1" ht="39.6" x14ac:dyDescent="0.25">
      <c r="A160" s="170" t="s">
        <v>15</v>
      </c>
      <c r="B160" s="149" t="s">
        <v>214</v>
      </c>
      <c r="C160" s="181" t="s">
        <v>37</v>
      </c>
      <c r="D160" s="181">
        <v>40</v>
      </c>
      <c r="E160" s="183">
        <v>0</v>
      </c>
      <c r="F160" s="171">
        <f t="shared" si="35"/>
        <v>0</v>
      </c>
      <c r="G160" s="151">
        <v>5.0999999999999997E-2</v>
      </c>
      <c r="H160" s="172">
        <f t="shared" si="36"/>
        <v>2.04</v>
      </c>
    </row>
    <row r="161" spans="1:8" s="186" customFormat="1" ht="66" x14ac:dyDescent="0.25">
      <c r="A161" s="170" t="s">
        <v>224</v>
      </c>
      <c r="B161" s="141" t="s">
        <v>225</v>
      </c>
      <c r="C161" s="142" t="s">
        <v>90</v>
      </c>
      <c r="D161" s="181">
        <v>36</v>
      </c>
      <c r="E161" s="183">
        <v>0</v>
      </c>
      <c r="F161" s="171">
        <f t="shared" si="35"/>
        <v>0</v>
      </c>
      <c r="G161" s="140">
        <v>0.1295</v>
      </c>
      <c r="H161" s="172">
        <f t="shared" si="36"/>
        <v>4.6619999999999999</v>
      </c>
    </row>
    <row r="162" spans="1:8" s="167" customFormat="1" ht="26.4" x14ac:dyDescent="0.25">
      <c r="A162" s="170" t="s">
        <v>226</v>
      </c>
      <c r="B162" s="149" t="s">
        <v>216</v>
      </c>
      <c r="C162" s="181" t="s">
        <v>43</v>
      </c>
      <c r="D162" s="143">
        <v>1.35</v>
      </c>
      <c r="E162" s="183">
        <v>0</v>
      </c>
      <c r="F162" s="171">
        <f>D162*E162</f>
        <v>0</v>
      </c>
      <c r="G162" s="151">
        <v>2.2563399999999998</v>
      </c>
      <c r="H162" s="172">
        <f t="shared" si="36"/>
        <v>3.0460590000000001</v>
      </c>
    </row>
    <row r="163" spans="1:8" s="167" customFormat="1" x14ac:dyDescent="0.25">
      <c r="A163" s="220" t="s">
        <v>227</v>
      </c>
      <c r="B163" s="230"/>
      <c r="C163" s="231"/>
      <c r="D163" s="232"/>
      <c r="E163" s="233"/>
      <c r="F163" s="233">
        <f>SUM(F154:F162)</f>
        <v>0</v>
      </c>
      <c r="G163" s="234"/>
      <c r="H163" s="228">
        <f>SUM(H154:H162)</f>
        <v>26.327658999999997</v>
      </c>
    </row>
    <row r="164" spans="1:8" s="167" customFormat="1" x14ac:dyDescent="0.25">
      <c r="A164" s="220"/>
      <c r="B164" s="230"/>
      <c r="C164" s="231"/>
      <c r="D164" s="232"/>
      <c r="E164" s="233"/>
      <c r="F164" s="233"/>
      <c r="G164" s="234"/>
      <c r="H164" s="235"/>
    </row>
    <row r="165" spans="1:8" s="167" customFormat="1" x14ac:dyDescent="0.25">
      <c r="A165" s="220" t="s">
        <v>228</v>
      </c>
      <c r="B165" s="230"/>
      <c r="C165" s="231"/>
      <c r="D165" s="232"/>
      <c r="E165" s="233"/>
      <c r="F165" s="233"/>
      <c r="G165" s="234"/>
      <c r="H165" s="235"/>
    </row>
    <row r="166" spans="1:8" s="167" customFormat="1" x14ac:dyDescent="0.25">
      <c r="A166" s="220"/>
      <c r="B166" s="149" t="s">
        <v>215</v>
      </c>
      <c r="C166" s="150" t="s">
        <v>19</v>
      </c>
      <c r="D166" s="181">
        <v>36</v>
      </c>
      <c r="E166" s="183">
        <v>0</v>
      </c>
      <c r="F166" s="171">
        <f t="shared" si="35"/>
        <v>0</v>
      </c>
      <c r="G166" s="151">
        <v>2.1000000000000001E-2</v>
      </c>
      <c r="H166" s="172">
        <f t="shared" si="36"/>
        <v>0.75600000000000001</v>
      </c>
    </row>
    <row r="167" spans="1:8" s="186" customFormat="1" x14ac:dyDescent="0.25">
      <c r="A167" s="195"/>
      <c r="B167" s="249"/>
      <c r="C167" s="248"/>
      <c r="D167" s="253"/>
      <c r="E167" s="193"/>
      <c r="F167" s="190"/>
      <c r="G167" s="250"/>
      <c r="H167" s="194"/>
    </row>
    <row r="168" spans="1:8" s="167" customFormat="1" x14ac:dyDescent="0.25">
      <c r="A168" s="220" t="s">
        <v>229</v>
      </c>
      <c r="B168" s="230"/>
      <c r="C168" s="231"/>
      <c r="D168" s="232"/>
      <c r="E168" s="233"/>
      <c r="F168" s="247">
        <f>SUM(F166:F167)</f>
        <v>0</v>
      </c>
      <c r="G168" s="234"/>
      <c r="H168" s="246">
        <f>SUM(H166:H167)</f>
        <v>0.75600000000000001</v>
      </c>
    </row>
    <row r="169" spans="1:8" s="167" customFormat="1" x14ac:dyDescent="0.25">
      <c r="A169" s="220" t="s">
        <v>21</v>
      </c>
      <c r="B169" s="230"/>
      <c r="C169" s="231"/>
      <c r="D169" s="232"/>
      <c r="E169" s="233"/>
      <c r="F169" s="233">
        <f>F168*1.02*1.25</f>
        <v>0</v>
      </c>
      <c r="G169" s="172"/>
      <c r="H169" s="172"/>
    </row>
    <row r="170" spans="1:8" s="186" customFormat="1" x14ac:dyDescent="0.25">
      <c r="A170" s="195"/>
      <c r="B170" s="249"/>
      <c r="C170" s="248"/>
      <c r="D170" s="253"/>
      <c r="E170" s="193"/>
      <c r="F170" s="190"/>
      <c r="G170" s="250"/>
      <c r="H170" s="194"/>
    </row>
    <row r="171" spans="1:8" s="167" customFormat="1" ht="26.4" x14ac:dyDescent="0.25">
      <c r="A171" s="170" t="s">
        <v>24</v>
      </c>
      <c r="B171" s="180" t="s">
        <v>25</v>
      </c>
      <c r="C171" s="223" t="s">
        <v>2</v>
      </c>
      <c r="D171" s="156">
        <f>H163+H168</f>
        <v>27.083658999999997</v>
      </c>
      <c r="E171" s="171">
        <v>0</v>
      </c>
      <c r="F171" s="258">
        <f t="shared" ref="F171" si="39">D171*E171</f>
        <v>0</v>
      </c>
      <c r="G171" s="172"/>
      <c r="H171" s="172"/>
    </row>
    <row r="172" spans="1:8" s="167" customFormat="1" x14ac:dyDescent="0.25">
      <c r="A172" s="220" t="s">
        <v>306</v>
      </c>
      <c r="B172" s="230"/>
      <c r="C172" s="231"/>
      <c r="D172" s="232"/>
      <c r="E172" s="233"/>
      <c r="F172" s="233">
        <f>F163+F169+F171</f>
        <v>0</v>
      </c>
      <c r="G172" s="234"/>
      <c r="H172" s="234">
        <f>H163+H168</f>
        <v>27.083658999999997</v>
      </c>
    </row>
    <row r="173" spans="1:8" s="167" customFormat="1" x14ac:dyDescent="0.25">
      <c r="A173" s="236"/>
      <c r="B173" s="294"/>
      <c r="C173" s="238"/>
      <c r="D173" s="245"/>
      <c r="E173" s="240"/>
      <c r="F173" s="240"/>
      <c r="G173" s="256"/>
      <c r="H173" s="295"/>
    </row>
    <row r="174" spans="1:8" s="167" customFormat="1" ht="15.6" x14ac:dyDescent="0.3">
      <c r="A174" s="168" t="s">
        <v>364</v>
      </c>
      <c r="B174" s="259" t="s">
        <v>77</v>
      </c>
      <c r="C174" s="168"/>
      <c r="D174" s="168"/>
      <c r="E174" s="168"/>
      <c r="F174" s="168"/>
      <c r="G174" s="168"/>
      <c r="H174" s="168"/>
    </row>
    <row r="175" spans="1:8" s="167" customFormat="1" x14ac:dyDescent="0.25">
      <c r="A175" s="293">
        <v>1</v>
      </c>
      <c r="B175" s="168" t="s">
        <v>33</v>
      </c>
      <c r="C175" s="168"/>
      <c r="D175" s="168"/>
      <c r="E175" s="168"/>
      <c r="F175" s="298">
        <f>F18</f>
        <v>0</v>
      </c>
      <c r="G175" s="168"/>
      <c r="H175" s="168"/>
    </row>
    <row r="176" spans="1:8" s="167" customFormat="1" x14ac:dyDescent="0.25">
      <c r="A176" s="293">
        <v>4</v>
      </c>
      <c r="B176" s="168" t="s">
        <v>57</v>
      </c>
      <c r="C176" s="168"/>
      <c r="D176" s="168"/>
      <c r="E176" s="168"/>
      <c r="F176" s="298">
        <f>F34</f>
        <v>0</v>
      </c>
      <c r="G176" s="168"/>
      <c r="H176" s="168"/>
    </row>
    <row r="177" spans="1:14" s="167" customFormat="1" x14ac:dyDescent="0.25">
      <c r="A177" s="293">
        <v>4</v>
      </c>
      <c r="B177" s="168" t="s">
        <v>337</v>
      </c>
      <c r="C177" s="168"/>
      <c r="D177" s="168"/>
      <c r="E177" s="168"/>
      <c r="F177" s="298">
        <f>F46</f>
        <v>0</v>
      </c>
      <c r="G177" s="168"/>
      <c r="H177" s="168"/>
    </row>
    <row r="178" spans="1:14" s="167" customFormat="1" x14ac:dyDescent="0.25">
      <c r="A178" s="293">
        <v>9</v>
      </c>
      <c r="B178" s="168" t="s">
        <v>210</v>
      </c>
      <c r="C178" s="168"/>
      <c r="D178" s="168"/>
      <c r="E178" s="168"/>
      <c r="F178" s="298">
        <f>F58</f>
        <v>0</v>
      </c>
      <c r="G178" s="168"/>
      <c r="H178" s="168"/>
    </row>
    <row r="179" spans="1:14" s="167" customFormat="1" x14ac:dyDescent="0.25">
      <c r="A179" s="293">
        <v>4</v>
      </c>
      <c r="B179" s="168" t="s">
        <v>274</v>
      </c>
      <c r="C179" s="168"/>
      <c r="D179" s="168"/>
      <c r="E179" s="168"/>
      <c r="F179" s="298">
        <f>F62</f>
        <v>0</v>
      </c>
      <c r="G179" s="168"/>
      <c r="H179" s="168"/>
    </row>
    <row r="180" spans="1:14" s="167" customFormat="1" x14ac:dyDescent="0.25">
      <c r="A180" s="293">
        <v>2</v>
      </c>
      <c r="B180" s="168" t="s">
        <v>349</v>
      </c>
      <c r="C180" s="168"/>
      <c r="D180" s="168"/>
      <c r="E180" s="168"/>
      <c r="F180" s="298">
        <f>F92</f>
        <v>0</v>
      </c>
      <c r="G180" s="168"/>
      <c r="H180" s="168"/>
    </row>
    <row r="181" spans="1:14" s="167" customFormat="1" x14ac:dyDescent="0.25">
      <c r="A181" s="293">
        <v>3</v>
      </c>
      <c r="B181" s="168" t="s">
        <v>350</v>
      </c>
      <c r="C181" s="168"/>
      <c r="D181" s="168"/>
      <c r="E181" s="168"/>
      <c r="F181" s="298">
        <f>F129</f>
        <v>0</v>
      </c>
      <c r="G181" s="168"/>
      <c r="H181" s="168"/>
    </row>
    <row r="182" spans="1:14" s="167" customFormat="1" ht="39.6" x14ac:dyDescent="0.25">
      <c r="A182" s="293">
        <v>3</v>
      </c>
      <c r="B182" s="254" t="s">
        <v>352</v>
      </c>
      <c r="C182" s="168"/>
      <c r="D182" s="168"/>
      <c r="E182" s="168"/>
      <c r="F182" s="298">
        <f>F119-'Způsobilé výdaje'!F231</f>
        <v>0</v>
      </c>
      <c r="G182" s="168"/>
      <c r="H182" s="168"/>
      <c r="J182" s="309"/>
    </row>
    <row r="183" spans="1:14" s="167" customFormat="1" ht="39.6" x14ac:dyDescent="0.25">
      <c r="A183" s="314">
        <v>9</v>
      </c>
      <c r="B183" s="311" t="s">
        <v>353</v>
      </c>
      <c r="C183" s="315"/>
      <c r="D183" s="315"/>
      <c r="E183" s="315"/>
      <c r="F183" s="316">
        <f>F150-'Způsobilé výdaje'!F234</f>
        <v>0</v>
      </c>
      <c r="G183" s="168"/>
      <c r="H183" s="168"/>
    </row>
    <row r="184" spans="1:14" s="167" customFormat="1" x14ac:dyDescent="0.25">
      <c r="A184" s="293"/>
      <c r="B184" s="168" t="s">
        <v>365</v>
      </c>
      <c r="C184" s="168"/>
      <c r="D184" s="168"/>
      <c r="E184" s="168"/>
      <c r="F184" s="298">
        <f>F172</f>
        <v>0</v>
      </c>
      <c r="G184" s="168"/>
      <c r="H184" s="168"/>
    </row>
    <row r="185" spans="1:14" s="47" customFormat="1" x14ac:dyDescent="0.25">
      <c r="A185" s="42"/>
      <c r="B185" s="42"/>
      <c r="C185" s="42"/>
      <c r="D185" s="42"/>
      <c r="E185" s="42"/>
      <c r="F185" s="301"/>
      <c r="G185" s="42"/>
      <c r="H185" s="42"/>
      <c r="N185" s="41"/>
    </row>
    <row r="186" spans="1:14" s="167" customFormat="1" x14ac:dyDescent="0.25">
      <c r="A186" s="166"/>
      <c r="B186" s="166" t="s">
        <v>12</v>
      </c>
      <c r="C186" s="166"/>
      <c r="D186" s="166"/>
      <c r="E186" s="166"/>
      <c r="F186" s="302">
        <f>SUM(F175:F184)</f>
        <v>0</v>
      </c>
      <c r="G186" s="166"/>
      <c r="H186" s="166"/>
      <c r="I186" s="242"/>
      <c r="J186" s="242"/>
      <c r="K186" s="242"/>
      <c r="L186" s="242"/>
      <c r="M186" s="242"/>
      <c r="N186" s="271"/>
    </row>
    <row r="187" spans="1:14" s="167" customFormat="1" x14ac:dyDescent="0.25">
      <c r="A187" s="168"/>
      <c r="B187" s="168" t="s">
        <v>16</v>
      </c>
      <c r="C187" s="168"/>
      <c r="D187" s="168"/>
      <c r="E187" s="168"/>
      <c r="F187" s="303">
        <f>F186*0.21</f>
        <v>0</v>
      </c>
      <c r="G187" s="168"/>
      <c r="H187" s="168"/>
      <c r="N187" s="271"/>
    </row>
    <row r="188" spans="1:14" s="264" customFormat="1" ht="15.6" x14ac:dyDescent="0.3">
      <c r="A188" s="272"/>
      <c r="B188" s="262" t="s">
        <v>13</v>
      </c>
      <c r="C188" s="272"/>
      <c r="D188" s="272"/>
      <c r="E188" s="272"/>
      <c r="F188" s="304">
        <v>0</v>
      </c>
      <c r="G188" s="272"/>
      <c r="H188" s="272"/>
      <c r="I188" s="273"/>
      <c r="J188" s="273"/>
      <c r="K188" s="273"/>
      <c r="L188" s="273"/>
      <c r="M188" s="273"/>
      <c r="N188" s="274"/>
    </row>
    <row r="189" spans="1:14" x14ac:dyDescent="0.25">
      <c r="N189" s="12"/>
    </row>
    <row r="190" spans="1:14" x14ac:dyDescent="0.25">
      <c r="N190" s="12"/>
    </row>
    <row r="191" spans="1:14" ht="15" x14ac:dyDescent="0.25">
      <c r="A191" s="242"/>
      <c r="B191" s="242"/>
      <c r="C191" s="242"/>
      <c r="D191" s="242"/>
      <c r="E191" s="242"/>
      <c r="F191" s="242"/>
      <c r="G191" s="242"/>
      <c r="H191" s="242"/>
      <c r="I191" s="242"/>
      <c r="J191" s="18"/>
      <c r="K191" s="18"/>
      <c r="L191" s="18"/>
      <c r="M191" s="18"/>
      <c r="N191" s="38"/>
    </row>
    <row r="192" spans="1:14" x14ac:dyDescent="0.25">
      <c r="A192" s="288"/>
      <c r="B192" s="163"/>
      <c r="C192" s="163"/>
      <c r="D192" s="163"/>
      <c r="E192" s="163"/>
      <c r="F192" s="163"/>
      <c r="G192" s="163"/>
      <c r="H192" s="163"/>
      <c r="I192" s="163"/>
      <c r="J192" s="18"/>
      <c r="K192" s="18"/>
      <c r="L192" s="18"/>
      <c r="M192" s="18"/>
      <c r="N192" s="21"/>
    </row>
    <row r="193" spans="1:14" ht="15.6" x14ac:dyDescent="0.25">
      <c r="A193" s="322"/>
      <c r="B193" s="322"/>
      <c r="C193" s="322"/>
      <c r="D193" s="163"/>
      <c r="E193" s="163"/>
      <c r="F193" s="163"/>
      <c r="G193" s="163"/>
      <c r="H193" s="163"/>
      <c r="I193" s="163"/>
      <c r="J193" s="18"/>
      <c r="K193" s="18"/>
      <c r="L193" s="18"/>
      <c r="M193" s="18"/>
      <c r="N193" s="21"/>
    </row>
    <row r="194" spans="1:14" ht="15" x14ac:dyDescent="0.25">
      <c r="A194" s="284"/>
      <c r="B194" s="284"/>
      <c r="C194" s="284"/>
      <c r="D194" s="163"/>
      <c r="E194" s="163"/>
      <c r="F194" s="163"/>
      <c r="G194" s="163"/>
      <c r="H194" s="163"/>
      <c r="I194" s="163"/>
      <c r="J194" s="18"/>
      <c r="K194" s="18"/>
      <c r="L194" s="18"/>
      <c r="M194" s="18"/>
      <c r="N194" s="39"/>
    </row>
    <row r="195" spans="1:14" ht="15.6" x14ac:dyDescent="0.25">
      <c r="A195" s="285"/>
      <c r="B195" s="285"/>
      <c r="C195" s="285"/>
      <c r="D195" s="163"/>
      <c r="E195" s="163"/>
      <c r="F195" s="163"/>
      <c r="G195" s="163"/>
      <c r="H195" s="163"/>
      <c r="I195" s="163"/>
    </row>
    <row r="196" spans="1:14" ht="15.6" x14ac:dyDescent="0.25">
      <c r="A196" s="285"/>
      <c r="B196" s="283"/>
      <c r="C196" s="283"/>
      <c r="D196" s="163"/>
      <c r="E196" s="163"/>
      <c r="F196" s="163"/>
      <c r="G196" s="163"/>
      <c r="H196" s="163"/>
      <c r="I196" s="163"/>
    </row>
    <row r="197" spans="1:14" ht="15.6" x14ac:dyDescent="0.25">
      <c r="A197" s="285"/>
      <c r="B197" s="283"/>
      <c r="C197" s="286"/>
      <c r="D197" s="163"/>
      <c r="E197" s="163"/>
      <c r="F197" s="163"/>
      <c r="G197" s="163"/>
      <c r="H197" s="163"/>
      <c r="I197" s="163"/>
    </row>
    <row r="198" spans="1:14" ht="15.6" x14ac:dyDescent="0.25">
      <c r="A198" s="285"/>
      <c r="B198" s="283"/>
      <c r="C198" s="286"/>
      <c r="D198" s="163"/>
      <c r="E198" s="163"/>
      <c r="F198" s="163"/>
      <c r="G198" s="163"/>
      <c r="H198" s="163"/>
      <c r="I198" s="163"/>
    </row>
    <row r="199" spans="1:14" ht="15.6" x14ac:dyDescent="0.25">
      <c r="A199" s="285"/>
      <c r="B199" s="283"/>
      <c r="C199" s="286"/>
      <c r="D199" s="163"/>
      <c r="E199" s="163"/>
      <c r="F199" s="163"/>
      <c r="G199" s="163"/>
      <c r="H199" s="163"/>
      <c r="I199" s="163"/>
    </row>
    <row r="200" spans="1:14" ht="15" x14ac:dyDescent="0.25">
      <c r="A200" s="284"/>
      <c r="B200" s="284"/>
      <c r="C200" s="284"/>
      <c r="D200" s="163"/>
      <c r="E200" s="163"/>
      <c r="F200" s="163"/>
      <c r="G200" s="163"/>
      <c r="H200" s="163"/>
      <c r="I200" s="163"/>
    </row>
    <row r="201" spans="1:14" ht="15.6" x14ac:dyDescent="0.25">
      <c r="A201" s="285"/>
      <c r="B201" s="283"/>
      <c r="C201" s="286"/>
      <c r="D201" s="163"/>
      <c r="E201" s="163"/>
      <c r="F201" s="163"/>
      <c r="G201" s="163"/>
      <c r="H201" s="163"/>
      <c r="I201" s="163"/>
    </row>
    <row r="202" spans="1:14" ht="15" x14ac:dyDescent="0.25">
      <c r="A202" s="284"/>
      <c r="B202" s="284"/>
      <c r="C202" s="284"/>
      <c r="D202" s="163"/>
      <c r="E202" s="163"/>
      <c r="F202" s="163"/>
      <c r="G202" s="163"/>
      <c r="H202" s="163"/>
      <c r="I202" s="163"/>
    </row>
    <row r="203" spans="1:14" ht="15.6" x14ac:dyDescent="0.25">
      <c r="A203" s="285"/>
      <c r="B203" s="283"/>
      <c r="C203" s="286"/>
      <c r="D203" s="163"/>
      <c r="E203" s="163"/>
      <c r="F203" s="163"/>
      <c r="G203" s="163"/>
      <c r="H203" s="163"/>
      <c r="I203" s="163"/>
    </row>
    <row r="204" spans="1:14" ht="15.6" x14ac:dyDescent="0.25">
      <c r="A204" s="285"/>
      <c r="B204" s="283"/>
      <c r="C204" s="286"/>
      <c r="D204" s="163"/>
      <c r="E204" s="163"/>
      <c r="F204" s="163"/>
      <c r="G204" s="163"/>
      <c r="H204" s="163"/>
      <c r="I204" s="163"/>
    </row>
    <row r="205" spans="1:14" ht="15.6" x14ac:dyDescent="0.25">
      <c r="A205" s="285"/>
      <c r="B205" s="283"/>
      <c r="C205" s="286"/>
      <c r="D205" s="163"/>
      <c r="E205" s="163"/>
      <c r="F205" s="163"/>
      <c r="G205" s="163"/>
      <c r="H205" s="163"/>
      <c r="I205" s="163"/>
    </row>
    <row r="206" spans="1:14" ht="15.6" x14ac:dyDescent="0.25">
      <c r="A206" s="285"/>
      <c r="B206" s="283"/>
      <c r="C206" s="286"/>
      <c r="D206" s="163"/>
      <c r="E206" s="163"/>
      <c r="F206" s="163"/>
      <c r="G206" s="163"/>
      <c r="H206" s="163"/>
      <c r="I206" s="163"/>
    </row>
    <row r="207" spans="1:14" ht="15" x14ac:dyDescent="0.25">
      <c r="A207" s="284"/>
      <c r="B207" s="284"/>
      <c r="C207" s="287"/>
      <c r="D207" s="163"/>
      <c r="E207" s="163"/>
      <c r="F207" s="163"/>
      <c r="G207" s="163"/>
      <c r="H207" s="163"/>
      <c r="I207" s="163"/>
    </row>
    <row r="208" spans="1:14" ht="15.6" x14ac:dyDescent="0.25">
      <c r="A208" s="285"/>
      <c r="B208" s="283"/>
      <c r="C208" s="286"/>
      <c r="D208" s="163"/>
      <c r="E208" s="163"/>
      <c r="F208" s="163"/>
      <c r="G208" s="163"/>
      <c r="H208" s="163"/>
      <c r="I208" s="163"/>
    </row>
    <row r="209" spans="1:9" ht="15.6" x14ac:dyDescent="0.25">
      <c r="A209" s="285"/>
      <c r="B209" s="283"/>
      <c r="C209" s="286"/>
      <c r="D209" s="163"/>
      <c r="E209" s="163"/>
      <c r="F209" s="163"/>
      <c r="G209" s="163"/>
      <c r="H209" s="163"/>
      <c r="I209" s="163"/>
    </row>
    <row r="210" spans="1:9" ht="15.6" x14ac:dyDescent="0.25">
      <c r="A210" s="285"/>
      <c r="B210" s="283"/>
      <c r="C210" s="286"/>
      <c r="D210" s="163"/>
      <c r="E210" s="163"/>
      <c r="F210" s="163"/>
      <c r="G210" s="163"/>
      <c r="H210" s="163"/>
      <c r="I210" s="163"/>
    </row>
  </sheetData>
  <mergeCells count="2">
    <mergeCell ref="A2:C2"/>
    <mergeCell ref="A193:C19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
Rekonstrukce veřejné zeleně v lokalitě Dukelských bojovníků v Táboře&amp;R
POLOŽKOVÝ ROZPOČET NEZPŮSOBILÉ VÝDAJE</oddHeader>
    <oddFooter>&amp;L&amp;P</oddFooter>
  </headerFooter>
  <rowBreaks count="8" manualBreakCount="8">
    <brk id="23" max="7" man="1"/>
    <brk id="41" max="7" man="1"/>
    <brk id="62" max="7" man="1"/>
    <brk id="73" max="7" man="1"/>
    <brk id="96" max="7" man="1"/>
    <brk id="120" max="7" man="1"/>
    <brk id="140" max="7" man="1"/>
    <brk id="16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 rozpočtu</vt:lpstr>
      <vt:lpstr>Způsobilé výdaje</vt:lpstr>
      <vt:lpstr>Nezpůsobilé výdaje</vt:lpstr>
      <vt:lpstr>'Způsobilé výdaje'!Názvy_tisku</vt:lpstr>
      <vt:lpstr>'Nezpůsobilé výdaje'!Oblast_tisku</vt:lpstr>
      <vt:lpstr>'Rekapitulace rozpočtu'!Oblast_tisku</vt:lpstr>
      <vt:lpstr>'Způsobilé výdaje'!Oblast_tisku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Admin</cp:lastModifiedBy>
  <cp:lastPrinted>2018-03-13T08:48:03Z</cp:lastPrinted>
  <dcterms:created xsi:type="dcterms:W3CDTF">2009-08-24T14:07:26Z</dcterms:created>
  <dcterms:modified xsi:type="dcterms:W3CDTF">2018-12-20T10:58:30Z</dcterms:modified>
</cp:coreProperties>
</file>