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png" ContentType="image/png"/>
  <Default Extension="bin" ContentType="application/vnd.openxmlformats-officedocument.spreadsheetml.printerSettings"/>
  <Override PartName="/xl/queryTables/queryTable1.xml" ContentType="application/vnd.openxmlformats-officedocument.spreadsheetml.query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576" windowHeight="8148" tabRatio="959" activeTab="1"/>
  </bookViews>
  <sheets>
    <sheet name="Krycí list rozpoctu" sheetId="5" r:id="rId1"/>
    <sheet name="VORN" sheetId="6" r:id="rId2"/>
    <sheet name="Celková rekapitulace" sheetId="7" r:id="rId3"/>
    <sheet name="Rekapitulace D1.1+D1.2" sheetId="3" r:id="rId4"/>
    <sheet name="D1.1.+D1.2 - Stav+konstrukční" sheetId="1" r:id="rId5"/>
    <sheet name="D1.1+D1.2 - Výkaz výmer" sheetId="4" r:id="rId6"/>
    <sheet name="Rekapitulace TZB" sheetId="21" r:id="rId7"/>
    <sheet name="D1.4a - ZTI" sheetId="14" r:id="rId8"/>
    <sheet name="D1.4b - Vytápění" sheetId="19" r:id="rId9"/>
    <sheet name="D1.4c - Vzduchotechnika" sheetId="20" r:id="rId10"/>
    <sheet name="D1.4d - Silnoproud" sheetId="15" r:id="rId11"/>
    <sheet name="D1.4e - Slaboproud" sheetId="16" r:id="rId12"/>
    <sheet name="D1.4f - Měření a regulace" sheetId="17" r:id="rId13"/>
    <sheet name="D.2.1 - Gastro" sheetId="10" r:id="rId14"/>
    <sheet name="D.2.2 - Přípojka kanalizace" sheetId="11" r:id="rId15"/>
    <sheet name="D.2.3 - Odlučovač tuků" sheetId="12" r:id="rId16"/>
    <sheet name="D.2.4 - Přípojka vodovodu" sheetId="13" r:id="rId17"/>
    <sheet name="D.2.5 - Přípojka plynovodu" sheetId="9" r:id="rId18"/>
    <sheet name="D.3.0 - Zpevněné plochy a komun" sheetId="8" r:id="rId19"/>
  </sheets>
  <externalReferences>
    <externalReference r:id="rId20"/>
    <externalReference r:id="rId21"/>
  </externalReferences>
  <definedNames>
    <definedName name="_00013_00015_1PP_1" localSheetId="13">'D.2.1 - Gastro'!$A$2:$N$3</definedName>
    <definedName name="HodVyroba">[1]Parametry!$D$25</definedName>
    <definedName name="HTML_CodePage" hidden="1">1250</definedName>
    <definedName name="HTML_Control" hidden="1">{"'List1'!$A$1:$I$85"}</definedName>
    <definedName name="HTML_Description" hidden="1">""</definedName>
    <definedName name="HTML_Email" hidden="1">""</definedName>
    <definedName name="HTML_Header" hidden="1">"List1"</definedName>
    <definedName name="HTML_LastUpdate" hidden="1">"3.11.1998"</definedName>
    <definedName name="HTML_LineAfter" hidden="1">TRUE</definedName>
    <definedName name="HTML_LineBefore" hidden="1">TRUE</definedName>
    <definedName name="HTML_Name" hidden="1">"Martin Bican"</definedName>
    <definedName name="HTML_OBDlg2" hidden="1">TRUE</definedName>
    <definedName name="HTML_OBDlg4" hidden="1">TRUE</definedName>
    <definedName name="HTML_OS" hidden="1">0</definedName>
    <definedName name="HTML_PathFile" hidden="1">"C:\Dokumenty\HTML.htm"</definedName>
    <definedName name="HTML_Title" hidden="1">"STEF_POL_1"</definedName>
    <definedName name="Krycí_list_rozpoctu__F6_G7">'Krycí list rozpoctu'!XFC1</definedName>
    <definedName name="_xlnm.Print_Area" localSheetId="14">'D.2.2 - Přípojka kanalizace'!$B$3:$K$198</definedName>
    <definedName name="_xlnm.Print_Area" localSheetId="15">'D.2.3 - Odlučovač tuků'!$B$3:$K$167</definedName>
    <definedName name="_xlnm.Print_Area" localSheetId="16">'D.2.4 - Přípojka vodovodu'!$B$3:$K$208</definedName>
    <definedName name="_xlnm.Print_Area" localSheetId="17">'D.2.5 - Přípojka plynovodu'!$B$3:$K$214</definedName>
    <definedName name="_xlnm.Print_Area" localSheetId="7">'D1.4a - ZTI'!$B$3:$K$549</definedName>
    <definedName name="_xlnm.Print_Area" localSheetId="9">'D1.4c - Vzduchotechnika'!$A$1:$I$316</definedName>
    <definedName name="vorn_sum" localSheetId="2">[2]VORN!$I$38:$I$38</definedName>
    <definedName name="vorn_sum">VORN!$I$37:$I$37</definedName>
  </definedNames>
  <calcPr calcId="125725"/>
</workbook>
</file>

<file path=xl/calcChain.xml><?xml version="1.0" encoding="utf-8"?>
<calcChain xmlns="http://schemas.openxmlformats.org/spreadsheetml/2006/main">
  <c r="O750" i="1"/>
  <c r="O571"/>
  <c r="A6" i="8"/>
  <c r="A7" s="1"/>
  <c r="A8" s="1"/>
  <c r="A11" s="1"/>
  <c r="A12" s="1"/>
  <c r="A13" s="1"/>
  <c r="A16" s="1"/>
  <c r="A17" s="1"/>
  <c r="A18" s="1"/>
  <c r="A21" s="1"/>
  <c r="A22" s="1"/>
  <c r="A23" s="1"/>
  <c r="A24" s="1"/>
  <c r="A27" s="1"/>
  <c r="A28" s="1"/>
  <c r="A29" s="1"/>
  <c r="A30" s="1"/>
  <c r="A31" s="1"/>
  <c r="A34" s="1"/>
  <c r="A35" s="1"/>
  <c r="A36" s="1"/>
  <c r="A39" s="1"/>
  <c r="A42" s="1"/>
  <c r="A45" s="1"/>
  <c r="A46" s="1"/>
  <c r="A47" s="1"/>
  <c r="A48" s="1"/>
  <c r="A49" s="1"/>
  <c r="A50" s="1"/>
  <c r="A51" s="1"/>
  <c r="A52" s="1"/>
  <c r="A53" s="1"/>
  <c r="A54" s="1"/>
  <c r="A57" s="1"/>
  <c r="A58" s="1"/>
  <c r="A59" s="1"/>
  <c r="A7" i="15"/>
  <c r="A8" s="1"/>
  <c r="A9" s="1"/>
  <c r="A10" s="1"/>
  <c r="A11" s="1"/>
  <c r="A12" s="1"/>
  <c r="A13" s="1"/>
  <c r="A14" s="1"/>
  <c r="A15" s="1"/>
  <c r="A16" s="1"/>
  <c r="A17" s="1"/>
  <c r="A18" s="1"/>
  <c r="A19" s="1"/>
  <c r="A23" s="1"/>
  <c r="A24" s="1"/>
  <c r="A25" s="1"/>
  <c r="A26" s="1"/>
  <c r="A27" s="1"/>
  <c r="A28" s="1"/>
  <c r="A32" s="1"/>
  <c r="A33" s="1"/>
  <c r="A34" s="1"/>
  <c r="A35" s="1"/>
  <c r="A36" s="1"/>
  <c r="A37" s="1"/>
  <c r="A38" s="1"/>
  <c r="A39" s="1"/>
  <c r="A40" s="1"/>
  <c r="A41" s="1"/>
  <c r="A42" s="1"/>
  <c r="A43" s="1"/>
  <c r="A44" s="1"/>
  <c r="A45" s="1"/>
  <c r="A46" s="1"/>
  <c r="A47" s="1"/>
  <c r="A48" s="1"/>
  <c r="A49" s="1"/>
  <c r="A50" s="1"/>
  <c r="A51" s="1"/>
  <c r="A52" s="1"/>
  <c r="A53" s="1"/>
  <c r="A54" s="1"/>
  <c r="A55" s="1"/>
  <c r="A56" s="1"/>
  <c r="A57" s="1"/>
  <c r="A58" s="1"/>
  <c r="A62" s="1"/>
  <c r="A63" s="1"/>
  <c r="A64" s="1"/>
  <c r="A65" s="1"/>
  <c r="A66" s="1"/>
  <c r="A67" s="1"/>
  <c r="A68" s="1"/>
  <c r="A69" s="1"/>
  <c r="A70" s="1"/>
  <c r="A71" s="1"/>
  <c r="A72" s="1"/>
  <c r="A73" s="1"/>
  <c r="A74" s="1"/>
  <c r="A78" s="1"/>
  <c r="A79" s="1"/>
  <c r="A80" s="1"/>
  <c r="A81" s="1"/>
  <c r="A82" s="1"/>
  <c r="A83" s="1"/>
  <c r="A84" s="1"/>
  <c r="A85" s="1"/>
  <c r="A86" s="1"/>
  <c r="A87" s="1"/>
  <c r="A88" s="1"/>
  <c r="A89" s="1"/>
  <c r="A90" s="1"/>
  <c r="A91" s="1"/>
  <c r="A92" s="1"/>
  <c r="A93" s="1"/>
  <c r="A94" s="1"/>
  <c r="A95" s="1"/>
  <c r="A96" s="1"/>
  <c r="A97" s="1"/>
  <c r="A98" s="1"/>
  <c r="A99" s="1"/>
  <c r="A100" s="1"/>
  <c r="A101" s="1"/>
  <c r="A102" s="1"/>
  <c r="A106" s="1"/>
  <c r="A107" s="1"/>
  <c r="A108" s="1"/>
  <c r="A109" s="1"/>
  <c r="A110" s="1"/>
  <c r="A114" s="1"/>
  <c r="A118" s="1"/>
  <c r="A119" s="1"/>
  <c r="A120" s="1"/>
  <c r="A121" s="1"/>
  <c r="A122" s="1"/>
  <c r="A123" s="1"/>
  <c r="A124" s="1"/>
  <c r="A128" s="1"/>
  <c r="A132" s="1"/>
  <c r="A133" s="1"/>
  <c r="A134" s="1"/>
  <c r="A138" s="1"/>
  <c r="A139" s="1"/>
  <c r="A140" s="1"/>
  <c r="H116" i="16"/>
  <c r="H101" i="17"/>
  <c r="Q6" i="10"/>
  <c r="Q7"/>
  <c r="Q5"/>
  <c r="H106" i="17"/>
  <c r="H105"/>
  <c r="H104"/>
  <c r="H103"/>
  <c r="H102"/>
  <c r="H100"/>
  <c r="H99"/>
  <c r="H97"/>
  <c r="H95"/>
  <c r="H94"/>
  <c r="H92"/>
  <c r="H90"/>
  <c r="H89"/>
  <c r="H88"/>
  <c r="H87"/>
  <c r="H84"/>
  <c r="H83"/>
  <c r="H80"/>
  <c r="H79"/>
  <c r="H76"/>
  <c r="H75"/>
  <c r="H74"/>
  <c r="H73"/>
  <c r="H69"/>
  <c r="H68"/>
  <c r="H67"/>
  <c r="H66"/>
  <c r="H62"/>
  <c r="H61"/>
  <c r="H60"/>
  <c r="H59"/>
  <c r="H52"/>
  <c r="H22"/>
  <c r="H21"/>
  <c r="H20"/>
  <c r="H19"/>
  <c r="H18"/>
  <c r="H17"/>
  <c r="H16"/>
  <c r="H14"/>
  <c r="H13"/>
  <c r="H12"/>
  <c r="H7"/>
  <c r="I15" i="5"/>
  <c r="H8" i="21"/>
  <c r="H6"/>
  <c r="F6"/>
  <c r="F4"/>
  <c r="C4" i="5"/>
  <c r="J8" i="3"/>
  <c r="J6"/>
  <c r="G6"/>
  <c r="G4"/>
  <c r="D8"/>
  <c r="H8" i="7"/>
  <c r="C8"/>
  <c r="F6"/>
  <c r="F4"/>
  <c r="F10" i="6"/>
  <c r="F8"/>
  <c r="C10"/>
  <c r="C8"/>
  <c r="I6" i="1"/>
  <c r="F6" i="4" s="1"/>
  <c r="H6" i="7"/>
  <c r="F6" i="6"/>
  <c r="I5" i="20"/>
  <c r="I6"/>
  <c r="I7"/>
  <c r="I8"/>
  <c r="I11"/>
  <c r="I12"/>
  <c r="I13"/>
  <c r="I16"/>
  <c r="I17"/>
  <c r="I18"/>
  <c r="I19"/>
  <c r="I20"/>
  <c r="I21"/>
  <c r="I22"/>
  <c r="I23"/>
  <c r="I24"/>
  <c r="I27"/>
  <c r="I28"/>
  <c r="I29"/>
  <c r="I30"/>
  <c r="I33"/>
  <c r="I34"/>
  <c r="I35"/>
  <c r="I38"/>
  <c r="I39"/>
  <c r="I42"/>
  <c r="I43"/>
  <c r="I44"/>
  <c r="I45"/>
  <c r="I46"/>
  <c r="I47"/>
  <c r="I48"/>
  <c r="I49"/>
  <c r="I50"/>
  <c r="I51"/>
  <c r="I52"/>
  <c r="I53"/>
  <c r="I56"/>
  <c r="I57"/>
  <c r="I60"/>
  <c r="I61"/>
  <c r="I62"/>
  <c r="I65"/>
  <c r="I66"/>
  <c r="I67"/>
  <c r="I68"/>
  <c r="I69"/>
  <c r="I70"/>
  <c r="I71"/>
  <c r="I74"/>
  <c r="I75"/>
  <c r="I76"/>
  <c r="I79"/>
  <c r="I80"/>
  <c r="I81"/>
  <c r="I82"/>
  <c r="I83"/>
  <c r="I84"/>
  <c r="I85"/>
  <c r="I88"/>
  <c r="I89"/>
  <c r="I90"/>
  <c r="I91"/>
  <c r="I92"/>
  <c r="I95"/>
  <c r="I98"/>
  <c r="I99"/>
  <c r="I100"/>
  <c r="I101"/>
  <c r="I102"/>
  <c r="I103"/>
  <c r="I104"/>
  <c r="I105"/>
  <c r="I106"/>
  <c r="I107"/>
  <c r="I108"/>
  <c r="I109"/>
  <c r="I110"/>
  <c r="I111"/>
  <c r="I114"/>
  <c r="I115"/>
  <c r="I116"/>
  <c r="I117"/>
  <c r="I118"/>
  <c r="I119"/>
  <c r="I122"/>
  <c r="I123"/>
  <c r="I126"/>
  <c r="I127"/>
  <c r="I128"/>
  <c r="I129"/>
  <c r="I130"/>
  <c r="I131"/>
  <c r="I132"/>
  <c r="I133"/>
  <c r="I134"/>
  <c r="I135"/>
  <c r="I138"/>
  <c r="I139"/>
  <c r="I140"/>
  <c r="I143"/>
  <c r="I144"/>
  <c r="I145"/>
  <c r="I146"/>
  <c r="I147"/>
  <c r="I148"/>
  <c r="I149"/>
  <c r="I150"/>
  <c r="I153"/>
  <c r="I154"/>
  <c r="I157"/>
  <c r="I158"/>
  <c r="I159"/>
  <c r="I162"/>
  <c r="I165"/>
  <c r="I166"/>
  <c r="I167"/>
  <c r="I168"/>
  <c r="I169"/>
  <c r="I170"/>
  <c r="I171"/>
  <c r="I172"/>
  <c r="I173"/>
  <c r="I176"/>
  <c r="I177"/>
  <c r="I180"/>
  <c r="I181"/>
  <c r="I184"/>
  <c r="I187"/>
  <c r="I188"/>
  <c r="I189"/>
  <c r="I190"/>
  <c r="I191"/>
  <c r="I192"/>
  <c r="I193"/>
  <c r="I194"/>
  <c r="I195"/>
  <c r="I198"/>
  <c r="I201"/>
  <c r="I202"/>
  <c r="I205"/>
  <c r="I206"/>
  <c r="I207"/>
  <c r="I208"/>
  <c r="I209"/>
  <c r="I210"/>
  <c r="I211"/>
  <c r="I212"/>
  <c r="I213"/>
  <c r="I214"/>
  <c r="I215"/>
  <c r="I216"/>
  <c r="I217"/>
  <c r="I220"/>
  <c r="I223"/>
  <c r="I224"/>
  <c r="I228"/>
  <c r="I231"/>
  <c r="I232"/>
  <c r="I235"/>
  <c r="I236"/>
  <c r="I239"/>
  <c r="I240"/>
  <c r="I241"/>
  <c r="I244"/>
  <c r="I245"/>
  <c r="I246"/>
  <c r="I249"/>
  <c r="I250"/>
  <c r="I251"/>
  <c r="I254"/>
  <c r="I255"/>
  <c r="I256"/>
  <c r="I257"/>
  <c r="I258"/>
  <c r="I261"/>
  <c r="I262"/>
  <c r="I265"/>
  <c r="I268"/>
  <c r="I269"/>
  <c r="I270"/>
  <c r="I271"/>
  <c r="I272"/>
  <c r="I273"/>
  <c r="I276"/>
  <c r="I277"/>
  <c r="I278"/>
  <c r="I281"/>
  <c r="I284"/>
  <c r="I285"/>
  <c r="I288"/>
  <c r="I291"/>
  <c r="I294"/>
  <c r="I295"/>
  <c r="I296"/>
  <c r="I299"/>
  <c r="I300"/>
  <c r="I301"/>
  <c r="I302"/>
  <c r="I303"/>
  <c r="I304"/>
  <c r="I305"/>
  <c r="I306"/>
  <c r="I307"/>
  <c r="I308"/>
  <c r="I309"/>
  <c r="I310"/>
  <c r="I311"/>
  <c r="I312"/>
  <c r="I313"/>
  <c r="I4"/>
  <c r="H125" i="16"/>
  <c r="H124"/>
  <c r="H123"/>
  <c r="H122"/>
  <c r="H121"/>
  <c r="H120"/>
  <c r="H119"/>
  <c r="H118"/>
  <c r="H117"/>
  <c r="H115"/>
  <c r="H114"/>
  <c r="H113"/>
  <c r="H112"/>
  <c r="H111"/>
  <c r="H108"/>
  <c r="H107"/>
  <c r="H106"/>
  <c r="H105"/>
  <c r="H104"/>
  <c r="H103"/>
  <c r="H102"/>
  <c r="H101"/>
  <c r="H100"/>
  <c r="H99"/>
  <c r="H98"/>
  <c r="H97"/>
  <c r="H96"/>
  <c r="H93"/>
  <c r="H90"/>
  <c r="H89"/>
  <c r="H88"/>
  <c r="H85"/>
  <c r="H84"/>
  <c r="H83"/>
  <c r="H82"/>
  <c r="H81"/>
  <c r="H80"/>
  <c r="H79"/>
  <c r="H78"/>
  <c r="H77"/>
  <c r="H76"/>
  <c r="H73"/>
  <c r="H72"/>
  <c r="H71"/>
  <c r="H70"/>
  <c r="H69"/>
  <c r="H68"/>
  <c r="H67"/>
  <c r="H66"/>
  <c r="H63"/>
  <c r="H62"/>
  <c r="H61"/>
  <c r="H60"/>
  <c r="H59"/>
  <c r="H58"/>
  <c r="H57"/>
  <c r="H56"/>
  <c r="H55"/>
  <c r="H54"/>
  <c r="H53"/>
  <c r="H52"/>
  <c r="H51"/>
  <c r="H50"/>
  <c r="H49"/>
  <c r="H48"/>
  <c r="H47"/>
  <c r="H46"/>
  <c r="H45"/>
  <c r="H44"/>
  <c r="H43"/>
  <c r="H42"/>
  <c r="H41"/>
  <c r="H40"/>
  <c r="H39"/>
  <c r="H38"/>
  <c r="H37"/>
  <c r="H36"/>
  <c r="H35"/>
  <c r="H34"/>
  <c r="H33"/>
  <c r="H32"/>
  <c r="H31"/>
  <c r="H29"/>
  <c r="H28"/>
  <c r="H27"/>
  <c r="H26"/>
  <c r="H25"/>
  <c r="H24"/>
  <c r="H23"/>
  <c r="H22"/>
  <c r="H21"/>
  <c r="H20"/>
  <c r="H19"/>
  <c r="H18"/>
  <c r="H17"/>
  <c r="H16"/>
  <c r="H5"/>
  <c r="H6"/>
  <c r="H7"/>
  <c r="H8"/>
  <c r="H9"/>
  <c r="H10"/>
  <c r="H12"/>
  <c r="H13"/>
  <c r="H4"/>
  <c r="O718" i="1"/>
  <c r="O719"/>
  <c r="O720"/>
  <c r="O721"/>
  <c r="O722"/>
  <c r="O723"/>
  <c r="O724"/>
  <c r="O725"/>
  <c r="O726"/>
  <c r="O727"/>
  <c r="O728"/>
  <c r="O729"/>
  <c r="O730"/>
  <c r="O731"/>
  <c r="O732"/>
  <c r="O733"/>
  <c r="O734"/>
  <c r="O735"/>
  <c r="O736"/>
  <c r="O737"/>
  <c r="O738"/>
  <c r="O739"/>
  <c r="O740"/>
  <c r="O741"/>
  <c r="O742"/>
  <c r="O743"/>
  <c r="O744"/>
  <c r="O745"/>
  <c r="O746"/>
  <c r="O747"/>
  <c r="O748"/>
  <c r="O749"/>
  <c r="O717"/>
  <c r="O777"/>
  <c r="O776"/>
  <c r="O775"/>
  <c r="O771"/>
  <c r="O768"/>
  <c r="O762"/>
  <c r="O759"/>
  <c r="O714"/>
  <c r="O713"/>
  <c r="O712"/>
  <c r="O711"/>
  <c r="O710"/>
  <c r="O709"/>
  <c r="O708"/>
  <c r="O707"/>
  <c r="O706"/>
  <c r="O705"/>
  <c r="O704"/>
  <c r="O703"/>
  <c r="O702"/>
  <c r="O701"/>
  <c r="O700"/>
  <c r="O699"/>
  <c r="O698"/>
  <c r="O697"/>
  <c r="O696"/>
  <c r="O695"/>
  <c r="O694"/>
  <c r="O693"/>
  <c r="O692"/>
  <c r="O691"/>
  <c r="O690"/>
  <c r="O689"/>
  <c r="O688"/>
  <c r="O687"/>
  <c r="O686"/>
  <c r="O685"/>
  <c r="O684"/>
  <c r="O683"/>
  <c r="O682"/>
  <c r="O681"/>
  <c r="O680"/>
  <c r="O679"/>
  <c r="O678"/>
  <c r="O677"/>
  <c r="O676"/>
  <c r="O675"/>
  <c r="O674"/>
  <c r="O673"/>
  <c r="O672"/>
  <c r="O671"/>
  <c r="O670"/>
  <c r="O669"/>
  <c r="O668"/>
  <c r="O667"/>
  <c r="O666"/>
  <c r="O665"/>
  <c r="O664"/>
  <c r="O663"/>
  <c r="O662"/>
  <c r="O661"/>
  <c r="O660"/>
  <c r="O653"/>
  <c r="O651"/>
  <c r="O649"/>
  <c r="O645"/>
  <c r="O642"/>
  <c r="O639"/>
  <c r="O637"/>
  <c r="O635"/>
  <c r="O634"/>
  <c r="O633"/>
  <c r="O632"/>
  <c r="O631"/>
  <c r="O630"/>
  <c r="O629"/>
  <c r="O628"/>
  <c r="O627"/>
  <c r="O626"/>
  <c r="O625"/>
  <c r="O624"/>
  <c r="O623"/>
  <c r="O622"/>
  <c r="O621"/>
  <c r="O620"/>
  <c r="O619"/>
  <c r="O618"/>
  <c r="O617"/>
  <c r="O616"/>
  <c r="O615"/>
  <c r="O613"/>
  <c r="O612"/>
  <c r="O611"/>
  <c r="O610"/>
  <c r="O609"/>
  <c r="O608"/>
  <c r="O607"/>
  <c r="O606"/>
  <c r="O605"/>
  <c r="O604"/>
  <c r="O603"/>
  <c r="O602"/>
  <c r="O601"/>
  <c r="O600"/>
  <c r="O599"/>
  <c r="O598"/>
  <c r="O597"/>
  <c r="O596"/>
  <c r="O595"/>
  <c r="O594"/>
  <c r="O593"/>
  <c r="O592"/>
  <c r="O591"/>
  <c r="O590"/>
  <c r="O589"/>
  <c r="O588"/>
  <c r="O587"/>
  <c r="O586"/>
  <c r="O585"/>
  <c r="O584"/>
  <c r="O583"/>
  <c r="O582"/>
  <c r="O581"/>
  <c r="O575"/>
  <c r="O573"/>
  <c r="O570"/>
  <c r="O569"/>
  <c r="O568"/>
  <c r="O567"/>
  <c r="O566"/>
  <c r="O565"/>
  <c r="O564"/>
  <c r="O563"/>
  <c r="O562"/>
  <c r="O561"/>
  <c r="O560"/>
  <c r="O559"/>
  <c r="O558"/>
  <c r="O557"/>
  <c r="O556"/>
  <c r="O555"/>
  <c r="O554"/>
  <c r="O542"/>
  <c r="AO579"/>
  <c r="AO581"/>
  <c r="AO582"/>
  <c r="H582"/>
  <c r="AO583"/>
  <c r="AO584"/>
  <c r="AO585"/>
  <c r="AO586"/>
  <c r="H586" s="1"/>
  <c r="AO587"/>
  <c r="AO588"/>
  <c r="AO589"/>
  <c r="AO590"/>
  <c r="H590"/>
  <c r="AO591"/>
  <c r="H591"/>
  <c r="AO592"/>
  <c r="AO593"/>
  <c r="AW593" s="1"/>
  <c r="AO594"/>
  <c r="H594" s="1"/>
  <c r="AO595"/>
  <c r="AO596"/>
  <c r="AO597"/>
  <c r="AW597" s="1"/>
  <c r="AO598"/>
  <c r="AO599"/>
  <c r="BK548" i="14"/>
  <c r="BI548"/>
  <c r="BH548"/>
  <c r="BG548"/>
  <c r="BF548"/>
  <c r="T548"/>
  <c r="R548"/>
  <c r="P548"/>
  <c r="J548"/>
  <c r="BE548" s="1"/>
  <c r="BK546"/>
  <c r="BI546"/>
  <c r="BH546"/>
  <c r="BG546"/>
  <c r="BF546"/>
  <c r="T546"/>
  <c r="T545"/>
  <c r="R546"/>
  <c r="R545" s="1"/>
  <c r="P546"/>
  <c r="P545" s="1"/>
  <c r="J546"/>
  <c r="BE546" s="1"/>
  <c r="BK543"/>
  <c r="BK542" s="1"/>
  <c r="BI543"/>
  <c r="BH543"/>
  <c r="BG543"/>
  <c r="BF543"/>
  <c r="T543"/>
  <c r="T542" s="1"/>
  <c r="R543"/>
  <c r="R542" s="1"/>
  <c r="P543"/>
  <c r="P542" s="1"/>
  <c r="J543"/>
  <c r="BE543"/>
  <c r="BK540"/>
  <c r="BK539" s="1"/>
  <c r="J539"/>
  <c r="J113" s="1"/>
  <c r="BI540"/>
  <c r="BH540"/>
  <c r="BG540"/>
  <c r="BF540"/>
  <c r="T540"/>
  <c r="T539" s="1"/>
  <c r="R540"/>
  <c r="R539" s="1"/>
  <c r="P540"/>
  <c r="P539" s="1"/>
  <c r="J540"/>
  <c r="BE540"/>
  <c r="BK536"/>
  <c r="BK535" s="1"/>
  <c r="J535" s="1"/>
  <c r="J111" s="1"/>
  <c r="BI536"/>
  <c r="BH536"/>
  <c r="BG536"/>
  <c r="BF536"/>
  <c r="T536"/>
  <c r="T535" s="1"/>
  <c r="R536"/>
  <c r="R535"/>
  <c r="P536"/>
  <c r="J536"/>
  <c r="BE536" s="1"/>
  <c r="P535"/>
  <c r="BK533"/>
  <c r="BI533"/>
  <c r="BH533"/>
  <c r="BG533"/>
  <c r="BF533"/>
  <c r="T533"/>
  <c r="R533"/>
  <c r="P533"/>
  <c r="J533"/>
  <c r="BE533" s="1"/>
  <c r="BK531"/>
  <c r="BK530" s="1"/>
  <c r="J530" s="1"/>
  <c r="J110" s="1"/>
  <c r="BI531"/>
  <c r="BH531"/>
  <c r="BG531"/>
  <c r="BF531"/>
  <c r="T531"/>
  <c r="T530"/>
  <c r="R531"/>
  <c r="R530"/>
  <c r="P531"/>
  <c r="P530"/>
  <c r="J531"/>
  <c r="BE531"/>
  <c r="BK528"/>
  <c r="BI528"/>
  <c r="BH528"/>
  <c r="BG528"/>
  <c r="BF528"/>
  <c r="T528"/>
  <c r="R528"/>
  <c r="P528"/>
  <c r="J528"/>
  <c r="BE528" s="1"/>
  <c r="BK526"/>
  <c r="BI526"/>
  <c r="BH526"/>
  <c r="BG526"/>
  <c r="BF526"/>
  <c r="T526"/>
  <c r="R526"/>
  <c r="P526"/>
  <c r="J526"/>
  <c r="BE526" s="1"/>
  <c r="BK524"/>
  <c r="BI524"/>
  <c r="BH524"/>
  <c r="BG524"/>
  <c r="BF524"/>
  <c r="T524"/>
  <c r="R524"/>
  <c r="P524"/>
  <c r="J524"/>
  <c r="BE524" s="1"/>
  <c r="BK522"/>
  <c r="BI522"/>
  <c r="BH522"/>
  <c r="BG522"/>
  <c r="BF522"/>
  <c r="T522"/>
  <c r="T521"/>
  <c r="R522"/>
  <c r="R521"/>
  <c r="P522"/>
  <c r="J522"/>
  <c r="BE522" s="1"/>
  <c r="BK519"/>
  <c r="BI519"/>
  <c r="BH519"/>
  <c r="BG519"/>
  <c r="BF519"/>
  <c r="T519"/>
  <c r="R519"/>
  <c r="P519"/>
  <c r="J519"/>
  <c r="BE519"/>
  <c r="BK517"/>
  <c r="BI517"/>
  <c r="BH517"/>
  <c r="BG517"/>
  <c r="BF517"/>
  <c r="T517"/>
  <c r="R517"/>
  <c r="P517"/>
  <c r="J517"/>
  <c r="BE517"/>
  <c r="BK515"/>
  <c r="BI515"/>
  <c r="BH515"/>
  <c r="BG515"/>
  <c r="BF515"/>
  <c r="T515"/>
  <c r="R515"/>
  <c r="P515"/>
  <c r="J515"/>
  <c r="BE515"/>
  <c r="BK513"/>
  <c r="BI513"/>
  <c r="BH513"/>
  <c r="BG513"/>
  <c r="BF513"/>
  <c r="T513"/>
  <c r="R513"/>
  <c r="P513"/>
  <c r="J513"/>
  <c r="BE513"/>
  <c r="BK511"/>
  <c r="BI511"/>
  <c r="BH511"/>
  <c r="BG511"/>
  <c r="BF511"/>
  <c r="T511"/>
  <c r="R511"/>
  <c r="P511"/>
  <c r="J511"/>
  <c r="BE511"/>
  <c r="BK509"/>
  <c r="BI509"/>
  <c r="BH509"/>
  <c r="BG509"/>
  <c r="BF509"/>
  <c r="T509"/>
  <c r="R509"/>
  <c r="P509"/>
  <c r="J509"/>
  <c r="BE509"/>
  <c r="BK507"/>
  <c r="BI507"/>
  <c r="BH507"/>
  <c r="BG507"/>
  <c r="BF507"/>
  <c r="T507"/>
  <c r="R507"/>
  <c r="P507"/>
  <c r="J507"/>
  <c r="BE507"/>
  <c r="BK505"/>
  <c r="BI505"/>
  <c r="BH505"/>
  <c r="BG505"/>
  <c r="BF505"/>
  <c r="T505"/>
  <c r="R505"/>
  <c r="P505"/>
  <c r="J505"/>
  <c r="BE505"/>
  <c r="BK503"/>
  <c r="BI503"/>
  <c r="BH503"/>
  <c r="BG503"/>
  <c r="BF503"/>
  <c r="T503"/>
  <c r="R503"/>
  <c r="P503"/>
  <c r="J503"/>
  <c r="BE503"/>
  <c r="BK501"/>
  <c r="BI501"/>
  <c r="BH501"/>
  <c r="BG501"/>
  <c r="BF501"/>
  <c r="T501"/>
  <c r="R501"/>
  <c r="P501"/>
  <c r="J501"/>
  <c r="BE501"/>
  <c r="BK499"/>
  <c r="BI499"/>
  <c r="BH499"/>
  <c r="BG499"/>
  <c r="BF499"/>
  <c r="T499"/>
  <c r="R499"/>
  <c r="P499"/>
  <c r="J499"/>
  <c r="BE499"/>
  <c r="BK497"/>
  <c r="BI497"/>
  <c r="BH497"/>
  <c r="BG497"/>
  <c r="BF497"/>
  <c r="T497"/>
  <c r="R497"/>
  <c r="P497"/>
  <c r="J497"/>
  <c r="BE497"/>
  <c r="BK495"/>
  <c r="BI495"/>
  <c r="BH495"/>
  <c r="BG495"/>
  <c r="BF495"/>
  <c r="T495"/>
  <c r="R495"/>
  <c r="P495"/>
  <c r="J495"/>
  <c r="BE495"/>
  <c r="BK493"/>
  <c r="BI493"/>
  <c r="BH493"/>
  <c r="BG493"/>
  <c r="BF493"/>
  <c r="T493"/>
  <c r="R493"/>
  <c r="P493"/>
  <c r="J493"/>
  <c r="BE493"/>
  <c r="BK491"/>
  <c r="BI491"/>
  <c r="BH491"/>
  <c r="BG491"/>
  <c r="BF491"/>
  <c r="T491"/>
  <c r="R491"/>
  <c r="P491"/>
  <c r="J491"/>
  <c r="BE491"/>
  <c r="BK489"/>
  <c r="BI489"/>
  <c r="BH489"/>
  <c r="BG489"/>
  <c r="BF489"/>
  <c r="T489"/>
  <c r="R489"/>
  <c r="P489"/>
  <c r="J489"/>
  <c r="BE489"/>
  <c r="BK487"/>
  <c r="BI487"/>
  <c r="BH487"/>
  <c r="BG487"/>
  <c r="BF487"/>
  <c r="T487"/>
  <c r="R487"/>
  <c r="P487"/>
  <c r="J487"/>
  <c r="BE487"/>
  <c r="BK485"/>
  <c r="BI485"/>
  <c r="BH485"/>
  <c r="BG485"/>
  <c r="BF485"/>
  <c r="T485"/>
  <c r="R485"/>
  <c r="P485"/>
  <c r="J485"/>
  <c r="BE485"/>
  <c r="BK483"/>
  <c r="BI483"/>
  <c r="BH483"/>
  <c r="BG483"/>
  <c r="BF483"/>
  <c r="T483"/>
  <c r="R483"/>
  <c r="P483"/>
  <c r="J483"/>
  <c r="BE483"/>
  <c r="BK481"/>
  <c r="BI481"/>
  <c r="BH481"/>
  <c r="BG481"/>
  <c r="BF481"/>
  <c r="T481"/>
  <c r="R481"/>
  <c r="P481"/>
  <c r="J481"/>
  <c r="BE481"/>
  <c r="BK479"/>
  <c r="BI479"/>
  <c r="BH479"/>
  <c r="BG479"/>
  <c r="BF479"/>
  <c r="T479"/>
  <c r="R479"/>
  <c r="P479"/>
  <c r="J479"/>
  <c r="BE479"/>
  <c r="BK477"/>
  <c r="BI477"/>
  <c r="BH477"/>
  <c r="BG477"/>
  <c r="BF477"/>
  <c r="T477"/>
  <c r="R477"/>
  <c r="P477"/>
  <c r="J477"/>
  <c r="BE477"/>
  <c r="BK475"/>
  <c r="BI475"/>
  <c r="BH475"/>
  <c r="BG475"/>
  <c r="BF475"/>
  <c r="T475"/>
  <c r="R475"/>
  <c r="P475"/>
  <c r="J475"/>
  <c r="BE475"/>
  <c r="BK473"/>
  <c r="BI473"/>
  <c r="BH473"/>
  <c r="BG473"/>
  <c r="BF473"/>
  <c r="T473"/>
  <c r="R473"/>
  <c r="P473"/>
  <c r="J473"/>
  <c r="BE473"/>
  <c r="BK471"/>
  <c r="BI471"/>
  <c r="BH471"/>
  <c r="BG471"/>
  <c r="BF471"/>
  <c r="T471"/>
  <c r="R471"/>
  <c r="P471"/>
  <c r="J471"/>
  <c r="BE471"/>
  <c r="BK469"/>
  <c r="BI469"/>
  <c r="BH469"/>
  <c r="BG469"/>
  <c r="BF469"/>
  <c r="T469"/>
  <c r="R469"/>
  <c r="P469"/>
  <c r="J469"/>
  <c r="BE469"/>
  <c r="BK467"/>
  <c r="BI467"/>
  <c r="BH467"/>
  <c r="BG467"/>
  <c r="BF467"/>
  <c r="T467"/>
  <c r="R467"/>
  <c r="P467"/>
  <c r="J467"/>
  <c r="BE467"/>
  <c r="BK464"/>
  <c r="BI464"/>
  <c r="BH464"/>
  <c r="BG464"/>
  <c r="BF464"/>
  <c r="T464"/>
  <c r="T463" s="1"/>
  <c r="R464"/>
  <c r="R463"/>
  <c r="P464"/>
  <c r="P463"/>
  <c r="J464"/>
  <c r="BE464"/>
  <c r="BK461"/>
  <c r="BI461"/>
  <c r="BH461"/>
  <c r="BG461"/>
  <c r="BF461"/>
  <c r="T461"/>
  <c r="R461"/>
  <c r="P461"/>
  <c r="J461"/>
  <c r="BE461"/>
  <c r="BK459"/>
  <c r="BI459"/>
  <c r="BH459"/>
  <c r="BG459"/>
  <c r="BF459"/>
  <c r="T459"/>
  <c r="T458" s="1"/>
  <c r="R459"/>
  <c r="R458" s="1"/>
  <c r="P459"/>
  <c r="J459"/>
  <c r="BE459"/>
  <c r="BK456"/>
  <c r="BI456"/>
  <c r="BH456"/>
  <c r="BG456"/>
  <c r="BF456"/>
  <c r="T456"/>
  <c r="T417" s="1"/>
  <c r="R456"/>
  <c r="P456"/>
  <c r="J456"/>
  <c r="BE456" s="1"/>
  <c r="BK454"/>
  <c r="BI454"/>
  <c r="BH454"/>
  <c r="BG454"/>
  <c r="BF454"/>
  <c r="T454"/>
  <c r="R454"/>
  <c r="P454"/>
  <c r="J454"/>
  <c r="BE454" s="1"/>
  <c r="BK452"/>
  <c r="BI452"/>
  <c r="BH452"/>
  <c r="BG452"/>
  <c r="BF452"/>
  <c r="T452"/>
  <c r="R452"/>
  <c r="P452"/>
  <c r="J452"/>
  <c r="BE452" s="1"/>
  <c r="BK450"/>
  <c r="BI450"/>
  <c r="BH450"/>
  <c r="BG450"/>
  <c r="BF450"/>
  <c r="T450"/>
  <c r="R450"/>
  <c r="P450"/>
  <c r="J450"/>
  <c r="BE450" s="1"/>
  <c r="BK448"/>
  <c r="BI448"/>
  <c r="BH448"/>
  <c r="BG448"/>
  <c r="BF448"/>
  <c r="T448"/>
  <c r="R448"/>
  <c r="P448"/>
  <c r="J448"/>
  <c r="BE448" s="1"/>
  <c r="BK446"/>
  <c r="BI446"/>
  <c r="BH446"/>
  <c r="BG446"/>
  <c r="BF446"/>
  <c r="T446"/>
  <c r="R446"/>
  <c r="P446"/>
  <c r="J446"/>
  <c r="BE446" s="1"/>
  <c r="BK444"/>
  <c r="BI444"/>
  <c r="BH444"/>
  <c r="BG444"/>
  <c r="BF444"/>
  <c r="T444"/>
  <c r="R444"/>
  <c r="P444"/>
  <c r="J444"/>
  <c r="BE444" s="1"/>
  <c r="BK442"/>
  <c r="BI442"/>
  <c r="BH442"/>
  <c r="BG442"/>
  <c r="BF442"/>
  <c r="T442"/>
  <c r="R442"/>
  <c r="P442"/>
  <c r="J442"/>
  <c r="BE442" s="1"/>
  <c r="BK440"/>
  <c r="BI440"/>
  <c r="BH440"/>
  <c r="BG440"/>
  <c r="BF440"/>
  <c r="T440"/>
  <c r="R440"/>
  <c r="P440"/>
  <c r="J440"/>
  <c r="BE440" s="1"/>
  <c r="BK438"/>
  <c r="BI438"/>
  <c r="BH438"/>
  <c r="BG438"/>
  <c r="BF438"/>
  <c r="T438"/>
  <c r="R438"/>
  <c r="P438"/>
  <c r="J438"/>
  <c r="BE438" s="1"/>
  <c r="BK436"/>
  <c r="BI436"/>
  <c r="BH436"/>
  <c r="BG436"/>
  <c r="BF436"/>
  <c r="T436"/>
  <c r="R436"/>
  <c r="P436"/>
  <c r="J436"/>
  <c r="BE436" s="1"/>
  <c r="BK434"/>
  <c r="BI434"/>
  <c r="BH434"/>
  <c r="BG434"/>
  <c r="BF434"/>
  <c r="T434"/>
  <c r="R434"/>
  <c r="P434"/>
  <c r="J434"/>
  <c r="BE434" s="1"/>
  <c r="BK432"/>
  <c r="BI432"/>
  <c r="BH432"/>
  <c r="BG432"/>
  <c r="BF432"/>
  <c r="T432"/>
  <c r="R432"/>
  <c r="P432"/>
  <c r="J432"/>
  <c r="BE432" s="1"/>
  <c r="BK430"/>
  <c r="BI430"/>
  <c r="BH430"/>
  <c r="BG430"/>
  <c r="BF430"/>
  <c r="T430"/>
  <c r="R430"/>
  <c r="P430"/>
  <c r="J430"/>
  <c r="BE430" s="1"/>
  <c r="BK428"/>
  <c r="BI428"/>
  <c r="BH428"/>
  <c r="BG428"/>
  <c r="BF428"/>
  <c r="T428"/>
  <c r="R428"/>
  <c r="P428"/>
  <c r="J428"/>
  <c r="BE428" s="1"/>
  <c r="BK426"/>
  <c r="BI426"/>
  <c r="BH426"/>
  <c r="BG426"/>
  <c r="BF426"/>
  <c r="T426"/>
  <c r="R426"/>
  <c r="P426"/>
  <c r="J426"/>
  <c r="BE426" s="1"/>
  <c r="BK424"/>
  <c r="BI424"/>
  <c r="BH424"/>
  <c r="BG424"/>
  <c r="BF424"/>
  <c r="T424"/>
  <c r="R424"/>
  <c r="P424"/>
  <c r="J424"/>
  <c r="BE424" s="1"/>
  <c r="BK422"/>
  <c r="BI422"/>
  <c r="BH422"/>
  <c r="BG422"/>
  <c r="BF422"/>
  <c r="T422"/>
  <c r="R422"/>
  <c r="P422"/>
  <c r="J422"/>
  <c r="BE422" s="1"/>
  <c r="BK420"/>
  <c r="BI420"/>
  <c r="BH420"/>
  <c r="BG420"/>
  <c r="BF420"/>
  <c r="T420"/>
  <c r="R420"/>
  <c r="R417" s="1"/>
  <c r="P420"/>
  <c r="J420"/>
  <c r="BE420" s="1"/>
  <c r="BK418"/>
  <c r="BI418"/>
  <c r="BH418"/>
  <c r="BG418"/>
  <c r="BF418"/>
  <c r="T418"/>
  <c r="R418"/>
  <c r="P418"/>
  <c r="P417" s="1"/>
  <c r="J418"/>
  <c r="BE418" s="1"/>
  <c r="BK415"/>
  <c r="BI415"/>
  <c r="BH415"/>
  <c r="BG415"/>
  <c r="BF415"/>
  <c r="T415"/>
  <c r="R415"/>
  <c r="P415"/>
  <c r="J415"/>
  <c r="BE415" s="1"/>
  <c r="BK413"/>
  <c r="BI413"/>
  <c r="BH413"/>
  <c r="BG413"/>
  <c r="BF413"/>
  <c r="T413"/>
  <c r="R413"/>
  <c r="P413"/>
  <c r="J413"/>
  <c r="BE413" s="1"/>
  <c r="BK411"/>
  <c r="BI411"/>
  <c r="BH411"/>
  <c r="BG411"/>
  <c r="BF411"/>
  <c r="T411"/>
  <c r="R411"/>
  <c r="P411"/>
  <c r="J411"/>
  <c r="BE411" s="1"/>
  <c r="BK409"/>
  <c r="BI409"/>
  <c r="BH409"/>
  <c r="BG409"/>
  <c r="BF409"/>
  <c r="T409"/>
  <c r="R409"/>
  <c r="P409"/>
  <c r="J409"/>
  <c r="BE409" s="1"/>
  <c r="BK407"/>
  <c r="BI407"/>
  <c r="BH407"/>
  <c r="BG407"/>
  <c r="BF407"/>
  <c r="T407"/>
  <c r="R407"/>
  <c r="P407"/>
  <c r="J407"/>
  <c r="BE407" s="1"/>
  <c r="BK405"/>
  <c r="BI405"/>
  <c r="BH405"/>
  <c r="BG405"/>
  <c r="BF405"/>
  <c r="T405"/>
  <c r="R405"/>
  <c r="P405"/>
  <c r="J405"/>
  <c r="BE405" s="1"/>
  <c r="BK403"/>
  <c r="BI403"/>
  <c r="BH403"/>
  <c r="BG403"/>
  <c r="BF403"/>
  <c r="T403"/>
  <c r="R403"/>
  <c r="P403"/>
  <c r="J403"/>
  <c r="BE403" s="1"/>
  <c r="BK401"/>
  <c r="BI401"/>
  <c r="BH401"/>
  <c r="BG401"/>
  <c r="BF401"/>
  <c r="T401"/>
  <c r="R401"/>
  <c r="P401"/>
  <c r="J401"/>
  <c r="BE401" s="1"/>
  <c r="BK399"/>
  <c r="BI399"/>
  <c r="BH399"/>
  <c r="BG399"/>
  <c r="BF399"/>
  <c r="T399"/>
  <c r="R399"/>
  <c r="P399"/>
  <c r="J399"/>
  <c r="BE399" s="1"/>
  <c r="BK397"/>
  <c r="BI397"/>
  <c r="BH397"/>
  <c r="BG397"/>
  <c r="BF397"/>
  <c r="T397"/>
  <c r="R397"/>
  <c r="P397"/>
  <c r="J397"/>
  <c r="BE397" s="1"/>
  <c r="BK395"/>
  <c r="BI395"/>
  <c r="BH395"/>
  <c r="BG395"/>
  <c r="BF395"/>
  <c r="T395"/>
  <c r="R395"/>
  <c r="P395"/>
  <c r="J395"/>
  <c r="BE395" s="1"/>
  <c r="BK393"/>
  <c r="BI393"/>
  <c r="BH393"/>
  <c r="BG393"/>
  <c r="BF393"/>
  <c r="T393"/>
  <c r="R393"/>
  <c r="P393"/>
  <c r="J393"/>
  <c r="BE393" s="1"/>
  <c r="BK391"/>
  <c r="BI391"/>
  <c r="BH391"/>
  <c r="BG391"/>
  <c r="BF391"/>
  <c r="T391"/>
  <c r="R391"/>
  <c r="P391"/>
  <c r="J391"/>
  <c r="BE391" s="1"/>
  <c r="BK389"/>
  <c r="BI389"/>
  <c r="BH389"/>
  <c r="BG389"/>
  <c r="BF389"/>
  <c r="T389"/>
  <c r="R389"/>
  <c r="P389"/>
  <c r="J389"/>
  <c r="BE389" s="1"/>
  <c r="BK387"/>
  <c r="BI387"/>
  <c r="BH387"/>
  <c r="BG387"/>
  <c r="BF387"/>
  <c r="T387"/>
  <c r="R387"/>
  <c r="P387"/>
  <c r="J387"/>
  <c r="BE387" s="1"/>
  <c r="BK385"/>
  <c r="BI385"/>
  <c r="BH385"/>
  <c r="BG385"/>
  <c r="BF385"/>
  <c r="T385"/>
  <c r="R385"/>
  <c r="P385"/>
  <c r="J385"/>
  <c r="BE385" s="1"/>
  <c r="BK383"/>
  <c r="BI383"/>
  <c r="BH383"/>
  <c r="BG383"/>
  <c r="BF383"/>
  <c r="T383"/>
  <c r="R383"/>
  <c r="P383"/>
  <c r="J383"/>
  <c r="BE383" s="1"/>
  <c r="BK381"/>
  <c r="BI381"/>
  <c r="BH381"/>
  <c r="BG381"/>
  <c r="BF381"/>
  <c r="T381"/>
  <c r="R381"/>
  <c r="P381"/>
  <c r="J381"/>
  <c r="BE381" s="1"/>
  <c r="BK379"/>
  <c r="BI379"/>
  <c r="BH379"/>
  <c r="BG379"/>
  <c r="BF379"/>
  <c r="T379"/>
  <c r="R379"/>
  <c r="P379"/>
  <c r="J379"/>
  <c r="BE379" s="1"/>
  <c r="BK377"/>
  <c r="BI377"/>
  <c r="BH377"/>
  <c r="BG377"/>
  <c r="BF377"/>
  <c r="T377"/>
  <c r="R377"/>
  <c r="P377"/>
  <c r="J377"/>
  <c r="BE377" s="1"/>
  <c r="BK375"/>
  <c r="BI375"/>
  <c r="BH375"/>
  <c r="BG375"/>
  <c r="BF375"/>
  <c r="T375"/>
  <c r="R375"/>
  <c r="P375"/>
  <c r="J375"/>
  <c r="BE375" s="1"/>
  <c r="BK373"/>
  <c r="BI373"/>
  <c r="BH373"/>
  <c r="BG373"/>
  <c r="BF373"/>
  <c r="T373"/>
  <c r="R373"/>
  <c r="P373"/>
  <c r="J373"/>
  <c r="BE373" s="1"/>
  <c r="BK371"/>
  <c r="BI371"/>
  <c r="BH371"/>
  <c r="BG371"/>
  <c r="BF371"/>
  <c r="T371"/>
  <c r="R371"/>
  <c r="P371"/>
  <c r="J371"/>
  <c r="BE371" s="1"/>
  <c r="BK369"/>
  <c r="BI369"/>
  <c r="BH369"/>
  <c r="BG369"/>
  <c r="BF369"/>
  <c r="T369"/>
  <c r="R369"/>
  <c r="P369"/>
  <c r="J369"/>
  <c r="BE369" s="1"/>
  <c r="BK367"/>
  <c r="BI367"/>
  <c r="BH367"/>
  <c r="BG367"/>
  <c r="BF367"/>
  <c r="T367"/>
  <c r="R367"/>
  <c r="P367"/>
  <c r="J367"/>
  <c r="BE367" s="1"/>
  <c r="BK365"/>
  <c r="BI365"/>
  <c r="BH365"/>
  <c r="BG365"/>
  <c r="BF365"/>
  <c r="T365"/>
  <c r="R365"/>
  <c r="P365"/>
  <c r="J365"/>
  <c r="BE365" s="1"/>
  <c r="BK363"/>
  <c r="BI363"/>
  <c r="BH363"/>
  <c r="BG363"/>
  <c r="BF363"/>
  <c r="T363"/>
  <c r="R363"/>
  <c r="P363"/>
  <c r="J363"/>
  <c r="BE363" s="1"/>
  <c r="BK361"/>
  <c r="BI361"/>
  <c r="BH361"/>
  <c r="BG361"/>
  <c r="BF361"/>
  <c r="T361"/>
  <c r="R361"/>
  <c r="P361"/>
  <c r="J361"/>
  <c r="BE361" s="1"/>
  <c r="BK359"/>
  <c r="BI359"/>
  <c r="BH359"/>
  <c r="BG359"/>
  <c r="BF359"/>
  <c r="T359"/>
  <c r="R359"/>
  <c r="P359"/>
  <c r="J359"/>
  <c r="BE359" s="1"/>
  <c r="BK357"/>
  <c r="BI357"/>
  <c r="BH357"/>
  <c r="BG357"/>
  <c r="BF357"/>
  <c r="T357"/>
  <c r="R357"/>
  <c r="P357"/>
  <c r="J357"/>
  <c r="BE357" s="1"/>
  <c r="BK355"/>
  <c r="BI355"/>
  <c r="BH355"/>
  <c r="BG355"/>
  <c r="BF355"/>
  <c r="T355"/>
  <c r="R355"/>
  <c r="P355"/>
  <c r="J355"/>
  <c r="BE355" s="1"/>
  <c r="BK353"/>
  <c r="BI353"/>
  <c r="BH353"/>
  <c r="BG353"/>
  <c r="BF353"/>
  <c r="T353"/>
  <c r="R353"/>
  <c r="P353"/>
  <c r="J353"/>
  <c r="BE353" s="1"/>
  <c r="BK351"/>
  <c r="BI351"/>
  <c r="BH351"/>
  <c r="BG351"/>
  <c r="BF351"/>
  <c r="T351"/>
  <c r="R351"/>
  <c r="P351"/>
  <c r="J351"/>
  <c r="BE351" s="1"/>
  <c r="BK349"/>
  <c r="BI349"/>
  <c r="BH349"/>
  <c r="BG349"/>
  <c r="BF349"/>
  <c r="T349"/>
  <c r="R349"/>
  <c r="P349"/>
  <c r="J349"/>
  <c r="BE349" s="1"/>
  <c r="BK347"/>
  <c r="BI347"/>
  <c r="BH347"/>
  <c r="BG347"/>
  <c r="BF347"/>
  <c r="T347"/>
  <c r="R347"/>
  <c r="P347"/>
  <c r="J347"/>
  <c r="BE347" s="1"/>
  <c r="BK345"/>
  <c r="BI345"/>
  <c r="BH345"/>
  <c r="BG345"/>
  <c r="BF345"/>
  <c r="T345"/>
  <c r="R345"/>
  <c r="P345"/>
  <c r="J345"/>
  <c r="BE345" s="1"/>
  <c r="BK343"/>
  <c r="BI343"/>
  <c r="BH343"/>
  <c r="BG343"/>
  <c r="BF343"/>
  <c r="T343"/>
  <c r="R343"/>
  <c r="P343"/>
  <c r="J343"/>
  <c r="BE343"/>
  <c r="BK341"/>
  <c r="BI341"/>
  <c r="BH341"/>
  <c r="BG341"/>
  <c r="BF341"/>
  <c r="T341"/>
  <c r="R341"/>
  <c r="P341"/>
  <c r="J341"/>
  <c r="BE341"/>
  <c r="BK339"/>
  <c r="BI339"/>
  <c r="BH339"/>
  <c r="BG339"/>
  <c r="BF339"/>
  <c r="T339"/>
  <c r="R339"/>
  <c r="P339"/>
  <c r="J339"/>
  <c r="BE339"/>
  <c r="BK337"/>
  <c r="BI337"/>
  <c r="BH337"/>
  <c r="BG337"/>
  <c r="BF337"/>
  <c r="T337"/>
  <c r="R337"/>
  <c r="P337"/>
  <c r="J337"/>
  <c r="BE337"/>
  <c r="BK335"/>
  <c r="BI335"/>
  <c r="BH335"/>
  <c r="BG335"/>
  <c r="BF335"/>
  <c r="T335"/>
  <c r="R335"/>
  <c r="P335"/>
  <c r="P334" s="1"/>
  <c r="J335"/>
  <c r="BE335"/>
  <c r="BK332"/>
  <c r="BI332"/>
  <c r="BH332"/>
  <c r="BG332"/>
  <c r="BF332"/>
  <c r="T332"/>
  <c r="R332"/>
  <c r="P332"/>
  <c r="J332"/>
  <c r="BE332"/>
  <c r="BK330"/>
  <c r="BI330"/>
  <c r="BH330"/>
  <c r="BG330"/>
  <c r="BF330"/>
  <c r="T330"/>
  <c r="R330"/>
  <c r="P330"/>
  <c r="J330"/>
  <c r="BE330"/>
  <c r="BK328"/>
  <c r="BI328"/>
  <c r="BH328"/>
  <c r="BG328"/>
  <c r="BF328"/>
  <c r="T328"/>
  <c r="R328"/>
  <c r="P328"/>
  <c r="J328"/>
  <c r="BE328"/>
  <c r="BK326"/>
  <c r="BI326"/>
  <c r="BH326"/>
  <c r="BG326"/>
  <c r="BF326"/>
  <c r="T326"/>
  <c r="R326"/>
  <c r="P326"/>
  <c r="J326"/>
  <c r="BE326"/>
  <c r="BK324"/>
  <c r="BI324"/>
  <c r="BH324"/>
  <c r="BG324"/>
  <c r="BF324"/>
  <c r="T324"/>
  <c r="R324"/>
  <c r="P324"/>
  <c r="J324"/>
  <c r="BE324"/>
  <c r="BK322"/>
  <c r="BI322"/>
  <c r="BH322"/>
  <c r="BG322"/>
  <c r="BF322"/>
  <c r="T322"/>
  <c r="R322"/>
  <c r="P322"/>
  <c r="J322"/>
  <c r="BE322"/>
  <c r="BK320"/>
  <c r="BI320"/>
  <c r="BH320"/>
  <c r="BG320"/>
  <c r="BF320"/>
  <c r="T320"/>
  <c r="R320"/>
  <c r="P320"/>
  <c r="J320"/>
  <c r="BE320"/>
  <c r="BK318"/>
  <c r="BI318"/>
  <c r="BH318"/>
  <c r="BG318"/>
  <c r="BF318"/>
  <c r="T318"/>
  <c r="R318"/>
  <c r="P318"/>
  <c r="J318"/>
  <c r="BE318"/>
  <c r="BK316"/>
  <c r="BI316"/>
  <c r="BH316"/>
  <c r="BG316"/>
  <c r="BF316"/>
  <c r="T316"/>
  <c r="R316"/>
  <c r="P316"/>
  <c r="J316"/>
  <c r="BE316"/>
  <c r="BK314"/>
  <c r="BI314"/>
  <c r="BH314"/>
  <c r="BG314"/>
  <c r="BF314"/>
  <c r="T314"/>
  <c r="R314"/>
  <c r="P314"/>
  <c r="J314"/>
  <c r="BE314"/>
  <c r="BK312"/>
  <c r="BI312"/>
  <c r="BH312"/>
  <c r="BG312"/>
  <c r="BF312"/>
  <c r="T312"/>
  <c r="R312"/>
  <c r="P312"/>
  <c r="J312"/>
  <c r="BE312"/>
  <c r="BK310"/>
  <c r="BI310"/>
  <c r="BH310"/>
  <c r="BG310"/>
  <c r="BF310"/>
  <c r="T310"/>
  <c r="R310"/>
  <c r="P310"/>
  <c r="J310"/>
  <c r="BE310"/>
  <c r="BK308"/>
  <c r="BI308"/>
  <c r="BH308"/>
  <c r="BG308"/>
  <c r="BF308"/>
  <c r="T308"/>
  <c r="R308"/>
  <c r="P308"/>
  <c r="J308"/>
  <c r="BE308"/>
  <c r="BK306"/>
  <c r="BI306"/>
  <c r="BH306"/>
  <c r="BG306"/>
  <c r="BF306"/>
  <c r="T306"/>
  <c r="R306"/>
  <c r="P306"/>
  <c r="J306"/>
  <c r="BE306"/>
  <c r="BK304"/>
  <c r="BI304"/>
  <c r="BH304"/>
  <c r="BG304"/>
  <c r="BF304"/>
  <c r="T304"/>
  <c r="R304"/>
  <c r="P304"/>
  <c r="J304"/>
  <c r="BE304"/>
  <c r="BK302"/>
  <c r="BI302"/>
  <c r="BH302"/>
  <c r="BG302"/>
  <c r="BF302"/>
  <c r="T302"/>
  <c r="R302"/>
  <c r="P302"/>
  <c r="J302"/>
  <c r="BE302"/>
  <c r="BK300"/>
  <c r="BI300"/>
  <c r="BH300"/>
  <c r="BG300"/>
  <c r="BF300"/>
  <c r="T300"/>
  <c r="R300"/>
  <c r="P300"/>
  <c r="J300"/>
  <c r="BE300"/>
  <c r="BK298"/>
  <c r="BI298"/>
  <c r="BH298"/>
  <c r="BG298"/>
  <c r="BF298"/>
  <c r="T298"/>
  <c r="R298"/>
  <c r="P298"/>
  <c r="J298"/>
  <c r="BE298"/>
  <c r="BK296"/>
  <c r="BI296"/>
  <c r="BH296"/>
  <c r="BG296"/>
  <c r="BF296"/>
  <c r="T296"/>
  <c r="R296"/>
  <c r="P296"/>
  <c r="J296"/>
  <c r="BE296"/>
  <c r="BK294"/>
  <c r="BI294"/>
  <c r="BH294"/>
  <c r="BG294"/>
  <c r="BF294"/>
  <c r="T294"/>
  <c r="R294"/>
  <c r="P294"/>
  <c r="J294"/>
  <c r="BE294"/>
  <c r="BK292"/>
  <c r="BI292"/>
  <c r="BH292"/>
  <c r="BG292"/>
  <c r="BF292"/>
  <c r="T292"/>
  <c r="R292"/>
  <c r="P292"/>
  <c r="J292"/>
  <c r="BE292"/>
  <c r="BK290"/>
  <c r="BI290"/>
  <c r="BH290"/>
  <c r="BG290"/>
  <c r="BF290"/>
  <c r="T290"/>
  <c r="R290"/>
  <c r="P290"/>
  <c r="J290"/>
  <c r="BE290"/>
  <c r="BK288"/>
  <c r="BI288"/>
  <c r="BH288"/>
  <c r="BG288"/>
  <c r="BF288"/>
  <c r="T288"/>
  <c r="R288"/>
  <c r="P288"/>
  <c r="J288"/>
  <c r="BE288"/>
  <c r="BK286"/>
  <c r="BI286"/>
  <c r="BH286"/>
  <c r="BG286"/>
  <c r="BF286"/>
  <c r="T286"/>
  <c r="R286"/>
  <c r="P286"/>
  <c r="J286"/>
  <c r="BE286"/>
  <c r="BK284"/>
  <c r="BI284"/>
  <c r="BH284"/>
  <c r="BG284"/>
  <c r="BF284"/>
  <c r="T284"/>
  <c r="R284"/>
  <c r="P284"/>
  <c r="J284"/>
  <c r="BE284"/>
  <c r="BK282"/>
  <c r="BI282"/>
  <c r="BH282"/>
  <c r="BG282"/>
  <c r="BF282"/>
  <c r="T282"/>
  <c r="R282"/>
  <c r="P282"/>
  <c r="J282"/>
  <c r="BE282"/>
  <c r="BK280"/>
  <c r="BI280"/>
  <c r="BH280"/>
  <c r="BG280"/>
  <c r="BF280"/>
  <c r="T280"/>
  <c r="R280"/>
  <c r="P280"/>
  <c r="J280"/>
  <c r="BE280"/>
  <c r="BK278"/>
  <c r="BI278"/>
  <c r="BH278"/>
  <c r="BG278"/>
  <c r="BF278"/>
  <c r="T278"/>
  <c r="R278"/>
  <c r="P278"/>
  <c r="J278"/>
  <c r="BE278"/>
  <c r="BK276"/>
  <c r="BI276"/>
  <c r="BH276"/>
  <c r="BG276"/>
  <c r="BF276"/>
  <c r="T276"/>
  <c r="R276"/>
  <c r="P276"/>
  <c r="J276"/>
  <c r="BE276" s="1"/>
  <c r="BK274"/>
  <c r="BI274"/>
  <c r="BH274"/>
  <c r="BG274"/>
  <c r="BF274"/>
  <c r="T274"/>
  <c r="R274"/>
  <c r="R273" s="1"/>
  <c r="P274"/>
  <c r="P273" s="1"/>
  <c r="J274"/>
  <c r="BE274"/>
  <c r="BK271"/>
  <c r="BI271"/>
  <c r="BH271"/>
  <c r="BG271"/>
  <c r="BF271"/>
  <c r="T271"/>
  <c r="R271"/>
  <c r="P271"/>
  <c r="J271"/>
  <c r="BE271" s="1"/>
  <c r="BK269"/>
  <c r="BI269"/>
  <c r="BH269"/>
  <c r="BG269"/>
  <c r="BF269"/>
  <c r="T269"/>
  <c r="R269"/>
  <c r="P269"/>
  <c r="J269"/>
  <c r="BE269" s="1"/>
  <c r="BK267"/>
  <c r="BI267"/>
  <c r="BH267"/>
  <c r="BG267"/>
  <c r="BF267"/>
  <c r="T267"/>
  <c r="R267"/>
  <c r="P267"/>
  <c r="J267"/>
  <c r="BE267" s="1"/>
  <c r="BK265"/>
  <c r="BI265"/>
  <c r="BH265"/>
  <c r="BG265"/>
  <c r="BF265"/>
  <c r="T265"/>
  <c r="R265"/>
  <c r="P265"/>
  <c r="J265"/>
  <c r="BE265" s="1"/>
  <c r="BK263"/>
  <c r="BI263"/>
  <c r="BH263"/>
  <c r="BG263"/>
  <c r="BF263"/>
  <c r="T263"/>
  <c r="R263"/>
  <c r="P263"/>
  <c r="J263"/>
  <c r="BE263" s="1"/>
  <c r="BK261"/>
  <c r="BI261"/>
  <c r="BH261"/>
  <c r="BG261"/>
  <c r="BF261"/>
  <c r="T261"/>
  <c r="R261"/>
  <c r="P261"/>
  <c r="J261"/>
  <c r="BE261" s="1"/>
  <c r="BK259"/>
  <c r="BI259"/>
  <c r="BH259"/>
  <c r="BG259"/>
  <c r="BF259"/>
  <c r="T259"/>
  <c r="R259"/>
  <c r="P259"/>
  <c r="J259"/>
  <c r="BE259" s="1"/>
  <c r="BK257"/>
  <c r="BI257"/>
  <c r="BH257"/>
  <c r="BG257"/>
  <c r="BF257"/>
  <c r="T257"/>
  <c r="R257"/>
  <c r="P257"/>
  <c r="J257"/>
  <c r="BE257" s="1"/>
  <c r="BK255"/>
  <c r="BI255"/>
  <c r="BH255"/>
  <c r="BG255"/>
  <c r="BF255"/>
  <c r="T255"/>
  <c r="R255"/>
  <c r="P255"/>
  <c r="J255"/>
  <c r="BE255" s="1"/>
  <c r="BK253"/>
  <c r="BI253"/>
  <c r="BH253"/>
  <c r="BG253"/>
  <c r="BF253"/>
  <c r="T253"/>
  <c r="R253"/>
  <c r="P253"/>
  <c r="J253"/>
  <c r="BE253" s="1"/>
  <c r="BK251"/>
  <c r="BI251"/>
  <c r="BH251"/>
  <c r="BG251"/>
  <c r="BF251"/>
  <c r="T251"/>
  <c r="R251"/>
  <c r="P251"/>
  <c r="J251"/>
  <c r="BE251" s="1"/>
  <c r="BK249"/>
  <c r="BI249"/>
  <c r="BH249"/>
  <c r="BG249"/>
  <c r="BF249"/>
  <c r="T249"/>
  <c r="R249"/>
  <c r="P249"/>
  <c r="J249"/>
  <c r="BE249" s="1"/>
  <c r="BK247"/>
  <c r="BI247"/>
  <c r="BH247"/>
  <c r="BG247"/>
  <c r="BF247"/>
  <c r="T247"/>
  <c r="R247"/>
  <c r="P247"/>
  <c r="J247"/>
  <c r="BE247" s="1"/>
  <c r="BK245"/>
  <c r="BI245"/>
  <c r="BH245"/>
  <c r="BG245"/>
  <c r="BF245"/>
  <c r="T245"/>
  <c r="R245"/>
  <c r="P245"/>
  <c r="J245"/>
  <c r="BE245" s="1"/>
  <c r="BK243"/>
  <c r="BI243"/>
  <c r="BH243"/>
  <c r="BG243"/>
  <c r="BF243"/>
  <c r="T243"/>
  <c r="R243"/>
  <c r="P243"/>
  <c r="J243"/>
  <c r="BE243" s="1"/>
  <c r="BK241"/>
  <c r="BI241"/>
  <c r="BH241"/>
  <c r="BG241"/>
  <c r="BF241"/>
  <c r="T241"/>
  <c r="T240"/>
  <c r="R241"/>
  <c r="P241"/>
  <c r="P240" s="1"/>
  <c r="J241"/>
  <c r="BE241"/>
  <c r="BK237"/>
  <c r="BI237"/>
  <c r="BH237"/>
  <c r="BG237"/>
  <c r="BF237"/>
  <c r="T237"/>
  <c r="R237"/>
  <c r="P237"/>
  <c r="J237"/>
  <c r="BE237"/>
  <c r="BK235"/>
  <c r="BI235"/>
  <c r="BH235"/>
  <c r="BG235"/>
  <c r="BF235"/>
  <c r="T235"/>
  <c r="R235"/>
  <c r="P235"/>
  <c r="J235"/>
  <c r="BE235"/>
  <c r="BK233"/>
  <c r="BI233"/>
  <c r="BH233"/>
  <c r="BG233"/>
  <c r="BF233"/>
  <c r="T233"/>
  <c r="R233"/>
  <c r="P233"/>
  <c r="J233"/>
  <c r="BE233"/>
  <c r="BK231"/>
  <c r="BI231"/>
  <c r="BH231"/>
  <c r="BG231"/>
  <c r="BF231"/>
  <c r="T231"/>
  <c r="R231"/>
  <c r="P231"/>
  <c r="J231"/>
  <c r="BE231"/>
  <c r="BK229"/>
  <c r="BI229"/>
  <c r="BH229"/>
  <c r="BG229"/>
  <c r="BF229"/>
  <c r="T229"/>
  <c r="R229"/>
  <c r="P229"/>
  <c r="J229"/>
  <c r="BE229"/>
  <c r="BK227"/>
  <c r="BI227"/>
  <c r="BH227"/>
  <c r="BG227"/>
  <c r="BF227"/>
  <c r="T227"/>
  <c r="R227"/>
  <c r="P227"/>
  <c r="J227"/>
  <c r="BE227"/>
  <c r="BK225"/>
  <c r="BI225"/>
  <c r="BH225"/>
  <c r="BG225"/>
  <c r="BF225"/>
  <c r="T225"/>
  <c r="R225"/>
  <c r="P225"/>
  <c r="J225"/>
  <c r="BE225"/>
  <c r="BK223"/>
  <c r="BI223"/>
  <c r="BH223"/>
  <c r="BG223"/>
  <c r="BF223"/>
  <c r="T223"/>
  <c r="R223"/>
  <c r="P223"/>
  <c r="J223"/>
  <c r="BE223"/>
  <c r="BK221"/>
  <c r="BI221"/>
  <c r="BH221"/>
  <c r="BG221"/>
  <c r="BF221"/>
  <c r="T221"/>
  <c r="R221"/>
  <c r="P221"/>
  <c r="J221"/>
  <c r="BE221"/>
  <c r="BK219"/>
  <c r="BI219"/>
  <c r="BH219"/>
  <c r="BG219"/>
  <c r="BF219"/>
  <c r="T219"/>
  <c r="R219"/>
  <c r="P219"/>
  <c r="J219"/>
  <c r="BE219"/>
  <c r="BK217"/>
  <c r="BI217"/>
  <c r="BH217"/>
  <c r="BG217"/>
  <c r="BF217"/>
  <c r="T217"/>
  <c r="R217"/>
  <c r="P217"/>
  <c r="J217"/>
  <c r="BE217"/>
  <c r="BK215"/>
  <c r="BI215"/>
  <c r="BH215"/>
  <c r="BG215"/>
  <c r="BF215"/>
  <c r="T215"/>
  <c r="R215"/>
  <c r="P215"/>
  <c r="J215"/>
  <c r="BE215"/>
  <c r="BK213"/>
  <c r="BI213"/>
  <c r="BH213"/>
  <c r="BG213"/>
  <c r="BF213"/>
  <c r="T213"/>
  <c r="R213"/>
  <c r="P213"/>
  <c r="J213"/>
  <c r="BE213"/>
  <c r="BK211"/>
  <c r="BI211"/>
  <c r="BH211"/>
  <c r="BG211"/>
  <c r="BF211"/>
  <c r="T211"/>
  <c r="R211"/>
  <c r="P211"/>
  <c r="J211"/>
  <c r="BE211"/>
  <c r="BK209"/>
  <c r="BI209"/>
  <c r="BH209"/>
  <c r="BG209"/>
  <c r="BF209"/>
  <c r="T209"/>
  <c r="R209"/>
  <c r="P209"/>
  <c r="J209"/>
  <c r="BE209"/>
  <c r="BK207"/>
  <c r="BI207"/>
  <c r="BH207"/>
  <c r="BG207"/>
  <c r="BF207"/>
  <c r="T207"/>
  <c r="R207"/>
  <c r="P207"/>
  <c r="J207"/>
  <c r="BE207"/>
  <c r="BK205"/>
  <c r="BI205"/>
  <c r="BH205"/>
  <c r="BG205"/>
  <c r="BF205"/>
  <c r="T205"/>
  <c r="R205"/>
  <c r="P205"/>
  <c r="J205"/>
  <c r="BE205"/>
  <c r="BK203"/>
  <c r="BI203"/>
  <c r="BH203"/>
  <c r="BG203"/>
  <c r="BF203"/>
  <c r="T203"/>
  <c r="R203"/>
  <c r="P203"/>
  <c r="J203"/>
  <c r="BE203"/>
  <c r="BK201"/>
  <c r="BI201"/>
  <c r="BH201"/>
  <c r="BG201"/>
  <c r="BF201"/>
  <c r="T201"/>
  <c r="R201"/>
  <c r="P201"/>
  <c r="J201"/>
  <c r="BE201"/>
  <c r="BK199"/>
  <c r="BI199"/>
  <c r="BH199"/>
  <c r="BG199"/>
  <c r="BF199"/>
  <c r="T199"/>
  <c r="R199"/>
  <c r="P199"/>
  <c r="J199"/>
  <c r="BE199"/>
  <c r="BK197"/>
  <c r="BI197"/>
  <c r="BH197"/>
  <c r="BG197"/>
  <c r="BF197"/>
  <c r="T197"/>
  <c r="R197"/>
  <c r="P197"/>
  <c r="J197"/>
  <c r="BE197"/>
  <c r="BK195"/>
  <c r="BI195"/>
  <c r="BH195"/>
  <c r="BG195"/>
  <c r="BF195"/>
  <c r="T195"/>
  <c r="R195"/>
  <c r="P195"/>
  <c r="J195"/>
  <c r="BE195"/>
  <c r="BK193"/>
  <c r="BI193"/>
  <c r="BH193"/>
  <c r="BG193"/>
  <c r="BF193"/>
  <c r="T193"/>
  <c r="R193"/>
  <c r="P193"/>
  <c r="J193"/>
  <c r="BE193"/>
  <c r="BK191"/>
  <c r="BI191"/>
  <c r="BH191"/>
  <c r="BG191"/>
  <c r="BF191"/>
  <c r="T191"/>
  <c r="T190" s="1"/>
  <c r="R191"/>
  <c r="R190" s="1"/>
  <c r="P191"/>
  <c r="P190" s="1"/>
  <c r="J191"/>
  <c r="BE191" s="1"/>
  <c r="BK187"/>
  <c r="BK186" s="1"/>
  <c r="J186" s="1"/>
  <c r="J100" s="1"/>
  <c r="BI187"/>
  <c r="BH187"/>
  <c r="BG187"/>
  <c r="BF187"/>
  <c r="T187"/>
  <c r="T186" s="1"/>
  <c r="R187"/>
  <c r="R186" s="1"/>
  <c r="P187"/>
  <c r="P186" s="1"/>
  <c r="J187"/>
  <c r="BE187" s="1"/>
  <c r="BK183"/>
  <c r="BI183"/>
  <c r="BH183"/>
  <c r="BG183"/>
  <c r="BF183"/>
  <c r="T183"/>
  <c r="R183"/>
  <c r="R179" s="1"/>
  <c r="P183"/>
  <c r="J183"/>
  <c r="BE183" s="1"/>
  <c r="BK180"/>
  <c r="BI180"/>
  <c r="BH180"/>
  <c r="BG180"/>
  <c r="BF180"/>
  <c r="T180"/>
  <c r="T179"/>
  <c r="R180"/>
  <c r="P180"/>
  <c r="P179"/>
  <c r="J180"/>
  <c r="BE180"/>
  <c r="BK175"/>
  <c r="BI175"/>
  <c r="BH175"/>
  <c r="BG175"/>
  <c r="BF175"/>
  <c r="T175"/>
  <c r="R175"/>
  <c r="P175"/>
  <c r="J175"/>
  <c r="BE175"/>
  <c r="BK172"/>
  <c r="BI172"/>
  <c r="BH172"/>
  <c r="BG172"/>
  <c r="BF172"/>
  <c r="T172"/>
  <c r="R172"/>
  <c r="P172"/>
  <c r="J172"/>
  <c r="BE172"/>
  <c r="BK169"/>
  <c r="BI169"/>
  <c r="BH169"/>
  <c r="BG169"/>
  <c r="BF169"/>
  <c r="T169"/>
  <c r="R169"/>
  <c r="P169"/>
  <c r="J169"/>
  <c r="BE169"/>
  <c r="BK166"/>
  <c r="BI166"/>
  <c r="BH166"/>
  <c r="BG166"/>
  <c r="BF166"/>
  <c r="T166"/>
  <c r="R166"/>
  <c r="P166"/>
  <c r="J166"/>
  <c r="BE166"/>
  <c r="BK162"/>
  <c r="BI162"/>
  <c r="BH162"/>
  <c r="BG162"/>
  <c r="BF162"/>
  <c r="T162"/>
  <c r="R162"/>
  <c r="P162"/>
  <c r="J162"/>
  <c r="BE162"/>
  <c r="BK155"/>
  <c r="BI155"/>
  <c r="BH155"/>
  <c r="BG155"/>
  <c r="BF155"/>
  <c r="T155"/>
  <c r="R155"/>
  <c r="P155"/>
  <c r="J155"/>
  <c r="BE155"/>
  <c r="BK151"/>
  <c r="BI151"/>
  <c r="BH151"/>
  <c r="BG151"/>
  <c r="BF151"/>
  <c r="T151"/>
  <c r="R151"/>
  <c r="P151"/>
  <c r="J151"/>
  <c r="BE151"/>
  <c r="BK144"/>
  <c r="BI144"/>
  <c r="BH144"/>
  <c r="BG144"/>
  <c r="BF144"/>
  <c r="T144"/>
  <c r="R144"/>
  <c r="P144"/>
  <c r="J144"/>
  <c r="BE144" s="1"/>
  <c r="BK141"/>
  <c r="BK137" s="1"/>
  <c r="BI141"/>
  <c r="BH141"/>
  <c r="BG141"/>
  <c r="BF141"/>
  <c r="T141"/>
  <c r="R141"/>
  <c r="P141"/>
  <c r="J141"/>
  <c r="BE141"/>
  <c r="BK138"/>
  <c r="BI138"/>
  <c r="BH138"/>
  <c r="BG138"/>
  <c r="BF138"/>
  <c r="T138"/>
  <c r="T137" s="1"/>
  <c r="R138"/>
  <c r="R137" s="1"/>
  <c r="P138"/>
  <c r="P137"/>
  <c r="J138"/>
  <c r="BE138"/>
  <c r="F129"/>
  <c r="E127"/>
  <c r="F89"/>
  <c r="E87"/>
  <c r="J37"/>
  <c r="J36"/>
  <c r="J35"/>
  <c r="J132"/>
  <c r="J91"/>
  <c r="F132"/>
  <c r="F131"/>
  <c r="J89"/>
  <c r="E125"/>
  <c r="F131" i="19"/>
  <c r="F130"/>
  <c r="F129"/>
  <c r="F128"/>
  <c r="F127"/>
  <c r="F126"/>
  <c r="F125"/>
  <c r="F124"/>
  <c r="F123"/>
  <c r="F122"/>
  <c r="F121"/>
  <c r="F120"/>
  <c r="F119"/>
  <c r="F118"/>
  <c r="F115"/>
  <c r="F114"/>
  <c r="F113"/>
  <c r="F112"/>
  <c r="F111"/>
  <c r="F110"/>
  <c r="F109"/>
  <c r="F108"/>
  <c r="F105"/>
  <c r="F104"/>
  <c r="F103"/>
  <c r="F102"/>
  <c r="F101"/>
  <c r="F100"/>
  <c r="F99"/>
  <c r="F98"/>
  <c r="F97"/>
  <c r="F96"/>
  <c r="F95"/>
  <c r="F94"/>
  <c r="F91"/>
  <c r="F90"/>
  <c r="F89"/>
  <c r="F88"/>
  <c r="F87"/>
  <c r="F86"/>
  <c r="F85"/>
  <c r="F84"/>
  <c r="F83"/>
  <c r="F82"/>
  <c r="F81"/>
  <c r="F80"/>
  <c r="F79"/>
  <c r="F76"/>
  <c r="F75"/>
  <c r="F74"/>
  <c r="F73"/>
  <c r="F72"/>
  <c r="F71"/>
  <c r="F70"/>
  <c r="F69"/>
  <c r="F68"/>
  <c r="F67"/>
  <c r="F66"/>
  <c r="F65"/>
  <c r="F64"/>
  <c r="F63"/>
  <c r="F60"/>
  <c r="F59"/>
  <c r="F58"/>
  <c r="F57"/>
  <c r="F56"/>
  <c r="F55"/>
  <c r="F54"/>
  <c r="F53"/>
  <c r="F52"/>
  <c r="F50"/>
  <c r="F49"/>
  <c r="F48"/>
  <c r="F47"/>
  <c r="F46"/>
  <c r="F45"/>
  <c r="F44"/>
  <c r="F40"/>
  <c r="F39"/>
  <c r="F38"/>
  <c r="F37"/>
  <c r="F36"/>
  <c r="F35"/>
  <c r="F34"/>
  <c r="F33"/>
  <c r="F32"/>
  <c r="F31"/>
  <c r="F30"/>
  <c r="F29"/>
  <c r="F28"/>
  <c r="F27"/>
  <c r="F26"/>
  <c r="F25"/>
  <c r="F24"/>
  <c r="F23"/>
  <c r="F22"/>
  <c r="F21"/>
  <c r="F20"/>
  <c r="F19"/>
  <c r="F18"/>
  <c r="F17"/>
  <c r="F16"/>
  <c r="F15"/>
  <c r="F14"/>
  <c r="F13"/>
  <c r="F12"/>
  <c r="F11"/>
  <c r="F10"/>
  <c r="F9"/>
  <c r="F8"/>
  <c r="F7"/>
  <c r="F6"/>
  <c r="F5"/>
  <c r="F140" i="15"/>
  <c r="F139"/>
  <c r="F138"/>
  <c r="F134"/>
  <c r="F133"/>
  <c r="F132"/>
  <c r="F128"/>
  <c r="F124"/>
  <c r="F123"/>
  <c r="F122"/>
  <c r="F121"/>
  <c r="F120"/>
  <c r="F119"/>
  <c r="F118"/>
  <c r="F114"/>
  <c r="F110"/>
  <c r="F109"/>
  <c r="F108"/>
  <c r="F107"/>
  <c r="F106"/>
  <c r="F102"/>
  <c r="F101"/>
  <c r="F100"/>
  <c r="F99"/>
  <c r="F98"/>
  <c r="F97"/>
  <c r="F96"/>
  <c r="F95"/>
  <c r="F94"/>
  <c r="F93"/>
  <c r="F92"/>
  <c r="F91"/>
  <c r="F90"/>
  <c r="F89"/>
  <c r="F88"/>
  <c r="F87"/>
  <c r="F86"/>
  <c r="F85"/>
  <c r="F84"/>
  <c r="F83"/>
  <c r="F82"/>
  <c r="F81"/>
  <c r="F80"/>
  <c r="F79"/>
  <c r="F78"/>
  <c r="F74"/>
  <c r="F73"/>
  <c r="F72"/>
  <c r="F71"/>
  <c r="F70"/>
  <c r="F69"/>
  <c r="F68"/>
  <c r="F67"/>
  <c r="F66"/>
  <c r="F65"/>
  <c r="F64"/>
  <c r="F63"/>
  <c r="F62"/>
  <c r="F58"/>
  <c r="F57"/>
  <c r="F56"/>
  <c r="F55"/>
  <c r="F54"/>
  <c r="F53"/>
  <c r="F52"/>
  <c r="F51"/>
  <c r="F50"/>
  <c r="F49"/>
  <c r="F48"/>
  <c r="F47"/>
  <c r="F46"/>
  <c r="F45"/>
  <c r="F44"/>
  <c r="F43"/>
  <c r="F42"/>
  <c r="F41"/>
  <c r="F40"/>
  <c r="F39"/>
  <c r="F38"/>
  <c r="F37"/>
  <c r="F36"/>
  <c r="F35"/>
  <c r="F34"/>
  <c r="F33"/>
  <c r="F32"/>
  <c r="F28"/>
  <c r="F27"/>
  <c r="F26"/>
  <c r="F25"/>
  <c r="F24"/>
  <c r="F23"/>
  <c r="F19"/>
  <c r="F18"/>
  <c r="F17"/>
  <c r="F16"/>
  <c r="F15"/>
  <c r="F14"/>
  <c r="F13"/>
  <c r="F12"/>
  <c r="F11"/>
  <c r="F10"/>
  <c r="F9"/>
  <c r="F8"/>
  <c r="F7"/>
  <c r="F6"/>
  <c r="F142" s="1"/>
  <c r="I15" i="21" s="1"/>
  <c r="H95" i="16"/>
  <c r="H92"/>
  <c r="H91"/>
  <c r="F30"/>
  <c r="H30"/>
  <c r="F11"/>
  <c r="H11"/>
  <c r="F93" i="17"/>
  <c r="H93"/>
  <c r="F91"/>
  <c r="H91"/>
  <c r="Q222" i="10"/>
  <c r="Q221"/>
  <c r="Q220"/>
  <c r="Q219"/>
  <c r="Q218"/>
  <c r="Q217"/>
  <c r="G217"/>
  <c r="Q216"/>
  <c r="G216"/>
  <c r="Q215"/>
  <c r="G215"/>
  <c r="Q214"/>
  <c r="G214"/>
  <c r="Q213"/>
  <c r="G213"/>
  <c r="Q212"/>
  <c r="G212"/>
  <c r="Q211"/>
  <c r="G211"/>
  <c r="Q210"/>
  <c r="G210"/>
  <c r="Q209"/>
  <c r="G209"/>
  <c r="G208"/>
  <c r="Q207"/>
  <c r="G207"/>
  <c r="Q206"/>
  <c r="G206"/>
  <c r="Q205"/>
  <c r="G205"/>
  <c r="Q204"/>
  <c r="G204"/>
  <c r="Q203"/>
  <c r="G203"/>
  <c r="Q202"/>
  <c r="G202"/>
  <c r="Q201"/>
  <c r="G201"/>
  <c r="Q200"/>
  <c r="G200"/>
  <c r="Q199"/>
  <c r="G199"/>
  <c r="Q198"/>
  <c r="G198"/>
  <c r="Q197"/>
  <c r="G197"/>
  <c r="Q196"/>
  <c r="G196"/>
  <c r="Q195"/>
  <c r="G195"/>
  <c r="Q194"/>
  <c r="G194"/>
  <c r="Q193"/>
  <c r="G193"/>
  <c r="Q191"/>
  <c r="G191"/>
  <c r="Q190"/>
  <c r="G190"/>
  <c r="Q189"/>
  <c r="G189"/>
  <c r="Q188"/>
  <c r="G188"/>
  <c r="Q187"/>
  <c r="G187"/>
  <c r="Q186"/>
  <c r="G186"/>
  <c r="Q185"/>
  <c r="G185"/>
  <c r="Q184"/>
  <c r="G184"/>
  <c r="Q183"/>
  <c r="G183"/>
  <c r="Q182"/>
  <c r="G182"/>
  <c r="Q180"/>
  <c r="G180"/>
  <c r="Q179"/>
  <c r="G179"/>
  <c r="Q178"/>
  <c r="G178"/>
  <c r="Q177"/>
  <c r="G177"/>
  <c r="Q176"/>
  <c r="G176"/>
  <c r="Q173"/>
  <c r="G173"/>
  <c r="Q172"/>
  <c r="G172"/>
  <c r="Q171"/>
  <c r="G171"/>
  <c r="Q169"/>
  <c r="Q167"/>
  <c r="G167"/>
  <c r="Q164"/>
  <c r="G164"/>
  <c r="Q163"/>
  <c r="Q162"/>
  <c r="Q161"/>
  <c r="Q160"/>
  <c r="G160"/>
  <c r="Q159"/>
  <c r="G159"/>
  <c r="Q158"/>
  <c r="G158"/>
  <c r="Q157"/>
  <c r="G157"/>
  <c r="Q155"/>
  <c r="G155"/>
  <c r="Q154"/>
  <c r="G154"/>
  <c r="Q153"/>
  <c r="Q152"/>
  <c r="G152"/>
  <c r="Q151"/>
  <c r="G151"/>
  <c r="Q150"/>
  <c r="G150"/>
  <c r="Q149"/>
  <c r="G149"/>
  <c r="Q147"/>
  <c r="G147"/>
  <c r="Q146"/>
  <c r="G146"/>
  <c r="Q145"/>
  <c r="Q144"/>
  <c r="G144"/>
  <c r="Q143"/>
  <c r="G143"/>
  <c r="Q142"/>
  <c r="G142"/>
  <c r="Q141"/>
  <c r="G141"/>
  <c r="Q140"/>
  <c r="G140"/>
  <c r="Q138"/>
  <c r="G138"/>
  <c r="Q137"/>
  <c r="G137"/>
  <c r="Q136"/>
  <c r="G136"/>
  <c r="Q135"/>
  <c r="Q134"/>
  <c r="G134"/>
  <c r="Q132"/>
  <c r="G132"/>
  <c r="Q131"/>
  <c r="Q130"/>
  <c r="Q128"/>
  <c r="G128"/>
  <c r="Q127"/>
  <c r="G127"/>
  <c r="Q126"/>
  <c r="G126"/>
  <c r="Q125"/>
  <c r="G125"/>
  <c r="Q121"/>
  <c r="G121"/>
  <c r="Q120"/>
  <c r="G120"/>
  <c r="Q119"/>
  <c r="G119"/>
  <c r="Q114"/>
  <c r="G114"/>
  <c r="Q113"/>
  <c r="G113"/>
  <c r="Q112"/>
  <c r="Q111"/>
  <c r="G111"/>
  <c r="Q110"/>
  <c r="G110"/>
  <c r="Q109"/>
  <c r="G109"/>
  <c r="Q108"/>
  <c r="G108"/>
  <c r="Q105"/>
  <c r="I105"/>
  <c r="G105"/>
  <c r="Q104"/>
  <c r="G104"/>
  <c r="Q100"/>
  <c r="G100"/>
  <c r="Q99"/>
  <c r="G99"/>
  <c r="Q96"/>
  <c r="G96"/>
  <c r="Q95"/>
  <c r="G95"/>
  <c r="Q92"/>
  <c r="I92"/>
  <c r="G92"/>
  <c r="Q91"/>
  <c r="G91"/>
  <c r="Q90"/>
  <c r="G90"/>
  <c r="Q89"/>
  <c r="G89"/>
  <c r="Q88"/>
  <c r="G88"/>
  <c r="Q87"/>
  <c r="G87"/>
  <c r="Q84"/>
  <c r="G84"/>
  <c r="Q81"/>
  <c r="G81"/>
  <c r="Q80"/>
  <c r="G80"/>
  <c r="Q79"/>
  <c r="G79"/>
  <c r="Q76"/>
  <c r="G76"/>
  <c r="Q73"/>
  <c r="Q71"/>
  <c r="Q69"/>
  <c r="Q68"/>
  <c r="Q67"/>
  <c r="Q66"/>
  <c r="Q65"/>
  <c r="G65"/>
  <c r="Q64"/>
  <c r="G64"/>
  <c r="Q63"/>
  <c r="Q61"/>
  <c r="Q60"/>
  <c r="Q59"/>
  <c r="Q57"/>
  <c r="G57"/>
  <c r="Q56"/>
  <c r="Q55"/>
  <c r="Q53"/>
  <c r="G53"/>
  <c r="Q52"/>
  <c r="Q51"/>
  <c r="Q49"/>
  <c r="Q47"/>
  <c r="G47"/>
  <c r="Q46"/>
  <c r="G46"/>
  <c r="Q44"/>
  <c r="G44"/>
  <c r="Q43"/>
  <c r="G43"/>
  <c r="Q42"/>
  <c r="G42"/>
  <c r="Q40"/>
  <c r="G40"/>
  <c r="Q39"/>
  <c r="G39"/>
  <c r="Q38"/>
  <c r="G38"/>
  <c r="Q37"/>
  <c r="Q36"/>
  <c r="Q35"/>
  <c r="G35"/>
  <c r="Q34"/>
  <c r="Q33"/>
  <c r="Q32"/>
  <c r="G32"/>
  <c r="Q30"/>
  <c r="G30"/>
  <c r="Q29"/>
  <c r="G29"/>
  <c r="Q27"/>
  <c r="G27"/>
  <c r="Q26"/>
  <c r="Q25"/>
  <c r="G25"/>
  <c r="Q24"/>
  <c r="G24"/>
  <c r="Q22"/>
  <c r="Q21"/>
  <c r="Q20"/>
  <c r="Q19"/>
  <c r="G19"/>
  <c r="Q18"/>
  <c r="G18"/>
  <c r="Q17"/>
  <c r="G17"/>
  <c r="Q16"/>
  <c r="G16"/>
  <c r="Q15"/>
  <c r="G15"/>
  <c r="Q14"/>
  <c r="G14"/>
  <c r="Q13"/>
  <c r="G13"/>
  <c r="Q12"/>
  <c r="G12"/>
  <c r="Q11"/>
  <c r="Q10"/>
  <c r="G10"/>
  <c r="Q9"/>
  <c r="G9"/>
  <c r="G7"/>
  <c r="G5"/>
  <c r="BK196" i="11"/>
  <c r="BK195"/>
  <c r="BI196"/>
  <c r="BH196"/>
  <c r="BG196"/>
  <c r="BF196"/>
  <c r="T196"/>
  <c r="R196"/>
  <c r="R195" s="1"/>
  <c r="P196"/>
  <c r="P195" s="1"/>
  <c r="J196"/>
  <c r="BE196" s="1"/>
  <c r="T195"/>
  <c r="BK193"/>
  <c r="BI193"/>
  <c r="BH193"/>
  <c r="BG193"/>
  <c r="BF193"/>
  <c r="T193"/>
  <c r="R193"/>
  <c r="P193"/>
  <c r="J193"/>
  <c r="BE193" s="1"/>
  <c r="BK191"/>
  <c r="BI191"/>
  <c r="BH191"/>
  <c r="BG191"/>
  <c r="BF191"/>
  <c r="T191"/>
  <c r="T190"/>
  <c r="T189" s="1"/>
  <c r="R191"/>
  <c r="R190" s="1"/>
  <c r="P191"/>
  <c r="P190" s="1"/>
  <c r="J191"/>
  <c r="BE191"/>
  <c r="BK187"/>
  <c r="BI187"/>
  <c r="BH187"/>
  <c r="BG187"/>
  <c r="BF187"/>
  <c r="T187"/>
  <c r="R187"/>
  <c r="P187"/>
  <c r="J187"/>
  <c r="BE187" s="1"/>
  <c r="BK185"/>
  <c r="BI185"/>
  <c r="BH185"/>
  <c r="BG185"/>
  <c r="BF185"/>
  <c r="T185"/>
  <c r="T184"/>
  <c r="R185"/>
  <c r="R184"/>
  <c r="P185"/>
  <c r="J185"/>
  <c r="BE185" s="1"/>
  <c r="BK182"/>
  <c r="BI182"/>
  <c r="BH182"/>
  <c r="BG182"/>
  <c r="BF182"/>
  <c r="T182"/>
  <c r="R182"/>
  <c r="P182"/>
  <c r="J182"/>
  <c r="BE182" s="1"/>
  <c r="BK180"/>
  <c r="BI180"/>
  <c r="BH180"/>
  <c r="BG180"/>
  <c r="BF180"/>
  <c r="T180"/>
  <c r="R180"/>
  <c r="P180"/>
  <c r="J180"/>
  <c r="BE180" s="1"/>
  <c r="BK178"/>
  <c r="BI178"/>
  <c r="BH178"/>
  <c r="BG178"/>
  <c r="BF178"/>
  <c r="T178"/>
  <c r="R178"/>
  <c r="P178"/>
  <c r="J178"/>
  <c r="BE178" s="1"/>
  <c r="BK176"/>
  <c r="BI176"/>
  <c r="BH176"/>
  <c r="BG176"/>
  <c r="BF176"/>
  <c r="T176"/>
  <c r="R176"/>
  <c r="P176"/>
  <c r="J176"/>
  <c r="BE176" s="1"/>
  <c r="BK174"/>
  <c r="BI174"/>
  <c r="BH174"/>
  <c r="BG174"/>
  <c r="BF174"/>
  <c r="T174"/>
  <c r="T169"/>
  <c r="R174"/>
  <c r="P174"/>
  <c r="J174"/>
  <c r="BE174"/>
  <c r="BK172"/>
  <c r="BI172"/>
  <c r="BH172"/>
  <c r="BG172"/>
  <c r="BF172"/>
  <c r="T172"/>
  <c r="R172"/>
  <c r="P172"/>
  <c r="J172"/>
  <c r="BE172" s="1"/>
  <c r="BK170"/>
  <c r="BK169" s="1"/>
  <c r="J169" s="1"/>
  <c r="J100" s="1"/>
  <c r="BI170"/>
  <c r="BH170"/>
  <c r="BG170"/>
  <c r="BF170"/>
  <c r="T170"/>
  <c r="R170"/>
  <c r="P170"/>
  <c r="P169"/>
  <c r="J170"/>
  <c r="BE170"/>
  <c r="BK166"/>
  <c r="BI166"/>
  <c r="BH166"/>
  <c r="BG166"/>
  <c r="BF166"/>
  <c r="T166"/>
  <c r="T165" s="1"/>
  <c r="R166"/>
  <c r="R165" s="1"/>
  <c r="P166"/>
  <c r="P165" s="1"/>
  <c r="J166"/>
  <c r="BE166" s="1"/>
  <c r="BK165"/>
  <c r="J165" s="1"/>
  <c r="J99"/>
  <c r="BK161"/>
  <c r="BI161"/>
  <c r="BH161"/>
  <c r="BG161"/>
  <c r="BF161"/>
  <c r="T161"/>
  <c r="R161"/>
  <c r="P161"/>
  <c r="J161"/>
  <c r="BE161"/>
  <c r="BK158"/>
  <c r="BI158"/>
  <c r="BH158"/>
  <c r="BG158"/>
  <c r="BF158"/>
  <c r="T158"/>
  <c r="R158"/>
  <c r="P158"/>
  <c r="J158"/>
  <c r="BE158"/>
  <c r="BK155"/>
  <c r="BI155"/>
  <c r="BH155"/>
  <c r="BG155"/>
  <c r="BF155"/>
  <c r="T155"/>
  <c r="R155"/>
  <c r="P155"/>
  <c r="J155"/>
  <c r="BE155"/>
  <c r="BK152"/>
  <c r="BI152"/>
  <c r="BH152"/>
  <c r="BG152"/>
  <c r="BF152"/>
  <c r="T152"/>
  <c r="R152"/>
  <c r="P152"/>
  <c r="J152"/>
  <c r="BE152"/>
  <c r="BK148"/>
  <c r="BI148"/>
  <c r="BH148"/>
  <c r="BG148"/>
  <c r="BF148"/>
  <c r="T148"/>
  <c r="R148"/>
  <c r="P148"/>
  <c r="J148"/>
  <c r="BE148"/>
  <c r="BK141"/>
  <c r="BI141"/>
  <c r="BH141"/>
  <c r="BG141"/>
  <c r="BF141"/>
  <c r="T141"/>
  <c r="R141"/>
  <c r="P141"/>
  <c r="J141"/>
  <c r="BE141"/>
  <c r="BK137"/>
  <c r="BI137"/>
  <c r="BH137"/>
  <c r="BG137"/>
  <c r="BF137"/>
  <c r="T137"/>
  <c r="R137"/>
  <c r="P137"/>
  <c r="J137"/>
  <c r="BE137"/>
  <c r="BK130"/>
  <c r="BI130"/>
  <c r="BH130"/>
  <c r="BG130"/>
  <c r="BF130"/>
  <c r="T130"/>
  <c r="R130"/>
  <c r="P130"/>
  <c r="J130"/>
  <c r="BE130"/>
  <c r="BK127"/>
  <c r="BI127"/>
  <c r="BH127"/>
  <c r="BG127"/>
  <c r="BF127"/>
  <c r="T127"/>
  <c r="T126" s="1"/>
  <c r="R127"/>
  <c r="R126" s="1"/>
  <c r="P127"/>
  <c r="J127"/>
  <c r="BE127"/>
  <c r="F118"/>
  <c r="E116"/>
  <c r="F89"/>
  <c r="E87"/>
  <c r="J37"/>
  <c r="J36"/>
  <c r="J35"/>
  <c r="J121"/>
  <c r="J120"/>
  <c r="F121"/>
  <c r="F120"/>
  <c r="J118"/>
  <c r="E114"/>
  <c r="BK165" i="12"/>
  <c r="BK164" s="1"/>
  <c r="BI165"/>
  <c r="BH165"/>
  <c r="BG165"/>
  <c r="BF165"/>
  <c r="T165"/>
  <c r="T164" s="1"/>
  <c r="T163" s="1"/>
  <c r="R165"/>
  <c r="R164"/>
  <c r="R163" s="1"/>
  <c r="P165"/>
  <c r="P164" s="1"/>
  <c r="P163"/>
  <c r="J165"/>
  <c r="BE165"/>
  <c r="BK160"/>
  <c r="BK159"/>
  <c r="J159" s="1"/>
  <c r="J100"/>
  <c r="BI160"/>
  <c r="BH160"/>
  <c r="BG160"/>
  <c r="BF160"/>
  <c r="T160"/>
  <c r="T159"/>
  <c r="R160"/>
  <c r="R159"/>
  <c r="P160"/>
  <c r="J160"/>
  <c r="BE160" s="1"/>
  <c r="P159"/>
  <c r="BK157"/>
  <c r="BK156"/>
  <c r="J156" s="1"/>
  <c r="J99"/>
  <c r="BI157"/>
  <c r="BH157"/>
  <c r="BG157"/>
  <c r="BF157"/>
  <c r="T157"/>
  <c r="T156"/>
  <c r="R157"/>
  <c r="R156"/>
  <c r="P157"/>
  <c r="P156"/>
  <c r="J157"/>
  <c r="BE157"/>
  <c r="BK153"/>
  <c r="BI153"/>
  <c r="BH153"/>
  <c r="BG153"/>
  <c r="BF153"/>
  <c r="T153"/>
  <c r="R153"/>
  <c r="P153"/>
  <c r="J153"/>
  <c r="BE153"/>
  <c r="BK150"/>
  <c r="BI150"/>
  <c r="BH150"/>
  <c r="BG150"/>
  <c r="BF150"/>
  <c r="T150"/>
  <c r="R150"/>
  <c r="P150"/>
  <c r="J150"/>
  <c r="BE150"/>
  <c r="BK146"/>
  <c r="BI146"/>
  <c r="BH146"/>
  <c r="BG146"/>
  <c r="BF146"/>
  <c r="T146"/>
  <c r="R146"/>
  <c r="P146"/>
  <c r="J146"/>
  <c r="BE146"/>
  <c r="BK139"/>
  <c r="BI139"/>
  <c r="BH139"/>
  <c r="BG139"/>
  <c r="BF139"/>
  <c r="T139"/>
  <c r="R139"/>
  <c r="P139"/>
  <c r="J139"/>
  <c r="BE139"/>
  <c r="BK135"/>
  <c r="BI135"/>
  <c r="BH135"/>
  <c r="BG135"/>
  <c r="BF135"/>
  <c r="T135"/>
  <c r="R135"/>
  <c r="P135"/>
  <c r="J135"/>
  <c r="BE135"/>
  <c r="BK128"/>
  <c r="BI128"/>
  <c r="BH128"/>
  <c r="BG128"/>
  <c r="BF128"/>
  <c r="T128"/>
  <c r="R128"/>
  <c r="P128"/>
  <c r="J128"/>
  <c r="BE128"/>
  <c r="BK125"/>
  <c r="BI125"/>
  <c r="BH125"/>
  <c r="BG125"/>
  <c r="BF125"/>
  <c r="T125"/>
  <c r="R125"/>
  <c r="P125"/>
  <c r="J125"/>
  <c r="BE125" s="1"/>
  <c r="F116"/>
  <c r="E114"/>
  <c r="F89"/>
  <c r="E87"/>
  <c r="J37"/>
  <c r="J36"/>
  <c r="J35"/>
  <c r="J119"/>
  <c r="J118"/>
  <c r="F119"/>
  <c r="F118"/>
  <c r="J116"/>
  <c r="E85"/>
  <c r="BK206" i="13"/>
  <c r="BK205"/>
  <c r="J205" s="1"/>
  <c r="J104"/>
  <c r="BI206"/>
  <c r="BH206"/>
  <c r="BG206"/>
  <c r="BF206"/>
  <c r="T206"/>
  <c r="T205"/>
  <c r="R206"/>
  <c r="R205"/>
  <c r="P206"/>
  <c r="P205"/>
  <c r="J206"/>
  <c r="BE206"/>
  <c r="BK203"/>
  <c r="BI203"/>
  <c r="BH203"/>
  <c r="BG203"/>
  <c r="BF203"/>
  <c r="T203"/>
  <c r="R203"/>
  <c r="P203"/>
  <c r="J203"/>
  <c r="BE203"/>
  <c r="BK201"/>
  <c r="BI201"/>
  <c r="BH201"/>
  <c r="BG201"/>
  <c r="BF201"/>
  <c r="T201"/>
  <c r="T200" s="1"/>
  <c r="R201"/>
  <c r="R200" s="1"/>
  <c r="P201"/>
  <c r="P200" s="1"/>
  <c r="P199" s="1"/>
  <c r="J201"/>
  <c r="BE201"/>
  <c r="BK197"/>
  <c r="BI197"/>
  <c r="BH197"/>
  <c r="BG197"/>
  <c r="BF197"/>
  <c r="T197"/>
  <c r="R197"/>
  <c r="P197"/>
  <c r="J197"/>
  <c r="BE197" s="1"/>
  <c r="BK195"/>
  <c r="BK194" s="1"/>
  <c r="J194" s="1"/>
  <c r="J101" s="1"/>
  <c r="BI195"/>
  <c r="BH195"/>
  <c r="BG195"/>
  <c r="BF195"/>
  <c r="T195"/>
  <c r="T194" s="1"/>
  <c r="R195"/>
  <c r="R194" s="1"/>
  <c r="P195"/>
  <c r="J195"/>
  <c r="BE195" s="1"/>
  <c r="P194"/>
  <c r="BK192"/>
  <c r="BI192"/>
  <c r="BH192"/>
  <c r="BG192"/>
  <c r="BF192"/>
  <c r="T192"/>
  <c r="R192"/>
  <c r="P192"/>
  <c r="J192"/>
  <c r="BE192"/>
  <c r="BK190"/>
  <c r="BI190"/>
  <c r="BH190"/>
  <c r="BG190"/>
  <c r="BF190"/>
  <c r="T190"/>
  <c r="R190"/>
  <c r="P190"/>
  <c r="J190"/>
  <c r="BE190"/>
  <c r="BK188"/>
  <c r="BI188"/>
  <c r="BH188"/>
  <c r="BG188"/>
  <c r="BF188"/>
  <c r="T188"/>
  <c r="R188"/>
  <c r="P188"/>
  <c r="J188"/>
  <c r="BE188"/>
  <c r="BK186"/>
  <c r="BI186"/>
  <c r="BH186"/>
  <c r="BG186"/>
  <c r="BF186"/>
  <c r="T186"/>
  <c r="R186"/>
  <c r="P186"/>
  <c r="J186"/>
  <c r="BE186"/>
  <c r="BK184"/>
  <c r="BI184"/>
  <c r="BH184"/>
  <c r="BG184"/>
  <c r="BF184"/>
  <c r="T184"/>
  <c r="R184"/>
  <c r="P184"/>
  <c r="J184"/>
  <c r="BE184"/>
  <c r="BK182"/>
  <c r="BI182"/>
  <c r="BH182"/>
  <c r="BG182"/>
  <c r="BF182"/>
  <c r="T182"/>
  <c r="R182"/>
  <c r="P182"/>
  <c r="J182"/>
  <c r="BE182"/>
  <c r="BK180"/>
  <c r="BI180"/>
  <c r="BH180"/>
  <c r="BG180"/>
  <c r="BF180"/>
  <c r="T180"/>
  <c r="R180"/>
  <c r="P180"/>
  <c r="J180"/>
  <c r="BE180"/>
  <c r="BK178"/>
  <c r="BI178"/>
  <c r="BH178"/>
  <c r="BG178"/>
  <c r="BF178"/>
  <c r="T178"/>
  <c r="R178"/>
  <c r="P178"/>
  <c r="J178"/>
  <c r="BE178"/>
  <c r="BK176"/>
  <c r="BI176"/>
  <c r="BH176"/>
  <c r="BG176"/>
  <c r="BF176"/>
  <c r="T176"/>
  <c r="R176"/>
  <c r="P176"/>
  <c r="P169" s="1"/>
  <c r="J176"/>
  <c r="BE176"/>
  <c r="BK174"/>
  <c r="BI174"/>
  <c r="BH174"/>
  <c r="BG174"/>
  <c r="BF174"/>
  <c r="T174"/>
  <c r="R174"/>
  <c r="P174"/>
  <c r="J174"/>
  <c r="BE174" s="1"/>
  <c r="BK172"/>
  <c r="BI172"/>
  <c r="BH172"/>
  <c r="BG172"/>
  <c r="BF172"/>
  <c r="T172"/>
  <c r="R172"/>
  <c r="P172"/>
  <c r="J172"/>
  <c r="BE172" s="1"/>
  <c r="BK170"/>
  <c r="BI170"/>
  <c r="BH170"/>
  <c r="BG170"/>
  <c r="BF170"/>
  <c r="T170"/>
  <c r="T169" s="1"/>
  <c r="R170"/>
  <c r="P170"/>
  <c r="J170"/>
  <c r="BE170"/>
  <c r="BK166"/>
  <c r="BK165"/>
  <c r="J165" s="1"/>
  <c r="J99"/>
  <c r="BI166"/>
  <c r="BH166"/>
  <c r="BG166"/>
  <c r="BF166"/>
  <c r="T166"/>
  <c r="T165"/>
  <c r="R166"/>
  <c r="R165"/>
  <c r="P166"/>
  <c r="P165"/>
  <c r="J166"/>
  <c r="BE166"/>
  <c r="BK161"/>
  <c r="BI161"/>
  <c r="BH161"/>
  <c r="BG161"/>
  <c r="BF161"/>
  <c r="T161"/>
  <c r="R161"/>
  <c r="P161"/>
  <c r="J161"/>
  <c r="BE161"/>
  <c r="BK158"/>
  <c r="BI158"/>
  <c r="BH158"/>
  <c r="BG158"/>
  <c r="BF158"/>
  <c r="T158"/>
  <c r="R158"/>
  <c r="P158"/>
  <c r="J158"/>
  <c r="BE158"/>
  <c r="BK155"/>
  <c r="BI155"/>
  <c r="BH155"/>
  <c r="BG155"/>
  <c r="BF155"/>
  <c r="T155"/>
  <c r="R155"/>
  <c r="P155"/>
  <c r="J155"/>
  <c r="BE155"/>
  <c r="BK152"/>
  <c r="BI152"/>
  <c r="BH152"/>
  <c r="BG152"/>
  <c r="BF152"/>
  <c r="T152"/>
  <c r="R152"/>
  <c r="P152"/>
  <c r="J152"/>
  <c r="BE152"/>
  <c r="BK148"/>
  <c r="BI148"/>
  <c r="BH148"/>
  <c r="BG148"/>
  <c r="BF148"/>
  <c r="T148"/>
  <c r="R148"/>
  <c r="P148"/>
  <c r="J148"/>
  <c r="BE148"/>
  <c r="BK141"/>
  <c r="BI141"/>
  <c r="BH141"/>
  <c r="BG141"/>
  <c r="BF141"/>
  <c r="T141"/>
  <c r="R141"/>
  <c r="P141"/>
  <c r="J141"/>
  <c r="BE141"/>
  <c r="BK137"/>
  <c r="BI137"/>
  <c r="BH137"/>
  <c r="BG137"/>
  <c r="BF137"/>
  <c r="T137"/>
  <c r="R137"/>
  <c r="P137"/>
  <c r="J137"/>
  <c r="BE137"/>
  <c r="BK130"/>
  <c r="BI130"/>
  <c r="BH130"/>
  <c r="BG130"/>
  <c r="BF130"/>
  <c r="T130"/>
  <c r="R130"/>
  <c r="P130"/>
  <c r="J130"/>
  <c r="BE130"/>
  <c r="BK127"/>
  <c r="BI127"/>
  <c r="BH127"/>
  <c r="BG127"/>
  <c r="BF127"/>
  <c r="T127"/>
  <c r="R127"/>
  <c r="R126"/>
  <c r="P127"/>
  <c r="P126"/>
  <c r="J127"/>
  <c r="BE127"/>
  <c r="F118"/>
  <c r="E116"/>
  <c r="F89"/>
  <c r="E87"/>
  <c r="J37"/>
  <c r="J36"/>
  <c r="J35"/>
  <c r="J121"/>
  <c r="J120"/>
  <c r="F92"/>
  <c r="F120"/>
  <c r="J89"/>
  <c r="E114"/>
  <c r="BK212" i="9"/>
  <c r="BK211" s="1"/>
  <c r="BI212"/>
  <c r="BH212"/>
  <c r="BG212"/>
  <c r="BF212"/>
  <c r="T212"/>
  <c r="T211" s="1"/>
  <c r="R212"/>
  <c r="R211" s="1"/>
  <c r="P212"/>
  <c r="P211" s="1"/>
  <c r="J212"/>
  <c r="BE212" s="1"/>
  <c r="BK209"/>
  <c r="BI209"/>
  <c r="BH209"/>
  <c r="BG209"/>
  <c r="BF209"/>
  <c r="T209"/>
  <c r="R209"/>
  <c r="P209"/>
  <c r="J209"/>
  <c r="BE209" s="1"/>
  <c r="BK207"/>
  <c r="BK206" s="1"/>
  <c r="J206" s="1"/>
  <c r="J103" s="1"/>
  <c r="BI207"/>
  <c r="BH207"/>
  <c r="BG207"/>
  <c r="BF207"/>
  <c r="T207"/>
  <c r="T206" s="1"/>
  <c r="T205" s="1"/>
  <c r="R207"/>
  <c r="R206"/>
  <c r="P207"/>
  <c r="P206"/>
  <c r="J207"/>
  <c r="BE207"/>
  <c r="BK203"/>
  <c r="BI203"/>
  <c r="BH203"/>
  <c r="BG203"/>
  <c r="BF203"/>
  <c r="T203"/>
  <c r="R203"/>
  <c r="P203"/>
  <c r="J203"/>
  <c r="BE203" s="1"/>
  <c r="BK201"/>
  <c r="BK200" s="1"/>
  <c r="J200" s="1"/>
  <c r="J101" s="1"/>
  <c r="BI201"/>
  <c r="BH201"/>
  <c r="BG201"/>
  <c r="BF201"/>
  <c r="T201"/>
  <c r="T200" s="1"/>
  <c r="R201"/>
  <c r="R200" s="1"/>
  <c r="P201"/>
  <c r="P200"/>
  <c r="J201"/>
  <c r="BE201"/>
  <c r="BK198"/>
  <c r="BI198"/>
  <c r="BH198"/>
  <c r="BG198"/>
  <c r="BF198"/>
  <c r="T198"/>
  <c r="R198"/>
  <c r="P198"/>
  <c r="J198"/>
  <c r="BE198"/>
  <c r="BK196"/>
  <c r="BI196"/>
  <c r="BH196"/>
  <c r="BG196"/>
  <c r="BF196"/>
  <c r="T196"/>
  <c r="R196"/>
  <c r="P196"/>
  <c r="J196"/>
  <c r="BE196"/>
  <c r="BK194"/>
  <c r="BI194"/>
  <c r="BH194"/>
  <c r="BG194"/>
  <c r="BF194"/>
  <c r="T194"/>
  <c r="R194"/>
  <c r="P194"/>
  <c r="J194"/>
  <c r="BE194"/>
  <c r="BK192"/>
  <c r="BI192"/>
  <c r="BH192"/>
  <c r="BG192"/>
  <c r="BF192"/>
  <c r="T192"/>
  <c r="R192"/>
  <c r="P192"/>
  <c r="J192"/>
  <c r="BE192"/>
  <c r="BK190"/>
  <c r="BI190"/>
  <c r="BH190"/>
  <c r="BG190"/>
  <c r="BF190"/>
  <c r="T190"/>
  <c r="R190"/>
  <c r="P190"/>
  <c r="J190"/>
  <c r="BE190"/>
  <c r="BK188"/>
  <c r="BI188"/>
  <c r="BH188"/>
  <c r="BG188"/>
  <c r="BF188"/>
  <c r="T188"/>
  <c r="R188"/>
  <c r="P188"/>
  <c r="J188"/>
  <c r="BE188" s="1"/>
  <c r="BK186"/>
  <c r="BI186"/>
  <c r="BH186"/>
  <c r="BG186"/>
  <c r="BF186"/>
  <c r="T186"/>
  <c r="R186"/>
  <c r="P186"/>
  <c r="J186"/>
  <c r="BE186" s="1"/>
  <c r="BK184"/>
  <c r="BI184"/>
  <c r="BH184"/>
  <c r="BG184"/>
  <c r="BF184"/>
  <c r="T184"/>
  <c r="R184"/>
  <c r="P184"/>
  <c r="J184"/>
  <c r="BE184" s="1"/>
  <c r="BK182"/>
  <c r="BI182"/>
  <c r="BH182"/>
  <c r="BG182"/>
  <c r="BF182"/>
  <c r="T182"/>
  <c r="R182"/>
  <c r="P182"/>
  <c r="J182"/>
  <c r="BE182" s="1"/>
  <c r="BK180"/>
  <c r="BI180"/>
  <c r="BH180"/>
  <c r="BG180"/>
  <c r="BF180"/>
  <c r="T180"/>
  <c r="R180"/>
  <c r="P180"/>
  <c r="J180"/>
  <c r="BE180" s="1"/>
  <c r="BK178"/>
  <c r="BI178"/>
  <c r="BH178"/>
  <c r="BG178"/>
  <c r="BF178"/>
  <c r="T178"/>
  <c r="R178"/>
  <c r="P178"/>
  <c r="J178"/>
  <c r="BE178" s="1"/>
  <c r="BK176"/>
  <c r="BI176"/>
  <c r="BH176"/>
  <c r="BG176"/>
  <c r="BF176"/>
  <c r="T176"/>
  <c r="R176"/>
  <c r="P176"/>
  <c r="J176"/>
  <c r="BE176" s="1"/>
  <c r="BK174"/>
  <c r="BI174"/>
  <c r="BH174"/>
  <c r="BG174"/>
  <c r="BF174"/>
  <c r="T174"/>
  <c r="R174"/>
  <c r="P174"/>
  <c r="J174"/>
  <c r="BE174" s="1"/>
  <c r="BK172"/>
  <c r="BI172"/>
  <c r="BH172"/>
  <c r="BG172"/>
  <c r="BF172"/>
  <c r="T172"/>
  <c r="R172"/>
  <c r="P172"/>
  <c r="J172"/>
  <c r="BE172" s="1"/>
  <c r="BK170"/>
  <c r="BK169" s="1"/>
  <c r="J169" s="1"/>
  <c r="J100" s="1"/>
  <c r="BI170"/>
  <c r="BH170"/>
  <c r="BG170"/>
  <c r="BF170"/>
  <c r="T170"/>
  <c r="R170"/>
  <c r="R169" s="1"/>
  <c r="P170"/>
  <c r="J170"/>
  <c r="BE170"/>
  <c r="BK166"/>
  <c r="BK165"/>
  <c r="J165" s="1"/>
  <c r="J99"/>
  <c r="BI166"/>
  <c r="BH166"/>
  <c r="BG166"/>
  <c r="BF166"/>
  <c r="T166"/>
  <c r="T165"/>
  <c r="R166"/>
  <c r="P166"/>
  <c r="J166"/>
  <c r="BE166"/>
  <c r="R165"/>
  <c r="P165"/>
  <c r="BK161"/>
  <c r="BI161"/>
  <c r="BH161"/>
  <c r="BG161"/>
  <c r="BF161"/>
  <c r="T161"/>
  <c r="R161"/>
  <c r="P161"/>
  <c r="J161"/>
  <c r="BE161"/>
  <c r="BK158"/>
  <c r="BI158"/>
  <c r="BH158"/>
  <c r="BG158"/>
  <c r="BF158"/>
  <c r="T158"/>
  <c r="R158"/>
  <c r="P158"/>
  <c r="J158"/>
  <c r="BE158"/>
  <c r="BK155"/>
  <c r="BI155"/>
  <c r="BH155"/>
  <c r="BG155"/>
  <c r="BF155"/>
  <c r="T155"/>
  <c r="R155"/>
  <c r="P155"/>
  <c r="J155"/>
  <c r="BE155"/>
  <c r="BK152"/>
  <c r="BI152"/>
  <c r="BH152"/>
  <c r="BG152"/>
  <c r="BF152"/>
  <c r="T152"/>
  <c r="R152"/>
  <c r="P152"/>
  <c r="J152"/>
  <c r="BE152"/>
  <c r="BK148"/>
  <c r="BI148"/>
  <c r="BH148"/>
  <c r="BG148"/>
  <c r="BF148"/>
  <c r="T148"/>
  <c r="R148"/>
  <c r="P148"/>
  <c r="J148"/>
  <c r="BE148"/>
  <c r="BK141"/>
  <c r="BI141"/>
  <c r="BH141"/>
  <c r="BG141"/>
  <c r="BF141"/>
  <c r="T141"/>
  <c r="R141"/>
  <c r="P141"/>
  <c r="J141"/>
  <c r="BE141"/>
  <c r="BK137"/>
  <c r="BI137"/>
  <c r="BH137"/>
  <c r="BG137"/>
  <c r="BF137"/>
  <c r="T137"/>
  <c r="R137"/>
  <c r="P137"/>
  <c r="J137"/>
  <c r="BE137" s="1"/>
  <c r="BK130"/>
  <c r="BI130"/>
  <c r="BH130"/>
  <c r="BG130"/>
  <c r="BF130"/>
  <c r="T130"/>
  <c r="R130"/>
  <c r="P130"/>
  <c r="J130"/>
  <c r="BE130"/>
  <c r="BK127"/>
  <c r="BI127"/>
  <c r="BH127"/>
  <c r="BG127"/>
  <c r="BF127"/>
  <c r="T127"/>
  <c r="T126" s="1"/>
  <c r="R127"/>
  <c r="R126"/>
  <c r="P127"/>
  <c r="J127"/>
  <c r="BE127" s="1"/>
  <c r="F118"/>
  <c r="E116"/>
  <c r="F89"/>
  <c r="E87"/>
  <c r="J37"/>
  <c r="J36"/>
  <c r="J35"/>
  <c r="J92"/>
  <c r="J120"/>
  <c r="J91"/>
  <c r="F121"/>
  <c r="F120"/>
  <c r="J118"/>
  <c r="E114"/>
  <c r="E58" i="8"/>
  <c r="E59" s="1"/>
  <c r="G59"/>
  <c r="G57"/>
  <c r="E53"/>
  <c r="G53" s="1"/>
  <c r="G52"/>
  <c r="E52"/>
  <c r="E46"/>
  <c r="G46" s="1"/>
  <c r="E45"/>
  <c r="G45" s="1"/>
  <c r="G42"/>
  <c r="G41"/>
  <c r="G40"/>
  <c r="G39"/>
  <c r="G36"/>
  <c r="G35"/>
  <c r="G34"/>
  <c r="E31"/>
  <c r="G31"/>
  <c r="E30"/>
  <c r="G30"/>
  <c r="E29"/>
  <c r="G29"/>
  <c r="E28"/>
  <c r="G28"/>
  <c r="E27"/>
  <c r="G27"/>
  <c r="G22"/>
  <c r="G21"/>
  <c r="E21"/>
  <c r="E23"/>
  <c r="E18"/>
  <c r="E17"/>
  <c r="G17" s="1"/>
  <c r="E11"/>
  <c r="G11" s="1"/>
  <c r="E6"/>
  <c r="E5"/>
  <c r="K12" i="7"/>
  <c r="K13"/>
  <c r="I39" i="6"/>
  <c r="I38"/>
  <c r="I37"/>
  <c r="I41"/>
  <c r="I24" i="5" s="1"/>
  <c r="I28" i="6"/>
  <c r="I27"/>
  <c r="I25"/>
  <c r="I18" i="5" s="1"/>
  <c r="I24" i="6"/>
  <c r="I17" i="5" s="1"/>
  <c r="I23" i="6"/>
  <c r="I16" i="5" s="1"/>
  <c r="I21" i="6"/>
  <c r="I17"/>
  <c r="F16" i="5"/>
  <c r="I16" i="6"/>
  <c r="F15" i="5"/>
  <c r="I15" i="6"/>
  <c r="I18"/>
  <c r="C2" i="5"/>
  <c r="C2" i="21" s="1"/>
  <c r="F2" i="5"/>
  <c r="H2" i="21" s="1"/>
  <c r="F4" i="5"/>
  <c r="H4" i="21" s="1"/>
  <c r="C6" i="5"/>
  <c r="C6" i="7" s="1"/>
  <c r="I10" i="5"/>
  <c r="F8" i="7" s="1"/>
  <c r="I19" i="5"/>
  <c r="D2" i="3"/>
  <c r="G2"/>
  <c r="J2"/>
  <c r="D4"/>
  <c r="J4"/>
  <c r="D6"/>
  <c r="G8"/>
  <c r="N12"/>
  <c r="P13"/>
  <c r="P14"/>
  <c r="P15"/>
  <c r="P16"/>
  <c r="P17"/>
  <c r="P18"/>
  <c r="P19"/>
  <c r="P20"/>
  <c r="P21"/>
  <c r="P22"/>
  <c r="P23"/>
  <c r="P24"/>
  <c r="P25"/>
  <c r="P26"/>
  <c r="P27"/>
  <c r="P28"/>
  <c r="P29"/>
  <c r="P30"/>
  <c r="P31"/>
  <c r="P32"/>
  <c r="P33"/>
  <c r="P34"/>
  <c r="P35"/>
  <c r="P36"/>
  <c r="P37"/>
  <c r="P38"/>
  <c r="P39"/>
  <c r="P40"/>
  <c r="P41"/>
  <c r="P42"/>
  <c r="P43"/>
  <c r="P44"/>
  <c r="P45"/>
  <c r="N46"/>
  <c r="P47"/>
  <c r="P48"/>
  <c r="P49"/>
  <c r="P50"/>
  <c r="P51"/>
  <c r="P52"/>
  <c r="P53"/>
  <c r="P54"/>
  <c r="P55"/>
  <c r="P56"/>
  <c r="P57"/>
  <c r="P58"/>
  <c r="P59"/>
  <c r="P60"/>
  <c r="P61"/>
  <c r="P62"/>
  <c r="P63"/>
  <c r="P64"/>
  <c r="P65"/>
  <c r="P66"/>
  <c r="P67"/>
  <c r="P68"/>
  <c r="P69"/>
  <c r="P70"/>
  <c r="N71"/>
  <c r="P72"/>
  <c r="J14" i="1"/>
  <c r="L14"/>
  <c r="Z14"/>
  <c r="AD14"/>
  <c r="AE14"/>
  <c r="AF14"/>
  <c r="AG14"/>
  <c r="AH14"/>
  <c r="AJ14"/>
  <c r="AK14"/>
  <c r="AL14"/>
  <c r="AO14"/>
  <c r="AW14"/>
  <c r="AP14"/>
  <c r="AX14"/>
  <c r="BD14"/>
  <c r="BJ14"/>
  <c r="J16"/>
  <c r="AL16"/>
  <c r="L16"/>
  <c r="BF16"/>
  <c r="Z16"/>
  <c r="AD16"/>
  <c r="AE16"/>
  <c r="AF16"/>
  <c r="AG16"/>
  <c r="AH16"/>
  <c r="AJ16"/>
  <c r="AK16"/>
  <c r="AO16"/>
  <c r="BH16"/>
  <c r="AB16" s="1"/>
  <c r="AP16"/>
  <c r="BI16" s="1"/>
  <c r="AC16" s="1"/>
  <c r="BD16"/>
  <c r="BJ16"/>
  <c r="J18"/>
  <c r="AL18"/>
  <c r="L18"/>
  <c r="BF18"/>
  <c r="Z18"/>
  <c r="AD18"/>
  <c r="AE18"/>
  <c r="AF18"/>
  <c r="AG18"/>
  <c r="AH18"/>
  <c r="AJ18"/>
  <c r="AK18"/>
  <c r="AO18"/>
  <c r="BH18"/>
  <c r="AB18" s="1"/>
  <c r="AP18"/>
  <c r="I18" s="1"/>
  <c r="BD18"/>
  <c r="BJ18"/>
  <c r="J20"/>
  <c r="L20"/>
  <c r="BF20"/>
  <c r="Z20"/>
  <c r="AD20"/>
  <c r="AE20"/>
  <c r="AF20"/>
  <c r="AG20"/>
  <c r="AH20"/>
  <c r="AJ20"/>
  <c r="AK20"/>
  <c r="AO20"/>
  <c r="AW20"/>
  <c r="AP20"/>
  <c r="BI20"/>
  <c r="AC20" s="1"/>
  <c r="BD20"/>
  <c r="BJ20"/>
  <c r="J22"/>
  <c r="AL22" s="1"/>
  <c r="L22"/>
  <c r="BF22" s="1"/>
  <c r="Z22"/>
  <c r="AD22"/>
  <c r="AE22"/>
  <c r="AF22"/>
  <c r="AG22"/>
  <c r="AH22"/>
  <c r="AJ22"/>
  <c r="AK22"/>
  <c r="AO22"/>
  <c r="AW22" s="1"/>
  <c r="BC22" s="1"/>
  <c r="AP22"/>
  <c r="AX22"/>
  <c r="BD22"/>
  <c r="BJ22"/>
  <c r="J24"/>
  <c r="AL24"/>
  <c r="L24"/>
  <c r="BF24"/>
  <c r="Z24"/>
  <c r="AD24"/>
  <c r="AE24"/>
  <c r="AF24"/>
  <c r="AG24"/>
  <c r="AH24"/>
  <c r="AJ24"/>
  <c r="AK24"/>
  <c r="AO24"/>
  <c r="AP24"/>
  <c r="I24" s="1"/>
  <c r="AX24"/>
  <c r="BD24"/>
  <c r="BJ24"/>
  <c r="J26"/>
  <c r="AL26" s="1"/>
  <c r="L26"/>
  <c r="BF26" s="1"/>
  <c r="Z26"/>
  <c r="AD26"/>
  <c r="AE26"/>
  <c r="AF26"/>
  <c r="AG26"/>
  <c r="AH26"/>
  <c r="AJ26"/>
  <c r="AK26"/>
  <c r="AO26"/>
  <c r="H26" s="1"/>
  <c r="AP26"/>
  <c r="BD26"/>
  <c r="BJ26"/>
  <c r="J28"/>
  <c r="AL28"/>
  <c r="L28"/>
  <c r="BF28"/>
  <c r="Z28"/>
  <c r="AD28"/>
  <c r="AE28"/>
  <c r="AF28"/>
  <c r="AG28"/>
  <c r="AH28"/>
  <c r="AJ28"/>
  <c r="AK28"/>
  <c r="AO28"/>
  <c r="AW28"/>
  <c r="AP28"/>
  <c r="BD28"/>
  <c r="BJ28"/>
  <c r="J30"/>
  <c r="AL30" s="1"/>
  <c r="L30"/>
  <c r="BF30" s="1"/>
  <c r="Z30"/>
  <c r="AD30"/>
  <c r="AE30"/>
  <c r="AF30"/>
  <c r="AG30"/>
  <c r="AH30"/>
  <c r="AJ30"/>
  <c r="AK30"/>
  <c r="AO30"/>
  <c r="BH30" s="1"/>
  <c r="AB30" s="1"/>
  <c r="AP30"/>
  <c r="AX30"/>
  <c r="BD30"/>
  <c r="BJ30"/>
  <c r="J32"/>
  <c r="AL32"/>
  <c r="L32"/>
  <c r="BF32"/>
  <c r="Z32"/>
  <c r="AD32"/>
  <c r="AE32"/>
  <c r="AF32"/>
  <c r="AG32"/>
  <c r="AH32"/>
  <c r="AJ32"/>
  <c r="AK32"/>
  <c r="AO32"/>
  <c r="BH32"/>
  <c r="AB32" s="1"/>
  <c r="AP32"/>
  <c r="BD32"/>
  <c r="BJ32"/>
  <c r="J34"/>
  <c r="AL34" s="1"/>
  <c r="L34"/>
  <c r="BF34" s="1"/>
  <c r="Z34"/>
  <c r="AD34"/>
  <c r="AE34"/>
  <c r="AF34"/>
  <c r="AG34"/>
  <c r="AH34"/>
  <c r="AJ34"/>
  <c r="AK34"/>
  <c r="AO34"/>
  <c r="AP34"/>
  <c r="AX34" s="1"/>
  <c r="BD34"/>
  <c r="BJ34"/>
  <c r="J35"/>
  <c r="AL35"/>
  <c r="L35"/>
  <c r="BF35"/>
  <c r="Z35"/>
  <c r="AD35"/>
  <c r="AE35"/>
  <c r="AF35"/>
  <c r="AG35"/>
  <c r="AH35"/>
  <c r="AJ35"/>
  <c r="AK35"/>
  <c r="AO35"/>
  <c r="AW35"/>
  <c r="AP35"/>
  <c r="AX35" s="1"/>
  <c r="BC35" s="1"/>
  <c r="BD35"/>
  <c r="BJ35"/>
  <c r="J36"/>
  <c r="AL36"/>
  <c r="L36"/>
  <c r="BF36"/>
  <c r="Z36"/>
  <c r="AD36"/>
  <c r="AE36"/>
  <c r="AF36"/>
  <c r="AG36"/>
  <c r="AH36"/>
  <c r="AJ36"/>
  <c r="AK36"/>
  <c r="AO36"/>
  <c r="H36"/>
  <c r="AP36"/>
  <c r="BD36"/>
  <c r="BJ36"/>
  <c r="J37"/>
  <c r="AL37" s="1"/>
  <c r="L37"/>
  <c r="BF37" s="1"/>
  <c r="Z37"/>
  <c r="AD37"/>
  <c r="AE37"/>
  <c r="AF37"/>
  <c r="AG37"/>
  <c r="AH37"/>
  <c r="AJ37"/>
  <c r="AK37"/>
  <c r="AO37"/>
  <c r="AP37"/>
  <c r="I37" s="1"/>
  <c r="BD37"/>
  <c r="BJ37"/>
  <c r="J38"/>
  <c r="AL38" s="1"/>
  <c r="L38"/>
  <c r="BF38" s="1"/>
  <c r="Z38"/>
  <c r="AD38"/>
  <c r="AE38"/>
  <c r="AF38"/>
  <c r="AG38"/>
  <c r="AH38"/>
  <c r="AJ38"/>
  <c r="AK38"/>
  <c r="AO38"/>
  <c r="BH38" s="1"/>
  <c r="AB38" s="1"/>
  <c r="AP38"/>
  <c r="AX38"/>
  <c r="BD38"/>
  <c r="BJ38"/>
  <c r="J40"/>
  <c r="AL40" s="1"/>
  <c r="L40"/>
  <c r="BF40" s="1"/>
  <c r="Z40"/>
  <c r="AD40"/>
  <c r="AE40"/>
  <c r="AF40"/>
  <c r="AG40"/>
  <c r="AH40"/>
  <c r="AJ40"/>
  <c r="AK40"/>
  <c r="AO40"/>
  <c r="AW40" s="1"/>
  <c r="AP40"/>
  <c r="AX40" s="1"/>
  <c r="BD40"/>
  <c r="BJ40"/>
  <c r="J43"/>
  <c r="AL43" s="1"/>
  <c r="AU42" s="1"/>
  <c r="L43"/>
  <c r="Z43"/>
  <c r="AD43"/>
  <c r="AE43"/>
  <c r="AF43"/>
  <c r="AG43"/>
  <c r="AH43"/>
  <c r="AJ43"/>
  <c r="AS42" s="1"/>
  <c r="AK43"/>
  <c r="AO43"/>
  <c r="AW43"/>
  <c r="AP43"/>
  <c r="BI43"/>
  <c r="AC43" s="1"/>
  <c r="BD43"/>
  <c r="BJ43"/>
  <c r="J44"/>
  <c r="AL44" s="1"/>
  <c r="L44"/>
  <c r="Z44"/>
  <c r="AD44"/>
  <c r="AE44"/>
  <c r="AF44"/>
  <c r="AG44"/>
  <c r="AH44"/>
  <c r="AJ44"/>
  <c r="AK44"/>
  <c r="AO44"/>
  <c r="AP44"/>
  <c r="AX44"/>
  <c r="BD44"/>
  <c r="BJ44"/>
  <c r="J46"/>
  <c r="AL46"/>
  <c r="L46"/>
  <c r="BF46"/>
  <c r="Z46"/>
  <c r="AD46"/>
  <c r="AE46"/>
  <c r="AF46"/>
  <c r="AG46"/>
  <c r="AH46"/>
  <c r="AJ46"/>
  <c r="AK46"/>
  <c r="AO46"/>
  <c r="AP46"/>
  <c r="I46"/>
  <c r="BD46"/>
  <c r="BJ46"/>
  <c r="J47"/>
  <c r="AL47"/>
  <c r="L47"/>
  <c r="Z47"/>
  <c r="AD47"/>
  <c r="AE47"/>
  <c r="AF47"/>
  <c r="AG47"/>
  <c r="AH47"/>
  <c r="AJ47"/>
  <c r="AK47"/>
  <c r="AO47"/>
  <c r="AW47"/>
  <c r="AP47"/>
  <c r="I47"/>
  <c r="BD47"/>
  <c r="BJ47"/>
  <c r="J49"/>
  <c r="L49"/>
  <c r="L48" s="1"/>
  <c r="Z49"/>
  <c r="AD49"/>
  <c r="AE49"/>
  <c r="AF49"/>
  <c r="AG49"/>
  <c r="AH49"/>
  <c r="AJ49"/>
  <c r="AS48" s="1"/>
  <c r="AK49"/>
  <c r="AT48" s="1"/>
  <c r="AO49"/>
  <c r="AW49" s="1"/>
  <c r="AP49"/>
  <c r="BI49" s="1"/>
  <c r="AC49"/>
  <c r="BD49"/>
  <c r="BJ49"/>
  <c r="J51"/>
  <c r="L51"/>
  <c r="Z51"/>
  <c r="AD51"/>
  <c r="AE51"/>
  <c r="AF51"/>
  <c r="AG51"/>
  <c r="AH51"/>
  <c r="AJ51"/>
  <c r="AS50"/>
  <c r="AK51"/>
  <c r="AO51"/>
  <c r="BH51" s="1"/>
  <c r="AB51" s="1"/>
  <c r="AP51"/>
  <c r="I51"/>
  <c r="AX51"/>
  <c r="BD51"/>
  <c r="BJ51"/>
  <c r="J52"/>
  <c r="L52"/>
  <c r="BF52"/>
  <c r="Z52"/>
  <c r="AD52"/>
  <c r="AE52"/>
  <c r="AF52"/>
  <c r="AG52"/>
  <c r="AH52"/>
  <c r="AJ52"/>
  <c r="AK52"/>
  <c r="AT50" s="1"/>
  <c r="AO52"/>
  <c r="AP52"/>
  <c r="AX52"/>
  <c r="BD52"/>
  <c r="BJ52"/>
  <c r="J54"/>
  <c r="AL54" s="1"/>
  <c r="AU53"/>
  <c r="L54"/>
  <c r="Z54"/>
  <c r="AD54"/>
  <c r="AE54"/>
  <c r="AF54"/>
  <c r="AG54"/>
  <c r="AH54"/>
  <c r="AJ54"/>
  <c r="AK54"/>
  <c r="AO54"/>
  <c r="BH54" s="1"/>
  <c r="AB54"/>
  <c r="AP54"/>
  <c r="I54"/>
  <c r="BD54"/>
  <c r="BI54"/>
  <c r="AC54"/>
  <c r="BJ54"/>
  <c r="J55"/>
  <c r="AL55" s="1"/>
  <c r="L55"/>
  <c r="BF55" s="1"/>
  <c r="Z55"/>
  <c r="AD55"/>
  <c r="AE55"/>
  <c r="AF55"/>
  <c r="AG55"/>
  <c r="AH55"/>
  <c r="AJ55"/>
  <c r="AK55"/>
  <c r="AO55"/>
  <c r="H55" s="1"/>
  <c r="AP55"/>
  <c r="AX55" s="1"/>
  <c r="BD55"/>
  <c r="BJ55"/>
  <c r="J57"/>
  <c r="L57"/>
  <c r="Z57"/>
  <c r="AD57"/>
  <c r="AE57"/>
  <c r="AF57"/>
  <c r="AG57"/>
  <c r="AH57"/>
  <c r="AJ57"/>
  <c r="AK57"/>
  <c r="AO57"/>
  <c r="AP57"/>
  <c r="BD57"/>
  <c r="BF57"/>
  <c r="BJ57"/>
  <c r="J58"/>
  <c r="AL58"/>
  <c r="L58"/>
  <c r="Z58"/>
  <c r="AD58"/>
  <c r="AE58"/>
  <c r="AF58"/>
  <c r="AG58"/>
  <c r="AH58"/>
  <c r="AJ58"/>
  <c r="AK58"/>
  <c r="AO58"/>
  <c r="AW58" s="1"/>
  <c r="AP58"/>
  <c r="BD58"/>
  <c r="BF58"/>
  <c r="BJ58"/>
  <c r="J59"/>
  <c r="AL59" s="1"/>
  <c r="L59"/>
  <c r="BF59" s="1"/>
  <c r="Z59"/>
  <c r="AD59"/>
  <c r="AE59"/>
  <c r="AF59"/>
  <c r="AG59"/>
  <c r="AH59"/>
  <c r="AJ59"/>
  <c r="AK59"/>
  <c r="AO59"/>
  <c r="AW59" s="1"/>
  <c r="AP59"/>
  <c r="AX59" s="1"/>
  <c r="BD59"/>
  <c r="BJ59"/>
  <c r="J60"/>
  <c r="AL60" s="1"/>
  <c r="L60"/>
  <c r="BF60" s="1"/>
  <c r="Z60"/>
  <c r="AD60"/>
  <c r="AE60"/>
  <c r="AF60"/>
  <c r="AG60"/>
  <c r="AH60"/>
  <c r="AJ60"/>
  <c r="AK60"/>
  <c r="AO60"/>
  <c r="H60" s="1"/>
  <c r="AP60"/>
  <c r="I60" s="1"/>
  <c r="BD60"/>
  <c r="BJ60"/>
  <c r="J62"/>
  <c r="AL62" s="1"/>
  <c r="L62"/>
  <c r="Z62"/>
  <c r="AD62"/>
  <c r="AE62"/>
  <c r="AF62"/>
  <c r="AG62"/>
  <c r="AH62"/>
  <c r="AJ62"/>
  <c r="AK62"/>
  <c r="AO62"/>
  <c r="AW62"/>
  <c r="AP62"/>
  <c r="I62"/>
  <c r="BD62"/>
  <c r="BJ62"/>
  <c r="J63"/>
  <c r="L63"/>
  <c r="Z63"/>
  <c r="AD63"/>
  <c r="AE63"/>
  <c r="AF63"/>
  <c r="AG63"/>
  <c r="AH63"/>
  <c r="AJ63"/>
  <c r="AK63"/>
  <c r="AO63"/>
  <c r="BH63"/>
  <c r="AB63" s="1"/>
  <c r="AP63"/>
  <c r="BI63" s="1"/>
  <c r="AC63"/>
  <c r="BD63"/>
  <c r="BF63"/>
  <c r="BJ63"/>
  <c r="J64"/>
  <c r="AL64" s="1"/>
  <c r="L64"/>
  <c r="BF64" s="1"/>
  <c r="Z64"/>
  <c r="AD64"/>
  <c r="AE64"/>
  <c r="AF64"/>
  <c r="AG64"/>
  <c r="AH64"/>
  <c r="AJ64"/>
  <c r="AK64"/>
  <c r="AO64"/>
  <c r="BH64"/>
  <c r="AB64" s="1"/>
  <c r="AP64"/>
  <c r="AX64" s="1"/>
  <c r="BD64"/>
  <c r="BJ64"/>
  <c r="J66"/>
  <c r="AL66"/>
  <c r="AU65" s="1"/>
  <c r="L66"/>
  <c r="L65" s="1"/>
  <c r="L21" i="3"/>
  <c r="Z66" i="1"/>
  <c r="AD66"/>
  <c r="AE66"/>
  <c r="AF66"/>
  <c r="AG66"/>
  <c r="AH66"/>
  <c r="AJ66"/>
  <c r="AS65"/>
  <c r="AK66"/>
  <c r="AT65"/>
  <c r="AO66"/>
  <c r="H66"/>
  <c r="H65" s="1"/>
  <c r="I21" i="3" s="1"/>
  <c r="AP66" i="1"/>
  <c r="AX66"/>
  <c r="BD66"/>
  <c r="BF66"/>
  <c r="BJ66"/>
  <c r="J68"/>
  <c r="L68"/>
  <c r="BF68" s="1"/>
  <c r="Z68"/>
  <c r="AD68"/>
  <c r="AE68"/>
  <c r="AF68"/>
  <c r="AG68"/>
  <c r="AH68"/>
  <c r="AJ68"/>
  <c r="AK68"/>
  <c r="AO68"/>
  <c r="AW68" s="1"/>
  <c r="AP68"/>
  <c r="I68" s="1"/>
  <c r="BD68"/>
  <c r="BJ68"/>
  <c r="J69"/>
  <c r="AL69" s="1"/>
  <c r="L69"/>
  <c r="BF69" s="1"/>
  <c r="Z69"/>
  <c r="AD69"/>
  <c r="AE69"/>
  <c r="AF69"/>
  <c r="AG69"/>
  <c r="AH69"/>
  <c r="AJ69"/>
  <c r="AK69"/>
  <c r="AO69"/>
  <c r="AP69"/>
  <c r="BD69"/>
  <c r="BJ69"/>
  <c r="J70"/>
  <c r="AL70"/>
  <c r="L70"/>
  <c r="BF70"/>
  <c r="Z70"/>
  <c r="AD70"/>
  <c r="AE70"/>
  <c r="AF70"/>
  <c r="AG70"/>
  <c r="AH70"/>
  <c r="AJ70"/>
  <c r="AK70"/>
  <c r="AO70"/>
  <c r="BH70"/>
  <c r="AB70" s="1"/>
  <c r="AP70"/>
  <c r="AX70" s="1"/>
  <c r="BD70"/>
  <c r="BJ70"/>
  <c r="J71"/>
  <c r="AL71" s="1"/>
  <c r="L71"/>
  <c r="BF71" s="1"/>
  <c r="Z71"/>
  <c r="AD71"/>
  <c r="AE71"/>
  <c r="AF71"/>
  <c r="AG71"/>
  <c r="AH71"/>
  <c r="AJ71"/>
  <c r="AK71"/>
  <c r="AO71"/>
  <c r="AP71"/>
  <c r="I71"/>
  <c r="BD71"/>
  <c r="BJ71"/>
  <c r="J72"/>
  <c r="AL72"/>
  <c r="L72"/>
  <c r="BF72"/>
  <c r="Z72"/>
  <c r="AD72"/>
  <c r="AE72"/>
  <c r="AF72"/>
  <c r="AG72"/>
  <c r="AH72"/>
  <c r="AJ72"/>
  <c r="AK72"/>
  <c r="AO72"/>
  <c r="BH72"/>
  <c r="AB72" s="1"/>
  <c r="H72"/>
  <c r="AP72"/>
  <c r="BI72"/>
  <c r="AC72" s="1"/>
  <c r="BD72"/>
  <c r="BJ72"/>
  <c r="J73"/>
  <c r="AL73" s="1"/>
  <c r="L73"/>
  <c r="BF73" s="1"/>
  <c r="Z73"/>
  <c r="AD73"/>
  <c r="AE73"/>
  <c r="AF73"/>
  <c r="AG73"/>
  <c r="AH73"/>
  <c r="AJ73"/>
  <c r="AK73"/>
  <c r="AO73"/>
  <c r="H73" s="1"/>
  <c r="AP73"/>
  <c r="I73" s="1"/>
  <c r="BD73"/>
  <c r="BJ73"/>
  <c r="J74"/>
  <c r="AL74" s="1"/>
  <c r="L74"/>
  <c r="BF74" s="1"/>
  <c r="Z74"/>
  <c r="AD74"/>
  <c r="AE74"/>
  <c r="AF74"/>
  <c r="AG74"/>
  <c r="AH74"/>
  <c r="AJ74"/>
  <c r="AK74"/>
  <c r="AO74"/>
  <c r="AP74"/>
  <c r="I74"/>
  <c r="BD74"/>
  <c r="BJ74"/>
  <c r="J75"/>
  <c r="L75"/>
  <c r="BF75" s="1"/>
  <c r="Z75"/>
  <c r="AD75"/>
  <c r="AE75"/>
  <c r="AF75"/>
  <c r="AG75"/>
  <c r="AH75"/>
  <c r="AJ75"/>
  <c r="AK75"/>
  <c r="AL75"/>
  <c r="AO75"/>
  <c r="AP75"/>
  <c r="BI75" s="1"/>
  <c r="AC75" s="1"/>
  <c r="BD75"/>
  <c r="BJ75"/>
  <c r="J76"/>
  <c r="AL76"/>
  <c r="L76"/>
  <c r="BF76"/>
  <c r="Z76"/>
  <c r="AD76"/>
  <c r="AE76"/>
  <c r="AF76"/>
  <c r="AG76"/>
  <c r="AH76"/>
  <c r="AJ76"/>
  <c r="AK76"/>
  <c r="AO76"/>
  <c r="H76"/>
  <c r="AP76"/>
  <c r="I76"/>
  <c r="BD76"/>
  <c r="BJ76"/>
  <c r="J77"/>
  <c r="AL77"/>
  <c r="L77"/>
  <c r="BF77"/>
  <c r="Z77"/>
  <c r="AD77"/>
  <c r="AE77"/>
  <c r="AF77"/>
  <c r="AG77"/>
  <c r="AH77"/>
  <c r="AJ77"/>
  <c r="AK77"/>
  <c r="AO77"/>
  <c r="AW77"/>
  <c r="AP77"/>
  <c r="AX77"/>
  <c r="BD77"/>
  <c r="BJ77"/>
  <c r="J78"/>
  <c r="L78"/>
  <c r="BF78" s="1"/>
  <c r="Z78"/>
  <c r="AD78"/>
  <c r="AE78"/>
  <c r="AF78"/>
  <c r="AG78"/>
  <c r="AH78"/>
  <c r="AJ78"/>
  <c r="AK78"/>
  <c r="AO78"/>
  <c r="H78" s="1"/>
  <c r="AP78"/>
  <c r="I78" s="1"/>
  <c r="BD78"/>
  <c r="BJ78"/>
  <c r="J80"/>
  <c r="AL80" s="1"/>
  <c r="L80"/>
  <c r="BF80" s="1"/>
  <c r="Z80"/>
  <c r="AD80"/>
  <c r="AE80"/>
  <c r="AF80"/>
  <c r="AG80"/>
  <c r="AH80"/>
  <c r="AJ80"/>
  <c r="AK80"/>
  <c r="AO80"/>
  <c r="AW80" s="1"/>
  <c r="AP80"/>
  <c r="BI80" s="1"/>
  <c r="AC80"/>
  <c r="BD80"/>
  <c r="BJ80"/>
  <c r="J81"/>
  <c r="AL81"/>
  <c r="L81"/>
  <c r="BF81"/>
  <c r="Z81"/>
  <c r="AD81"/>
  <c r="AE81"/>
  <c r="AF81"/>
  <c r="AG81"/>
  <c r="AH81"/>
  <c r="AJ81"/>
  <c r="AK81"/>
  <c r="AO81"/>
  <c r="AW81"/>
  <c r="AP81"/>
  <c r="BI81"/>
  <c r="AC81" s="1"/>
  <c r="BD81"/>
  <c r="BJ81"/>
  <c r="J83"/>
  <c r="AL83" s="1"/>
  <c r="L83"/>
  <c r="BF83" s="1"/>
  <c r="Z83"/>
  <c r="AD83"/>
  <c r="AE83"/>
  <c r="AF83"/>
  <c r="AG83"/>
  <c r="AH83"/>
  <c r="AJ83"/>
  <c r="AK83"/>
  <c r="AO83"/>
  <c r="AP83"/>
  <c r="AX83"/>
  <c r="BD83"/>
  <c r="BJ83"/>
  <c r="J85"/>
  <c r="AL85"/>
  <c r="L85"/>
  <c r="BF85"/>
  <c r="Z85"/>
  <c r="AD85"/>
  <c r="AE85"/>
  <c r="AF85"/>
  <c r="AG85"/>
  <c r="AH85"/>
  <c r="AJ85"/>
  <c r="AK85"/>
  <c r="AO85"/>
  <c r="BH85"/>
  <c r="AB85" s="1"/>
  <c r="AP85"/>
  <c r="BD85"/>
  <c r="BJ85"/>
  <c r="J87"/>
  <c r="AL87" s="1"/>
  <c r="L87"/>
  <c r="BF87" s="1"/>
  <c r="Z87"/>
  <c r="AD87"/>
  <c r="AE87"/>
  <c r="AF87"/>
  <c r="AG87"/>
  <c r="AH87"/>
  <c r="AJ87"/>
  <c r="AK87"/>
  <c r="AO87"/>
  <c r="AP87"/>
  <c r="BI87"/>
  <c r="AC87" s="1"/>
  <c r="AW87"/>
  <c r="BD87"/>
  <c r="BJ87"/>
  <c r="J89"/>
  <c r="AL89"/>
  <c r="L89"/>
  <c r="BF89"/>
  <c r="Z89"/>
  <c r="AD89"/>
  <c r="AE89"/>
  <c r="AF89"/>
  <c r="AG89"/>
  <c r="AH89"/>
  <c r="AJ89"/>
  <c r="AK89"/>
  <c r="AO89"/>
  <c r="AP89"/>
  <c r="AX89" s="1"/>
  <c r="BD89"/>
  <c r="BJ89"/>
  <c r="J92"/>
  <c r="AL92"/>
  <c r="L92"/>
  <c r="Z92"/>
  <c r="AD92"/>
  <c r="AE92"/>
  <c r="AF92"/>
  <c r="AG92"/>
  <c r="AH92"/>
  <c r="AJ92"/>
  <c r="AK92"/>
  <c r="AO92"/>
  <c r="AW92" s="1"/>
  <c r="AP92"/>
  <c r="BI92"/>
  <c r="AC92" s="1"/>
  <c r="BD92"/>
  <c r="BF92"/>
  <c r="BJ92"/>
  <c r="J93"/>
  <c r="J91"/>
  <c r="K23" i="3" s="1"/>
  <c r="N23" s="1"/>
  <c r="L93" i="1"/>
  <c r="Z93"/>
  <c r="AD93"/>
  <c r="AE93"/>
  <c r="AF93"/>
  <c r="AG93"/>
  <c r="AH93"/>
  <c r="AJ93"/>
  <c r="AK93"/>
  <c r="AO93"/>
  <c r="H93" s="1"/>
  <c r="AP93"/>
  <c r="AX93" s="1"/>
  <c r="BD93"/>
  <c r="BJ93"/>
  <c r="J94"/>
  <c r="AL94" s="1"/>
  <c r="L94"/>
  <c r="BF94"/>
  <c r="Z94"/>
  <c r="AD94"/>
  <c r="AE94"/>
  <c r="AF94"/>
  <c r="AG94"/>
  <c r="AH94"/>
  <c r="AJ94"/>
  <c r="AK94"/>
  <c r="AO94"/>
  <c r="BH94" s="1"/>
  <c r="AB94" s="1"/>
  <c r="AP94"/>
  <c r="BD94"/>
  <c r="BJ94"/>
  <c r="J96"/>
  <c r="AL96"/>
  <c r="L96"/>
  <c r="Z96"/>
  <c r="AD96"/>
  <c r="AE96"/>
  <c r="AF96"/>
  <c r="AG96"/>
  <c r="AH96"/>
  <c r="AJ96"/>
  <c r="AK96"/>
  <c r="AO96"/>
  <c r="AP96"/>
  <c r="BD96"/>
  <c r="BI96"/>
  <c r="AC96"/>
  <c r="BJ96"/>
  <c r="J97"/>
  <c r="AL97" s="1"/>
  <c r="L97"/>
  <c r="BF97" s="1"/>
  <c r="Z97"/>
  <c r="AD97"/>
  <c r="AE97"/>
  <c r="AF97"/>
  <c r="AG97"/>
  <c r="AH97"/>
  <c r="AJ97"/>
  <c r="AK97"/>
  <c r="AO97"/>
  <c r="H97" s="1"/>
  <c r="AP97"/>
  <c r="I97" s="1"/>
  <c r="BD97"/>
  <c r="BJ97"/>
  <c r="J98"/>
  <c r="AL98" s="1"/>
  <c r="L98"/>
  <c r="BF98" s="1"/>
  <c r="Z98"/>
  <c r="AD98"/>
  <c r="AE98"/>
  <c r="AF98"/>
  <c r="AG98"/>
  <c r="AH98"/>
  <c r="AJ98"/>
  <c r="AK98"/>
  <c r="AO98"/>
  <c r="BH98" s="1"/>
  <c r="AB98"/>
  <c r="AP98"/>
  <c r="BI98"/>
  <c r="AC98" s="1"/>
  <c r="AX98"/>
  <c r="BD98"/>
  <c r="BJ98"/>
  <c r="J99"/>
  <c r="AL99"/>
  <c r="L99"/>
  <c r="BF99"/>
  <c r="Z99"/>
  <c r="AD99"/>
  <c r="AE99"/>
  <c r="AF99"/>
  <c r="AG99"/>
  <c r="AH99"/>
  <c r="AJ99"/>
  <c r="AK99"/>
  <c r="AO99"/>
  <c r="AW99"/>
  <c r="AP99"/>
  <c r="BI99"/>
  <c r="AC99" s="1"/>
  <c r="I99"/>
  <c r="BD99"/>
  <c r="BJ99"/>
  <c r="J100"/>
  <c r="AL100"/>
  <c r="L100"/>
  <c r="BF100"/>
  <c r="Z100"/>
  <c r="AD100"/>
  <c r="AE100"/>
  <c r="AF100"/>
  <c r="AG100"/>
  <c r="AH100"/>
  <c r="AJ100"/>
  <c r="AK100"/>
  <c r="AO100"/>
  <c r="BH100"/>
  <c r="AB100" s="1"/>
  <c r="AP100"/>
  <c r="AX100" s="1"/>
  <c r="BD100"/>
  <c r="BJ100"/>
  <c r="J101"/>
  <c r="AL101" s="1"/>
  <c r="L101"/>
  <c r="BF101" s="1"/>
  <c r="Z101"/>
  <c r="AD101"/>
  <c r="AE101"/>
  <c r="AF101"/>
  <c r="AG101"/>
  <c r="AH101"/>
  <c r="AJ101"/>
  <c r="AK101"/>
  <c r="AO101"/>
  <c r="H101" s="1"/>
  <c r="AP101"/>
  <c r="I101" s="1"/>
  <c r="BD101"/>
  <c r="BJ101"/>
  <c r="J102"/>
  <c r="AL102" s="1"/>
  <c r="L102"/>
  <c r="BF102"/>
  <c r="Z102"/>
  <c r="AD102"/>
  <c r="AE102"/>
  <c r="AF102"/>
  <c r="AG102"/>
  <c r="AH102"/>
  <c r="AJ102"/>
  <c r="AK102"/>
  <c r="AO102"/>
  <c r="BH102" s="1"/>
  <c r="AB102"/>
  <c r="AP102"/>
  <c r="I102"/>
  <c r="BD102"/>
  <c r="BJ102"/>
  <c r="J103"/>
  <c r="AL103"/>
  <c r="L103"/>
  <c r="BF103"/>
  <c r="Z103"/>
  <c r="AD103"/>
  <c r="AE103"/>
  <c r="AF103"/>
  <c r="AG103"/>
  <c r="AH103"/>
  <c r="AJ103"/>
  <c r="AK103"/>
  <c r="AO103"/>
  <c r="AW103"/>
  <c r="AP103"/>
  <c r="BI103"/>
  <c r="AC103" s="1"/>
  <c r="BD103"/>
  <c r="BJ103"/>
  <c r="J104"/>
  <c r="AL104" s="1"/>
  <c r="L104"/>
  <c r="BF104" s="1"/>
  <c r="Z104"/>
  <c r="AD104"/>
  <c r="AE104"/>
  <c r="AF104"/>
  <c r="AG104"/>
  <c r="AH104"/>
  <c r="AJ104"/>
  <c r="AK104"/>
  <c r="AO104"/>
  <c r="BH104" s="1"/>
  <c r="AB104"/>
  <c r="AP104"/>
  <c r="BI104"/>
  <c r="AC104" s="1"/>
  <c r="BD104"/>
  <c r="BJ104"/>
  <c r="J106"/>
  <c r="AL106" s="1"/>
  <c r="L106"/>
  <c r="BF106" s="1"/>
  <c r="Z106"/>
  <c r="AD106"/>
  <c r="AE106"/>
  <c r="AF106"/>
  <c r="AG106"/>
  <c r="AH106"/>
  <c r="AJ106"/>
  <c r="AK106"/>
  <c r="AO106"/>
  <c r="AP106"/>
  <c r="AX106" s="1"/>
  <c r="BD106"/>
  <c r="BJ106"/>
  <c r="J108"/>
  <c r="AL108" s="1"/>
  <c r="L108"/>
  <c r="BF108" s="1"/>
  <c r="Z108"/>
  <c r="AD108"/>
  <c r="AE108"/>
  <c r="AF108"/>
  <c r="AG108"/>
  <c r="AH108"/>
  <c r="AJ108"/>
  <c r="AK108"/>
  <c r="AO108"/>
  <c r="AW108" s="1"/>
  <c r="AP108"/>
  <c r="BD108"/>
  <c r="BJ108"/>
  <c r="J110"/>
  <c r="L110"/>
  <c r="Z110"/>
  <c r="AD110"/>
  <c r="AE110"/>
  <c r="AF110"/>
  <c r="AG110"/>
  <c r="AH110"/>
  <c r="AJ110"/>
  <c r="AK110"/>
  <c r="AL110"/>
  <c r="AO110"/>
  <c r="AW110" s="1"/>
  <c r="AP110"/>
  <c r="BI110" s="1"/>
  <c r="AC110"/>
  <c r="BD110"/>
  <c r="BF110"/>
  <c r="BJ110"/>
  <c r="J112"/>
  <c r="AL112" s="1"/>
  <c r="L112"/>
  <c r="BF112" s="1"/>
  <c r="Z112"/>
  <c r="AD112"/>
  <c r="AE112"/>
  <c r="AF112"/>
  <c r="AG112"/>
  <c r="AH112"/>
  <c r="AJ112"/>
  <c r="AK112"/>
  <c r="AO112"/>
  <c r="H112" s="1"/>
  <c r="AP112"/>
  <c r="AX112" s="1"/>
  <c r="BD112"/>
  <c r="BJ112"/>
  <c r="J113"/>
  <c r="AL113" s="1"/>
  <c r="L113"/>
  <c r="BF113" s="1"/>
  <c r="Z113"/>
  <c r="AD113"/>
  <c r="AE113"/>
  <c r="AF113"/>
  <c r="AG113"/>
  <c r="AH113"/>
  <c r="AJ113"/>
  <c r="AK113"/>
  <c r="AO113"/>
  <c r="BH113" s="1"/>
  <c r="AB113" s="1"/>
  <c r="AP113"/>
  <c r="I113"/>
  <c r="BD113"/>
  <c r="BJ113"/>
  <c r="J114"/>
  <c r="AL114"/>
  <c r="L114"/>
  <c r="BF114"/>
  <c r="Z114"/>
  <c r="AD114"/>
  <c r="AE114"/>
  <c r="AF114"/>
  <c r="AG114"/>
  <c r="AH114"/>
  <c r="AJ114"/>
  <c r="AK114"/>
  <c r="AO114"/>
  <c r="AW114"/>
  <c r="AP114"/>
  <c r="AX114"/>
  <c r="BD114"/>
  <c r="BJ114"/>
  <c r="J115"/>
  <c r="AL115"/>
  <c r="L115"/>
  <c r="Z115"/>
  <c r="AD115"/>
  <c r="AE115"/>
  <c r="AF115"/>
  <c r="AG115"/>
  <c r="AH115"/>
  <c r="AJ115"/>
  <c r="AK115"/>
  <c r="AO115"/>
  <c r="AW115" s="1"/>
  <c r="AP115"/>
  <c r="I115" s="1"/>
  <c r="BD115"/>
  <c r="BF115"/>
  <c r="BJ115"/>
  <c r="J117"/>
  <c r="AL117"/>
  <c r="L117"/>
  <c r="BF117"/>
  <c r="Z117"/>
  <c r="AD117"/>
  <c r="AE117"/>
  <c r="AF117"/>
  <c r="AG117"/>
  <c r="AH117"/>
  <c r="AJ117"/>
  <c r="AK117"/>
  <c r="AO117"/>
  <c r="AP117"/>
  <c r="AX117" s="1"/>
  <c r="BD117"/>
  <c r="BJ117"/>
  <c r="J118"/>
  <c r="L118"/>
  <c r="Z118"/>
  <c r="AD118"/>
  <c r="AE118"/>
  <c r="AF118"/>
  <c r="AG118"/>
  <c r="AH118"/>
  <c r="AJ118"/>
  <c r="AK118"/>
  <c r="AL118"/>
  <c r="AO118"/>
  <c r="AP118"/>
  <c r="BD118"/>
  <c r="BF118"/>
  <c r="BJ118"/>
  <c r="J119"/>
  <c r="AL119" s="1"/>
  <c r="L119"/>
  <c r="BF119" s="1"/>
  <c r="Z119"/>
  <c r="AD119"/>
  <c r="AE119"/>
  <c r="AF119"/>
  <c r="AG119"/>
  <c r="AH119"/>
  <c r="AJ119"/>
  <c r="AK119"/>
  <c r="AO119"/>
  <c r="BH119" s="1"/>
  <c r="AB119" s="1"/>
  <c r="AP119"/>
  <c r="AX119"/>
  <c r="BD119"/>
  <c r="BJ119"/>
  <c r="J120"/>
  <c r="AL120" s="1"/>
  <c r="L120"/>
  <c r="BF120" s="1"/>
  <c r="Z120"/>
  <c r="AD120"/>
  <c r="AE120"/>
  <c r="AF120"/>
  <c r="AG120"/>
  <c r="AH120"/>
  <c r="AJ120"/>
  <c r="AK120"/>
  <c r="AO120"/>
  <c r="BH120" s="1"/>
  <c r="AB120" s="1"/>
  <c r="AP120"/>
  <c r="BD120"/>
  <c r="BJ120"/>
  <c r="J121"/>
  <c r="L121"/>
  <c r="Z121"/>
  <c r="AD121"/>
  <c r="AE121"/>
  <c r="AF121"/>
  <c r="AG121"/>
  <c r="AH121"/>
  <c r="AJ121"/>
  <c r="AK121"/>
  <c r="AL121"/>
  <c r="AO121"/>
  <c r="H121"/>
  <c r="AP121"/>
  <c r="AX121"/>
  <c r="BD121"/>
  <c r="BF121"/>
  <c r="BJ121"/>
  <c r="J122"/>
  <c r="AL122" s="1"/>
  <c r="L122"/>
  <c r="BF122" s="1"/>
  <c r="Z122"/>
  <c r="AD122"/>
  <c r="AE122"/>
  <c r="AF122"/>
  <c r="AG122"/>
  <c r="AH122"/>
  <c r="AJ122"/>
  <c r="AK122"/>
  <c r="AO122"/>
  <c r="AW122" s="1"/>
  <c r="AP122"/>
  <c r="AX122" s="1"/>
  <c r="BD122"/>
  <c r="BJ122"/>
  <c r="J123"/>
  <c r="AL123" s="1"/>
  <c r="L123"/>
  <c r="BF123" s="1"/>
  <c r="Z123"/>
  <c r="AD123"/>
  <c r="AE123"/>
  <c r="AF123"/>
  <c r="AG123"/>
  <c r="AH123"/>
  <c r="AJ123"/>
  <c r="AK123"/>
  <c r="AO123"/>
  <c r="BH123" s="1"/>
  <c r="AB123"/>
  <c r="AP123"/>
  <c r="BD123"/>
  <c r="BJ123"/>
  <c r="J124"/>
  <c r="AL124" s="1"/>
  <c r="L124"/>
  <c r="BF124" s="1"/>
  <c r="Z124"/>
  <c r="AD124"/>
  <c r="AE124"/>
  <c r="AF124"/>
  <c r="AG124"/>
  <c r="AH124"/>
  <c r="AJ124"/>
  <c r="AK124"/>
  <c r="AO124"/>
  <c r="BH124" s="1"/>
  <c r="AB124" s="1"/>
  <c r="AP124"/>
  <c r="I124"/>
  <c r="AX124"/>
  <c r="BD124"/>
  <c r="BJ124"/>
  <c r="J125"/>
  <c r="AL125" s="1"/>
  <c r="L125"/>
  <c r="BF125" s="1"/>
  <c r="Z125"/>
  <c r="AD125"/>
  <c r="AE125"/>
  <c r="AF125"/>
  <c r="AG125"/>
  <c r="AH125"/>
  <c r="AJ125"/>
  <c r="AK125"/>
  <c r="AO125"/>
  <c r="BH125"/>
  <c r="AB125" s="1"/>
  <c r="AP125"/>
  <c r="AX125" s="1"/>
  <c r="BD125"/>
  <c r="BJ125"/>
  <c r="J126"/>
  <c r="AL126"/>
  <c r="L126"/>
  <c r="BF126"/>
  <c r="Z126"/>
  <c r="AD126"/>
  <c r="AE126"/>
  <c r="AF126"/>
  <c r="AG126"/>
  <c r="AH126"/>
  <c r="AJ126"/>
  <c r="AK126"/>
  <c r="AO126"/>
  <c r="AW126"/>
  <c r="AP126"/>
  <c r="I126"/>
  <c r="BD126"/>
  <c r="BJ126"/>
  <c r="J127"/>
  <c r="AL127"/>
  <c r="L127"/>
  <c r="BF127"/>
  <c r="Z127"/>
  <c r="AD127"/>
  <c r="AE127"/>
  <c r="AF127"/>
  <c r="AG127"/>
  <c r="AH127"/>
  <c r="AJ127"/>
  <c r="AK127"/>
  <c r="AO127"/>
  <c r="H127"/>
  <c r="AP127"/>
  <c r="BI127"/>
  <c r="AC127" s="1"/>
  <c r="BD127"/>
  <c r="BJ127"/>
  <c r="J128"/>
  <c r="AL128" s="1"/>
  <c r="L128"/>
  <c r="BF128" s="1"/>
  <c r="Z128"/>
  <c r="AD128"/>
  <c r="AE128"/>
  <c r="AF128"/>
  <c r="AG128"/>
  <c r="AH128"/>
  <c r="AJ128"/>
  <c r="AK128"/>
  <c r="AO128"/>
  <c r="BH128" s="1"/>
  <c r="AB128" s="1"/>
  <c r="AP128"/>
  <c r="I128"/>
  <c r="BD128"/>
  <c r="BJ128"/>
  <c r="J129"/>
  <c r="AL129"/>
  <c r="L129"/>
  <c r="BF129"/>
  <c r="Z129"/>
  <c r="AD129"/>
  <c r="AE129"/>
  <c r="AF129"/>
  <c r="AG129"/>
  <c r="AH129"/>
  <c r="AJ129"/>
  <c r="AK129"/>
  <c r="AO129"/>
  <c r="BH129"/>
  <c r="AB129" s="1"/>
  <c r="AP129"/>
  <c r="AX129" s="1"/>
  <c r="BD129"/>
  <c r="BJ129"/>
  <c r="J130"/>
  <c r="AL130" s="1"/>
  <c r="L130"/>
  <c r="BF130" s="1"/>
  <c r="Z130"/>
  <c r="AD130"/>
  <c r="AE130"/>
  <c r="AF130"/>
  <c r="AG130"/>
  <c r="AH130"/>
  <c r="AJ130"/>
  <c r="AK130"/>
  <c r="AO130"/>
  <c r="H130" s="1"/>
  <c r="AP130"/>
  <c r="AX130" s="1"/>
  <c r="BD130"/>
  <c r="BJ130"/>
  <c r="J132"/>
  <c r="L132"/>
  <c r="Z132"/>
  <c r="AD132"/>
  <c r="AE132"/>
  <c r="AF132"/>
  <c r="AG132"/>
  <c r="AH132"/>
  <c r="AJ132"/>
  <c r="AK132"/>
  <c r="AT131"/>
  <c r="AO132"/>
  <c r="AP132"/>
  <c r="BI132" s="1"/>
  <c r="AC132"/>
  <c r="BD132"/>
  <c r="BF132"/>
  <c r="BJ132"/>
  <c r="J133"/>
  <c r="AL133" s="1"/>
  <c r="L133"/>
  <c r="BF133" s="1"/>
  <c r="Z133"/>
  <c r="AD133"/>
  <c r="AE133"/>
  <c r="AF133"/>
  <c r="AG133"/>
  <c r="AH133"/>
  <c r="AJ133"/>
  <c r="AK133"/>
  <c r="AO133"/>
  <c r="BH133" s="1"/>
  <c r="AB133" s="1"/>
  <c r="AP133"/>
  <c r="AX133"/>
  <c r="BD133"/>
  <c r="BJ133"/>
  <c r="J134"/>
  <c r="L134"/>
  <c r="BF134" s="1"/>
  <c r="Z134"/>
  <c r="AD134"/>
  <c r="AE134"/>
  <c r="AF134"/>
  <c r="AG134"/>
  <c r="AH134"/>
  <c r="AJ134"/>
  <c r="AK134"/>
  <c r="AL134"/>
  <c r="AO134"/>
  <c r="AP134"/>
  <c r="I134" s="1"/>
  <c r="BD134"/>
  <c r="BJ134"/>
  <c r="J135"/>
  <c r="AL135" s="1"/>
  <c r="L135"/>
  <c r="BF135" s="1"/>
  <c r="Z135"/>
  <c r="AD135"/>
  <c r="AE135"/>
  <c r="AF135"/>
  <c r="AG135"/>
  <c r="AH135"/>
  <c r="AJ135"/>
  <c r="AK135"/>
  <c r="AO135"/>
  <c r="AW135" s="1"/>
  <c r="AP135"/>
  <c r="AX135"/>
  <c r="BC135" s="1"/>
  <c r="BD135"/>
  <c r="BH135"/>
  <c r="AB135" s="1"/>
  <c r="BJ135"/>
  <c r="J137"/>
  <c r="L137"/>
  <c r="BF137" s="1"/>
  <c r="Z137"/>
  <c r="AD137"/>
  <c r="AE137"/>
  <c r="AF137"/>
  <c r="AG137"/>
  <c r="AH137"/>
  <c r="AJ137"/>
  <c r="AK137"/>
  <c r="AL137"/>
  <c r="AO137"/>
  <c r="AP137"/>
  <c r="BI137"/>
  <c r="AC137" s="1"/>
  <c r="BD137"/>
  <c r="BH137"/>
  <c r="AB137" s="1"/>
  <c r="BJ137"/>
  <c r="J138"/>
  <c r="AL138"/>
  <c r="L138"/>
  <c r="BF138"/>
  <c r="Z138"/>
  <c r="AD138"/>
  <c r="AE138"/>
  <c r="AF138"/>
  <c r="AG138"/>
  <c r="AH138"/>
  <c r="AJ138"/>
  <c r="AK138"/>
  <c r="AO138"/>
  <c r="AW138"/>
  <c r="AP138"/>
  <c r="BI138"/>
  <c r="AC138" s="1"/>
  <c r="BD138"/>
  <c r="BJ138"/>
  <c r="J139"/>
  <c r="AL139" s="1"/>
  <c r="L139"/>
  <c r="BF139" s="1"/>
  <c r="Z139"/>
  <c r="AD139"/>
  <c r="AE139"/>
  <c r="AF139"/>
  <c r="AG139"/>
  <c r="AH139"/>
  <c r="AJ139"/>
  <c r="AK139"/>
  <c r="AO139"/>
  <c r="H139" s="1"/>
  <c r="AP139"/>
  <c r="BD139"/>
  <c r="BJ139"/>
  <c r="J140"/>
  <c r="AL140"/>
  <c r="L140"/>
  <c r="BF140"/>
  <c r="Z140"/>
  <c r="AD140"/>
  <c r="AE140"/>
  <c r="AF140"/>
  <c r="AG140"/>
  <c r="AH140"/>
  <c r="AJ140"/>
  <c r="AK140"/>
  <c r="AO140"/>
  <c r="H140"/>
  <c r="AP140"/>
  <c r="BI140"/>
  <c r="AC140" s="1"/>
  <c r="BD140"/>
  <c r="BJ140"/>
  <c r="J141"/>
  <c r="AL141" s="1"/>
  <c r="L141"/>
  <c r="BF141" s="1"/>
  <c r="Z141"/>
  <c r="AD141"/>
  <c r="AE141"/>
  <c r="AF141"/>
  <c r="AG141"/>
  <c r="AH141"/>
  <c r="AJ141"/>
  <c r="AK141"/>
  <c r="AO141"/>
  <c r="BH141" s="1"/>
  <c r="AB141"/>
  <c r="AP141"/>
  <c r="BI141"/>
  <c r="AC141" s="1"/>
  <c r="I141"/>
  <c r="AX141"/>
  <c r="BD141"/>
  <c r="BJ141"/>
  <c r="J142"/>
  <c r="AL142" s="1"/>
  <c r="L142"/>
  <c r="BF142" s="1"/>
  <c r="Z142"/>
  <c r="AD142"/>
  <c r="AE142"/>
  <c r="AF142"/>
  <c r="AG142"/>
  <c r="AH142"/>
  <c r="AJ142"/>
  <c r="AK142"/>
  <c r="AO142"/>
  <c r="BH142"/>
  <c r="AB142" s="1"/>
  <c r="AP142"/>
  <c r="BI142" s="1"/>
  <c r="AC142"/>
  <c r="BD142"/>
  <c r="BJ142"/>
  <c r="J143"/>
  <c r="AL143"/>
  <c r="L143"/>
  <c r="BF143"/>
  <c r="Z143"/>
  <c r="AD143"/>
  <c r="AE143"/>
  <c r="AF143"/>
  <c r="AG143"/>
  <c r="AH143"/>
  <c r="AJ143"/>
  <c r="AK143"/>
  <c r="AO143"/>
  <c r="BH143"/>
  <c r="AB143" s="1"/>
  <c r="AP143"/>
  <c r="I143" s="1"/>
  <c r="BI143"/>
  <c r="AC143" s="1"/>
  <c r="BD143"/>
  <c r="BJ143"/>
  <c r="J144"/>
  <c r="AL144" s="1"/>
  <c r="L144"/>
  <c r="BF144" s="1"/>
  <c r="Z144"/>
  <c r="AD144"/>
  <c r="AE144"/>
  <c r="AF144"/>
  <c r="AG144"/>
  <c r="AH144"/>
  <c r="AJ144"/>
  <c r="AK144"/>
  <c r="AO144"/>
  <c r="BH144" s="1"/>
  <c r="AB144"/>
  <c r="AP144"/>
  <c r="AX144"/>
  <c r="BD144"/>
  <c r="BJ144"/>
  <c r="J145"/>
  <c r="AL145"/>
  <c r="L145"/>
  <c r="BF145"/>
  <c r="Z145"/>
  <c r="AD145"/>
  <c r="AE145"/>
  <c r="AF145"/>
  <c r="AG145"/>
  <c r="AH145"/>
  <c r="AJ145"/>
  <c r="AK145"/>
  <c r="AO145"/>
  <c r="BH145"/>
  <c r="AB145" s="1"/>
  <c r="AP145"/>
  <c r="I145" s="1"/>
  <c r="BD145"/>
  <c r="BJ145"/>
  <c r="J146"/>
  <c r="AL146" s="1"/>
  <c r="L146"/>
  <c r="BF146" s="1"/>
  <c r="Z146"/>
  <c r="AD146"/>
  <c r="AE146"/>
  <c r="AF146"/>
  <c r="AG146"/>
  <c r="AH146"/>
  <c r="AJ146"/>
  <c r="AK146"/>
  <c r="AO146"/>
  <c r="H146"/>
  <c r="AP146"/>
  <c r="AX146"/>
  <c r="BD146"/>
  <c r="BJ146"/>
  <c r="J148"/>
  <c r="L148"/>
  <c r="Z148"/>
  <c r="AD148"/>
  <c r="AE148"/>
  <c r="AF148"/>
  <c r="AG148"/>
  <c r="AH148"/>
  <c r="AJ148"/>
  <c r="AK148"/>
  <c r="AO148"/>
  <c r="AW148"/>
  <c r="AP148"/>
  <c r="AX148"/>
  <c r="BD148"/>
  <c r="BH148"/>
  <c r="AB148" s="1"/>
  <c r="BJ148"/>
  <c r="J149"/>
  <c r="AL149"/>
  <c r="L149"/>
  <c r="BF149"/>
  <c r="Z149"/>
  <c r="AD149"/>
  <c r="AE149"/>
  <c r="AF149"/>
  <c r="AG149"/>
  <c r="AH149"/>
  <c r="AJ149"/>
  <c r="AK149"/>
  <c r="AO149"/>
  <c r="AW149"/>
  <c r="AP149"/>
  <c r="BI149"/>
  <c r="AC149" s="1"/>
  <c r="BD149"/>
  <c r="BJ149"/>
  <c r="J150"/>
  <c r="AL150" s="1"/>
  <c r="L150"/>
  <c r="BF150" s="1"/>
  <c r="Z150"/>
  <c r="AD150"/>
  <c r="AE150"/>
  <c r="AF150"/>
  <c r="AG150"/>
  <c r="AH150"/>
  <c r="AJ150"/>
  <c r="AK150"/>
  <c r="AO150"/>
  <c r="H150" s="1"/>
  <c r="AP150"/>
  <c r="BD150"/>
  <c r="BJ150"/>
  <c r="J151"/>
  <c r="AL151"/>
  <c r="L151"/>
  <c r="BF151"/>
  <c r="Z151"/>
  <c r="AD151"/>
  <c r="AE151"/>
  <c r="AF151"/>
  <c r="AG151"/>
  <c r="AH151"/>
  <c r="AJ151"/>
  <c r="AK151"/>
  <c r="AO151"/>
  <c r="AW151"/>
  <c r="AP151"/>
  <c r="BI151"/>
  <c r="AC151" s="1"/>
  <c r="BD151"/>
  <c r="BJ151"/>
  <c r="J152"/>
  <c r="AL152" s="1"/>
  <c r="L152"/>
  <c r="BF152" s="1"/>
  <c r="Z152"/>
  <c r="AD152"/>
  <c r="AE152"/>
  <c r="AF152"/>
  <c r="AG152"/>
  <c r="AH152"/>
  <c r="AJ152"/>
  <c r="AK152"/>
  <c r="AO152"/>
  <c r="AW152" s="1"/>
  <c r="AP152"/>
  <c r="AX152" s="1"/>
  <c r="BD152"/>
  <c r="BJ152"/>
  <c r="H153"/>
  <c r="J153"/>
  <c r="AL153"/>
  <c r="L153"/>
  <c r="BF153"/>
  <c r="Z153"/>
  <c r="AD153"/>
  <c r="AE153"/>
  <c r="AF153"/>
  <c r="AG153"/>
  <c r="AH153"/>
  <c r="AJ153"/>
  <c r="AK153"/>
  <c r="AO153"/>
  <c r="BH153"/>
  <c r="AB153" s="1"/>
  <c r="AW153"/>
  <c r="AP153"/>
  <c r="BI153"/>
  <c r="AC153" s="1"/>
  <c r="BD153"/>
  <c r="BJ153"/>
  <c r="J154"/>
  <c r="AL154" s="1"/>
  <c r="L154"/>
  <c r="BF154" s="1"/>
  <c r="Z154"/>
  <c r="AD154"/>
  <c r="AE154"/>
  <c r="AF154"/>
  <c r="AG154"/>
  <c r="AH154"/>
  <c r="AJ154"/>
  <c r="AK154"/>
  <c r="AO154"/>
  <c r="AP154"/>
  <c r="BI154"/>
  <c r="AC154" s="1"/>
  <c r="BD154"/>
  <c r="BJ154"/>
  <c r="J155"/>
  <c r="AL155" s="1"/>
  <c r="L155"/>
  <c r="BF155" s="1"/>
  <c r="Z155"/>
  <c r="AD155"/>
  <c r="AE155"/>
  <c r="AF155"/>
  <c r="AG155"/>
  <c r="AH155"/>
  <c r="AJ155"/>
  <c r="AK155"/>
  <c r="AO155"/>
  <c r="AW155"/>
  <c r="AP155"/>
  <c r="BI155"/>
  <c r="AC155" s="1"/>
  <c r="BD155"/>
  <c r="BJ155"/>
  <c r="J156"/>
  <c r="AL156"/>
  <c r="L156"/>
  <c r="BF156"/>
  <c r="Z156"/>
  <c r="AD156"/>
  <c r="AE156"/>
  <c r="AF156"/>
  <c r="AG156"/>
  <c r="AH156"/>
  <c r="AJ156"/>
  <c r="AK156"/>
  <c r="AO156"/>
  <c r="H156"/>
  <c r="AP156"/>
  <c r="BD156"/>
  <c r="BJ156"/>
  <c r="J158"/>
  <c r="AL158" s="1"/>
  <c r="L158"/>
  <c r="BF158" s="1"/>
  <c r="Z158"/>
  <c r="AD158"/>
  <c r="AE158"/>
  <c r="AF158"/>
  <c r="AG158"/>
  <c r="AH158"/>
  <c r="AJ158"/>
  <c r="AK158"/>
  <c r="AO158"/>
  <c r="H158" s="1"/>
  <c r="AP158"/>
  <c r="AX158" s="1"/>
  <c r="BD158"/>
  <c r="BJ158"/>
  <c r="J160"/>
  <c r="AL160" s="1"/>
  <c r="L160"/>
  <c r="BF160" s="1"/>
  <c r="Z160"/>
  <c r="AD160"/>
  <c r="AE160"/>
  <c r="AF160"/>
  <c r="AG160"/>
  <c r="AH160"/>
  <c r="AJ160"/>
  <c r="AK160"/>
  <c r="AO160"/>
  <c r="BH160" s="1"/>
  <c r="AB160"/>
  <c r="AP160"/>
  <c r="BI160"/>
  <c r="AC160" s="1"/>
  <c r="BD160"/>
  <c r="BJ160"/>
  <c r="J161"/>
  <c r="AL161" s="1"/>
  <c r="L161"/>
  <c r="BF161" s="1"/>
  <c r="Z161"/>
  <c r="AD161"/>
  <c r="AE161"/>
  <c r="AF161"/>
  <c r="AG161"/>
  <c r="AH161"/>
  <c r="AJ161"/>
  <c r="AK161"/>
  <c r="AO161"/>
  <c r="H161" s="1"/>
  <c r="AP161"/>
  <c r="I161" s="1"/>
  <c r="BD161"/>
  <c r="BJ161"/>
  <c r="J162"/>
  <c r="AL162" s="1"/>
  <c r="L162"/>
  <c r="BF162" s="1"/>
  <c r="Z162"/>
  <c r="AD162"/>
  <c r="AE162"/>
  <c r="AF162"/>
  <c r="AG162"/>
  <c r="AH162"/>
  <c r="AJ162"/>
  <c r="AK162"/>
  <c r="AO162"/>
  <c r="BH162" s="1"/>
  <c r="AB162"/>
  <c r="AP162"/>
  <c r="I162"/>
  <c r="BD162"/>
  <c r="BJ162"/>
  <c r="J163"/>
  <c r="AL163"/>
  <c r="L163"/>
  <c r="BF163"/>
  <c r="Z163"/>
  <c r="AD163"/>
  <c r="AE163"/>
  <c r="AF163"/>
  <c r="AG163"/>
  <c r="AH163"/>
  <c r="AJ163"/>
  <c r="AK163"/>
  <c r="AO163"/>
  <c r="BH163"/>
  <c r="AB163" s="1"/>
  <c r="AW163"/>
  <c r="AP163"/>
  <c r="BD163"/>
  <c r="BJ163"/>
  <c r="J164"/>
  <c r="AL164"/>
  <c r="L164"/>
  <c r="BF164"/>
  <c r="Z164"/>
  <c r="AD164"/>
  <c r="AE164"/>
  <c r="AF164"/>
  <c r="AG164"/>
  <c r="AH164"/>
  <c r="AJ164"/>
  <c r="AK164"/>
  <c r="AO164"/>
  <c r="H164"/>
  <c r="AP164"/>
  <c r="AX164"/>
  <c r="BD164"/>
  <c r="BJ164"/>
  <c r="J166"/>
  <c r="L166"/>
  <c r="Z166"/>
  <c r="AD166"/>
  <c r="AE166"/>
  <c r="AF166"/>
  <c r="AG166"/>
  <c r="AH166"/>
  <c r="AJ166"/>
  <c r="AK166"/>
  <c r="AO166"/>
  <c r="BH166"/>
  <c r="AB166" s="1"/>
  <c r="AP166"/>
  <c r="BD166"/>
  <c r="BJ166"/>
  <c r="J167"/>
  <c r="L167"/>
  <c r="BF167" s="1"/>
  <c r="Z167"/>
  <c r="AD167"/>
  <c r="AE167"/>
  <c r="AF167"/>
  <c r="AG167"/>
  <c r="AH167"/>
  <c r="AJ167"/>
  <c r="AK167"/>
  <c r="AL167"/>
  <c r="AO167"/>
  <c r="AP167"/>
  <c r="I167" s="1"/>
  <c r="BD167"/>
  <c r="BJ167"/>
  <c r="J168"/>
  <c r="AL168"/>
  <c r="L168"/>
  <c r="Z168"/>
  <c r="AD168"/>
  <c r="AE168"/>
  <c r="AF168"/>
  <c r="AG168"/>
  <c r="AH168"/>
  <c r="AJ168"/>
  <c r="AK168"/>
  <c r="AO168"/>
  <c r="H168" s="1"/>
  <c r="AP168"/>
  <c r="BI168" s="1"/>
  <c r="AC168"/>
  <c r="BD168"/>
  <c r="BF168"/>
  <c r="BJ168"/>
  <c r="J170"/>
  <c r="AL170" s="1"/>
  <c r="L170"/>
  <c r="BF170" s="1"/>
  <c r="Z170"/>
  <c r="AD170"/>
  <c r="AE170"/>
  <c r="AF170"/>
  <c r="AG170"/>
  <c r="AH170"/>
  <c r="AJ170"/>
  <c r="AK170"/>
  <c r="AO170"/>
  <c r="BH170" s="1"/>
  <c r="AB170" s="1"/>
  <c r="AP170"/>
  <c r="I170"/>
  <c r="AX170"/>
  <c r="BD170"/>
  <c r="BJ170"/>
  <c r="J171"/>
  <c r="AL171" s="1"/>
  <c r="L171"/>
  <c r="BF171"/>
  <c r="Z171"/>
  <c r="AD171"/>
  <c r="AE171"/>
  <c r="AF171"/>
  <c r="AG171"/>
  <c r="AH171"/>
  <c r="AJ171"/>
  <c r="AK171"/>
  <c r="AO171"/>
  <c r="AP171"/>
  <c r="BI171"/>
  <c r="AC171" s="1"/>
  <c r="BD171"/>
  <c r="BJ171"/>
  <c r="J174"/>
  <c r="AL174" s="1"/>
  <c r="L174"/>
  <c r="BF174"/>
  <c r="Z174"/>
  <c r="AD174"/>
  <c r="AE174"/>
  <c r="AF174"/>
  <c r="AG174"/>
  <c r="AH174"/>
  <c r="AJ174"/>
  <c r="AK174"/>
  <c r="AO174"/>
  <c r="AW174" s="1"/>
  <c r="AP174"/>
  <c r="AX174"/>
  <c r="BC174" s="1"/>
  <c r="BD174"/>
  <c r="BJ174"/>
  <c r="J175"/>
  <c r="AL175" s="1"/>
  <c r="L175"/>
  <c r="BF175" s="1"/>
  <c r="Z175"/>
  <c r="AD175"/>
  <c r="AE175"/>
  <c r="AF175"/>
  <c r="AG175"/>
  <c r="AH175"/>
  <c r="AJ175"/>
  <c r="AK175"/>
  <c r="AO175"/>
  <c r="BH175" s="1"/>
  <c r="AB175"/>
  <c r="AP175"/>
  <c r="AW175"/>
  <c r="BD175"/>
  <c r="BJ175"/>
  <c r="J176"/>
  <c r="AL176"/>
  <c r="L176"/>
  <c r="BF176"/>
  <c r="Z176"/>
  <c r="AD176"/>
  <c r="AE176"/>
  <c r="AF176"/>
  <c r="AG176"/>
  <c r="AH176"/>
  <c r="AJ176"/>
  <c r="AK176"/>
  <c r="AO176"/>
  <c r="H176"/>
  <c r="AP176"/>
  <c r="BD176"/>
  <c r="BJ176"/>
  <c r="J177"/>
  <c r="AL177" s="1"/>
  <c r="L177"/>
  <c r="Z177"/>
  <c r="AD177"/>
  <c r="AE177"/>
  <c r="AF177"/>
  <c r="AG177"/>
  <c r="AH177"/>
  <c r="AJ177"/>
  <c r="AK177"/>
  <c r="AO177"/>
  <c r="H177"/>
  <c r="AP177"/>
  <c r="BI177"/>
  <c r="AC177" s="1"/>
  <c r="I177"/>
  <c r="BD177"/>
  <c r="BF177"/>
  <c r="BJ177"/>
  <c r="J178"/>
  <c r="AL178" s="1"/>
  <c r="L178"/>
  <c r="BF178"/>
  <c r="Z178"/>
  <c r="AD178"/>
  <c r="AE178"/>
  <c r="AF178"/>
  <c r="AG178"/>
  <c r="AH178"/>
  <c r="AJ178"/>
  <c r="AK178"/>
  <c r="AO178"/>
  <c r="H178" s="1"/>
  <c r="AP178"/>
  <c r="I178" s="1"/>
  <c r="BD178"/>
  <c r="BJ178"/>
  <c r="J179"/>
  <c r="AL179" s="1"/>
  <c r="L179"/>
  <c r="BF179" s="1"/>
  <c r="Z179"/>
  <c r="AD179"/>
  <c r="AE179"/>
  <c r="AF179"/>
  <c r="AG179"/>
  <c r="AH179"/>
  <c r="AJ179"/>
  <c r="AK179"/>
  <c r="AO179"/>
  <c r="BH179" s="1"/>
  <c r="AB179" s="1"/>
  <c r="AP179"/>
  <c r="AX179"/>
  <c r="BI179"/>
  <c r="AC179"/>
  <c r="BD179"/>
  <c r="BJ179"/>
  <c r="J180"/>
  <c r="AL180"/>
  <c r="L180"/>
  <c r="BF180"/>
  <c r="Z180"/>
  <c r="AD180"/>
  <c r="AE180"/>
  <c r="AF180"/>
  <c r="AG180"/>
  <c r="AH180"/>
  <c r="AJ180"/>
  <c r="AK180"/>
  <c r="AO180"/>
  <c r="AW180"/>
  <c r="AV180" s="1"/>
  <c r="AP180"/>
  <c r="AX180"/>
  <c r="BD180"/>
  <c r="BJ180"/>
  <c r="J181"/>
  <c r="AL181" s="1"/>
  <c r="L181"/>
  <c r="BF181" s="1"/>
  <c r="Z181"/>
  <c r="AD181"/>
  <c r="AE181"/>
  <c r="AF181"/>
  <c r="AG181"/>
  <c r="AH181"/>
  <c r="AJ181"/>
  <c r="AK181"/>
  <c r="AO181"/>
  <c r="AP181"/>
  <c r="BI181"/>
  <c r="AC181" s="1"/>
  <c r="AX181"/>
  <c r="BD181"/>
  <c r="BJ181"/>
  <c r="J182"/>
  <c r="AL182" s="1"/>
  <c r="L182"/>
  <c r="Z182"/>
  <c r="AD182"/>
  <c r="AE182"/>
  <c r="AF182"/>
  <c r="AG182"/>
  <c r="AH182"/>
  <c r="AJ182"/>
  <c r="AK182"/>
  <c r="AO182"/>
  <c r="H182"/>
  <c r="AP182"/>
  <c r="AX182"/>
  <c r="BD182"/>
  <c r="BF182"/>
  <c r="BJ182"/>
  <c r="J183"/>
  <c r="AL183" s="1"/>
  <c r="L183"/>
  <c r="BF183"/>
  <c r="Z183"/>
  <c r="AD183"/>
  <c r="AE183"/>
  <c r="AF183"/>
  <c r="AG183"/>
  <c r="AH183"/>
  <c r="AJ183"/>
  <c r="AK183"/>
  <c r="AO183"/>
  <c r="H183" s="1"/>
  <c r="AP183"/>
  <c r="I183" s="1"/>
  <c r="BD183"/>
  <c r="BJ183"/>
  <c r="J184"/>
  <c r="AL184" s="1"/>
  <c r="L184"/>
  <c r="BF184" s="1"/>
  <c r="Z184"/>
  <c r="AD184"/>
  <c r="AE184"/>
  <c r="AF184"/>
  <c r="AG184"/>
  <c r="AH184"/>
  <c r="AJ184"/>
  <c r="AK184"/>
  <c r="AO184"/>
  <c r="H184" s="1"/>
  <c r="AW184"/>
  <c r="AP184"/>
  <c r="AX184" s="1"/>
  <c r="BD184"/>
  <c r="BJ184"/>
  <c r="J185"/>
  <c r="AL185" s="1"/>
  <c r="L185"/>
  <c r="BF185" s="1"/>
  <c r="Z185"/>
  <c r="AD185"/>
  <c r="AE185"/>
  <c r="AF185"/>
  <c r="AG185"/>
  <c r="AH185"/>
  <c r="AJ185"/>
  <c r="AK185"/>
  <c r="AO185"/>
  <c r="AW185" s="1"/>
  <c r="AP185"/>
  <c r="BI185" s="1"/>
  <c r="AC185" s="1"/>
  <c r="BD185"/>
  <c r="BJ185"/>
  <c r="J186"/>
  <c r="AL186" s="1"/>
  <c r="L186"/>
  <c r="BF186"/>
  <c r="Z186"/>
  <c r="AD186"/>
  <c r="AE186"/>
  <c r="AF186"/>
  <c r="AG186"/>
  <c r="AH186"/>
  <c r="AJ186"/>
  <c r="AK186"/>
  <c r="AO186"/>
  <c r="AW186" s="1"/>
  <c r="AP186"/>
  <c r="I186" s="1"/>
  <c r="BD186"/>
  <c r="BJ186"/>
  <c r="J187"/>
  <c r="AL187" s="1"/>
  <c r="L187"/>
  <c r="BF187" s="1"/>
  <c r="Z187"/>
  <c r="AD187"/>
  <c r="AE187"/>
  <c r="AF187"/>
  <c r="AG187"/>
  <c r="AH187"/>
  <c r="AJ187"/>
  <c r="AK187"/>
  <c r="AO187"/>
  <c r="AP187"/>
  <c r="I187" s="1"/>
  <c r="BD187"/>
  <c r="BJ187"/>
  <c r="J188"/>
  <c r="L188"/>
  <c r="BF188" s="1"/>
  <c r="Z188"/>
  <c r="AD188"/>
  <c r="AE188"/>
  <c r="AF188"/>
  <c r="AG188"/>
  <c r="AH188"/>
  <c r="AJ188"/>
  <c r="AK188"/>
  <c r="AL188"/>
  <c r="AO188"/>
  <c r="AW188"/>
  <c r="AP188"/>
  <c r="AX188"/>
  <c r="BD188"/>
  <c r="BJ188"/>
  <c r="J189"/>
  <c r="L189"/>
  <c r="BF189" s="1"/>
  <c r="Z189"/>
  <c r="AD189"/>
  <c r="AE189"/>
  <c r="AF189"/>
  <c r="AG189"/>
  <c r="AH189"/>
  <c r="AJ189"/>
  <c r="AK189"/>
  <c r="AL189"/>
  <c r="AO189"/>
  <c r="H189"/>
  <c r="AP189"/>
  <c r="BD189"/>
  <c r="BJ189"/>
  <c r="J190"/>
  <c r="AL190" s="1"/>
  <c r="L190"/>
  <c r="BF190" s="1"/>
  <c r="Z190"/>
  <c r="AD190"/>
  <c r="AE190"/>
  <c r="AF190"/>
  <c r="AG190"/>
  <c r="AH190"/>
  <c r="AJ190"/>
  <c r="AK190"/>
  <c r="AO190"/>
  <c r="BH190" s="1"/>
  <c r="AB190" s="1"/>
  <c r="AP190"/>
  <c r="BD190"/>
  <c r="BJ190"/>
  <c r="J191"/>
  <c r="AL191" s="1"/>
  <c r="L191"/>
  <c r="BF191" s="1"/>
  <c r="Z191"/>
  <c r="AD191"/>
  <c r="AE191"/>
  <c r="AF191"/>
  <c r="AG191"/>
  <c r="AH191"/>
  <c r="AJ191"/>
  <c r="AK191"/>
  <c r="AO191"/>
  <c r="AP191"/>
  <c r="AX191"/>
  <c r="BD191"/>
  <c r="BJ191"/>
  <c r="J192"/>
  <c r="AL192" s="1"/>
  <c r="L192"/>
  <c r="BF192" s="1"/>
  <c r="Z192"/>
  <c r="AD192"/>
  <c r="AE192"/>
  <c r="AF192"/>
  <c r="AG192"/>
  <c r="AH192"/>
  <c r="AJ192"/>
  <c r="AK192"/>
  <c r="AO192"/>
  <c r="BH192" s="1"/>
  <c r="AB192" s="1"/>
  <c r="AP192"/>
  <c r="AX192"/>
  <c r="BD192"/>
  <c r="BJ192"/>
  <c r="J193"/>
  <c r="AL193"/>
  <c r="L193"/>
  <c r="BF193"/>
  <c r="Z193"/>
  <c r="AD193"/>
  <c r="AE193"/>
  <c r="AF193"/>
  <c r="AG193"/>
  <c r="AH193"/>
  <c r="AJ193"/>
  <c r="AK193"/>
  <c r="AO193"/>
  <c r="AP193"/>
  <c r="AX193" s="1"/>
  <c r="BD193"/>
  <c r="BJ193"/>
  <c r="J194"/>
  <c r="AL194" s="1"/>
  <c r="L194"/>
  <c r="BF194"/>
  <c r="Z194"/>
  <c r="AD194"/>
  <c r="AE194"/>
  <c r="AF194"/>
  <c r="AG194"/>
  <c r="AH194"/>
  <c r="AJ194"/>
  <c r="AK194"/>
  <c r="AO194"/>
  <c r="AW194" s="1"/>
  <c r="BC194" s="1"/>
  <c r="AP194"/>
  <c r="AX194"/>
  <c r="BD194"/>
  <c r="BI194"/>
  <c r="AC194" s="1"/>
  <c r="BJ194"/>
  <c r="J195"/>
  <c r="L195"/>
  <c r="BF195" s="1"/>
  <c r="Z195"/>
  <c r="AD195"/>
  <c r="AE195"/>
  <c r="AF195"/>
  <c r="AG195"/>
  <c r="AH195"/>
  <c r="AJ195"/>
  <c r="AK195"/>
  <c r="AL195"/>
  <c r="AO195"/>
  <c r="H195"/>
  <c r="AP195"/>
  <c r="BI195"/>
  <c r="AC195" s="1"/>
  <c r="BD195"/>
  <c r="BJ195"/>
  <c r="J196"/>
  <c r="AL196" s="1"/>
  <c r="L196"/>
  <c r="Z196"/>
  <c r="AD196"/>
  <c r="AE196"/>
  <c r="AF196"/>
  <c r="AG196"/>
  <c r="AH196"/>
  <c r="AJ196"/>
  <c r="AK196"/>
  <c r="AO196"/>
  <c r="H196"/>
  <c r="AP196"/>
  <c r="I196"/>
  <c r="BD196"/>
  <c r="BF196"/>
  <c r="BJ196"/>
  <c r="J197"/>
  <c r="AL197" s="1"/>
  <c r="L197"/>
  <c r="BF197" s="1"/>
  <c r="Z197"/>
  <c r="AD197"/>
  <c r="AE197"/>
  <c r="AF197"/>
  <c r="AG197"/>
  <c r="AH197"/>
  <c r="AJ197"/>
  <c r="AK197"/>
  <c r="AO197"/>
  <c r="AP197"/>
  <c r="AX197"/>
  <c r="BD197"/>
  <c r="BJ197"/>
  <c r="J198"/>
  <c r="AL198"/>
  <c r="L198"/>
  <c r="BF198"/>
  <c r="Z198"/>
  <c r="AD198"/>
  <c r="AE198"/>
  <c r="AF198"/>
  <c r="AG198"/>
  <c r="AH198"/>
  <c r="AJ198"/>
  <c r="AK198"/>
  <c r="AO198"/>
  <c r="AW198"/>
  <c r="BC198" s="1"/>
  <c r="AP198"/>
  <c r="AX198" s="1"/>
  <c r="BD198"/>
  <c r="BJ198"/>
  <c r="J199"/>
  <c r="AL199" s="1"/>
  <c r="L199"/>
  <c r="BF199"/>
  <c r="Z199"/>
  <c r="AD199"/>
  <c r="AE199"/>
  <c r="AF199"/>
  <c r="AG199"/>
  <c r="AH199"/>
  <c r="AJ199"/>
  <c r="AK199"/>
  <c r="AO199"/>
  <c r="H199" s="1"/>
  <c r="AP199"/>
  <c r="I199" s="1"/>
  <c r="AW199"/>
  <c r="AV199" s="1"/>
  <c r="AX199"/>
  <c r="BD199"/>
  <c r="BJ199"/>
  <c r="J200"/>
  <c r="AL200"/>
  <c r="L200"/>
  <c r="BF200"/>
  <c r="Z200"/>
  <c r="AD200"/>
  <c r="AE200"/>
  <c r="AF200"/>
  <c r="AG200"/>
  <c r="AH200"/>
  <c r="AJ200"/>
  <c r="AK200"/>
  <c r="AO200"/>
  <c r="H200"/>
  <c r="AP200"/>
  <c r="BI200"/>
  <c r="AC200" s="1"/>
  <c r="BD200"/>
  <c r="BJ200"/>
  <c r="J201"/>
  <c r="AL201" s="1"/>
  <c r="L201"/>
  <c r="BF201" s="1"/>
  <c r="Z201"/>
  <c r="AD201"/>
  <c r="AE201"/>
  <c r="AF201"/>
  <c r="AG201"/>
  <c r="AH201"/>
  <c r="AJ201"/>
  <c r="AK201"/>
  <c r="AO201"/>
  <c r="H201" s="1"/>
  <c r="AP201"/>
  <c r="BD201"/>
  <c r="BJ201"/>
  <c r="J204"/>
  <c r="AL204"/>
  <c r="L204"/>
  <c r="BF204"/>
  <c r="Z204"/>
  <c r="AD204"/>
  <c r="AE204"/>
  <c r="AF204"/>
  <c r="AG204"/>
  <c r="AH204"/>
  <c r="AJ204"/>
  <c r="AK204"/>
  <c r="AO204"/>
  <c r="AP204"/>
  <c r="I204" s="1"/>
  <c r="BD204"/>
  <c r="BJ204"/>
  <c r="J205"/>
  <c r="AL205" s="1"/>
  <c r="L205"/>
  <c r="BF205" s="1"/>
  <c r="Z205"/>
  <c r="AD205"/>
  <c r="AE205"/>
  <c r="AF205"/>
  <c r="AG205"/>
  <c r="AH205"/>
  <c r="AJ205"/>
  <c r="AK205"/>
  <c r="AO205"/>
  <c r="H205" s="1"/>
  <c r="AP205"/>
  <c r="BI205" s="1"/>
  <c r="AC205" s="1"/>
  <c r="BD205"/>
  <c r="BJ205"/>
  <c r="J206"/>
  <c r="AL206"/>
  <c r="L206"/>
  <c r="BF206"/>
  <c r="Z206"/>
  <c r="AD206"/>
  <c r="AE206"/>
  <c r="AF206"/>
  <c r="AG206"/>
  <c r="AH206"/>
  <c r="AJ206"/>
  <c r="AK206"/>
  <c r="AO206"/>
  <c r="AW206"/>
  <c r="AP206"/>
  <c r="I206"/>
  <c r="BD206"/>
  <c r="BJ206"/>
  <c r="J207"/>
  <c r="AL207"/>
  <c r="L207"/>
  <c r="BF207"/>
  <c r="Z207"/>
  <c r="AD207"/>
  <c r="AE207"/>
  <c r="AF207"/>
  <c r="AG207"/>
  <c r="AH207"/>
  <c r="AJ207"/>
  <c r="AK207"/>
  <c r="AO207"/>
  <c r="AW207"/>
  <c r="AP207"/>
  <c r="BI207"/>
  <c r="AC207" s="1"/>
  <c r="BD207"/>
  <c r="BJ207"/>
  <c r="J208"/>
  <c r="AL208" s="1"/>
  <c r="L208"/>
  <c r="BF208" s="1"/>
  <c r="Z208"/>
  <c r="AD208"/>
  <c r="AE208"/>
  <c r="AF208"/>
  <c r="AG208"/>
  <c r="AH208"/>
  <c r="AJ208"/>
  <c r="AK208"/>
  <c r="AO208"/>
  <c r="AW208" s="1"/>
  <c r="AP208"/>
  <c r="AX208" s="1"/>
  <c r="BD208"/>
  <c r="BJ208"/>
  <c r="J209"/>
  <c r="L209"/>
  <c r="Z209"/>
  <c r="AD209"/>
  <c r="AE209"/>
  <c r="AF209"/>
  <c r="AG209"/>
  <c r="AH209"/>
  <c r="AJ209"/>
  <c r="AK209"/>
  <c r="AL209"/>
  <c r="AO209"/>
  <c r="H209"/>
  <c r="AP209"/>
  <c r="BD209"/>
  <c r="BF209"/>
  <c r="BJ209"/>
  <c r="J211"/>
  <c r="AL211"/>
  <c r="L211"/>
  <c r="BF211"/>
  <c r="Z211"/>
  <c r="AD211"/>
  <c r="AE211"/>
  <c r="AF211"/>
  <c r="AG211"/>
  <c r="AH211"/>
  <c r="AJ211"/>
  <c r="AK211"/>
  <c r="AO211"/>
  <c r="AW211"/>
  <c r="AP211"/>
  <c r="AX211" s="1"/>
  <c r="BD211"/>
  <c r="BJ211"/>
  <c r="J214"/>
  <c r="J213" s="1"/>
  <c r="K31" i="3" s="1"/>
  <c r="N31" s="1"/>
  <c r="L214" i="1"/>
  <c r="Z214"/>
  <c r="AD214"/>
  <c r="AE214"/>
  <c r="AF214"/>
  <c r="AG214"/>
  <c r="AH214"/>
  <c r="AJ214"/>
  <c r="AS213"/>
  <c r="AK214"/>
  <c r="AT213"/>
  <c r="AO214"/>
  <c r="H214"/>
  <c r="H213" s="1"/>
  <c r="I31" i="3" s="1"/>
  <c r="AW214" i="1"/>
  <c r="AP214"/>
  <c r="BI214" s="1"/>
  <c r="AC214" s="1"/>
  <c r="BD214"/>
  <c r="BJ214"/>
  <c r="J216"/>
  <c r="L216"/>
  <c r="Z216"/>
  <c r="AD216"/>
  <c r="AE216"/>
  <c r="AF216"/>
  <c r="AG216"/>
  <c r="AH216"/>
  <c r="AJ216"/>
  <c r="AK216"/>
  <c r="AL216"/>
  <c r="AO216"/>
  <c r="BH216" s="1"/>
  <c r="AB216" s="1"/>
  <c r="AP216"/>
  <c r="AX216"/>
  <c r="AW216"/>
  <c r="BC216" s="1"/>
  <c r="BD216"/>
  <c r="BJ216"/>
  <c r="J218"/>
  <c r="L218"/>
  <c r="BF218" s="1"/>
  <c r="Z218"/>
  <c r="AD218"/>
  <c r="AE218"/>
  <c r="AF218"/>
  <c r="AG218"/>
  <c r="AH218"/>
  <c r="AJ218"/>
  <c r="AK218"/>
  <c r="AT215"/>
  <c r="AO218"/>
  <c r="BH218"/>
  <c r="AB218" s="1"/>
  <c r="AW218"/>
  <c r="AP218"/>
  <c r="AX218" s="1"/>
  <c r="BD218"/>
  <c r="BJ218"/>
  <c r="J221"/>
  <c r="L221"/>
  <c r="Z221"/>
  <c r="AD221"/>
  <c r="AE221"/>
  <c r="AF221"/>
  <c r="AG221"/>
  <c r="AH221"/>
  <c r="AJ221"/>
  <c r="AK221"/>
  <c r="AL221"/>
  <c r="AO221"/>
  <c r="BH221"/>
  <c r="AB221" s="1"/>
  <c r="AP221"/>
  <c r="BI221" s="1"/>
  <c r="AC221" s="1"/>
  <c r="BD221"/>
  <c r="BJ221"/>
  <c r="J222"/>
  <c r="L222"/>
  <c r="BF222" s="1"/>
  <c r="Z222"/>
  <c r="AD222"/>
  <c r="AE222"/>
  <c r="AF222"/>
  <c r="AG222"/>
  <c r="AH222"/>
  <c r="AJ222"/>
  <c r="AK222"/>
  <c r="AO222"/>
  <c r="AW222" s="1"/>
  <c r="AP222"/>
  <c r="AX222" s="1"/>
  <c r="BD222"/>
  <c r="BJ222"/>
  <c r="J223"/>
  <c r="AL223" s="1"/>
  <c r="L223"/>
  <c r="BF223" s="1"/>
  <c r="Z223"/>
  <c r="AD223"/>
  <c r="AE223"/>
  <c r="AF223"/>
  <c r="AG223"/>
  <c r="AH223"/>
  <c r="AJ223"/>
  <c r="AK223"/>
  <c r="AO223"/>
  <c r="AW223" s="1"/>
  <c r="AP223"/>
  <c r="BI223" s="1"/>
  <c r="AC223" s="1"/>
  <c r="BD223"/>
  <c r="BJ223"/>
  <c r="J224"/>
  <c r="L224"/>
  <c r="BF224" s="1"/>
  <c r="Z224"/>
  <c r="AD224"/>
  <c r="AE224"/>
  <c r="AF224"/>
  <c r="AG224"/>
  <c r="AH224"/>
  <c r="AJ224"/>
  <c r="AK224"/>
  <c r="AO224"/>
  <c r="BH224" s="1"/>
  <c r="AB224"/>
  <c r="AP224"/>
  <c r="BD224"/>
  <c r="BJ224"/>
  <c r="J226"/>
  <c r="L226"/>
  <c r="Z226"/>
  <c r="AD226"/>
  <c r="AE226"/>
  <c r="AF226"/>
  <c r="AG226"/>
  <c r="AH226"/>
  <c r="AJ226"/>
  <c r="AK226"/>
  <c r="AO226"/>
  <c r="AW226"/>
  <c r="AP226"/>
  <c r="AX226" s="1"/>
  <c r="BD226"/>
  <c r="BJ226"/>
  <c r="J228"/>
  <c r="AL228" s="1"/>
  <c r="L228"/>
  <c r="BF228" s="1"/>
  <c r="Z228"/>
  <c r="AD228"/>
  <c r="AE228"/>
  <c r="AF228"/>
  <c r="AG228"/>
  <c r="AH228"/>
  <c r="AJ228"/>
  <c r="AK228"/>
  <c r="AO228"/>
  <c r="BH228"/>
  <c r="AB228" s="1"/>
  <c r="AP228"/>
  <c r="BD228"/>
  <c r="BJ228"/>
  <c r="J230"/>
  <c r="AL230" s="1"/>
  <c r="L230"/>
  <c r="Z230"/>
  <c r="AD230"/>
  <c r="AE230"/>
  <c r="AF230"/>
  <c r="AG230"/>
  <c r="AH230"/>
  <c r="AJ230"/>
  <c r="AK230"/>
  <c r="AO230"/>
  <c r="BH230"/>
  <c r="AB230" s="1"/>
  <c r="AP230"/>
  <c r="AX230" s="1"/>
  <c r="AW230"/>
  <c r="BD230"/>
  <c r="BF230"/>
  <c r="BJ230"/>
  <c r="J232"/>
  <c r="AL232" s="1"/>
  <c r="L232"/>
  <c r="BF232" s="1"/>
  <c r="Z232"/>
  <c r="AD232"/>
  <c r="AE232"/>
  <c r="AF232"/>
  <c r="AG232"/>
  <c r="AH232"/>
  <c r="AJ232"/>
  <c r="AK232"/>
  <c r="AO232"/>
  <c r="AW232"/>
  <c r="AP232"/>
  <c r="AX232"/>
  <c r="BD232"/>
  <c r="BJ232"/>
  <c r="J233"/>
  <c r="AL233"/>
  <c r="L233"/>
  <c r="BF233"/>
  <c r="Z233"/>
  <c r="AD233"/>
  <c r="AE233"/>
  <c r="AF233"/>
  <c r="AG233"/>
  <c r="AH233"/>
  <c r="AJ233"/>
  <c r="AK233"/>
  <c r="AT225" s="1"/>
  <c r="AO233"/>
  <c r="AW233"/>
  <c r="BC233" s="1"/>
  <c r="AP233"/>
  <c r="AX233" s="1"/>
  <c r="BD233"/>
  <c r="BJ233"/>
  <c r="J235"/>
  <c r="AL235" s="1"/>
  <c r="L235"/>
  <c r="BF235" s="1"/>
  <c r="Z235"/>
  <c r="AD235"/>
  <c r="AE235"/>
  <c r="AF235"/>
  <c r="AG235"/>
  <c r="AH235"/>
  <c r="AJ235"/>
  <c r="AK235"/>
  <c r="AO235"/>
  <c r="AW235" s="1"/>
  <c r="AP235"/>
  <c r="AX235" s="1"/>
  <c r="BD235"/>
  <c r="BJ235"/>
  <c r="J237"/>
  <c r="AL237" s="1"/>
  <c r="L237"/>
  <c r="Z237"/>
  <c r="AD237"/>
  <c r="AE237"/>
  <c r="AF237"/>
  <c r="AG237"/>
  <c r="AH237"/>
  <c r="AJ237"/>
  <c r="AK237"/>
  <c r="AO237"/>
  <c r="AW237"/>
  <c r="AP237"/>
  <c r="AX237"/>
  <c r="BD237"/>
  <c r="BJ237"/>
  <c r="J240"/>
  <c r="AL240"/>
  <c r="L240"/>
  <c r="BF240"/>
  <c r="Z240"/>
  <c r="AD240"/>
  <c r="AE240"/>
  <c r="AF240"/>
  <c r="AG240"/>
  <c r="AH240"/>
  <c r="AJ240"/>
  <c r="AK240"/>
  <c r="AO240"/>
  <c r="H240"/>
  <c r="AP240"/>
  <c r="BI240"/>
  <c r="AC240" s="1"/>
  <c r="BD240"/>
  <c r="BJ240"/>
  <c r="J242"/>
  <c r="AL242" s="1"/>
  <c r="L242"/>
  <c r="BF242" s="1"/>
  <c r="Z242"/>
  <c r="AD242"/>
  <c r="AE242"/>
  <c r="AF242"/>
  <c r="AG242"/>
  <c r="AH242"/>
  <c r="AJ242"/>
  <c r="AK242"/>
  <c r="AO242"/>
  <c r="AP242"/>
  <c r="I242"/>
  <c r="BD242"/>
  <c r="BJ242"/>
  <c r="J244"/>
  <c r="AL244"/>
  <c r="L244"/>
  <c r="BF244"/>
  <c r="Z244"/>
  <c r="AD244"/>
  <c r="AE244"/>
  <c r="AF244"/>
  <c r="AG244"/>
  <c r="AH244"/>
  <c r="AJ244"/>
  <c r="AK244"/>
  <c r="AO244"/>
  <c r="H244"/>
  <c r="AP244"/>
  <c r="AX244"/>
  <c r="BD244"/>
  <c r="BJ244"/>
  <c r="J246"/>
  <c r="L246"/>
  <c r="BF246" s="1"/>
  <c r="Z246"/>
  <c r="AD246"/>
  <c r="AE246"/>
  <c r="AF246"/>
  <c r="AG246"/>
  <c r="AH246"/>
  <c r="AJ246"/>
  <c r="AK246"/>
  <c r="AL246"/>
  <c r="AO246"/>
  <c r="BH246"/>
  <c r="AB246" s="1"/>
  <c r="AP246"/>
  <c r="I246" s="1"/>
  <c r="BD246"/>
  <c r="BJ246"/>
  <c r="J249"/>
  <c r="AL249"/>
  <c r="L249"/>
  <c r="BF249"/>
  <c r="Z249"/>
  <c r="AD249"/>
  <c r="AE249"/>
  <c r="AF249"/>
  <c r="AG249"/>
  <c r="AH249"/>
  <c r="AJ249"/>
  <c r="AK249"/>
  <c r="AO249"/>
  <c r="AP249"/>
  <c r="AX249" s="1"/>
  <c r="BD249"/>
  <c r="BJ249"/>
  <c r="J252"/>
  <c r="AL252" s="1"/>
  <c r="L252"/>
  <c r="BF252" s="1"/>
  <c r="Z252"/>
  <c r="AD252"/>
  <c r="AE252"/>
  <c r="AF252"/>
  <c r="AG252"/>
  <c r="AH252"/>
  <c r="AJ252"/>
  <c r="AK252"/>
  <c r="AO252"/>
  <c r="AP252"/>
  <c r="BI252"/>
  <c r="AC252" s="1"/>
  <c r="BD252"/>
  <c r="BJ252"/>
  <c r="J254"/>
  <c r="AL254" s="1"/>
  <c r="L254"/>
  <c r="BF254" s="1"/>
  <c r="Z254"/>
  <c r="AD254"/>
  <c r="AE254"/>
  <c r="AF254"/>
  <c r="AG254"/>
  <c r="AH254"/>
  <c r="AJ254"/>
  <c r="AK254"/>
  <c r="AO254"/>
  <c r="H254" s="1"/>
  <c r="AP254"/>
  <c r="BD254"/>
  <c r="BJ254"/>
  <c r="J255"/>
  <c r="AL255"/>
  <c r="L255"/>
  <c r="BF255"/>
  <c r="Z255"/>
  <c r="AD255"/>
  <c r="AE255"/>
  <c r="AF255"/>
  <c r="AG255"/>
  <c r="AH255"/>
  <c r="AJ255"/>
  <c r="AK255"/>
  <c r="AO255"/>
  <c r="H255"/>
  <c r="AP255"/>
  <c r="BI255"/>
  <c r="AC255" s="1"/>
  <c r="AX255"/>
  <c r="BD255"/>
  <c r="BJ255"/>
  <c r="J256"/>
  <c r="AL256"/>
  <c r="L256"/>
  <c r="BF256"/>
  <c r="Z256"/>
  <c r="AD256"/>
  <c r="AE256"/>
  <c r="AF256"/>
  <c r="AG256"/>
  <c r="AH256"/>
  <c r="AJ256"/>
  <c r="AK256"/>
  <c r="AO256"/>
  <c r="AW256"/>
  <c r="AP256"/>
  <c r="AX256" s="1"/>
  <c r="BD256"/>
  <c r="BJ256"/>
  <c r="J257"/>
  <c r="AL257"/>
  <c r="L257"/>
  <c r="BF257"/>
  <c r="Z257"/>
  <c r="AD257"/>
  <c r="AE257"/>
  <c r="AF257"/>
  <c r="AG257"/>
  <c r="AH257"/>
  <c r="AJ257"/>
  <c r="AK257"/>
  <c r="AO257"/>
  <c r="AW257"/>
  <c r="AP257"/>
  <c r="I257"/>
  <c r="BD257"/>
  <c r="BJ257"/>
  <c r="J258"/>
  <c r="AL258"/>
  <c r="L258"/>
  <c r="Z258"/>
  <c r="AD258"/>
  <c r="AE258"/>
  <c r="AF258"/>
  <c r="AG258"/>
  <c r="AH258"/>
  <c r="AJ258"/>
  <c r="AK258"/>
  <c r="AT236"/>
  <c r="AO258"/>
  <c r="AW258"/>
  <c r="AP258"/>
  <c r="BD258"/>
  <c r="BF258"/>
  <c r="BJ258"/>
  <c r="J260"/>
  <c r="L260"/>
  <c r="Z260"/>
  <c r="AD260"/>
  <c r="AE260"/>
  <c r="AF260"/>
  <c r="AG260"/>
  <c r="AH260"/>
  <c r="AJ260"/>
  <c r="AK260"/>
  <c r="AL260"/>
  <c r="AO260"/>
  <c r="AW260" s="1"/>
  <c r="AP260"/>
  <c r="BI260" s="1"/>
  <c r="AC260"/>
  <c r="BD260"/>
  <c r="BJ260"/>
  <c r="J262"/>
  <c r="AL262"/>
  <c r="L262"/>
  <c r="BF262"/>
  <c r="Z262"/>
  <c r="AD262"/>
  <c r="AE262"/>
  <c r="AF262"/>
  <c r="AG262"/>
  <c r="AH262"/>
  <c r="AJ262"/>
  <c r="AK262"/>
  <c r="AO262"/>
  <c r="AP262"/>
  <c r="BI262" s="1"/>
  <c r="AC262" s="1"/>
  <c r="BD262"/>
  <c r="BJ262"/>
  <c r="J264"/>
  <c r="AL264"/>
  <c r="L264"/>
  <c r="BF264"/>
  <c r="Z264"/>
  <c r="AD264"/>
  <c r="AE264"/>
  <c r="AF264"/>
  <c r="AG264"/>
  <c r="AH264"/>
  <c r="AJ264"/>
  <c r="AK264"/>
  <c r="AO264"/>
  <c r="BH264"/>
  <c r="AB264" s="1"/>
  <c r="AP264"/>
  <c r="I264" s="1"/>
  <c r="AW264"/>
  <c r="BD264"/>
  <c r="BJ264"/>
  <c r="J265"/>
  <c r="AL265"/>
  <c r="L265"/>
  <c r="BF265"/>
  <c r="Z265"/>
  <c r="AD265"/>
  <c r="AE265"/>
  <c r="AF265"/>
  <c r="AG265"/>
  <c r="AH265"/>
  <c r="AJ265"/>
  <c r="AK265"/>
  <c r="AO265"/>
  <c r="H265"/>
  <c r="AP265"/>
  <c r="AX265"/>
  <c r="BD265"/>
  <c r="BJ265"/>
  <c r="J266"/>
  <c r="AL266"/>
  <c r="L266"/>
  <c r="BF266"/>
  <c r="Z266"/>
  <c r="AD266"/>
  <c r="AE266"/>
  <c r="AF266"/>
  <c r="AG266"/>
  <c r="AH266"/>
  <c r="AJ266"/>
  <c r="AK266"/>
  <c r="AO266"/>
  <c r="H266"/>
  <c r="AP266"/>
  <c r="BI266"/>
  <c r="AC266" s="1"/>
  <c r="BD266"/>
  <c r="BJ266"/>
  <c r="J267"/>
  <c r="AL267" s="1"/>
  <c r="L267"/>
  <c r="BF267" s="1"/>
  <c r="Z267"/>
  <c r="AD267"/>
  <c r="AE267"/>
  <c r="AF267"/>
  <c r="AG267"/>
  <c r="AH267"/>
  <c r="AJ267"/>
  <c r="AK267"/>
  <c r="AO267"/>
  <c r="H267" s="1"/>
  <c r="AP267"/>
  <c r="BD267"/>
  <c r="BJ267"/>
  <c r="J268"/>
  <c r="AL268"/>
  <c r="L268"/>
  <c r="BF268"/>
  <c r="Z268"/>
  <c r="AD268"/>
  <c r="AE268"/>
  <c r="AF268"/>
  <c r="AG268"/>
  <c r="AH268"/>
  <c r="AJ268"/>
  <c r="AK268"/>
  <c r="AO268"/>
  <c r="BH268"/>
  <c r="AB268" s="1"/>
  <c r="AP268"/>
  <c r="BI268" s="1"/>
  <c r="AC268" s="1"/>
  <c r="BD268"/>
  <c r="BJ268"/>
  <c r="J269"/>
  <c r="AL269"/>
  <c r="L269"/>
  <c r="BF269"/>
  <c r="Z269"/>
  <c r="AD269"/>
  <c r="AE269"/>
  <c r="AF269"/>
  <c r="AG269"/>
  <c r="AH269"/>
  <c r="AJ269"/>
  <c r="AK269"/>
  <c r="AO269"/>
  <c r="AP269"/>
  <c r="BD269"/>
  <c r="BJ269"/>
  <c r="J270"/>
  <c r="AL270"/>
  <c r="L270"/>
  <c r="BF270"/>
  <c r="Z270"/>
  <c r="AD270"/>
  <c r="AE270"/>
  <c r="AF270"/>
  <c r="AG270"/>
  <c r="AH270"/>
  <c r="AJ270"/>
  <c r="AK270"/>
  <c r="AO270"/>
  <c r="AW270"/>
  <c r="AP270"/>
  <c r="AX270"/>
  <c r="BD270"/>
  <c r="BJ270"/>
  <c r="J271"/>
  <c r="AL271"/>
  <c r="L271"/>
  <c r="Z271"/>
  <c r="AD271"/>
  <c r="AE271"/>
  <c r="AF271"/>
  <c r="AG271"/>
  <c r="AH271"/>
  <c r="AJ271"/>
  <c r="AK271"/>
  <c r="AO271"/>
  <c r="AP271"/>
  <c r="BI271"/>
  <c r="AC271" s="1"/>
  <c r="BD271"/>
  <c r="BF271"/>
  <c r="BJ271"/>
  <c r="J272"/>
  <c r="AL272"/>
  <c r="L272"/>
  <c r="BF272"/>
  <c r="Z272"/>
  <c r="AD272"/>
  <c r="AE272"/>
  <c r="AF272"/>
  <c r="AG272"/>
  <c r="AH272"/>
  <c r="AJ272"/>
  <c r="AK272"/>
  <c r="AO272"/>
  <c r="AW272"/>
  <c r="AP272"/>
  <c r="AX272"/>
  <c r="BD272"/>
  <c r="BJ272"/>
  <c r="J273"/>
  <c r="AL273"/>
  <c r="L273"/>
  <c r="BF273"/>
  <c r="Z273"/>
  <c r="AD273"/>
  <c r="AE273"/>
  <c r="AF273"/>
  <c r="AG273"/>
  <c r="AH273"/>
  <c r="AJ273"/>
  <c r="AK273"/>
  <c r="AO273"/>
  <c r="H273"/>
  <c r="AP273"/>
  <c r="BD273"/>
  <c r="BJ273"/>
  <c r="J274"/>
  <c r="AL274" s="1"/>
  <c r="L274"/>
  <c r="BF274" s="1"/>
  <c r="Z274"/>
  <c r="AD274"/>
  <c r="AE274"/>
  <c r="AF274"/>
  <c r="AG274"/>
  <c r="AH274"/>
  <c r="AJ274"/>
  <c r="AK274"/>
  <c r="AO274"/>
  <c r="BH274" s="1"/>
  <c r="AB274" s="1"/>
  <c r="AP274"/>
  <c r="BI274"/>
  <c r="AC274" s="1"/>
  <c r="AX274"/>
  <c r="BD274"/>
  <c r="BJ274"/>
  <c r="J275"/>
  <c r="AL275"/>
  <c r="L275"/>
  <c r="BF275"/>
  <c r="Z275"/>
  <c r="AD275"/>
  <c r="AE275"/>
  <c r="AF275"/>
  <c r="AG275"/>
  <c r="AH275"/>
  <c r="AJ275"/>
  <c r="AK275"/>
  <c r="AO275"/>
  <c r="AW275"/>
  <c r="AP275"/>
  <c r="BD275"/>
  <c r="BJ275"/>
  <c r="J277"/>
  <c r="AL277" s="1"/>
  <c r="L277"/>
  <c r="BF277" s="1"/>
  <c r="Z277"/>
  <c r="AD277"/>
  <c r="AE277"/>
  <c r="AF277"/>
  <c r="AG277"/>
  <c r="AH277"/>
  <c r="AJ277"/>
  <c r="AK277"/>
  <c r="AO277"/>
  <c r="AP277"/>
  <c r="AX277"/>
  <c r="BD277"/>
  <c r="BJ277"/>
  <c r="J278"/>
  <c r="AL278"/>
  <c r="L278"/>
  <c r="BF278"/>
  <c r="Z278"/>
  <c r="AD278"/>
  <c r="AE278"/>
  <c r="AF278"/>
  <c r="AG278"/>
  <c r="AH278"/>
  <c r="AJ278"/>
  <c r="AK278"/>
  <c r="AO278"/>
  <c r="AP278"/>
  <c r="AX278" s="1"/>
  <c r="BD278"/>
  <c r="BJ278"/>
  <c r="J279"/>
  <c r="AL279" s="1"/>
  <c r="L279"/>
  <c r="BF279" s="1"/>
  <c r="Z279"/>
  <c r="AD279"/>
  <c r="AE279"/>
  <c r="AF279"/>
  <c r="AG279"/>
  <c r="AH279"/>
  <c r="AJ279"/>
  <c r="AK279"/>
  <c r="AO279"/>
  <c r="AW279" s="1"/>
  <c r="AP279"/>
  <c r="BD279"/>
  <c r="BJ279"/>
  <c r="J281"/>
  <c r="AL281"/>
  <c r="L281"/>
  <c r="BF281"/>
  <c r="Z281"/>
  <c r="AD281"/>
  <c r="AE281"/>
  <c r="AF281"/>
  <c r="AG281"/>
  <c r="AH281"/>
  <c r="AJ281"/>
  <c r="AK281"/>
  <c r="AO281"/>
  <c r="BH281"/>
  <c r="AB281" s="1"/>
  <c r="AP281"/>
  <c r="BD281"/>
  <c r="BJ281"/>
  <c r="J282"/>
  <c r="AL282"/>
  <c r="L282"/>
  <c r="BF282"/>
  <c r="Z282"/>
  <c r="AD282"/>
  <c r="AE282"/>
  <c r="AF282"/>
  <c r="AG282"/>
  <c r="AH282"/>
  <c r="AJ282"/>
  <c r="AK282"/>
  <c r="AO282"/>
  <c r="AW282"/>
  <c r="AP282"/>
  <c r="BI282" s="1"/>
  <c r="AC282" s="1"/>
  <c r="BD282"/>
  <c r="BJ282"/>
  <c r="J283"/>
  <c r="AL283"/>
  <c r="L283"/>
  <c r="Z283"/>
  <c r="AD283"/>
  <c r="AE283"/>
  <c r="AF283"/>
  <c r="AG283"/>
  <c r="AH283"/>
  <c r="AJ283"/>
  <c r="AK283"/>
  <c r="AO283"/>
  <c r="H283" s="1"/>
  <c r="AP283"/>
  <c r="BD283"/>
  <c r="BF283"/>
  <c r="BJ283"/>
  <c r="J284"/>
  <c r="AL284"/>
  <c r="L284"/>
  <c r="BF284"/>
  <c r="Z284"/>
  <c r="AD284"/>
  <c r="AE284"/>
  <c r="AF284"/>
  <c r="AG284"/>
  <c r="AH284"/>
  <c r="AJ284"/>
  <c r="AK284"/>
  <c r="AO284"/>
  <c r="AP284"/>
  <c r="AX284" s="1"/>
  <c r="BD284"/>
  <c r="BJ284"/>
  <c r="J285"/>
  <c r="AL285"/>
  <c r="L285"/>
  <c r="Z285"/>
  <c r="AD285"/>
  <c r="AE285"/>
  <c r="AF285"/>
  <c r="AG285"/>
  <c r="AH285"/>
  <c r="AJ285"/>
  <c r="AK285"/>
  <c r="AO285"/>
  <c r="BH285" s="1"/>
  <c r="AB285"/>
  <c r="AP285"/>
  <c r="AX285"/>
  <c r="BD285"/>
  <c r="BF285"/>
  <c r="BJ285"/>
  <c r="J289"/>
  <c r="AL289" s="1"/>
  <c r="L289"/>
  <c r="BF289" s="1"/>
  <c r="Z289"/>
  <c r="AD289"/>
  <c r="AE289"/>
  <c r="AF289"/>
  <c r="AG289"/>
  <c r="AH289"/>
  <c r="AJ289"/>
  <c r="AK289"/>
  <c r="AO289"/>
  <c r="AW289" s="1"/>
  <c r="AP289"/>
  <c r="I289" s="1"/>
  <c r="AX289"/>
  <c r="BD289"/>
  <c r="BJ289"/>
  <c r="J292"/>
  <c r="AL292"/>
  <c r="L292"/>
  <c r="Z292"/>
  <c r="AD292"/>
  <c r="AE292"/>
  <c r="AF292"/>
  <c r="AG292"/>
  <c r="AH292"/>
  <c r="AJ292"/>
  <c r="AK292"/>
  <c r="AO292"/>
  <c r="AP292"/>
  <c r="AX292"/>
  <c r="BD292"/>
  <c r="BJ292"/>
  <c r="J293"/>
  <c r="AL293"/>
  <c r="L293"/>
  <c r="BF293"/>
  <c r="Z293"/>
  <c r="AD293"/>
  <c r="AE293"/>
  <c r="AF293"/>
  <c r="AG293"/>
  <c r="AH293"/>
  <c r="AJ293"/>
  <c r="AK293"/>
  <c r="AO293"/>
  <c r="H293"/>
  <c r="AP293"/>
  <c r="BI293"/>
  <c r="AC293" s="1"/>
  <c r="BD293"/>
  <c r="BJ293"/>
  <c r="J296"/>
  <c r="AL296" s="1"/>
  <c r="L296"/>
  <c r="BF296" s="1"/>
  <c r="Z296"/>
  <c r="AD296"/>
  <c r="AE296"/>
  <c r="AF296"/>
  <c r="AG296"/>
  <c r="AH296"/>
  <c r="AJ296"/>
  <c r="AK296"/>
  <c r="AO296"/>
  <c r="AP296"/>
  <c r="BI296"/>
  <c r="AC296" s="1"/>
  <c r="BD296"/>
  <c r="BJ296"/>
  <c r="J297"/>
  <c r="AL297" s="1"/>
  <c r="L297"/>
  <c r="BF297" s="1"/>
  <c r="Z297"/>
  <c r="AD297"/>
  <c r="AE297"/>
  <c r="AF297"/>
  <c r="AG297"/>
  <c r="AH297"/>
  <c r="AJ297"/>
  <c r="AK297"/>
  <c r="AO297"/>
  <c r="AP297"/>
  <c r="AX297"/>
  <c r="BD297"/>
  <c r="BH297"/>
  <c r="AB297" s="1"/>
  <c r="BJ297"/>
  <c r="J299"/>
  <c r="AL299"/>
  <c r="AU298" s="1"/>
  <c r="L299"/>
  <c r="L298" s="1"/>
  <c r="L38" i="3" s="1"/>
  <c r="Z299" i="1"/>
  <c r="AD299"/>
  <c r="AE299"/>
  <c r="AF299"/>
  <c r="AG299"/>
  <c r="AH299"/>
  <c r="AJ299"/>
  <c r="AS298"/>
  <c r="AK299"/>
  <c r="AT298"/>
  <c r="AO299"/>
  <c r="H299"/>
  <c r="H298" s="1"/>
  <c r="I38" i="3"/>
  <c r="AP299" i="1"/>
  <c r="I299"/>
  <c r="I298" s="1"/>
  <c r="J38" i="3" s="1"/>
  <c r="BD299" i="1"/>
  <c r="BJ299"/>
  <c r="J301"/>
  <c r="L301"/>
  <c r="BF301" s="1"/>
  <c r="Z301"/>
  <c r="AD301"/>
  <c r="AE301"/>
  <c r="AF301"/>
  <c r="AG301"/>
  <c r="AH301"/>
  <c r="AJ301"/>
  <c r="AK301"/>
  <c r="AO301"/>
  <c r="BH301"/>
  <c r="AB301" s="1"/>
  <c r="AP301"/>
  <c r="AX301" s="1"/>
  <c r="BD301"/>
  <c r="BJ301"/>
  <c r="J302"/>
  <c r="AL302"/>
  <c r="L302"/>
  <c r="BF302"/>
  <c r="Z302"/>
  <c r="AD302"/>
  <c r="AE302"/>
  <c r="AF302"/>
  <c r="AG302"/>
  <c r="AH302"/>
  <c r="AJ302"/>
  <c r="AK302"/>
  <c r="AO302"/>
  <c r="AW302"/>
  <c r="AP302"/>
  <c r="AX302"/>
  <c r="BD302"/>
  <c r="BJ302"/>
  <c r="J303"/>
  <c r="AL303" s="1"/>
  <c r="L303"/>
  <c r="BF303" s="1"/>
  <c r="Z303"/>
  <c r="AD303"/>
  <c r="AE303"/>
  <c r="AF303"/>
  <c r="AG303"/>
  <c r="AH303"/>
  <c r="AJ303"/>
  <c r="AK303"/>
  <c r="AO303"/>
  <c r="BH303" s="1"/>
  <c r="AB303"/>
  <c r="AP303"/>
  <c r="AW303"/>
  <c r="BD303"/>
  <c r="BJ303"/>
  <c r="J304"/>
  <c r="AL304"/>
  <c r="L304"/>
  <c r="BF304"/>
  <c r="Z304"/>
  <c r="AD304"/>
  <c r="AE304"/>
  <c r="AF304"/>
  <c r="AG304"/>
  <c r="AH304"/>
  <c r="AJ304"/>
  <c r="AK304"/>
  <c r="AO304"/>
  <c r="H304"/>
  <c r="AW304"/>
  <c r="AP304"/>
  <c r="BD304"/>
  <c r="BH304"/>
  <c r="AB304" s="1"/>
  <c r="BJ304"/>
  <c r="J305"/>
  <c r="AL305"/>
  <c r="L305"/>
  <c r="BF305"/>
  <c r="Z305"/>
  <c r="AD305"/>
  <c r="AE305"/>
  <c r="AF305"/>
  <c r="AG305"/>
  <c r="AH305"/>
  <c r="AJ305"/>
  <c r="AK305"/>
  <c r="AO305"/>
  <c r="BH305"/>
  <c r="AB305" s="1"/>
  <c r="AP305"/>
  <c r="I305" s="1"/>
  <c r="BD305"/>
  <c r="BJ305"/>
  <c r="J306"/>
  <c r="AL306" s="1"/>
  <c r="L306"/>
  <c r="BF306" s="1"/>
  <c r="Z306"/>
  <c r="AD306"/>
  <c r="AE306"/>
  <c r="AF306"/>
  <c r="AG306"/>
  <c r="AH306"/>
  <c r="AJ306"/>
  <c r="AK306"/>
  <c r="AO306"/>
  <c r="H306" s="1"/>
  <c r="AP306"/>
  <c r="BI306" s="1"/>
  <c r="AC306" s="1"/>
  <c r="BD306"/>
  <c r="BJ306"/>
  <c r="J307"/>
  <c r="AL307"/>
  <c r="L307"/>
  <c r="BF307"/>
  <c r="Z307"/>
  <c r="AD307"/>
  <c r="AE307"/>
  <c r="AF307"/>
  <c r="AG307"/>
  <c r="AH307"/>
  <c r="AJ307"/>
  <c r="AK307"/>
  <c r="AO307"/>
  <c r="AP307"/>
  <c r="BI307"/>
  <c r="AC307" s="1"/>
  <c r="BD307"/>
  <c r="BJ307"/>
  <c r="J308"/>
  <c r="AL308" s="1"/>
  <c r="L308"/>
  <c r="BF308"/>
  <c r="Z308"/>
  <c r="AD308"/>
  <c r="AE308"/>
  <c r="AF308"/>
  <c r="AG308"/>
  <c r="AH308"/>
  <c r="AJ308"/>
  <c r="AK308"/>
  <c r="AO308"/>
  <c r="AP308"/>
  <c r="AX308"/>
  <c r="BD308"/>
  <c r="BJ308"/>
  <c r="J310"/>
  <c r="L310"/>
  <c r="BF310" s="1"/>
  <c r="Z310"/>
  <c r="AD310"/>
  <c r="AE310"/>
  <c r="AF310"/>
  <c r="AG310"/>
  <c r="AH310"/>
  <c r="AJ310"/>
  <c r="AK310"/>
  <c r="AO310"/>
  <c r="AP310"/>
  <c r="AX310" s="1"/>
  <c r="BD310"/>
  <c r="BJ310"/>
  <c r="J311"/>
  <c r="AL311" s="1"/>
  <c r="L311"/>
  <c r="BF311"/>
  <c r="Z311"/>
  <c r="AD311"/>
  <c r="AE311"/>
  <c r="AF311"/>
  <c r="AG311"/>
  <c r="AH311"/>
  <c r="AJ311"/>
  <c r="AK311"/>
  <c r="AO311"/>
  <c r="BH311" s="1"/>
  <c r="AB311"/>
  <c r="AP311"/>
  <c r="I311"/>
  <c r="BD311"/>
  <c r="BJ311"/>
  <c r="J312"/>
  <c r="AL312"/>
  <c r="L312"/>
  <c r="Z312"/>
  <c r="AD312"/>
  <c r="AE312"/>
  <c r="AF312"/>
  <c r="AG312"/>
  <c r="AH312"/>
  <c r="AJ312"/>
  <c r="AK312"/>
  <c r="AO312"/>
  <c r="AW312" s="1"/>
  <c r="AP312"/>
  <c r="I312" s="1"/>
  <c r="BD312"/>
  <c r="BF312"/>
  <c r="BJ312"/>
  <c r="J313"/>
  <c r="AL313"/>
  <c r="L313"/>
  <c r="BF313"/>
  <c r="Z313"/>
  <c r="AD313"/>
  <c r="AE313"/>
  <c r="AF313"/>
  <c r="AG313"/>
  <c r="AH313"/>
  <c r="AJ313"/>
  <c r="AK313"/>
  <c r="AO313"/>
  <c r="AP313"/>
  <c r="BI313" s="1"/>
  <c r="AC313" s="1"/>
  <c r="BD313"/>
  <c r="BJ313"/>
  <c r="J314"/>
  <c r="L314"/>
  <c r="BF314" s="1"/>
  <c r="Z314"/>
  <c r="AD314"/>
  <c r="AE314"/>
  <c r="AF314"/>
  <c r="AG314"/>
  <c r="AH314"/>
  <c r="AJ314"/>
  <c r="AK314"/>
  <c r="AL314"/>
  <c r="AO314"/>
  <c r="BH314"/>
  <c r="AB314" s="1"/>
  <c r="AP314"/>
  <c r="BI314" s="1"/>
  <c r="AC314"/>
  <c r="BD314"/>
  <c r="BJ314"/>
  <c r="J315"/>
  <c r="AL315"/>
  <c r="L315"/>
  <c r="BF315"/>
  <c r="Z315"/>
  <c r="AD315"/>
  <c r="AE315"/>
  <c r="AF315"/>
  <c r="AG315"/>
  <c r="AH315"/>
  <c r="AJ315"/>
  <c r="AK315"/>
  <c r="AO315"/>
  <c r="AW315"/>
  <c r="AP315"/>
  <c r="BD315"/>
  <c r="BI315"/>
  <c r="AC315"/>
  <c r="BJ315"/>
  <c r="J316"/>
  <c r="L316"/>
  <c r="Z316"/>
  <c r="AD316"/>
  <c r="AE316"/>
  <c r="AF316"/>
  <c r="AG316"/>
  <c r="AH316"/>
  <c r="AJ316"/>
  <c r="AK316"/>
  <c r="AL316"/>
  <c r="AO316"/>
  <c r="AW316"/>
  <c r="AP316"/>
  <c r="BD316"/>
  <c r="BF316"/>
  <c r="BJ316"/>
  <c r="J317"/>
  <c r="AL317"/>
  <c r="L317"/>
  <c r="BF317"/>
  <c r="Z317"/>
  <c r="AD317"/>
  <c r="AE317"/>
  <c r="AF317"/>
  <c r="AG317"/>
  <c r="AH317"/>
  <c r="AJ317"/>
  <c r="AK317"/>
  <c r="AO317"/>
  <c r="AP317"/>
  <c r="AX317" s="1"/>
  <c r="BD317"/>
  <c r="BJ317"/>
  <c r="J318"/>
  <c r="AL318" s="1"/>
  <c r="L318"/>
  <c r="BF318" s="1"/>
  <c r="Z318"/>
  <c r="AD318"/>
  <c r="AE318"/>
  <c r="AF318"/>
  <c r="AG318"/>
  <c r="AH318"/>
  <c r="AJ318"/>
  <c r="AK318"/>
  <c r="AO318"/>
  <c r="AW318" s="1"/>
  <c r="AP318"/>
  <c r="BD318"/>
  <c r="BJ318"/>
  <c r="J321"/>
  <c r="AL321"/>
  <c r="L321"/>
  <c r="BF321"/>
  <c r="Z321"/>
  <c r="AD321"/>
  <c r="AE321"/>
  <c r="AF321"/>
  <c r="AG321"/>
  <c r="AH321"/>
  <c r="AJ321"/>
  <c r="AK321"/>
  <c r="AO321"/>
  <c r="AW321"/>
  <c r="AP321"/>
  <c r="I321"/>
  <c r="BD321"/>
  <c r="BJ321"/>
  <c r="J322"/>
  <c r="AL322"/>
  <c r="L322"/>
  <c r="BF322"/>
  <c r="Z322"/>
  <c r="AD322"/>
  <c r="AE322"/>
  <c r="AF322"/>
  <c r="AG322"/>
  <c r="AH322"/>
  <c r="AJ322"/>
  <c r="AK322"/>
  <c r="AO322"/>
  <c r="AP322"/>
  <c r="BI322" s="1"/>
  <c r="AC322" s="1"/>
  <c r="BD322"/>
  <c r="BJ322"/>
  <c r="J323"/>
  <c r="AL323"/>
  <c r="L323"/>
  <c r="BF323"/>
  <c r="Z323"/>
  <c r="AD323"/>
  <c r="AE323"/>
  <c r="AF323"/>
  <c r="AG323"/>
  <c r="AH323"/>
  <c r="AJ323"/>
  <c r="AK323"/>
  <c r="AO323"/>
  <c r="H323"/>
  <c r="AP323"/>
  <c r="BI323"/>
  <c r="AC323" s="1"/>
  <c r="BD323"/>
  <c r="BJ323"/>
  <c r="J324"/>
  <c r="AL324" s="1"/>
  <c r="L324"/>
  <c r="BF324" s="1"/>
  <c r="Z324"/>
  <c r="AD324"/>
  <c r="AE324"/>
  <c r="AF324"/>
  <c r="AG324"/>
  <c r="AH324"/>
  <c r="AJ324"/>
  <c r="AK324"/>
  <c r="AO324"/>
  <c r="H324" s="1"/>
  <c r="AP324"/>
  <c r="AX324" s="1"/>
  <c r="I324"/>
  <c r="BD324"/>
  <c r="BJ324"/>
  <c r="J325"/>
  <c r="AL325"/>
  <c r="L325"/>
  <c r="BF325"/>
  <c r="Z325"/>
  <c r="AD325"/>
  <c r="AE325"/>
  <c r="AF325"/>
  <c r="AG325"/>
  <c r="AH325"/>
  <c r="AJ325"/>
  <c r="AK325"/>
  <c r="AO325"/>
  <c r="AW325"/>
  <c r="AP325"/>
  <c r="BI325"/>
  <c r="AC325" s="1"/>
  <c r="BD325"/>
  <c r="BJ325"/>
  <c r="J326"/>
  <c r="AL326" s="1"/>
  <c r="L326"/>
  <c r="BF326" s="1"/>
  <c r="Z326"/>
  <c r="AD326"/>
  <c r="AE326"/>
  <c r="AF326"/>
  <c r="AG326"/>
  <c r="AH326"/>
  <c r="AJ326"/>
  <c r="AK326"/>
  <c r="AO326"/>
  <c r="AW326" s="1"/>
  <c r="AP326"/>
  <c r="AX326" s="1"/>
  <c r="BD326"/>
  <c r="BJ326"/>
  <c r="J327"/>
  <c r="AL327" s="1"/>
  <c r="L327"/>
  <c r="BF327" s="1"/>
  <c r="Z327"/>
  <c r="AD327"/>
  <c r="AE327"/>
  <c r="AF327"/>
  <c r="AG327"/>
  <c r="AH327"/>
  <c r="AJ327"/>
  <c r="AK327"/>
  <c r="AO327"/>
  <c r="AW327" s="1"/>
  <c r="AP327"/>
  <c r="BI327"/>
  <c r="AC327" s="1"/>
  <c r="BD327"/>
  <c r="BJ327"/>
  <c r="J328"/>
  <c r="AL328" s="1"/>
  <c r="L328"/>
  <c r="BF328" s="1"/>
  <c r="Z328"/>
  <c r="AD328"/>
  <c r="AE328"/>
  <c r="AF328"/>
  <c r="AG328"/>
  <c r="AH328"/>
  <c r="AJ328"/>
  <c r="AK328"/>
  <c r="AO328"/>
  <c r="H328" s="1"/>
  <c r="AP328"/>
  <c r="AX328" s="1"/>
  <c r="BD328"/>
  <c r="BJ328"/>
  <c r="J329"/>
  <c r="AL329" s="1"/>
  <c r="L329"/>
  <c r="BF329" s="1"/>
  <c r="Z329"/>
  <c r="AD329"/>
  <c r="AE329"/>
  <c r="AF329"/>
  <c r="AG329"/>
  <c r="AH329"/>
  <c r="AJ329"/>
  <c r="AK329"/>
  <c r="AO329"/>
  <c r="H329" s="1"/>
  <c r="AP329"/>
  <c r="BI329" s="1"/>
  <c r="AC329" s="1"/>
  <c r="BD329"/>
  <c r="BJ329"/>
  <c r="J330"/>
  <c r="AL330"/>
  <c r="L330"/>
  <c r="BF330"/>
  <c r="Z330"/>
  <c r="AD330"/>
  <c r="AE330"/>
  <c r="AF330"/>
  <c r="AG330"/>
  <c r="AH330"/>
  <c r="AJ330"/>
  <c r="AK330"/>
  <c r="AO330"/>
  <c r="AW330"/>
  <c r="AP330"/>
  <c r="I330"/>
  <c r="BD330"/>
  <c r="BJ330"/>
  <c r="J331"/>
  <c r="AL331"/>
  <c r="L331"/>
  <c r="BF331"/>
  <c r="Z331"/>
  <c r="AD331"/>
  <c r="AE331"/>
  <c r="AF331"/>
  <c r="AG331"/>
  <c r="AH331"/>
  <c r="AJ331"/>
  <c r="AK331"/>
  <c r="AO331"/>
  <c r="H331"/>
  <c r="AP331"/>
  <c r="AX331"/>
  <c r="BD331"/>
  <c r="BJ331"/>
  <c r="J332"/>
  <c r="AL332"/>
  <c r="L332"/>
  <c r="BF332"/>
  <c r="Z332"/>
  <c r="AD332"/>
  <c r="AE332"/>
  <c r="AF332"/>
  <c r="AG332"/>
  <c r="AH332"/>
  <c r="AJ332"/>
  <c r="AK332"/>
  <c r="AO332"/>
  <c r="BH332"/>
  <c r="AB332" s="1"/>
  <c r="AP332"/>
  <c r="AX332" s="1"/>
  <c r="BD332"/>
  <c r="BJ332"/>
  <c r="J333"/>
  <c r="AL333" s="1"/>
  <c r="L333"/>
  <c r="BF333" s="1"/>
  <c r="Z333"/>
  <c r="AD333"/>
  <c r="AE333"/>
  <c r="AF333"/>
  <c r="AG333"/>
  <c r="AH333"/>
  <c r="AJ333"/>
  <c r="AK333"/>
  <c r="AO333"/>
  <c r="AW333" s="1"/>
  <c r="AP333"/>
  <c r="AX333" s="1"/>
  <c r="BD333"/>
  <c r="BJ333"/>
  <c r="J334"/>
  <c r="AL334" s="1"/>
  <c r="L334"/>
  <c r="BF334" s="1"/>
  <c r="Z334"/>
  <c r="AD334"/>
  <c r="AE334"/>
  <c r="AF334"/>
  <c r="AG334"/>
  <c r="AH334"/>
  <c r="AJ334"/>
  <c r="AK334"/>
  <c r="AO334"/>
  <c r="AW334" s="1"/>
  <c r="AP334"/>
  <c r="BD334"/>
  <c r="BJ334"/>
  <c r="J335"/>
  <c r="AL335" s="1"/>
  <c r="L335"/>
  <c r="BF335" s="1"/>
  <c r="Z335"/>
  <c r="AD335"/>
  <c r="AE335"/>
  <c r="AF335"/>
  <c r="AG335"/>
  <c r="AH335"/>
  <c r="AJ335"/>
  <c r="AK335"/>
  <c r="AO335"/>
  <c r="AW335" s="1"/>
  <c r="AP335"/>
  <c r="BI335" s="1"/>
  <c r="AC335" s="1"/>
  <c r="BD335"/>
  <c r="BJ335"/>
  <c r="J336"/>
  <c r="AL336"/>
  <c r="L336"/>
  <c r="BF336"/>
  <c r="Z336"/>
  <c r="AD336"/>
  <c r="AE336"/>
  <c r="AF336"/>
  <c r="AG336"/>
  <c r="AH336"/>
  <c r="AJ336"/>
  <c r="AK336"/>
  <c r="AO336"/>
  <c r="BH336"/>
  <c r="AB336" s="1"/>
  <c r="AP336"/>
  <c r="BI336" s="1"/>
  <c r="AC336" s="1"/>
  <c r="BD336"/>
  <c r="BJ336"/>
  <c r="J337"/>
  <c r="AL337"/>
  <c r="L337"/>
  <c r="BF337"/>
  <c r="Z337"/>
  <c r="AD337"/>
  <c r="AE337"/>
  <c r="AF337"/>
  <c r="AG337"/>
  <c r="AH337"/>
  <c r="AJ337"/>
  <c r="AK337"/>
  <c r="AO337"/>
  <c r="AP337"/>
  <c r="AX337" s="1"/>
  <c r="BD337"/>
  <c r="BJ337"/>
  <c r="J338"/>
  <c r="AL338" s="1"/>
  <c r="L338"/>
  <c r="BF338" s="1"/>
  <c r="Z338"/>
  <c r="AD338"/>
  <c r="AE338"/>
  <c r="AF338"/>
  <c r="AG338"/>
  <c r="AH338"/>
  <c r="AJ338"/>
  <c r="AK338"/>
  <c r="AO338"/>
  <c r="BH338" s="1"/>
  <c r="AB338" s="1"/>
  <c r="AP338"/>
  <c r="AX338"/>
  <c r="BD338"/>
  <c r="BJ338"/>
  <c r="J340"/>
  <c r="AL340" s="1"/>
  <c r="L340"/>
  <c r="Z340"/>
  <c r="AD340"/>
  <c r="AE340"/>
  <c r="AF340"/>
  <c r="AG340"/>
  <c r="AH340"/>
  <c r="AJ340"/>
  <c r="AK340"/>
  <c r="AO340"/>
  <c r="H340" s="1"/>
  <c r="AP340"/>
  <c r="BI340" s="1"/>
  <c r="AC340"/>
  <c r="BD340"/>
  <c r="BJ340"/>
  <c r="J341"/>
  <c r="AL341"/>
  <c r="L341"/>
  <c r="BF341"/>
  <c r="Z341"/>
  <c r="AD341"/>
  <c r="AE341"/>
  <c r="AF341"/>
  <c r="AG341"/>
  <c r="AH341"/>
  <c r="AJ341"/>
  <c r="AK341"/>
  <c r="AO341"/>
  <c r="H341"/>
  <c r="AP341"/>
  <c r="BI341"/>
  <c r="AC341" s="1"/>
  <c r="BD341"/>
  <c r="BJ341"/>
  <c r="J342"/>
  <c r="AL342" s="1"/>
  <c r="L342"/>
  <c r="BF342" s="1"/>
  <c r="Z342"/>
  <c r="AD342"/>
  <c r="AE342"/>
  <c r="AF342"/>
  <c r="AG342"/>
  <c r="AH342"/>
  <c r="AJ342"/>
  <c r="AK342"/>
  <c r="AO342"/>
  <c r="AW342" s="1"/>
  <c r="AP342"/>
  <c r="AX342"/>
  <c r="BC342" s="1"/>
  <c r="BD342"/>
  <c r="BJ342"/>
  <c r="J344"/>
  <c r="AL344"/>
  <c r="L344"/>
  <c r="Z344"/>
  <c r="AD344"/>
  <c r="AE344"/>
  <c r="AF344"/>
  <c r="AG344"/>
  <c r="AH344"/>
  <c r="AJ344"/>
  <c r="AK344"/>
  <c r="AO344"/>
  <c r="AW344"/>
  <c r="H344"/>
  <c r="AP344"/>
  <c r="AX344" s="1"/>
  <c r="AV344"/>
  <c r="BD344"/>
  <c r="BF344"/>
  <c r="BJ344"/>
  <c r="J345"/>
  <c r="L345"/>
  <c r="Z345"/>
  <c r="AD345"/>
  <c r="AE345"/>
  <c r="AF345"/>
  <c r="AG345"/>
  <c r="AH345"/>
  <c r="AJ345"/>
  <c r="AK345"/>
  <c r="AL345"/>
  <c r="AO345"/>
  <c r="H345"/>
  <c r="AP345"/>
  <c r="AX345"/>
  <c r="BD345"/>
  <c r="BJ345"/>
  <c r="J346"/>
  <c r="AL346"/>
  <c r="L346"/>
  <c r="BF346"/>
  <c r="Z346"/>
  <c r="AD346"/>
  <c r="AE346"/>
  <c r="AF346"/>
  <c r="AG346"/>
  <c r="AH346"/>
  <c r="AJ346"/>
  <c r="AK346"/>
  <c r="AO346"/>
  <c r="BH346" s="1"/>
  <c r="AB346" s="1"/>
  <c r="AP346"/>
  <c r="AX346"/>
  <c r="BD346"/>
  <c r="BJ346"/>
  <c r="J348"/>
  <c r="J347"/>
  <c r="K44" i="3" s="1"/>
  <c r="N44" s="1"/>
  <c r="L348" i="1"/>
  <c r="BF348" s="1"/>
  <c r="AB348"/>
  <c r="AC348"/>
  <c r="AD348"/>
  <c r="AE348"/>
  <c r="AF348"/>
  <c r="AG348"/>
  <c r="AH348"/>
  <c r="AJ348"/>
  <c r="AS347"/>
  <c r="AK348"/>
  <c r="AT347"/>
  <c r="AO348"/>
  <c r="AP348"/>
  <c r="I348" s="1"/>
  <c r="I347"/>
  <c r="J44" i="3" s="1"/>
  <c r="BD348" i="1"/>
  <c r="BJ348"/>
  <c r="Z348"/>
  <c r="J350"/>
  <c r="L350"/>
  <c r="AB350"/>
  <c r="AC350"/>
  <c r="AD350"/>
  <c r="AE350"/>
  <c r="AF350"/>
  <c r="AG350"/>
  <c r="AH350"/>
  <c r="AJ350"/>
  <c r="AK350"/>
  <c r="AO350"/>
  <c r="BH350" s="1"/>
  <c r="AP350"/>
  <c r="BD350"/>
  <c r="BJ350"/>
  <c r="Z350" s="1"/>
  <c r="J351"/>
  <c r="AL351" s="1"/>
  <c r="L351"/>
  <c r="BF351" s="1"/>
  <c r="AB351"/>
  <c r="AC351"/>
  <c r="AD351"/>
  <c r="AE351"/>
  <c r="AF351"/>
  <c r="AG351"/>
  <c r="AH351"/>
  <c r="AJ351"/>
  <c r="AK351"/>
  <c r="AO351"/>
  <c r="AW351"/>
  <c r="AP351"/>
  <c r="AX351"/>
  <c r="BD351"/>
  <c r="BJ351"/>
  <c r="Z351" s="1"/>
  <c r="J352"/>
  <c r="AL352" s="1"/>
  <c r="L352"/>
  <c r="BF352" s="1"/>
  <c r="AB352"/>
  <c r="AC352"/>
  <c r="AD352"/>
  <c r="AE352"/>
  <c r="AF352"/>
  <c r="AG352"/>
  <c r="AH352"/>
  <c r="AJ352"/>
  <c r="AK352"/>
  <c r="AO352"/>
  <c r="AW352"/>
  <c r="AP352"/>
  <c r="AX352"/>
  <c r="BD352"/>
  <c r="BH352"/>
  <c r="BJ352"/>
  <c r="Z352" s="1"/>
  <c r="J353"/>
  <c r="L353"/>
  <c r="BF353"/>
  <c r="AB353"/>
  <c r="AC353"/>
  <c r="AD353"/>
  <c r="AE353"/>
  <c r="AF353"/>
  <c r="AG353"/>
  <c r="AH353"/>
  <c r="AJ353"/>
  <c r="AK353"/>
  <c r="AL353"/>
  <c r="AO353"/>
  <c r="AP353"/>
  <c r="AX353" s="1"/>
  <c r="AW353"/>
  <c r="BD353"/>
  <c r="BJ353"/>
  <c r="Z353"/>
  <c r="J354"/>
  <c r="AL354"/>
  <c r="L354"/>
  <c r="BF354"/>
  <c r="AB354"/>
  <c r="AC354"/>
  <c r="AD354"/>
  <c r="AE354"/>
  <c r="AF354"/>
  <c r="AG354"/>
  <c r="AH354"/>
  <c r="AJ354"/>
  <c r="AK354"/>
  <c r="AO354"/>
  <c r="AW354" s="1"/>
  <c r="AP354"/>
  <c r="AX354" s="1"/>
  <c r="AV354"/>
  <c r="BD354"/>
  <c r="BI354"/>
  <c r="BJ354"/>
  <c r="Z354"/>
  <c r="J355"/>
  <c r="L355"/>
  <c r="BF355" s="1"/>
  <c r="AB355"/>
  <c r="AC355"/>
  <c r="AD355"/>
  <c r="AE355"/>
  <c r="AF355"/>
  <c r="AG355"/>
  <c r="AH355"/>
  <c r="AJ355"/>
  <c r="AK355"/>
  <c r="AL355"/>
  <c r="AO355"/>
  <c r="H355" s="1"/>
  <c r="AP355"/>
  <c r="BI355" s="1"/>
  <c r="BD355"/>
  <c r="BJ355"/>
  <c r="Z355"/>
  <c r="J356"/>
  <c r="AL356"/>
  <c r="L356"/>
  <c r="AB356"/>
  <c r="AC356"/>
  <c r="AD356"/>
  <c r="AE356"/>
  <c r="AF356"/>
  <c r="AG356"/>
  <c r="AH356"/>
  <c r="AJ356"/>
  <c r="AK356"/>
  <c r="AO356"/>
  <c r="BH356"/>
  <c r="AP356"/>
  <c r="BI356"/>
  <c r="BD356"/>
  <c r="BF356"/>
  <c r="BJ356"/>
  <c r="Z356"/>
  <c r="J357"/>
  <c r="AL357"/>
  <c r="L357"/>
  <c r="BF357"/>
  <c r="AB357"/>
  <c r="AC357"/>
  <c r="AD357"/>
  <c r="AE357"/>
  <c r="AF357"/>
  <c r="AG357"/>
  <c r="AH357"/>
  <c r="AJ357"/>
  <c r="AK357"/>
  <c r="AO357"/>
  <c r="AP357"/>
  <c r="AX357" s="1"/>
  <c r="BD357"/>
  <c r="BJ357"/>
  <c r="Z357"/>
  <c r="J358"/>
  <c r="AL358"/>
  <c r="L358"/>
  <c r="BF358"/>
  <c r="AB358"/>
  <c r="AC358"/>
  <c r="AD358"/>
  <c r="AE358"/>
  <c r="AF358"/>
  <c r="AG358"/>
  <c r="AH358"/>
  <c r="AJ358"/>
  <c r="AK358"/>
  <c r="AO358"/>
  <c r="AW358" s="1"/>
  <c r="AP358"/>
  <c r="I358" s="1"/>
  <c r="BD358"/>
  <c r="BJ358"/>
  <c r="Z358"/>
  <c r="J359"/>
  <c r="L359"/>
  <c r="BF359" s="1"/>
  <c r="AB359"/>
  <c r="AC359"/>
  <c r="AD359"/>
  <c r="AE359"/>
  <c r="AF359"/>
  <c r="AG359"/>
  <c r="AH359"/>
  <c r="AJ359"/>
  <c r="AK359"/>
  <c r="AL359"/>
  <c r="AO359"/>
  <c r="H359" s="1"/>
  <c r="BH359"/>
  <c r="AP359"/>
  <c r="AW359"/>
  <c r="BD359"/>
  <c r="BJ359"/>
  <c r="Z359" s="1"/>
  <c r="J362"/>
  <c r="AL362" s="1"/>
  <c r="L362"/>
  <c r="BF362" s="1"/>
  <c r="Z362"/>
  <c r="AB362"/>
  <c r="AC362"/>
  <c r="AF362"/>
  <c r="AG362"/>
  <c r="AH362"/>
  <c r="AJ362"/>
  <c r="AK362"/>
  <c r="AO362"/>
  <c r="AW362" s="1"/>
  <c r="AP362"/>
  <c r="AX362" s="1"/>
  <c r="BD362"/>
  <c r="BJ362"/>
  <c r="J363"/>
  <c r="AL363" s="1"/>
  <c r="L363"/>
  <c r="BF363" s="1"/>
  <c r="Z363"/>
  <c r="AB363"/>
  <c r="AC363"/>
  <c r="AF363"/>
  <c r="AG363"/>
  <c r="AH363"/>
  <c r="AJ363"/>
  <c r="AK363"/>
  <c r="AO363"/>
  <c r="AW363" s="1"/>
  <c r="AP363"/>
  <c r="BI363"/>
  <c r="AE363" s="1"/>
  <c r="BD363"/>
  <c r="BJ363"/>
  <c r="J364"/>
  <c r="AL364" s="1"/>
  <c r="L364"/>
  <c r="BF364" s="1"/>
  <c r="Z364"/>
  <c r="AB364"/>
  <c r="AC364"/>
  <c r="AF364"/>
  <c r="AG364"/>
  <c r="AH364"/>
  <c r="AJ364"/>
  <c r="AK364"/>
  <c r="AO364"/>
  <c r="AP364"/>
  <c r="AX364"/>
  <c r="BD364"/>
  <c r="BJ364"/>
  <c r="J365"/>
  <c r="AL365" s="1"/>
  <c r="L365"/>
  <c r="BF365" s="1"/>
  <c r="Z365"/>
  <c r="AB365"/>
  <c r="AC365"/>
  <c r="AF365"/>
  <c r="AG365"/>
  <c r="AH365"/>
  <c r="AJ365"/>
  <c r="AK365"/>
  <c r="AO365"/>
  <c r="H365" s="1"/>
  <c r="AP365"/>
  <c r="I365" s="1"/>
  <c r="AW365"/>
  <c r="BD365"/>
  <c r="BH365"/>
  <c r="AD365" s="1"/>
  <c r="BJ365"/>
  <c r="J366"/>
  <c r="AL366"/>
  <c r="L366"/>
  <c r="BF366"/>
  <c r="Z366"/>
  <c r="AB366"/>
  <c r="AC366"/>
  <c r="AF366"/>
  <c r="AG366"/>
  <c r="AH366"/>
  <c r="AJ366"/>
  <c r="AK366"/>
  <c r="AO366"/>
  <c r="AW366"/>
  <c r="AP366"/>
  <c r="BI366"/>
  <c r="AE366" s="1"/>
  <c r="BD366"/>
  <c r="BJ366"/>
  <c r="J368"/>
  <c r="AL368" s="1"/>
  <c r="L368"/>
  <c r="BF368" s="1"/>
  <c r="Z368"/>
  <c r="AB368"/>
  <c r="AC368"/>
  <c r="AF368"/>
  <c r="AG368"/>
  <c r="AH368"/>
  <c r="AJ368"/>
  <c r="AK368"/>
  <c r="AO368"/>
  <c r="BH368" s="1"/>
  <c r="AD368"/>
  <c r="AP368"/>
  <c r="AW368"/>
  <c r="BD368"/>
  <c r="BJ368"/>
  <c r="J369"/>
  <c r="AL369" s="1"/>
  <c r="L369"/>
  <c r="BF369" s="1"/>
  <c r="Z369"/>
  <c r="AB369"/>
  <c r="AC369"/>
  <c r="AF369"/>
  <c r="AG369"/>
  <c r="AH369"/>
  <c r="AJ369"/>
  <c r="AK369"/>
  <c r="AO369"/>
  <c r="BH369" s="1"/>
  <c r="AD369"/>
  <c r="AP369"/>
  <c r="AX369"/>
  <c r="BD369"/>
  <c r="BJ369"/>
  <c r="J370"/>
  <c r="AL370"/>
  <c r="L370"/>
  <c r="BF370"/>
  <c r="Z370"/>
  <c r="AB370"/>
  <c r="AC370"/>
  <c r="AF370"/>
  <c r="AG370"/>
  <c r="AH370"/>
  <c r="AJ370"/>
  <c r="AK370"/>
  <c r="AO370"/>
  <c r="H370"/>
  <c r="AP370"/>
  <c r="AX370"/>
  <c r="BD370"/>
  <c r="BJ370"/>
  <c r="J371"/>
  <c r="AL371" s="1"/>
  <c r="L371"/>
  <c r="BF371" s="1"/>
  <c r="Z371"/>
  <c r="AB371"/>
  <c r="AC371"/>
  <c r="AF371"/>
  <c r="AG371"/>
  <c r="AH371"/>
  <c r="AJ371"/>
  <c r="AK371"/>
  <c r="AO371"/>
  <c r="AP371"/>
  <c r="BD371"/>
  <c r="BI371"/>
  <c r="AE371" s="1"/>
  <c r="BJ371"/>
  <c r="J372"/>
  <c r="AL372"/>
  <c r="L372"/>
  <c r="BF372"/>
  <c r="Z372"/>
  <c r="AB372"/>
  <c r="AC372"/>
  <c r="AF372"/>
  <c r="AG372"/>
  <c r="AH372"/>
  <c r="AJ372"/>
  <c r="AK372"/>
  <c r="AO372"/>
  <c r="AP372"/>
  <c r="AX372" s="1"/>
  <c r="BD372"/>
  <c r="BJ372"/>
  <c r="J373"/>
  <c r="AL373"/>
  <c r="L373"/>
  <c r="BF373"/>
  <c r="Z373"/>
  <c r="AB373"/>
  <c r="AC373"/>
  <c r="AF373"/>
  <c r="AG373"/>
  <c r="AH373"/>
  <c r="AJ373"/>
  <c r="AK373"/>
  <c r="AO373"/>
  <c r="AP373"/>
  <c r="I373" s="1"/>
  <c r="BD373"/>
  <c r="BJ373"/>
  <c r="J374"/>
  <c r="AL374" s="1"/>
  <c r="L374"/>
  <c r="BF374" s="1"/>
  <c r="Z374"/>
  <c r="AB374"/>
  <c r="AC374"/>
  <c r="AF374"/>
  <c r="AG374"/>
  <c r="AH374"/>
  <c r="AJ374"/>
  <c r="AK374"/>
  <c r="AO374"/>
  <c r="BH374" s="1"/>
  <c r="AD374"/>
  <c r="AP374"/>
  <c r="AW374"/>
  <c r="BD374"/>
  <c r="BJ374"/>
  <c r="J376"/>
  <c r="AL376"/>
  <c r="L376"/>
  <c r="BF376"/>
  <c r="Z376"/>
  <c r="AB376"/>
  <c r="AC376"/>
  <c r="AF376"/>
  <c r="AG376"/>
  <c r="AH376"/>
  <c r="AJ376"/>
  <c r="AK376"/>
  <c r="AO376"/>
  <c r="BH376"/>
  <c r="AD376" s="1"/>
  <c r="AP376"/>
  <c r="BI376" s="1"/>
  <c r="AE376"/>
  <c r="BD376"/>
  <c r="BJ376"/>
  <c r="J377"/>
  <c r="AL377"/>
  <c r="L377"/>
  <c r="Z377"/>
  <c r="AB377"/>
  <c r="AC377"/>
  <c r="AF377"/>
  <c r="AG377"/>
  <c r="AH377"/>
  <c r="AJ377"/>
  <c r="AK377"/>
  <c r="AO377"/>
  <c r="H377" s="1"/>
  <c r="AP377"/>
  <c r="BD377"/>
  <c r="BF377"/>
  <c r="BJ377"/>
  <c r="J378"/>
  <c r="AL378" s="1"/>
  <c r="L378"/>
  <c r="BF378" s="1"/>
  <c r="Z378"/>
  <c r="AB378"/>
  <c r="AC378"/>
  <c r="AF378"/>
  <c r="AG378"/>
  <c r="AH378"/>
  <c r="AJ378"/>
  <c r="AK378"/>
  <c r="AO378"/>
  <c r="H378"/>
  <c r="AP378"/>
  <c r="AX378"/>
  <c r="BD378"/>
  <c r="BJ378"/>
  <c r="J380"/>
  <c r="AL380"/>
  <c r="L380"/>
  <c r="Z380"/>
  <c r="AB380"/>
  <c r="AC380"/>
  <c r="AF380"/>
  <c r="AG380"/>
  <c r="AH380"/>
  <c r="AJ380"/>
  <c r="AK380"/>
  <c r="AO380"/>
  <c r="H380" s="1"/>
  <c r="AP380"/>
  <c r="AX380" s="1"/>
  <c r="BD380"/>
  <c r="BF380"/>
  <c r="BJ380"/>
  <c r="J381"/>
  <c r="AL381"/>
  <c r="L381"/>
  <c r="BF381"/>
  <c r="Z381"/>
  <c r="AB381"/>
  <c r="AC381"/>
  <c r="AF381"/>
  <c r="AG381"/>
  <c r="AH381"/>
  <c r="AJ381"/>
  <c r="AK381"/>
  <c r="AO381"/>
  <c r="BH381"/>
  <c r="AD381" s="1"/>
  <c r="AP381"/>
  <c r="BI381" s="1"/>
  <c r="AE381"/>
  <c r="BD381"/>
  <c r="BJ381"/>
  <c r="J383"/>
  <c r="AL383"/>
  <c r="L383"/>
  <c r="BF383"/>
  <c r="Z383"/>
  <c r="AB383"/>
  <c r="AC383"/>
  <c r="AF383"/>
  <c r="AG383"/>
  <c r="AH383"/>
  <c r="AJ383"/>
  <c r="AK383"/>
  <c r="AO383"/>
  <c r="H383"/>
  <c r="AP383"/>
  <c r="BD383"/>
  <c r="BJ383"/>
  <c r="J384"/>
  <c r="AL384" s="1"/>
  <c r="L384"/>
  <c r="BF384" s="1"/>
  <c r="Z384"/>
  <c r="AB384"/>
  <c r="AC384"/>
  <c r="AF384"/>
  <c r="AG384"/>
  <c r="AH384"/>
  <c r="AJ384"/>
  <c r="AK384"/>
  <c r="AO384"/>
  <c r="BH384" s="1"/>
  <c r="AD384" s="1"/>
  <c r="AP384"/>
  <c r="I384"/>
  <c r="BD384"/>
  <c r="BJ384"/>
  <c r="J385"/>
  <c r="AL385"/>
  <c r="L385"/>
  <c r="BF385"/>
  <c r="Z385"/>
  <c r="AB385"/>
  <c r="AC385"/>
  <c r="AF385"/>
  <c r="AG385"/>
  <c r="AH385"/>
  <c r="AJ385"/>
  <c r="AK385"/>
  <c r="AO385"/>
  <c r="H385"/>
  <c r="AP385"/>
  <c r="I385"/>
  <c r="BD385"/>
  <c r="BJ385"/>
  <c r="J387"/>
  <c r="AL387"/>
  <c r="L387"/>
  <c r="BF387"/>
  <c r="Z387"/>
  <c r="AB387"/>
  <c r="AC387"/>
  <c r="AF387"/>
  <c r="AG387"/>
  <c r="AH387"/>
  <c r="AJ387"/>
  <c r="AK387"/>
  <c r="AO387"/>
  <c r="H387"/>
  <c r="AP387"/>
  <c r="AX387"/>
  <c r="BD387"/>
  <c r="BH387"/>
  <c r="AD387" s="1"/>
  <c r="BJ387"/>
  <c r="J388"/>
  <c r="AL388"/>
  <c r="L388"/>
  <c r="BF388"/>
  <c r="Z388"/>
  <c r="AB388"/>
  <c r="AC388"/>
  <c r="AF388"/>
  <c r="AG388"/>
  <c r="AH388"/>
  <c r="AJ388"/>
  <c r="AK388"/>
  <c r="AO388"/>
  <c r="AW388"/>
  <c r="AP388"/>
  <c r="BD388"/>
  <c r="BH388"/>
  <c r="AD388"/>
  <c r="BJ388"/>
  <c r="J390"/>
  <c r="AL390" s="1"/>
  <c r="L390"/>
  <c r="BF390" s="1"/>
  <c r="Z390"/>
  <c r="AB390"/>
  <c r="AC390"/>
  <c r="AF390"/>
  <c r="AG390"/>
  <c r="AH390"/>
  <c r="AJ390"/>
  <c r="AK390"/>
  <c r="AO390"/>
  <c r="AW390" s="1"/>
  <c r="AP390"/>
  <c r="AX390" s="1"/>
  <c r="BD390"/>
  <c r="BJ390"/>
  <c r="J391"/>
  <c r="AL391" s="1"/>
  <c r="L391"/>
  <c r="BF391" s="1"/>
  <c r="Z391"/>
  <c r="AB391"/>
  <c r="AC391"/>
  <c r="AF391"/>
  <c r="AG391"/>
  <c r="AH391"/>
  <c r="AJ391"/>
  <c r="AK391"/>
  <c r="AO391"/>
  <c r="H391" s="1"/>
  <c r="AP391"/>
  <c r="I391" s="1"/>
  <c r="BD391"/>
  <c r="BJ391"/>
  <c r="J392"/>
  <c r="AL392" s="1"/>
  <c r="L392"/>
  <c r="BF392" s="1"/>
  <c r="Z392"/>
  <c r="AB392"/>
  <c r="AC392"/>
  <c r="AF392"/>
  <c r="AG392"/>
  <c r="AH392"/>
  <c r="AJ392"/>
  <c r="AK392"/>
  <c r="AO392"/>
  <c r="H392" s="1"/>
  <c r="AP392"/>
  <c r="AX392" s="1"/>
  <c r="BD392"/>
  <c r="BJ392"/>
  <c r="I393"/>
  <c r="J393"/>
  <c r="L393"/>
  <c r="BF393" s="1"/>
  <c r="Z393"/>
  <c r="AB393"/>
  <c r="AC393"/>
  <c r="AF393"/>
  <c r="AG393"/>
  <c r="AH393"/>
  <c r="AJ393"/>
  <c r="AK393"/>
  <c r="AL393"/>
  <c r="AO393"/>
  <c r="AW393"/>
  <c r="AP393"/>
  <c r="BI393"/>
  <c r="AE393" s="1"/>
  <c r="AX393"/>
  <c r="BD393"/>
  <c r="BJ393"/>
  <c r="J395"/>
  <c r="AL395" s="1"/>
  <c r="L395"/>
  <c r="BF395" s="1"/>
  <c r="Z395"/>
  <c r="AB395"/>
  <c r="AC395"/>
  <c r="AF395"/>
  <c r="AG395"/>
  <c r="AH395"/>
  <c r="AJ395"/>
  <c r="AK395"/>
  <c r="AO395"/>
  <c r="H395" s="1"/>
  <c r="AP395"/>
  <c r="BI395" s="1"/>
  <c r="AE395" s="1"/>
  <c r="BD395"/>
  <c r="BJ395"/>
  <c r="J397"/>
  <c r="AL397"/>
  <c r="L397"/>
  <c r="BF397"/>
  <c r="AB397"/>
  <c r="AC397"/>
  <c r="AD397"/>
  <c r="AE397"/>
  <c r="AF397"/>
  <c r="AG397"/>
  <c r="AH397"/>
  <c r="AJ397"/>
  <c r="AK397"/>
  <c r="AO397"/>
  <c r="BH397" s="1"/>
  <c r="AP397"/>
  <c r="BI397" s="1"/>
  <c r="BD397"/>
  <c r="BJ397"/>
  <c r="Z397"/>
  <c r="J399"/>
  <c r="L399"/>
  <c r="BF399" s="1"/>
  <c r="Z399"/>
  <c r="AB399"/>
  <c r="AC399"/>
  <c r="AF399"/>
  <c r="AG399"/>
  <c r="AH399"/>
  <c r="AJ399"/>
  <c r="AK399"/>
  <c r="AO399"/>
  <c r="AW399" s="1"/>
  <c r="AP399"/>
  <c r="BI399" s="1"/>
  <c r="AE399"/>
  <c r="BD399"/>
  <c r="BJ399"/>
  <c r="J401"/>
  <c r="AL401"/>
  <c r="L401"/>
  <c r="BF401"/>
  <c r="Z401"/>
  <c r="AB401"/>
  <c r="AC401"/>
  <c r="AF401"/>
  <c r="AG401"/>
  <c r="AH401"/>
  <c r="AJ401"/>
  <c r="AK401"/>
  <c r="AO401"/>
  <c r="H401"/>
  <c r="AP401"/>
  <c r="I401"/>
  <c r="BD401"/>
  <c r="BJ401"/>
  <c r="J403"/>
  <c r="AL403"/>
  <c r="L403"/>
  <c r="BF403"/>
  <c r="Z403"/>
  <c r="AB403"/>
  <c r="AC403"/>
  <c r="AF403"/>
  <c r="AG403"/>
  <c r="AH403"/>
  <c r="AJ403"/>
  <c r="AK403"/>
  <c r="AO403"/>
  <c r="H403"/>
  <c r="AP403"/>
  <c r="BI403"/>
  <c r="AE403" s="1"/>
  <c r="BD403"/>
  <c r="BJ403"/>
  <c r="J405"/>
  <c r="AL405" s="1"/>
  <c r="L405"/>
  <c r="BF405" s="1"/>
  <c r="Z405"/>
  <c r="AB405"/>
  <c r="AC405"/>
  <c r="AF405"/>
  <c r="AG405"/>
  <c r="AH405"/>
  <c r="AJ405"/>
  <c r="AK405"/>
  <c r="AO405"/>
  <c r="AP405"/>
  <c r="AX405"/>
  <c r="BD405"/>
  <c r="BH405"/>
  <c r="AD405" s="1"/>
  <c r="BJ405"/>
  <c r="J407"/>
  <c r="AL407"/>
  <c r="L407"/>
  <c r="BF407"/>
  <c r="Z407"/>
  <c r="AB407"/>
  <c r="AC407"/>
  <c r="AF407"/>
  <c r="AG407"/>
  <c r="AH407"/>
  <c r="AJ407"/>
  <c r="AK407"/>
  <c r="AO407"/>
  <c r="H407"/>
  <c r="AP407"/>
  <c r="I407"/>
  <c r="BD407"/>
  <c r="BJ407"/>
  <c r="J409"/>
  <c r="AL409"/>
  <c r="L409"/>
  <c r="BF409"/>
  <c r="Z409"/>
  <c r="AB409"/>
  <c r="AC409"/>
  <c r="AF409"/>
  <c r="AG409"/>
  <c r="AH409"/>
  <c r="AJ409"/>
  <c r="AK409"/>
  <c r="AO409"/>
  <c r="BH409"/>
  <c r="AD409" s="1"/>
  <c r="AP409"/>
  <c r="BI409" s="1"/>
  <c r="AE409"/>
  <c r="BD409"/>
  <c r="BJ409"/>
  <c r="J410"/>
  <c r="AL410"/>
  <c r="L410"/>
  <c r="BF410"/>
  <c r="Z410"/>
  <c r="AB410"/>
  <c r="AC410"/>
  <c r="AF410"/>
  <c r="AG410"/>
  <c r="AH410"/>
  <c r="AJ410"/>
  <c r="AK410"/>
  <c r="AO410"/>
  <c r="H410"/>
  <c r="AP410"/>
  <c r="AW410"/>
  <c r="BD410"/>
  <c r="BJ410"/>
  <c r="J411"/>
  <c r="AL411" s="1"/>
  <c r="L411"/>
  <c r="BF411" s="1"/>
  <c r="Z411"/>
  <c r="AB411"/>
  <c r="AC411"/>
  <c r="AF411"/>
  <c r="AG411"/>
  <c r="AH411"/>
  <c r="AJ411"/>
  <c r="AK411"/>
  <c r="AO411"/>
  <c r="H411" s="1"/>
  <c r="AP411"/>
  <c r="AX411" s="1"/>
  <c r="BD411"/>
  <c r="BJ411"/>
  <c r="J412"/>
  <c r="AL412" s="1"/>
  <c r="L412"/>
  <c r="Z412"/>
  <c r="AB412"/>
  <c r="AC412"/>
  <c r="AF412"/>
  <c r="AG412"/>
  <c r="AH412"/>
  <c r="AJ412"/>
  <c r="AK412"/>
  <c r="AO412"/>
  <c r="AW412"/>
  <c r="AP412"/>
  <c r="AX412"/>
  <c r="BD412"/>
  <c r="BF412"/>
  <c r="BJ412"/>
  <c r="J413"/>
  <c r="AL413" s="1"/>
  <c r="L413"/>
  <c r="Z413"/>
  <c r="AB413"/>
  <c r="AC413"/>
  <c r="AF413"/>
  <c r="AG413"/>
  <c r="AH413"/>
  <c r="AJ413"/>
  <c r="AK413"/>
  <c r="AO413"/>
  <c r="AW413"/>
  <c r="AP413"/>
  <c r="I413"/>
  <c r="BD413"/>
  <c r="BF413"/>
  <c r="BJ413"/>
  <c r="J415"/>
  <c r="AL415" s="1"/>
  <c r="L415"/>
  <c r="BF415" s="1"/>
  <c r="Z415"/>
  <c r="AB415"/>
  <c r="AC415"/>
  <c r="AF415"/>
  <c r="AG415"/>
  <c r="AH415"/>
  <c r="AJ415"/>
  <c r="AK415"/>
  <c r="AO415"/>
  <c r="H415"/>
  <c r="AP415"/>
  <c r="AX415"/>
  <c r="BD415"/>
  <c r="BJ415"/>
  <c r="J416"/>
  <c r="L416"/>
  <c r="BF416" s="1"/>
  <c r="Z416"/>
  <c r="AB416"/>
  <c r="AC416"/>
  <c r="AF416"/>
  <c r="AG416"/>
  <c r="AH416"/>
  <c r="AJ416"/>
  <c r="AK416"/>
  <c r="AL416"/>
  <c r="AO416"/>
  <c r="AW416" s="1"/>
  <c r="AV416" s="1"/>
  <c r="AP416"/>
  <c r="I416"/>
  <c r="BD416"/>
  <c r="BJ416"/>
  <c r="J418"/>
  <c r="L418"/>
  <c r="Z418"/>
  <c r="AB418"/>
  <c r="AC418"/>
  <c r="AF418"/>
  <c r="AG418"/>
  <c r="AH418"/>
  <c r="AJ418"/>
  <c r="AK418"/>
  <c r="AL418"/>
  <c r="AO418"/>
  <c r="AW418"/>
  <c r="AP418"/>
  <c r="BI418"/>
  <c r="AE418" s="1"/>
  <c r="I418"/>
  <c r="BD418"/>
  <c r="BF418"/>
  <c r="BJ418"/>
  <c r="J421"/>
  <c r="AL421" s="1"/>
  <c r="L421"/>
  <c r="BF421" s="1"/>
  <c r="Z421"/>
  <c r="AB421"/>
  <c r="AC421"/>
  <c r="AF421"/>
  <c r="AG421"/>
  <c r="AH421"/>
  <c r="AJ421"/>
  <c r="AK421"/>
  <c r="AO421"/>
  <c r="AP421"/>
  <c r="AX421" s="1"/>
  <c r="BD421"/>
  <c r="BJ421"/>
  <c r="J424"/>
  <c r="AL424" s="1"/>
  <c r="L424"/>
  <c r="AB424"/>
  <c r="AC424"/>
  <c r="AD424"/>
  <c r="AE424"/>
  <c r="AF424"/>
  <c r="AG424"/>
  <c r="AH424"/>
  <c r="AJ424"/>
  <c r="AK424"/>
  <c r="AO424"/>
  <c r="AW424" s="1"/>
  <c r="AP424"/>
  <c r="I424"/>
  <c r="BD424"/>
  <c r="BJ424"/>
  <c r="Z424"/>
  <c r="J426"/>
  <c r="AL426"/>
  <c r="L426"/>
  <c r="BF426"/>
  <c r="Z426"/>
  <c r="AB426"/>
  <c r="AC426"/>
  <c r="AF426"/>
  <c r="AG426"/>
  <c r="AH426"/>
  <c r="AJ426"/>
  <c r="AK426"/>
  <c r="AO426"/>
  <c r="AW426"/>
  <c r="AP426"/>
  <c r="BI426"/>
  <c r="AE426" s="1"/>
  <c r="BD426"/>
  <c r="BJ426"/>
  <c r="J427"/>
  <c r="AL427" s="1"/>
  <c r="L427"/>
  <c r="BF427" s="1"/>
  <c r="Z427"/>
  <c r="AB427"/>
  <c r="AC427"/>
  <c r="AF427"/>
  <c r="AG427"/>
  <c r="AH427"/>
  <c r="AJ427"/>
  <c r="AK427"/>
  <c r="AO427"/>
  <c r="H427" s="1"/>
  <c r="BH427"/>
  <c r="AD427" s="1"/>
  <c r="AP427"/>
  <c r="BD427"/>
  <c r="BJ427"/>
  <c r="J428"/>
  <c r="AL428"/>
  <c r="L428"/>
  <c r="Z428"/>
  <c r="AB428"/>
  <c r="AC428"/>
  <c r="AF428"/>
  <c r="AG428"/>
  <c r="AH428"/>
  <c r="AJ428"/>
  <c r="AK428"/>
  <c r="AO428"/>
  <c r="AW428" s="1"/>
  <c r="BC428"/>
  <c r="AP428"/>
  <c r="BI428"/>
  <c r="AE428" s="1"/>
  <c r="AX428"/>
  <c r="BD428"/>
  <c r="BJ428"/>
  <c r="J429"/>
  <c r="AL429"/>
  <c r="L429"/>
  <c r="BF429"/>
  <c r="Z429"/>
  <c r="AB429"/>
  <c r="AC429"/>
  <c r="AF429"/>
  <c r="AG429"/>
  <c r="AH429"/>
  <c r="AJ429"/>
  <c r="AK429"/>
  <c r="AO429"/>
  <c r="BH429"/>
  <c r="AD429" s="1"/>
  <c r="AP429"/>
  <c r="AX429" s="1"/>
  <c r="BD429"/>
  <c r="BJ429"/>
  <c r="J430"/>
  <c r="AL430" s="1"/>
  <c r="L430"/>
  <c r="BF430" s="1"/>
  <c r="Z430"/>
  <c r="AB430"/>
  <c r="AC430"/>
  <c r="AF430"/>
  <c r="AG430"/>
  <c r="AH430"/>
  <c r="AJ430"/>
  <c r="AK430"/>
  <c r="AO430"/>
  <c r="AW430" s="1"/>
  <c r="AP430"/>
  <c r="BD430"/>
  <c r="BJ430"/>
  <c r="J431"/>
  <c r="AL431" s="1"/>
  <c r="L431"/>
  <c r="BF431" s="1"/>
  <c r="Z431"/>
  <c r="AB431"/>
  <c r="AC431"/>
  <c r="AF431"/>
  <c r="AG431"/>
  <c r="AH431"/>
  <c r="AJ431"/>
  <c r="AK431"/>
  <c r="AO431"/>
  <c r="AP431"/>
  <c r="AX431" s="1"/>
  <c r="BD431"/>
  <c r="BJ431"/>
  <c r="J432"/>
  <c r="AL432"/>
  <c r="L432"/>
  <c r="BF432"/>
  <c r="Z432"/>
  <c r="AB432"/>
  <c r="AC432"/>
  <c r="AF432"/>
  <c r="AG432"/>
  <c r="AH432"/>
  <c r="AJ432"/>
  <c r="AK432"/>
  <c r="AO432"/>
  <c r="H432"/>
  <c r="AP432"/>
  <c r="BI432"/>
  <c r="AE432" s="1"/>
  <c r="BD432"/>
  <c r="BJ432"/>
  <c r="J433"/>
  <c r="AL433" s="1"/>
  <c r="L433"/>
  <c r="BF433" s="1"/>
  <c r="Z433"/>
  <c r="AB433"/>
  <c r="AC433"/>
  <c r="AF433"/>
  <c r="AG433"/>
  <c r="AH433"/>
  <c r="AJ433"/>
  <c r="AK433"/>
  <c r="AO433"/>
  <c r="H433" s="1"/>
  <c r="AP433"/>
  <c r="I433" s="1"/>
  <c r="BD433"/>
  <c r="BJ433"/>
  <c r="J435"/>
  <c r="AL435" s="1"/>
  <c r="L435"/>
  <c r="BF435"/>
  <c r="Z435"/>
  <c r="AB435"/>
  <c r="AC435"/>
  <c r="AF435"/>
  <c r="AG435"/>
  <c r="AH435"/>
  <c r="AJ435"/>
  <c r="AK435"/>
  <c r="AO435"/>
  <c r="AW435" s="1"/>
  <c r="AP435"/>
  <c r="AX435"/>
  <c r="BC435" s="1"/>
  <c r="BD435"/>
  <c r="BH435"/>
  <c r="AD435" s="1"/>
  <c r="BI435"/>
  <c r="AE435" s="1"/>
  <c r="BJ435"/>
  <c r="J436"/>
  <c r="AL436"/>
  <c r="L436"/>
  <c r="Z436"/>
  <c r="AB436"/>
  <c r="AC436"/>
  <c r="AF436"/>
  <c r="AG436"/>
  <c r="AH436"/>
  <c r="AJ436"/>
  <c r="AK436"/>
  <c r="AO436"/>
  <c r="H436" s="1"/>
  <c r="AP436"/>
  <c r="BD436"/>
  <c r="BF436"/>
  <c r="BJ436"/>
  <c r="J437"/>
  <c r="AL437" s="1"/>
  <c r="L437"/>
  <c r="BF437" s="1"/>
  <c r="Z437"/>
  <c r="AB437"/>
  <c r="AC437"/>
  <c r="AF437"/>
  <c r="AG437"/>
  <c r="AH437"/>
  <c r="AJ437"/>
  <c r="AK437"/>
  <c r="AO437"/>
  <c r="BH437"/>
  <c r="AD437" s="1"/>
  <c r="H437"/>
  <c r="AP437"/>
  <c r="I437"/>
  <c r="AW437"/>
  <c r="BD437"/>
  <c r="BJ437"/>
  <c r="J438"/>
  <c r="AL438"/>
  <c r="L438"/>
  <c r="BF438"/>
  <c r="Z438"/>
  <c r="AB438"/>
  <c r="AC438"/>
  <c r="AF438"/>
  <c r="AG438"/>
  <c r="AH438"/>
  <c r="AJ438"/>
  <c r="AK438"/>
  <c r="AO438"/>
  <c r="AP438"/>
  <c r="BD438"/>
  <c r="BJ438"/>
  <c r="J439"/>
  <c r="AL439"/>
  <c r="L439"/>
  <c r="BF439"/>
  <c r="Z439"/>
  <c r="AB439"/>
  <c r="AC439"/>
  <c r="AF439"/>
  <c r="AG439"/>
  <c r="AH439"/>
  <c r="AJ439"/>
  <c r="AK439"/>
  <c r="AO439"/>
  <c r="AW439"/>
  <c r="AP439"/>
  <c r="AX439"/>
  <c r="BD439"/>
  <c r="BJ439"/>
  <c r="J440"/>
  <c r="AL440" s="1"/>
  <c r="L440"/>
  <c r="BF440" s="1"/>
  <c r="Z440"/>
  <c r="AB440"/>
  <c r="AC440"/>
  <c r="AF440"/>
  <c r="AG440"/>
  <c r="AH440"/>
  <c r="AJ440"/>
  <c r="AK440"/>
  <c r="AO440"/>
  <c r="AP440"/>
  <c r="I440" s="1"/>
  <c r="BD440"/>
  <c r="BJ440"/>
  <c r="J441"/>
  <c r="AL441" s="1"/>
  <c r="L441"/>
  <c r="BF441"/>
  <c r="Z441"/>
  <c r="AB441"/>
  <c r="AC441"/>
  <c r="AF441"/>
  <c r="AG441"/>
  <c r="AH441"/>
  <c r="AJ441"/>
  <c r="AK441"/>
  <c r="AO441"/>
  <c r="BH441" s="1"/>
  <c r="AD441"/>
  <c r="AP441"/>
  <c r="AX441"/>
  <c r="BD441"/>
  <c r="BJ441"/>
  <c r="J442"/>
  <c r="AL442"/>
  <c r="L442"/>
  <c r="Z442"/>
  <c r="AB442"/>
  <c r="AC442"/>
  <c r="AF442"/>
  <c r="AG442"/>
  <c r="AH442"/>
  <c r="AJ442"/>
  <c r="AK442"/>
  <c r="AO442"/>
  <c r="BH442" s="1"/>
  <c r="AD442" s="1"/>
  <c r="AP442"/>
  <c r="BI442"/>
  <c r="AE442" s="1"/>
  <c r="BD442"/>
  <c r="BF442"/>
  <c r="BJ442"/>
  <c r="J443"/>
  <c r="AL443"/>
  <c r="L443"/>
  <c r="BF443"/>
  <c r="AB443"/>
  <c r="AC443"/>
  <c r="AD443"/>
  <c r="AE443"/>
  <c r="AF443"/>
  <c r="AG443"/>
  <c r="AH443"/>
  <c r="AJ443"/>
  <c r="AK443"/>
  <c r="AO443"/>
  <c r="AP443"/>
  <c r="I443"/>
  <c r="BD443"/>
  <c r="BJ443"/>
  <c r="Z443" s="1"/>
  <c r="J445"/>
  <c r="L445"/>
  <c r="Z445"/>
  <c r="AB445"/>
  <c r="AC445"/>
  <c r="AF445"/>
  <c r="AG445"/>
  <c r="AH445"/>
  <c r="AJ445"/>
  <c r="AK445"/>
  <c r="AO445"/>
  <c r="AW445" s="1"/>
  <c r="AP445"/>
  <c r="BI445"/>
  <c r="AE445" s="1"/>
  <c r="BD445"/>
  <c r="BF445"/>
  <c r="BJ445"/>
  <c r="J446"/>
  <c r="AL446"/>
  <c r="L446"/>
  <c r="BF446"/>
  <c r="Z446"/>
  <c r="AB446"/>
  <c r="AC446"/>
  <c r="AF446"/>
  <c r="AG446"/>
  <c r="AH446"/>
  <c r="AJ446"/>
  <c r="AK446"/>
  <c r="AO446"/>
  <c r="AW446"/>
  <c r="AP446"/>
  <c r="AX446"/>
  <c r="BD446"/>
  <c r="BJ446"/>
  <c r="J447"/>
  <c r="AL447" s="1"/>
  <c r="L447"/>
  <c r="BF447" s="1"/>
  <c r="AB447"/>
  <c r="AC447"/>
  <c r="AD447"/>
  <c r="AE447"/>
  <c r="AF447"/>
  <c r="AG447"/>
  <c r="AH447"/>
  <c r="AJ447"/>
  <c r="AK447"/>
  <c r="AO447"/>
  <c r="H447"/>
  <c r="AP447"/>
  <c r="AX447"/>
  <c r="BD447"/>
  <c r="BI447"/>
  <c r="BJ447"/>
  <c r="Z447"/>
  <c r="J449"/>
  <c r="L449"/>
  <c r="BF449" s="1"/>
  <c r="Z449"/>
  <c r="AB449"/>
  <c r="AC449"/>
  <c r="AF449"/>
  <c r="AG449"/>
  <c r="AH449"/>
  <c r="AJ449"/>
  <c r="AK449"/>
  <c r="AO449"/>
  <c r="AW449"/>
  <c r="BC449" s="1"/>
  <c r="AP449"/>
  <c r="AX449" s="1"/>
  <c r="BD449"/>
  <c r="BJ449"/>
  <c r="J450"/>
  <c r="AL450"/>
  <c r="L450"/>
  <c r="Z450"/>
  <c r="AB450"/>
  <c r="AC450"/>
  <c r="AF450"/>
  <c r="AG450"/>
  <c r="AH450"/>
  <c r="AJ450"/>
  <c r="AK450"/>
  <c r="AO450"/>
  <c r="AP450"/>
  <c r="BI450" s="1"/>
  <c r="AE450"/>
  <c r="BD450"/>
  <c r="BJ450"/>
  <c r="J452"/>
  <c r="AL452" s="1"/>
  <c r="L452"/>
  <c r="BF452" s="1"/>
  <c r="Z452"/>
  <c r="AB452"/>
  <c r="AC452"/>
  <c r="AF452"/>
  <c r="AG452"/>
  <c r="AH452"/>
  <c r="AJ452"/>
  <c r="AK452"/>
  <c r="AO452"/>
  <c r="AP452"/>
  <c r="AX452" s="1"/>
  <c r="BD452"/>
  <c r="BJ452"/>
  <c r="J454"/>
  <c r="AL454" s="1"/>
  <c r="L454"/>
  <c r="BF454"/>
  <c r="Z454"/>
  <c r="AB454"/>
  <c r="AC454"/>
  <c r="AF454"/>
  <c r="AG454"/>
  <c r="AH454"/>
  <c r="AJ454"/>
  <c r="AK454"/>
  <c r="AO454"/>
  <c r="BH454" s="1"/>
  <c r="AD454"/>
  <c r="AP454"/>
  <c r="BI454"/>
  <c r="AE454" s="1"/>
  <c r="AW454"/>
  <c r="BD454"/>
  <c r="BJ454"/>
  <c r="J456"/>
  <c r="AL456"/>
  <c r="L456"/>
  <c r="BF456"/>
  <c r="Z456"/>
  <c r="AB456"/>
  <c r="AC456"/>
  <c r="AF456"/>
  <c r="AG456"/>
  <c r="AH456"/>
  <c r="AJ456"/>
  <c r="AK456"/>
  <c r="AO456"/>
  <c r="H456"/>
  <c r="AP456"/>
  <c r="BI456"/>
  <c r="AE456" s="1"/>
  <c r="BD456"/>
  <c r="BJ456"/>
  <c r="I457"/>
  <c r="J457"/>
  <c r="L457"/>
  <c r="BF457" s="1"/>
  <c r="Z457"/>
  <c r="AB457"/>
  <c r="AC457"/>
  <c r="AF457"/>
  <c r="AG457"/>
  <c r="AH457"/>
  <c r="AJ457"/>
  <c r="AK457"/>
  <c r="AL457"/>
  <c r="AO457"/>
  <c r="H457"/>
  <c r="AP457"/>
  <c r="AX457"/>
  <c r="AW457"/>
  <c r="AV457"/>
  <c r="BD457"/>
  <c r="BI457"/>
  <c r="AE457" s="1"/>
  <c r="BJ457"/>
  <c r="J458"/>
  <c r="J448"/>
  <c r="K51" i="3" s="1"/>
  <c r="N51" s="1"/>
  <c r="L458" i="1"/>
  <c r="AB458"/>
  <c r="AC458"/>
  <c r="AD458"/>
  <c r="AE458"/>
  <c r="AF458"/>
  <c r="AG458"/>
  <c r="AH458"/>
  <c r="AJ458"/>
  <c r="AK458"/>
  <c r="AO458"/>
  <c r="AW458"/>
  <c r="AP458"/>
  <c r="BI458"/>
  <c r="BD458"/>
  <c r="BJ458"/>
  <c r="Z458" s="1"/>
  <c r="J460"/>
  <c r="AL460" s="1"/>
  <c r="L460"/>
  <c r="Z460"/>
  <c r="AB460"/>
  <c r="AC460"/>
  <c r="AF460"/>
  <c r="AG460"/>
  <c r="AH460"/>
  <c r="AJ460"/>
  <c r="AK460"/>
  <c r="AO460"/>
  <c r="AW460"/>
  <c r="AP460"/>
  <c r="BD460"/>
  <c r="BF460"/>
  <c r="BH460"/>
  <c r="AD460"/>
  <c r="BJ460"/>
  <c r="J461"/>
  <c r="L461"/>
  <c r="BF461"/>
  <c r="Z461"/>
  <c r="AB461"/>
  <c r="AC461"/>
  <c r="AF461"/>
  <c r="AG461"/>
  <c r="AH461"/>
  <c r="AJ461"/>
  <c r="AK461"/>
  <c r="AO461"/>
  <c r="BH461"/>
  <c r="AD461" s="1"/>
  <c r="AP461"/>
  <c r="BD461"/>
  <c r="BJ461"/>
  <c r="J462"/>
  <c r="AL462" s="1"/>
  <c r="L462"/>
  <c r="BF462" s="1"/>
  <c r="Z462"/>
  <c r="AB462"/>
  <c r="AC462"/>
  <c r="AF462"/>
  <c r="AG462"/>
  <c r="AH462"/>
  <c r="AJ462"/>
  <c r="AK462"/>
  <c r="AO462"/>
  <c r="AW462" s="1"/>
  <c r="AP462"/>
  <c r="BD462"/>
  <c r="BJ462"/>
  <c r="J463"/>
  <c r="L463"/>
  <c r="BF463" s="1"/>
  <c r="Z463"/>
  <c r="AB463"/>
  <c r="AC463"/>
  <c r="AF463"/>
  <c r="AG463"/>
  <c r="AH463"/>
  <c r="AJ463"/>
  <c r="AK463"/>
  <c r="AL463"/>
  <c r="AO463"/>
  <c r="AW463"/>
  <c r="AP463"/>
  <c r="AX463" s="1"/>
  <c r="BD463"/>
  <c r="BJ463"/>
  <c r="J464"/>
  <c r="AL464" s="1"/>
  <c r="L464"/>
  <c r="BF464" s="1"/>
  <c r="Z464"/>
  <c r="AB464"/>
  <c r="AC464"/>
  <c r="AF464"/>
  <c r="AG464"/>
  <c r="AH464"/>
  <c r="AJ464"/>
  <c r="AK464"/>
  <c r="AO464"/>
  <c r="AP464"/>
  <c r="AX464"/>
  <c r="BD464"/>
  <c r="BJ464"/>
  <c r="J465"/>
  <c r="AL465"/>
  <c r="L465"/>
  <c r="BF465"/>
  <c r="Z465"/>
  <c r="AB465"/>
  <c r="AC465"/>
  <c r="AF465"/>
  <c r="AG465"/>
  <c r="AH465"/>
  <c r="AJ465"/>
  <c r="AK465"/>
  <c r="AO465"/>
  <c r="BH465"/>
  <c r="AD465" s="1"/>
  <c r="AP465"/>
  <c r="I465" s="1"/>
  <c r="BD465"/>
  <c r="BJ465"/>
  <c r="J467"/>
  <c r="AL467" s="1"/>
  <c r="L467"/>
  <c r="BF467" s="1"/>
  <c r="Z467"/>
  <c r="AB467"/>
  <c r="AC467"/>
  <c r="AF467"/>
  <c r="AG467"/>
  <c r="AH467"/>
  <c r="AJ467"/>
  <c r="AK467"/>
  <c r="AO467"/>
  <c r="AP467"/>
  <c r="AX467"/>
  <c r="BD467"/>
  <c r="BJ467"/>
  <c r="J469"/>
  <c r="AL469" s="1"/>
  <c r="L469"/>
  <c r="BF469" s="1"/>
  <c r="Z469"/>
  <c r="AB469"/>
  <c r="AC469"/>
  <c r="AF469"/>
  <c r="AG469"/>
  <c r="AH469"/>
  <c r="AJ469"/>
  <c r="AK469"/>
  <c r="AO469"/>
  <c r="H469" s="1"/>
  <c r="AP469"/>
  <c r="BI469" s="1"/>
  <c r="AE469"/>
  <c r="BD469"/>
  <c r="BJ469"/>
  <c r="J471"/>
  <c r="AL471"/>
  <c r="L471"/>
  <c r="BF471"/>
  <c r="Z471"/>
  <c r="AB471"/>
  <c r="AC471"/>
  <c r="AF471"/>
  <c r="AG471"/>
  <c r="AH471"/>
  <c r="AJ471"/>
  <c r="AK471"/>
  <c r="AO471"/>
  <c r="AW471"/>
  <c r="AP471"/>
  <c r="BI471"/>
  <c r="AE471" s="1"/>
  <c r="BD471"/>
  <c r="BJ471"/>
  <c r="J473"/>
  <c r="AL473" s="1"/>
  <c r="L473"/>
  <c r="BF473" s="1"/>
  <c r="Z473"/>
  <c r="AB473"/>
  <c r="AC473"/>
  <c r="AF473"/>
  <c r="AG473"/>
  <c r="AH473"/>
  <c r="AJ473"/>
  <c r="AK473"/>
  <c r="AO473"/>
  <c r="AP473"/>
  <c r="AX473" s="1"/>
  <c r="BD473"/>
  <c r="BJ473"/>
  <c r="J474"/>
  <c r="AL474" s="1"/>
  <c r="L474"/>
  <c r="BF474"/>
  <c r="Z474"/>
  <c r="AB474"/>
  <c r="AC474"/>
  <c r="AF474"/>
  <c r="AG474"/>
  <c r="AH474"/>
  <c r="AJ474"/>
  <c r="AK474"/>
  <c r="AO474"/>
  <c r="AW474" s="1"/>
  <c r="AP474"/>
  <c r="AX474" s="1"/>
  <c r="BD474"/>
  <c r="BJ474"/>
  <c r="J475"/>
  <c r="AL475" s="1"/>
  <c r="L475"/>
  <c r="BF475" s="1"/>
  <c r="Z475"/>
  <c r="AB475"/>
  <c r="AC475"/>
  <c r="AF475"/>
  <c r="AG475"/>
  <c r="AH475"/>
  <c r="AJ475"/>
  <c r="AK475"/>
  <c r="AO475"/>
  <c r="AW475"/>
  <c r="AP475"/>
  <c r="BI475"/>
  <c r="AE475" s="1"/>
  <c r="BD475"/>
  <c r="BJ475"/>
  <c r="J477"/>
  <c r="AL477"/>
  <c r="L477"/>
  <c r="Z477"/>
  <c r="AB477"/>
  <c r="AC477"/>
  <c r="AF477"/>
  <c r="AG477"/>
  <c r="AH477"/>
  <c r="AJ477"/>
  <c r="AK477"/>
  <c r="AO477"/>
  <c r="AP477"/>
  <c r="BI477" s="1"/>
  <c r="AE477" s="1"/>
  <c r="BD477"/>
  <c r="BF477"/>
  <c r="BJ477"/>
  <c r="J479"/>
  <c r="AL479" s="1"/>
  <c r="L479"/>
  <c r="BF479" s="1"/>
  <c r="Z479"/>
  <c r="AB479"/>
  <c r="AC479"/>
  <c r="AF479"/>
  <c r="AG479"/>
  <c r="AH479"/>
  <c r="AJ479"/>
  <c r="AK479"/>
  <c r="AO479"/>
  <c r="BH479" s="1"/>
  <c r="AD479"/>
  <c r="AP479"/>
  <c r="BI479"/>
  <c r="AE479" s="1"/>
  <c r="BD479"/>
  <c r="BJ479"/>
  <c r="J481"/>
  <c r="AL481" s="1"/>
  <c r="L481"/>
  <c r="BF481" s="1"/>
  <c r="Z481"/>
  <c r="AB481"/>
  <c r="AC481"/>
  <c r="AF481"/>
  <c r="AG481"/>
  <c r="AH481"/>
  <c r="AJ481"/>
  <c r="AK481"/>
  <c r="AO481"/>
  <c r="AW481" s="1"/>
  <c r="AP481"/>
  <c r="BI481" s="1"/>
  <c r="AE481" s="1"/>
  <c r="BD481"/>
  <c r="BJ481"/>
  <c r="J483"/>
  <c r="AL483"/>
  <c r="L483"/>
  <c r="Z483"/>
  <c r="AB483"/>
  <c r="AC483"/>
  <c r="AF483"/>
  <c r="AG483"/>
  <c r="AH483"/>
  <c r="AJ483"/>
  <c r="AK483"/>
  <c r="AO483"/>
  <c r="H483" s="1"/>
  <c r="AP483"/>
  <c r="AX483" s="1"/>
  <c r="BD483"/>
  <c r="BF483"/>
  <c r="BJ483"/>
  <c r="J485"/>
  <c r="AL485" s="1"/>
  <c r="L485"/>
  <c r="BF485" s="1"/>
  <c r="AB485"/>
  <c r="AC485"/>
  <c r="AD485"/>
  <c r="AE485"/>
  <c r="AF485"/>
  <c r="AG485"/>
  <c r="AH485"/>
  <c r="AJ485"/>
  <c r="AK485"/>
  <c r="AO485"/>
  <c r="AW485"/>
  <c r="AP485"/>
  <c r="AX485" s="1"/>
  <c r="BD485"/>
  <c r="BJ485"/>
  <c r="Z485"/>
  <c r="J487"/>
  <c r="AL487"/>
  <c r="L487"/>
  <c r="BF487"/>
  <c r="Z487"/>
  <c r="AB487"/>
  <c r="AC487"/>
  <c r="AF487"/>
  <c r="AG487"/>
  <c r="AH487"/>
  <c r="AJ487"/>
  <c r="AK487"/>
  <c r="AO487"/>
  <c r="AP487"/>
  <c r="AX487" s="1"/>
  <c r="BD487"/>
  <c r="BJ487"/>
  <c r="J488"/>
  <c r="AL488"/>
  <c r="L488"/>
  <c r="BF488"/>
  <c r="Z488"/>
  <c r="AB488"/>
  <c r="AC488"/>
  <c r="AF488"/>
  <c r="AG488"/>
  <c r="AH488"/>
  <c r="AJ488"/>
  <c r="AK488"/>
  <c r="AO488"/>
  <c r="AW488" s="1"/>
  <c r="AP488"/>
  <c r="BI488" s="1"/>
  <c r="AE488" s="1"/>
  <c r="BD488"/>
  <c r="BJ488"/>
  <c r="J489"/>
  <c r="L489"/>
  <c r="BF489" s="1"/>
  <c r="AB489"/>
  <c r="AC489"/>
  <c r="AD489"/>
  <c r="AE489"/>
  <c r="AF489"/>
  <c r="AG489"/>
  <c r="AH489"/>
  <c r="AJ489"/>
  <c r="AK489"/>
  <c r="AL489"/>
  <c r="AO489"/>
  <c r="H489" s="1"/>
  <c r="AP489"/>
  <c r="BD489"/>
  <c r="BJ489"/>
  <c r="Z489" s="1"/>
  <c r="J491"/>
  <c r="AL491" s="1"/>
  <c r="L491"/>
  <c r="Z491"/>
  <c r="AB491"/>
  <c r="AC491"/>
  <c r="AF491"/>
  <c r="AG491"/>
  <c r="AH491"/>
  <c r="AJ491"/>
  <c r="AK491"/>
  <c r="AO491"/>
  <c r="BH491"/>
  <c r="AD491" s="1"/>
  <c r="AP491"/>
  <c r="BI491" s="1"/>
  <c r="AE491"/>
  <c r="BD491"/>
  <c r="BJ491"/>
  <c r="J492"/>
  <c r="L492"/>
  <c r="BF492"/>
  <c r="Z492"/>
  <c r="AB492"/>
  <c r="AC492"/>
  <c r="AF492"/>
  <c r="AG492"/>
  <c r="AH492"/>
  <c r="AJ492"/>
  <c r="AK492"/>
  <c r="AO492"/>
  <c r="AW492"/>
  <c r="AP492"/>
  <c r="BI492"/>
  <c r="AE492" s="1"/>
  <c r="BD492"/>
  <c r="BJ492"/>
  <c r="J493"/>
  <c r="AL493" s="1"/>
  <c r="L493"/>
  <c r="BF493" s="1"/>
  <c r="AB493"/>
  <c r="AC493"/>
  <c r="AD493"/>
  <c r="AE493"/>
  <c r="AF493"/>
  <c r="AG493"/>
  <c r="AH493"/>
  <c r="AJ493"/>
  <c r="AK493"/>
  <c r="AO493"/>
  <c r="BH493"/>
  <c r="AP493"/>
  <c r="I493"/>
  <c r="BD493"/>
  <c r="BJ493"/>
  <c r="Z493" s="1"/>
  <c r="J495"/>
  <c r="L495"/>
  <c r="BF495"/>
  <c r="Z495"/>
  <c r="AB495"/>
  <c r="AC495"/>
  <c r="AF495"/>
  <c r="AG495"/>
  <c r="AH495"/>
  <c r="AJ495"/>
  <c r="AK495"/>
  <c r="AO495"/>
  <c r="AP495"/>
  <c r="I495" s="1"/>
  <c r="BD495"/>
  <c r="BJ495"/>
  <c r="J496"/>
  <c r="AL496" s="1"/>
  <c r="L496"/>
  <c r="L494"/>
  <c r="L55" i="3" s="1"/>
  <c r="BF496" i="1"/>
  <c r="AB496"/>
  <c r="AC496"/>
  <c r="AD496"/>
  <c r="AE496"/>
  <c r="AF496"/>
  <c r="AG496"/>
  <c r="AH496"/>
  <c r="AJ496"/>
  <c r="AK496"/>
  <c r="AT494"/>
  <c r="AO496"/>
  <c r="AP496"/>
  <c r="AX496" s="1"/>
  <c r="BD496"/>
  <c r="BJ496"/>
  <c r="Z496" s="1"/>
  <c r="J498"/>
  <c r="AL498" s="1"/>
  <c r="L498"/>
  <c r="BF498" s="1"/>
  <c r="Z498"/>
  <c r="AB498"/>
  <c r="AC498"/>
  <c r="AF498"/>
  <c r="AG498"/>
  <c r="AH498"/>
  <c r="AJ498"/>
  <c r="AK498"/>
  <c r="AO498"/>
  <c r="H498" s="1"/>
  <c r="AP498"/>
  <c r="AX498" s="1"/>
  <c r="BD498"/>
  <c r="BJ498"/>
  <c r="J500"/>
  <c r="AL500" s="1"/>
  <c r="L500"/>
  <c r="BF500" s="1"/>
  <c r="Z500"/>
  <c r="AB500"/>
  <c r="AC500"/>
  <c r="AF500"/>
  <c r="AG500"/>
  <c r="AH500"/>
  <c r="AJ500"/>
  <c r="AK500"/>
  <c r="AO500"/>
  <c r="H500" s="1"/>
  <c r="AP500"/>
  <c r="I500" s="1"/>
  <c r="BD500"/>
  <c r="BJ500"/>
  <c r="J502"/>
  <c r="AL502" s="1"/>
  <c r="L502"/>
  <c r="BF502" s="1"/>
  <c r="Z502"/>
  <c r="AB502"/>
  <c r="AC502"/>
  <c r="AF502"/>
  <c r="AG502"/>
  <c r="AH502"/>
  <c r="AJ502"/>
  <c r="AK502"/>
  <c r="AO502"/>
  <c r="BH502"/>
  <c r="AD502" s="1"/>
  <c r="AP502"/>
  <c r="AX502" s="1"/>
  <c r="BD502"/>
  <c r="BJ502"/>
  <c r="J504"/>
  <c r="AL504"/>
  <c r="L504"/>
  <c r="BF504"/>
  <c r="Z504"/>
  <c r="AB504"/>
  <c r="AC504"/>
  <c r="AF504"/>
  <c r="AG504"/>
  <c r="AH504"/>
  <c r="AJ504"/>
  <c r="AK504"/>
  <c r="AO504"/>
  <c r="H504"/>
  <c r="AP504"/>
  <c r="I504"/>
  <c r="BD504"/>
  <c r="BH504"/>
  <c r="AD504" s="1"/>
  <c r="BJ504"/>
  <c r="J506"/>
  <c r="AL506"/>
  <c r="L506"/>
  <c r="BF506"/>
  <c r="Z506"/>
  <c r="AB506"/>
  <c r="AC506"/>
  <c r="AF506"/>
  <c r="AG506"/>
  <c r="AH506"/>
  <c r="AJ506"/>
  <c r="AK506"/>
  <c r="AO506"/>
  <c r="BH506"/>
  <c r="AD506" s="1"/>
  <c r="AP506"/>
  <c r="I506" s="1"/>
  <c r="BD506"/>
  <c r="BJ506"/>
  <c r="J508"/>
  <c r="L508"/>
  <c r="Z508"/>
  <c r="AB508"/>
  <c r="AC508"/>
  <c r="AF508"/>
  <c r="AG508"/>
  <c r="AH508"/>
  <c r="AJ508"/>
  <c r="AK508"/>
  <c r="AL508"/>
  <c r="AO508"/>
  <c r="BH508"/>
  <c r="AD508" s="1"/>
  <c r="AP508"/>
  <c r="BD508"/>
  <c r="BJ508"/>
  <c r="J510"/>
  <c r="AL510" s="1"/>
  <c r="L510"/>
  <c r="BF510" s="1"/>
  <c r="Z510"/>
  <c r="AB510"/>
  <c r="AC510"/>
  <c r="AF510"/>
  <c r="AG510"/>
  <c r="AH510"/>
  <c r="AJ510"/>
  <c r="AK510"/>
  <c r="AO510"/>
  <c r="AW510" s="1"/>
  <c r="AP510"/>
  <c r="BD510"/>
  <c r="BJ510"/>
  <c r="J512"/>
  <c r="AL512"/>
  <c r="L512"/>
  <c r="BF512"/>
  <c r="Z512"/>
  <c r="AB512"/>
  <c r="AC512"/>
  <c r="AF512"/>
  <c r="AG512"/>
  <c r="AH512"/>
  <c r="AJ512"/>
  <c r="AK512"/>
  <c r="AO512"/>
  <c r="BH512"/>
  <c r="AD512" s="1"/>
  <c r="H512"/>
  <c r="AP512"/>
  <c r="BD512"/>
  <c r="BJ512"/>
  <c r="J514"/>
  <c r="AL514" s="1"/>
  <c r="L514"/>
  <c r="BF514" s="1"/>
  <c r="Z514"/>
  <c r="AB514"/>
  <c r="AC514"/>
  <c r="AF514"/>
  <c r="AG514"/>
  <c r="AH514"/>
  <c r="AJ514"/>
  <c r="AK514"/>
  <c r="AO514"/>
  <c r="BH514" s="1"/>
  <c r="AD514"/>
  <c r="AP514"/>
  <c r="AX514"/>
  <c r="BD514"/>
  <c r="BJ514"/>
  <c r="J516"/>
  <c r="AL516"/>
  <c r="L516"/>
  <c r="Z516"/>
  <c r="AB516"/>
  <c r="AC516"/>
  <c r="AF516"/>
  <c r="AG516"/>
  <c r="AH516"/>
  <c r="AJ516"/>
  <c r="AK516"/>
  <c r="AO516"/>
  <c r="AW516" s="1"/>
  <c r="AP516"/>
  <c r="AX516" s="1"/>
  <c r="BI516"/>
  <c r="AE516" s="1"/>
  <c r="BD516"/>
  <c r="BF516"/>
  <c r="BJ516"/>
  <c r="J518"/>
  <c r="AL518"/>
  <c r="L518"/>
  <c r="BF518"/>
  <c r="Z518"/>
  <c r="AB518"/>
  <c r="AC518"/>
  <c r="AF518"/>
  <c r="AG518"/>
  <c r="AH518"/>
  <c r="AJ518"/>
  <c r="AK518"/>
  <c r="AO518"/>
  <c r="AW518"/>
  <c r="AP518"/>
  <c r="I518"/>
  <c r="BD518"/>
  <c r="BJ518"/>
  <c r="J520"/>
  <c r="AL520"/>
  <c r="L520"/>
  <c r="BF520"/>
  <c r="Z520"/>
  <c r="AB520"/>
  <c r="AC520"/>
  <c r="AF520"/>
  <c r="AG520"/>
  <c r="AH520"/>
  <c r="AJ520"/>
  <c r="AK520"/>
  <c r="AO520"/>
  <c r="H520"/>
  <c r="AP520"/>
  <c r="AX520"/>
  <c r="BD520"/>
  <c r="BJ520"/>
  <c r="J522"/>
  <c r="AL522"/>
  <c r="L522"/>
  <c r="Z522"/>
  <c r="AB522"/>
  <c r="AC522"/>
  <c r="AF522"/>
  <c r="AG522"/>
  <c r="AH522"/>
  <c r="AJ522"/>
  <c r="AK522"/>
  <c r="AO522"/>
  <c r="AP522"/>
  <c r="AX522"/>
  <c r="BD522"/>
  <c r="BF522"/>
  <c r="BJ522"/>
  <c r="J524"/>
  <c r="AL524" s="1"/>
  <c r="L524"/>
  <c r="BF524" s="1"/>
  <c r="Z524"/>
  <c r="AB524"/>
  <c r="AC524"/>
  <c r="AF524"/>
  <c r="AG524"/>
  <c r="AH524"/>
  <c r="AJ524"/>
  <c r="AK524"/>
  <c r="AO524"/>
  <c r="H524" s="1"/>
  <c r="AP524"/>
  <c r="BD524"/>
  <c r="BJ524"/>
  <c r="J526"/>
  <c r="AL526"/>
  <c r="L526"/>
  <c r="BF526"/>
  <c r="Z526"/>
  <c r="AB526"/>
  <c r="AC526"/>
  <c r="AF526"/>
  <c r="AG526"/>
  <c r="AH526"/>
  <c r="AJ526"/>
  <c r="AK526"/>
  <c r="AO526"/>
  <c r="BH526"/>
  <c r="AD526" s="1"/>
  <c r="AP526"/>
  <c r="BD526"/>
  <c r="BJ526"/>
  <c r="J528"/>
  <c r="AL528" s="1"/>
  <c r="L528"/>
  <c r="BF528" s="1"/>
  <c r="Z528"/>
  <c r="AB528"/>
  <c r="AC528"/>
  <c r="AF528"/>
  <c r="AG528"/>
  <c r="AH528"/>
  <c r="AJ528"/>
  <c r="AK528"/>
  <c r="AO528"/>
  <c r="AW528" s="1"/>
  <c r="AP528"/>
  <c r="I528" s="1"/>
  <c r="BD528"/>
  <c r="BJ528"/>
  <c r="J530"/>
  <c r="AL530" s="1"/>
  <c r="L530"/>
  <c r="BF530" s="1"/>
  <c r="Z530"/>
  <c r="AB530"/>
  <c r="AC530"/>
  <c r="AF530"/>
  <c r="AG530"/>
  <c r="AH530"/>
  <c r="AJ530"/>
  <c r="AK530"/>
  <c r="AO530"/>
  <c r="BH530" s="1"/>
  <c r="AD530"/>
  <c r="AP530"/>
  <c r="I530"/>
  <c r="BD530"/>
  <c r="BJ530"/>
  <c r="J532"/>
  <c r="L532"/>
  <c r="BF532" s="1"/>
  <c r="Z532"/>
  <c r="AB532"/>
  <c r="AC532"/>
  <c r="AF532"/>
  <c r="AG532"/>
  <c r="AH532"/>
  <c r="AJ532"/>
  <c r="AK532"/>
  <c r="AO532"/>
  <c r="AW532"/>
  <c r="AP532"/>
  <c r="BI532"/>
  <c r="AE532" s="1"/>
  <c r="BD532"/>
  <c r="BJ532"/>
  <c r="J534"/>
  <c r="L534"/>
  <c r="BF534" s="1"/>
  <c r="Z534"/>
  <c r="AB534"/>
  <c r="AC534"/>
  <c r="AF534"/>
  <c r="AG534"/>
  <c r="AH534"/>
  <c r="AJ534"/>
  <c r="AK534"/>
  <c r="AL534"/>
  <c r="AO534"/>
  <c r="AW534"/>
  <c r="AP534"/>
  <c r="AX534"/>
  <c r="BD534"/>
  <c r="BH534"/>
  <c r="AD534" s="1"/>
  <c r="BJ534"/>
  <c r="J536"/>
  <c r="AL536"/>
  <c r="L536"/>
  <c r="BF536"/>
  <c r="Z536"/>
  <c r="AB536"/>
  <c r="AC536"/>
  <c r="AF536"/>
  <c r="AG536"/>
  <c r="AH536"/>
  <c r="AJ536"/>
  <c r="AK536"/>
  <c r="AO536"/>
  <c r="H536"/>
  <c r="AP536"/>
  <c r="BD536"/>
  <c r="BJ536"/>
  <c r="J537"/>
  <c r="L537"/>
  <c r="BF537"/>
  <c r="AB537"/>
  <c r="AC537"/>
  <c r="AD537"/>
  <c r="AE537"/>
  <c r="AF537"/>
  <c r="AG537"/>
  <c r="AH537"/>
  <c r="AJ537"/>
  <c r="AK537"/>
  <c r="AL537"/>
  <c r="AO537"/>
  <c r="AW537"/>
  <c r="AP537"/>
  <c r="I537"/>
  <c r="BD537"/>
  <c r="BJ537"/>
  <c r="Z537" s="1"/>
  <c r="J539"/>
  <c r="AL539" s="1"/>
  <c r="AU538"/>
  <c r="L539"/>
  <c r="L538"/>
  <c r="L57" i="3" s="1"/>
  <c r="Z539" i="1"/>
  <c r="AB539"/>
  <c r="AC539"/>
  <c r="AF539"/>
  <c r="AG539"/>
  <c r="AH539"/>
  <c r="AJ539"/>
  <c r="AS538" s="1"/>
  <c r="AK539"/>
  <c r="AT538" s="1"/>
  <c r="AO539"/>
  <c r="H539"/>
  <c r="H538" s="1"/>
  <c r="I57" i="3" s="1"/>
  <c r="AP539" i="1"/>
  <c r="BI539"/>
  <c r="AE539" s="1"/>
  <c r="BD539"/>
  <c r="BJ539"/>
  <c r="J542"/>
  <c r="AL542" s="1"/>
  <c r="L542"/>
  <c r="BF542" s="1"/>
  <c r="Z542"/>
  <c r="AB542"/>
  <c r="AC542"/>
  <c r="AF542"/>
  <c r="AG542"/>
  <c r="AH542"/>
  <c r="AJ542"/>
  <c r="AK542"/>
  <c r="AO542"/>
  <c r="H542" s="1"/>
  <c r="AP542"/>
  <c r="BI542" s="1"/>
  <c r="AE542" s="1"/>
  <c r="BD542"/>
  <c r="BJ542"/>
  <c r="J543"/>
  <c r="AL543"/>
  <c r="L543"/>
  <c r="Z543"/>
  <c r="AB543"/>
  <c r="AC543"/>
  <c r="AF543"/>
  <c r="AG543"/>
  <c r="AH543"/>
  <c r="AJ543"/>
  <c r="AK543"/>
  <c r="AO543"/>
  <c r="H543" s="1"/>
  <c r="AP543"/>
  <c r="AX543" s="1"/>
  <c r="BD543"/>
  <c r="BJ543"/>
  <c r="J544"/>
  <c r="L544"/>
  <c r="BF544"/>
  <c r="Z544"/>
  <c r="AB544"/>
  <c r="AC544"/>
  <c r="AF544"/>
  <c r="AG544"/>
  <c r="AH544"/>
  <c r="AJ544"/>
  <c r="AK544"/>
  <c r="AO544"/>
  <c r="AW544"/>
  <c r="AP544"/>
  <c r="AX544"/>
  <c r="BD544"/>
  <c r="BJ544"/>
  <c r="J546"/>
  <c r="AL546"/>
  <c r="L546"/>
  <c r="BF546"/>
  <c r="Z546"/>
  <c r="AB546"/>
  <c r="AC546"/>
  <c r="AF546"/>
  <c r="AG546"/>
  <c r="AH546"/>
  <c r="AJ546"/>
  <c r="AK546"/>
  <c r="AO546"/>
  <c r="BH546"/>
  <c r="AD546" s="1"/>
  <c r="AP546"/>
  <c r="BD546"/>
  <c r="BJ546"/>
  <c r="J548"/>
  <c r="AL548"/>
  <c r="L548"/>
  <c r="BF548"/>
  <c r="Z548"/>
  <c r="AB548"/>
  <c r="AC548"/>
  <c r="AF548"/>
  <c r="AG548"/>
  <c r="AH548"/>
  <c r="AJ548"/>
  <c r="AK548"/>
  <c r="AO548"/>
  <c r="H548"/>
  <c r="AP548"/>
  <c r="AX548"/>
  <c r="AW548"/>
  <c r="BD548"/>
  <c r="BJ548"/>
  <c r="J549"/>
  <c r="AL549"/>
  <c r="L549"/>
  <c r="BF549"/>
  <c r="Z549"/>
  <c r="AB549"/>
  <c r="AC549"/>
  <c r="AF549"/>
  <c r="AG549"/>
  <c r="AH549"/>
  <c r="AJ549"/>
  <c r="AK549"/>
  <c r="AO549"/>
  <c r="BH549"/>
  <c r="AD549" s="1"/>
  <c r="AP549"/>
  <c r="AX549" s="1"/>
  <c r="BD549"/>
  <c r="BJ549"/>
  <c r="J551"/>
  <c r="AL551" s="1"/>
  <c r="L551"/>
  <c r="BF551" s="1"/>
  <c r="Z551"/>
  <c r="AB551"/>
  <c r="AC551"/>
  <c r="AF551"/>
  <c r="AG551"/>
  <c r="AH551"/>
  <c r="AJ551"/>
  <c r="AK551"/>
  <c r="AO551"/>
  <c r="H551" s="1"/>
  <c r="AP551"/>
  <c r="I551" s="1"/>
  <c r="BD551"/>
  <c r="BJ551"/>
  <c r="J552"/>
  <c r="AL552" s="1"/>
  <c r="L552"/>
  <c r="BF552" s="1"/>
  <c r="Z552"/>
  <c r="AB552"/>
  <c r="AC552"/>
  <c r="AF552"/>
  <c r="AG552"/>
  <c r="AH552"/>
  <c r="AJ552"/>
  <c r="AK552"/>
  <c r="AO552"/>
  <c r="BH552" s="1"/>
  <c r="AD552"/>
  <c r="AP552"/>
  <c r="AX552"/>
  <c r="BD552"/>
  <c r="BJ552"/>
  <c r="J554"/>
  <c r="AL554"/>
  <c r="L554"/>
  <c r="BF554"/>
  <c r="Z554"/>
  <c r="AB554"/>
  <c r="AC554"/>
  <c r="AF554"/>
  <c r="AG554"/>
  <c r="AH554"/>
  <c r="AJ554"/>
  <c r="AK554"/>
  <c r="AO554"/>
  <c r="BH554"/>
  <c r="AD554" s="1"/>
  <c r="AP554"/>
  <c r="BD554"/>
  <c r="BJ554"/>
  <c r="J555"/>
  <c r="AL555"/>
  <c r="L555"/>
  <c r="BF555"/>
  <c r="Z555"/>
  <c r="AB555"/>
  <c r="AC555"/>
  <c r="AF555"/>
  <c r="AG555"/>
  <c r="AH555"/>
  <c r="AJ555"/>
  <c r="AK555"/>
  <c r="AO555"/>
  <c r="H555"/>
  <c r="AP555"/>
  <c r="AX555"/>
  <c r="BD555"/>
  <c r="BJ555"/>
  <c r="J556"/>
  <c r="AL556" s="1"/>
  <c r="L556"/>
  <c r="BF556" s="1"/>
  <c r="Z556"/>
  <c r="AB556"/>
  <c r="AC556"/>
  <c r="AF556"/>
  <c r="AG556"/>
  <c r="AH556"/>
  <c r="AJ556"/>
  <c r="AK556"/>
  <c r="AO556"/>
  <c r="AP556"/>
  <c r="I556"/>
  <c r="BD556"/>
  <c r="BJ556"/>
  <c r="J557"/>
  <c r="AL557"/>
  <c r="L557"/>
  <c r="BF557"/>
  <c r="Z557"/>
  <c r="AB557"/>
  <c r="AC557"/>
  <c r="AF557"/>
  <c r="AG557"/>
  <c r="AH557"/>
  <c r="AJ557"/>
  <c r="AK557"/>
  <c r="AO557"/>
  <c r="BH557"/>
  <c r="AD557" s="1"/>
  <c r="AP557"/>
  <c r="AX557" s="1"/>
  <c r="BD557"/>
  <c r="BJ557"/>
  <c r="J558"/>
  <c r="AL558"/>
  <c r="L558"/>
  <c r="Z558"/>
  <c r="AB558"/>
  <c r="AC558"/>
  <c r="AF558"/>
  <c r="AG558"/>
  <c r="AH558"/>
  <c r="AJ558"/>
  <c r="AK558"/>
  <c r="AO558"/>
  <c r="H558" s="1"/>
  <c r="AP558"/>
  <c r="BI558" s="1"/>
  <c r="AE558"/>
  <c r="BD558"/>
  <c r="BF558"/>
  <c r="BJ558"/>
  <c r="J559"/>
  <c r="AL559" s="1"/>
  <c r="L559"/>
  <c r="BF559" s="1"/>
  <c r="Z559"/>
  <c r="AB559"/>
  <c r="AC559"/>
  <c r="AF559"/>
  <c r="AG559"/>
  <c r="AH559"/>
  <c r="AJ559"/>
  <c r="AK559"/>
  <c r="AO559"/>
  <c r="BH559"/>
  <c r="AD559" s="1"/>
  <c r="AP559"/>
  <c r="AX559" s="1"/>
  <c r="BD559"/>
  <c r="BJ559"/>
  <c r="J560"/>
  <c r="AL560"/>
  <c r="L560"/>
  <c r="BF560"/>
  <c r="Z560"/>
  <c r="AB560"/>
  <c r="AC560"/>
  <c r="AF560"/>
  <c r="AG560"/>
  <c r="AH560"/>
  <c r="AJ560"/>
  <c r="AK560"/>
  <c r="AO560"/>
  <c r="AW560"/>
  <c r="AP560"/>
  <c r="BD560"/>
  <c r="BH560"/>
  <c r="AD560"/>
  <c r="BJ560"/>
  <c r="J561"/>
  <c r="AL561" s="1"/>
  <c r="L561"/>
  <c r="BF561" s="1"/>
  <c r="Z561"/>
  <c r="AB561"/>
  <c r="AC561"/>
  <c r="AF561"/>
  <c r="AG561"/>
  <c r="AH561"/>
  <c r="AJ561"/>
  <c r="AK561"/>
  <c r="AO561"/>
  <c r="BH561" s="1"/>
  <c r="AD561" s="1"/>
  <c r="AP561"/>
  <c r="AX561"/>
  <c r="BD561"/>
  <c r="BJ561"/>
  <c r="J562"/>
  <c r="AL562"/>
  <c r="L562"/>
  <c r="BF562"/>
  <c r="Z562"/>
  <c r="AB562"/>
  <c r="AC562"/>
  <c r="AF562"/>
  <c r="AG562"/>
  <c r="AH562"/>
  <c r="AJ562"/>
  <c r="AK562"/>
  <c r="AO562"/>
  <c r="AW562"/>
  <c r="AP562"/>
  <c r="I562" s="1"/>
  <c r="BD562"/>
  <c r="BJ562"/>
  <c r="J563"/>
  <c r="AL563" s="1"/>
  <c r="L563"/>
  <c r="BF563" s="1"/>
  <c r="Z563"/>
  <c r="AB563"/>
  <c r="AC563"/>
  <c r="AF563"/>
  <c r="AG563"/>
  <c r="AH563"/>
  <c r="AJ563"/>
  <c r="AK563"/>
  <c r="AO563"/>
  <c r="H563" s="1"/>
  <c r="AP563"/>
  <c r="BI563" s="1"/>
  <c r="AE563" s="1"/>
  <c r="BD563"/>
  <c r="BJ563"/>
  <c r="J564"/>
  <c r="AL564"/>
  <c r="L564"/>
  <c r="BF564"/>
  <c r="Z564"/>
  <c r="AB564"/>
  <c r="AC564"/>
  <c r="AF564"/>
  <c r="AG564"/>
  <c r="AH564"/>
  <c r="AJ564"/>
  <c r="AK564"/>
  <c r="AO564"/>
  <c r="H564"/>
  <c r="AP564"/>
  <c r="BI564"/>
  <c r="AE564" s="1"/>
  <c r="BD564"/>
  <c r="BJ564"/>
  <c r="J565"/>
  <c r="AL565" s="1"/>
  <c r="L565"/>
  <c r="BF565" s="1"/>
  <c r="Z565"/>
  <c r="AB565"/>
  <c r="AC565"/>
  <c r="AF565"/>
  <c r="AG565"/>
  <c r="AH565"/>
  <c r="AJ565"/>
  <c r="AK565"/>
  <c r="AO565"/>
  <c r="BH565" s="1"/>
  <c r="AD565" s="1"/>
  <c r="AP565"/>
  <c r="I565"/>
  <c r="BD565"/>
  <c r="BJ565"/>
  <c r="J566"/>
  <c r="AL566"/>
  <c r="L566"/>
  <c r="Z566"/>
  <c r="AB566"/>
  <c r="AC566"/>
  <c r="AF566"/>
  <c r="AG566"/>
  <c r="AH566"/>
  <c r="AJ566"/>
  <c r="AK566"/>
  <c r="AO566"/>
  <c r="BH566" s="1"/>
  <c r="AD566"/>
  <c r="AP566"/>
  <c r="BI566"/>
  <c r="AE566" s="1"/>
  <c r="BD566"/>
  <c r="BF566"/>
  <c r="BJ566"/>
  <c r="J567"/>
  <c r="AL567"/>
  <c r="L567"/>
  <c r="BF567"/>
  <c r="Z567"/>
  <c r="AB567"/>
  <c r="AC567"/>
  <c r="AF567"/>
  <c r="AG567"/>
  <c r="AH567"/>
  <c r="AJ567"/>
  <c r="AK567"/>
  <c r="AO567"/>
  <c r="AW567"/>
  <c r="AP567"/>
  <c r="BI567"/>
  <c r="AE567" s="1"/>
  <c r="BD567"/>
  <c r="BJ567"/>
  <c r="J568"/>
  <c r="AL568" s="1"/>
  <c r="L568"/>
  <c r="BF568" s="1"/>
  <c r="Z568"/>
  <c r="AB568"/>
  <c r="AC568"/>
  <c r="AF568"/>
  <c r="AG568"/>
  <c r="AH568"/>
  <c r="AJ568"/>
  <c r="AK568"/>
  <c r="AO568"/>
  <c r="H568" s="1"/>
  <c r="AP568"/>
  <c r="I568" s="1"/>
  <c r="BD568"/>
  <c r="BJ568"/>
  <c r="J569"/>
  <c r="AL569" s="1"/>
  <c r="L569"/>
  <c r="BF569" s="1"/>
  <c r="Z569"/>
  <c r="AB569"/>
  <c r="AC569"/>
  <c r="AF569"/>
  <c r="AG569"/>
  <c r="AH569"/>
  <c r="AJ569"/>
  <c r="AK569"/>
  <c r="AO569"/>
  <c r="H569" s="1"/>
  <c r="AP569"/>
  <c r="BD569"/>
  <c r="BJ569"/>
  <c r="J570"/>
  <c r="AL570"/>
  <c r="L570"/>
  <c r="BF570"/>
  <c r="Z570"/>
  <c r="AB570"/>
  <c r="AC570"/>
  <c r="AF570"/>
  <c r="AG570"/>
  <c r="AH570"/>
  <c r="AJ570"/>
  <c r="AK570"/>
  <c r="AO570"/>
  <c r="AP570"/>
  <c r="BI570" s="1"/>
  <c r="AE570" s="1"/>
  <c r="BD570"/>
  <c r="BJ570"/>
  <c r="AB571"/>
  <c r="AC571"/>
  <c r="AD571"/>
  <c r="AE571"/>
  <c r="AF571"/>
  <c r="AG571"/>
  <c r="AH571"/>
  <c r="AJ571"/>
  <c r="AK571"/>
  <c r="AO571"/>
  <c r="H571" s="1"/>
  <c r="AP571"/>
  <c r="BD571"/>
  <c r="J573"/>
  <c r="L573"/>
  <c r="Z573"/>
  <c r="AB573"/>
  <c r="AC573"/>
  <c r="AF573"/>
  <c r="AG573"/>
  <c r="AH573"/>
  <c r="AJ573"/>
  <c r="AK573"/>
  <c r="AO573"/>
  <c r="H573" s="1"/>
  <c r="AP573"/>
  <c r="AX573" s="1"/>
  <c r="BD573"/>
  <c r="BF573"/>
  <c r="BJ573"/>
  <c r="J575"/>
  <c r="L575"/>
  <c r="Z575"/>
  <c r="AB575"/>
  <c r="AC575"/>
  <c r="AF575"/>
  <c r="AG575"/>
  <c r="AH575"/>
  <c r="AJ575"/>
  <c r="AK575"/>
  <c r="AO575"/>
  <c r="H575" s="1"/>
  <c r="AP575"/>
  <c r="I575" s="1"/>
  <c r="BD575"/>
  <c r="BF575"/>
  <c r="BJ575"/>
  <c r="J577"/>
  <c r="AL577"/>
  <c r="L577"/>
  <c r="BF577"/>
  <c r="Z577"/>
  <c r="AB577"/>
  <c r="AC577"/>
  <c r="AF577"/>
  <c r="AG577"/>
  <c r="AH577"/>
  <c r="AJ577"/>
  <c r="AK577"/>
  <c r="AO577"/>
  <c r="BH577"/>
  <c r="AD577" s="1"/>
  <c r="AP577"/>
  <c r="I577" s="1"/>
  <c r="BD577"/>
  <c r="BJ577"/>
  <c r="J579"/>
  <c r="AL579" s="1"/>
  <c r="L579"/>
  <c r="Z579"/>
  <c r="AB579"/>
  <c r="AC579"/>
  <c r="AF579"/>
  <c r="AG579"/>
  <c r="AH579"/>
  <c r="AJ579"/>
  <c r="AK579"/>
  <c r="AP579"/>
  <c r="AX579"/>
  <c r="BD579"/>
  <c r="BF579"/>
  <c r="BJ579"/>
  <c r="H581"/>
  <c r="J581"/>
  <c r="L581"/>
  <c r="Z581"/>
  <c r="AB581"/>
  <c r="AC581"/>
  <c r="AF581"/>
  <c r="AG581"/>
  <c r="AH581"/>
  <c r="AJ581"/>
  <c r="AK581"/>
  <c r="AP581"/>
  <c r="AX581"/>
  <c r="AW581"/>
  <c r="AV581" s="1"/>
  <c r="BD581"/>
  <c r="BF581"/>
  <c r="BH581"/>
  <c r="AD581"/>
  <c r="BJ581"/>
  <c r="J582"/>
  <c r="AL582" s="1"/>
  <c r="L582"/>
  <c r="Z582"/>
  <c r="AB582"/>
  <c r="AC582"/>
  <c r="AF582"/>
  <c r="AG582"/>
  <c r="AH582"/>
  <c r="AJ582"/>
  <c r="AK582"/>
  <c r="AP582"/>
  <c r="I582"/>
  <c r="BD582"/>
  <c r="BF582"/>
  <c r="BJ582"/>
  <c r="J583"/>
  <c r="AL583" s="1"/>
  <c r="L583"/>
  <c r="BF583" s="1"/>
  <c r="Z583"/>
  <c r="AB583"/>
  <c r="AC583"/>
  <c r="AF583"/>
  <c r="AG583"/>
  <c r="AH583"/>
  <c r="AJ583"/>
  <c r="AK583"/>
  <c r="AP583"/>
  <c r="AX583"/>
  <c r="BD583"/>
  <c r="BJ583"/>
  <c r="H584"/>
  <c r="J584"/>
  <c r="AL584" s="1"/>
  <c r="L584"/>
  <c r="BF584" s="1"/>
  <c r="Z584"/>
  <c r="AB584"/>
  <c r="AC584"/>
  <c r="AF584"/>
  <c r="AG584"/>
  <c r="AH584"/>
  <c r="AJ584"/>
  <c r="AK584"/>
  <c r="AP584"/>
  <c r="AW584"/>
  <c r="BD584"/>
  <c r="BH584"/>
  <c r="AD584" s="1"/>
  <c r="BJ584"/>
  <c r="H585"/>
  <c r="J585"/>
  <c r="AL585" s="1"/>
  <c r="L585"/>
  <c r="BF585" s="1"/>
  <c r="Z585"/>
  <c r="AB585"/>
  <c r="AC585"/>
  <c r="AF585"/>
  <c r="AG585"/>
  <c r="AH585"/>
  <c r="AJ585"/>
  <c r="AK585"/>
  <c r="AP585"/>
  <c r="AX585" s="1"/>
  <c r="AV585" s="1"/>
  <c r="AW585"/>
  <c r="BD585"/>
  <c r="BH585"/>
  <c r="AD585" s="1"/>
  <c r="BJ585"/>
  <c r="J586"/>
  <c r="AL586"/>
  <c r="L586"/>
  <c r="BF586"/>
  <c r="Z586"/>
  <c r="AB586"/>
  <c r="AC586"/>
  <c r="AF586"/>
  <c r="AG586"/>
  <c r="AH586"/>
  <c r="AJ586"/>
  <c r="AK586"/>
  <c r="AP586"/>
  <c r="AX586"/>
  <c r="BD586"/>
  <c r="BH586"/>
  <c r="AD586" s="1"/>
  <c r="BJ586"/>
  <c r="J587"/>
  <c r="AL587"/>
  <c r="L587"/>
  <c r="Z587"/>
  <c r="AB587"/>
  <c r="AC587"/>
  <c r="AF587"/>
  <c r="AG587"/>
  <c r="AH587"/>
  <c r="AJ587"/>
  <c r="AK587"/>
  <c r="AP587"/>
  <c r="AX587" s="1"/>
  <c r="BD587"/>
  <c r="BF587"/>
  <c r="BJ587"/>
  <c r="H588"/>
  <c r="J588"/>
  <c r="AL588" s="1"/>
  <c r="L588"/>
  <c r="BF588" s="1"/>
  <c r="Z588"/>
  <c r="AB588"/>
  <c r="AC588"/>
  <c r="AF588"/>
  <c r="AG588"/>
  <c r="AH588"/>
  <c r="AJ588"/>
  <c r="AK588"/>
  <c r="AP588"/>
  <c r="AX588"/>
  <c r="AW588"/>
  <c r="BD588"/>
  <c r="BH588"/>
  <c r="AD588" s="1"/>
  <c r="BJ588"/>
  <c r="H589"/>
  <c r="J589"/>
  <c r="AL589" s="1"/>
  <c r="L589"/>
  <c r="Z589"/>
  <c r="AB589"/>
  <c r="AC589"/>
  <c r="AF589"/>
  <c r="AG589"/>
  <c r="AH589"/>
  <c r="AJ589"/>
  <c r="AK589"/>
  <c r="AP589"/>
  <c r="AX589"/>
  <c r="AW589"/>
  <c r="AV589" s="1"/>
  <c r="BD589"/>
  <c r="BF589"/>
  <c r="BH589"/>
  <c r="AD589"/>
  <c r="BJ589"/>
  <c r="J590"/>
  <c r="AL590" s="1"/>
  <c r="L590"/>
  <c r="BF590" s="1"/>
  <c r="Z590"/>
  <c r="AB590"/>
  <c r="AC590"/>
  <c r="AF590"/>
  <c r="AG590"/>
  <c r="AH590"/>
  <c r="AJ590"/>
  <c r="AK590"/>
  <c r="AP590"/>
  <c r="BI590" s="1"/>
  <c r="AE590" s="1"/>
  <c r="AW590"/>
  <c r="BD590"/>
  <c r="BJ590"/>
  <c r="J591"/>
  <c r="AL591"/>
  <c r="L591"/>
  <c r="Z591"/>
  <c r="AB591"/>
  <c r="AC591"/>
  <c r="AF591"/>
  <c r="AG591"/>
  <c r="AH591"/>
  <c r="AJ591"/>
  <c r="AK591"/>
  <c r="AP591"/>
  <c r="I591" s="1"/>
  <c r="BD591"/>
  <c r="BF591"/>
  <c r="BI591"/>
  <c r="AE591" s="1"/>
  <c r="BJ591"/>
  <c r="H592"/>
  <c r="J592"/>
  <c r="AL592" s="1"/>
  <c r="L592"/>
  <c r="BF592" s="1"/>
  <c r="Z592"/>
  <c r="AB592"/>
  <c r="AC592"/>
  <c r="AF592"/>
  <c r="AG592"/>
  <c r="AH592"/>
  <c r="AJ592"/>
  <c r="AK592"/>
  <c r="AP592"/>
  <c r="I592"/>
  <c r="AW592"/>
  <c r="BD592"/>
  <c r="BH592"/>
  <c r="AD592" s="1"/>
  <c r="BJ592"/>
  <c r="J593"/>
  <c r="AL593"/>
  <c r="L593"/>
  <c r="Z593"/>
  <c r="AB593"/>
  <c r="AC593"/>
  <c r="AF593"/>
  <c r="AG593"/>
  <c r="AH593"/>
  <c r="AJ593"/>
  <c r="AK593"/>
  <c r="AP593"/>
  <c r="BD593"/>
  <c r="BF593"/>
  <c r="BJ593"/>
  <c r="J594"/>
  <c r="AL594" s="1"/>
  <c r="L594"/>
  <c r="Z594"/>
  <c r="AB594"/>
  <c r="AC594"/>
  <c r="AF594"/>
  <c r="AG594"/>
  <c r="AH594"/>
  <c r="AJ594"/>
  <c r="AK594"/>
  <c r="AP594"/>
  <c r="I594"/>
  <c r="BD594"/>
  <c r="BF594"/>
  <c r="BJ594"/>
  <c r="H595"/>
  <c r="J595"/>
  <c r="AL595"/>
  <c r="L595"/>
  <c r="BF595"/>
  <c r="Z595"/>
  <c r="AB595"/>
  <c r="AC595"/>
  <c r="AF595"/>
  <c r="AG595"/>
  <c r="AH595"/>
  <c r="AJ595"/>
  <c r="AK595"/>
  <c r="AP595"/>
  <c r="I595"/>
  <c r="AW595"/>
  <c r="BD595"/>
  <c r="BH595"/>
  <c r="AD595"/>
  <c r="BJ595"/>
  <c r="H596"/>
  <c r="J596"/>
  <c r="AL596"/>
  <c r="L596"/>
  <c r="BF596"/>
  <c r="Z596"/>
  <c r="AB596"/>
  <c r="AC596"/>
  <c r="AF596"/>
  <c r="AG596"/>
  <c r="AH596"/>
  <c r="AJ596"/>
  <c r="AK596"/>
  <c r="AP596"/>
  <c r="I596"/>
  <c r="AW596"/>
  <c r="BD596"/>
  <c r="BH596"/>
  <c r="AD596"/>
  <c r="BJ596"/>
  <c r="H597"/>
  <c r="J597"/>
  <c r="AL597"/>
  <c r="L597"/>
  <c r="BF597"/>
  <c r="Z597"/>
  <c r="AB597"/>
  <c r="AC597"/>
  <c r="AF597"/>
  <c r="AG597"/>
  <c r="AH597"/>
  <c r="AJ597"/>
  <c r="AK597"/>
  <c r="AP597"/>
  <c r="AX597"/>
  <c r="BD597"/>
  <c r="BJ597"/>
  <c r="H598"/>
  <c r="J598"/>
  <c r="AL598" s="1"/>
  <c r="L598"/>
  <c r="BF598" s="1"/>
  <c r="Z598"/>
  <c r="AB598"/>
  <c r="AC598"/>
  <c r="AF598"/>
  <c r="AG598"/>
  <c r="AH598"/>
  <c r="AJ598"/>
  <c r="AK598"/>
  <c r="AP598"/>
  <c r="AX598" s="1"/>
  <c r="AV598" s="1"/>
  <c r="AW598"/>
  <c r="BD598"/>
  <c r="BH598"/>
  <c r="AD598"/>
  <c r="BJ598"/>
  <c r="H599"/>
  <c r="J599"/>
  <c r="AL599"/>
  <c r="L599"/>
  <c r="BF599"/>
  <c r="Z599"/>
  <c r="AB599"/>
  <c r="AC599"/>
  <c r="AF599"/>
  <c r="AG599"/>
  <c r="AH599"/>
  <c r="AJ599"/>
  <c r="AK599"/>
  <c r="AP599"/>
  <c r="AX599"/>
  <c r="AW599"/>
  <c r="AV599" s="1"/>
  <c r="BD599"/>
  <c r="BH599"/>
  <c r="AD599" s="1"/>
  <c r="BJ599"/>
  <c r="J600"/>
  <c r="AL600"/>
  <c r="L600"/>
  <c r="BF600"/>
  <c r="Z600"/>
  <c r="AB600"/>
  <c r="AC600"/>
  <c r="AF600"/>
  <c r="AG600"/>
  <c r="AH600"/>
  <c r="AJ600"/>
  <c r="AK600"/>
  <c r="AO600"/>
  <c r="AW600"/>
  <c r="AP600"/>
  <c r="BI600"/>
  <c r="AE600" s="1"/>
  <c r="BD600"/>
  <c r="BJ600"/>
  <c r="J601"/>
  <c r="AL601" s="1"/>
  <c r="L601"/>
  <c r="BF601" s="1"/>
  <c r="Z601"/>
  <c r="AB601"/>
  <c r="AC601"/>
  <c r="AF601"/>
  <c r="AG601"/>
  <c r="AH601"/>
  <c r="AJ601"/>
  <c r="AK601"/>
  <c r="AO601"/>
  <c r="AW601" s="1"/>
  <c r="AP601"/>
  <c r="AX601" s="1"/>
  <c r="BD601"/>
  <c r="BJ601"/>
  <c r="J602"/>
  <c r="AL602" s="1"/>
  <c r="L602"/>
  <c r="Z602"/>
  <c r="AB602"/>
  <c r="AC602"/>
  <c r="AF602"/>
  <c r="AG602"/>
  <c r="AH602"/>
  <c r="AJ602"/>
  <c r="AK602"/>
  <c r="AO602"/>
  <c r="BH602"/>
  <c r="AD602" s="1"/>
  <c r="AP602"/>
  <c r="BI602" s="1"/>
  <c r="AE602" s="1"/>
  <c r="BD602"/>
  <c r="BF602"/>
  <c r="BJ602"/>
  <c r="J603"/>
  <c r="AL603" s="1"/>
  <c r="L603"/>
  <c r="BF603" s="1"/>
  <c r="Z603"/>
  <c r="AB603"/>
  <c r="AC603"/>
  <c r="AF603"/>
  <c r="AG603"/>
  <c r="AH603"/>
  <c r="AJ603"/>
  <c r="AK603"/>
  <c r="AO603"/>
  <c r="H603" s="1"/>
  <c r="AP603"/>
  <c r="I603" s="1"/>
  <c r="BD603"/>
  <c r="BJ603"/>
  <c r="J604"/>
  <c r="AL604" s="1"/>
  <c r="L604"/>
  <c r="BF604" s="1"/>
  <c r="Z604"/>
  <c r="AB604"/>
  <c r="AC604"/>
  <c r="AF604"/>
  <c r="AG604"/>
  <c r="AH604"/>
  <c r="AJ604"/>
  <c r="AK604"/>
  <c r="AO604"/>
  <c r="BH604" s="1"/>
  <c r="AD604" s="1"/>
  <c r="AP604"/>
  <c r="AX604"/>
  <c r="BD604"/>
  <c r="BJ604"/>
  <c r="J605"/>
  <c r="AL605"/>
  <c r="L605"/>
  <c r="BF605"/>
  <c r="Z605"/>
  <c r="AB605"/>
  <c r="AC605"/>
  <c r="AF605"/>
  <c r="AG605"/>
  <c r="AH605"/>
  <c r="AJ605"/>
  <c r="AK605"/>
  <c r="AO605"/>
  <c r="AW605"/>
  <c r="AP605"/>
  <c r="AX605"/>
  <c r="BD605"/>
  <c r="BJ605"/>
  <c r="J606"/>
  <c r="AL606"/>
  <c r="L606"/>
  <c r="BF606"/>
  <c r="Z606"/>
  <c r="AB606"/>
  <c r="AC606"/>
  <c r="AF606"/>
  <c r="AG606"/>
  <c r="AH606"/>
  <c r="AJ606"/>
  <c r="AK606"/>
  <c r="AO606"/>
  <c r="BH606"/>
  <c r="AD606" s="1"/>
  <c r="AP606"/>
  <c r="BI606" s="1"/>
  <c r="AE606" s="1"/>
  <c r="BD606"/>
  <c r="BJ606"/>
  <c r="J607"/>
  <c r="AL607"/>
  <c r="L607"/>
  <c r="BF607"/>
  <c r="Z607"/>
  <c r="AB607"/>
  <c r="AC607"/>
  <c r="AF607"/>
  <c r="AG607"/>
  <c r="AH607"/>
  <c r="AJ607"/>
  <c r="AK607"/>
  <c r="AO607"/>
  <c r="AW607"/>
  <c r="BC607" s="1"/>
  <c r="AP607"/>
  <c r="I607" s="1"/>
  <c r="BD607"/>
  <c r="BJ607"/>
  <c r="J608"/>
  <c r="AL608" s="1"/>
  <c r="L608"/>
  <c r="BF608" s="1"/>
  <c r="Z608"/>
  <c r="AB608"/>
  <c r="AC608"/>
  <c r="AF608"/>
  <c r="AG608"/>
  <c r="AH608"/>
  <c r="AJ608"/>
  <c r="AK608"/>
  <c r="AO608"/>
  <c r="AW608" s="1"/>
  <c r="AP608"/>
  <c r="I608" s="1"/>
  <c r="BI608"/>
  <c r="AE608" s="1"/>
  <c r="BD608"/>
  <c r="BJ608"/>
  <c r="J609"/>
  <c r="AL609" s="1"/>
  <c r="L609"/>
  <c r="BF609" s="1"/>
  <c r="Z609"/>
  <c r="AB609"/>
  <c r="AC609"/>
  <c r="AF609"/>
  <c r="AG609"/>
  <c r="AH609"/>
  <c r="AJ609"/>
  <c r="AK609"/>
  <c r="AO609"/>
  <c r="H609" s="1"/>
  <c r="AP609"/>
  <c r="BI609" s="1"/>
  <c r="AE609" s="1"/>
  <c r="BD609"/>
  <c r="BJ609"/>
  <c r="J610"/>
  <c r="AL610"/>
  <c r="L610"/>
  <c r="BF610"/>
  <c r="Z610"/>
  <c r="AB610"/>
  <c r="AC610"/>
  <c r="AF610"/>
  <c r="AG610"/>
  <c r="AH610"/>
  <c r="AJ610"/>
  <c r="AK610"/>
  <c r="AO610"/>
  <c r="BH610"/>
  <c r="AD610" s="1"/>
  <c r="AP610"/>
  <c r="AX610" s="1"/>
  <c r="BD610"/>
  <c r="BJ610"/>
  <c r="J611"/>
  <c r="AL611" s="1"/>
  <c r="L611"/>
  <c r="BF611" s="1"/>
  <c r="Z611"/>
  <c r="AB611"/>
  <c r="AC611"/>
  <c r="AF611"/>
  <c r="AG611"/>
  <c r="AH611"/>
  <c r="AJ611"/>
  <c r="AK611"/>
  <c r="AO611"/>
  <c r="AW611" s="1"/>
  <c r="BC611" s="1"/>
  <c r="AP611"/>
  <c r="AX611"/>
  <c r="BD611"/>
  <c r="BJ611"/>
  <c r="J612"/>
  <c r="AL612"/>
  <c r="L612"/>
  <c r="BF612"/>
  <c r="Z612"/>
  <c r="AB612"/>
  <c r="AC612"/>
  <c r="AF612"/>
  <c r="AG612"/>
  <c r="AH612"/>
  <c r="AJ612"/>
  <c r="AK612"/>
  <c r="AO612"/>
  <c r="AP612"/>
  <c r="AX612" s="1"/>
  <c r="I612"/>
  <c r="BD612"/>
  <c r="BI612"/>
  <c r="AE612" s="1"/>
  <c r="BJ612"/>
  <c r="J613"/>
  <c r="AL613"/>
  <c r="L613"/>
  <c r="BF613"/>
  <c r="Z613"/>
  <c r="AB613"/>
  <c r="AC613"/>
  <c r="AF613"/>
  <c r="AG613"/>
  <c r="AH613"/>
  <c r="AJ613"/>
  <c r="AK613"/>
  <c r="AO613"/>
  <c r="AW613"/>
  <c r="AP613"/>
  <c r="I613"/>
  <c r="BD613"/>
  <c r="BJ613"/>
  <c r="J615"/>
  <c r="AL615"/>
  <c r="L615"/>
  <c r="BF615"/>
  <c r="Z615"/>
  <c r="AB615"/>
  <c r="AC615"/>
  <c r="AF615"/>
  <c r="AG615"/>
  <c r="AH615"/>
  <c r="AJ615"/>
  <c r="AK615"/>
  <c r="AO615"/>
  <c r="BH615"/>
  <c r="AD615" s="1"/>
  <c r="AP615"/>
  <c r="I615" s="1"/>
  <c r="BD615"/>
  <c r="BJ615"/>
  <c r="J616"/>
  <c r="AL616" s="1"/>
  <c r="L616"/>
  <c r="BF616" s="1"/>
  <c r="Z616"/>
  <c r="AB616"/>
  <c r="AC616"/>
  <c r="AF616"/>
  <c r="AG616"/>
  <c r="AH616"/>
  <c r="AJ616"/>
  <c r="AK616"/>
  <c r="AO616"/>
  <c r="AW616" s="1"/>
  <c r="AV616" s="1"/>
  <c r="AP616"/>
  <c r="I616" s="1"/>
  <c r="BD616"/>
  <c r="BJ616"/>
  <c r="J617"/>
  <c r="AL617" s="1"/>
  <c r="L617"/>
  <c r="BF617" s="1"/>
  <c r="Z617"/>
  <c r="AB617"/>
  <c r="AC617"/>
  <c r="AF617"/>
  <c r="AG617"/>
  <c r="AH617"/>
  <c r="AJ617"/>
  <c r="AK617"/>
  <c r="AO617"/>
  <c r="H617" s="1"/>
  <c r="AP617"/>
  <c r="BI617" s="1"/>
  <c r="AE617" s="1"/>
  <c r="BD617"/>
  <c r="BJ617"/>
  <c r="J618"/>
  <c r="AL618"/>
  <c r="L618"/>
  <c r="BF618"/>
  <c r="Z618"/>
  <c r="AB618"/>
  <c r="AC618"/>
  <c r="AF618"/>
  <c r="AG618"/>
  <c r="AH618"/>
  <c r="AJ618"/>
  <c r="AK618"/>
  <c r="AO618"/>
  <c r="H618"/>
  <c r="AP618"/>
  <c r="AX618"/>
  <c r="BD618"/>
  <c r="BJ618"/>
  <c r="J619"/>
  <c r="AL619"/>
  <c r="L619"/>
  <c r="BF619"/>
  <c r="Z619"/>
  <c r="AB619"/>
  <c r="AC619"/>
  <c r="AF619"/>
  <c r="AG619"/>
  <c r="AH619"/>
  <c r="AJ619"/>
  <c r="AK619"/>
  <c r="AO619"/>
  <c r="H619"/>
  <c r="AP619"/>
  <c r="AX619"/>
  <c r="BD619"/>
  <c r="BJ619"/>
  <c r="J620"/>
  <c r="AL620"/>
  <c r="L620"/>
  <c r="BF620"/>
  <c r="Z620"/>
  <c r="AB620"/>
  <c r="AC620"/>
  <c r="AF620"/>
  <c r="AG620"/>
  <c r="AH620"/>
  <c r="AJ620"/>
  <c r="AK620"/>
  <c r="AO620"/>
  <c r="AW620"/>
  <c r="AP620"/>
  <c r="I620"/>
  <c r="BD620"/>
  <c r="BJ620"/>
  <c r="J621"/>
  <c r="AL621"/>
  <c r="L621"/>
  <c r="BF621"/>
  <c r="Z621"/>
  <c r="AB621"/>
  <c r="AC621"/>
  <c r="AF621"/>
  <c r="AG621"/>
  <c r="AH621"/>
  <c r="AJ621"/>
  <c r="AK621"/>
  <c r="AO621"/>
  <c r="AW621"/>
  <c r="AP621"/>
  <c r="BI621"/>
  <c r="AE621" s="1"/>
  <c r="BD621"/>
  <c r="BJ621"/>
  <c r="J622"/>
  <c r="AL622" s="1"/>
  <c r="L622"/>
  <c r="BF622" s="1"/>
  <c r="Z622"/>
  <c r="AB622"/>
  <c r="AC622"/>
  <c r="AF622"/>
  <c r="AG622"/>
  <c r="AH622"/>
  <c r="AJ622"/>
  <c r="AK622"/>
  <c r="AO622"/>
  <c r="H622" s="1"/>
  <c r="AP622"/>
  <c r="I622" s="1"/>
  <c r="BD622"/>
  <c r="BJ622"/>
  <c r="J623"/>
  <c r="AL623" s="1"/>
  <c r="L623"/>
  <c r="BF623" s="1"/>
  <c r="Z623"/>
  <c r="AB623"/>
  <c r="AC623"/>
  <c r="AF623"/>
  <c r="AG623"/>
  <c r="AH623"/>
  <c r="AJ623"/>
  <c r="AK623"/>
  <c r="AO623"/>
  <c r="AW623" s="1"/>
  <c r="AP623"/>
  <c r="BI623" s="1"/>
  <c r="AE623" s="1"/>
  <c r="BD623"/>
  <c r="BJ623"/>
  <c r="J624"/>
  <c r="AL624"/>
  <c r="L624"/>
  <c r="BF624"/>
  <c r="Z624"/>
  <c r="AB624"/>
  <c r="AC624"/>
  <c r="AF624"/>
  <c r="AG624"/>
  <c r="AH624"/>
  <c r="AJ624"/>
  <c r="AK624"/>
  <c r="AO624"/>
  <c r="AP624"/>
  <c r="AX624" s="1"/>
  <c r="BD624"/>
  <c r="BJ624"/>
  <c r="J625"/>
  <c r="AL625"/>
  <c r="L625"/>
  <c r="BF625"/>
  <c r="Z625"/>
  <c r="AB625"/>
  <c r="AC625"/>
  <c r="AF625"/>
  <c r="AG625"/>
  <c r="AH625"/>
  <c r="AJ625"/>
  <c r="AK625"/>
  <c r="AO625"/>
  <c r="AP625"/>
  <c r="AX625" s="1"/>
  <c r="AV625" s="1"/>
  <c r="BD625"/>
  <c r="BJ625"/>
  <c r="J626"/>
  <c r="AL626" s="1"/>
  <c r="L626"/>
  <c r="BF626" s="1"/>
  <c r="Z626"/>
  <c r="AB626"/>
  <c r="AC626"/>
  <c r="AF626"/>
  <c r="AG626"/>
  <c r="AH626"/>
  <c r="AJ626"/>
  <c r="AK626"/>
  <c r="AO626"/>
  <c r="AP626"/>
  <c r="I626"/>
  <c r="BD626"/>
  <c r="BJ626"/>
  <c r="J627"/>
  <c r="AL627"/>
  <c r="L627"/>
  <c r="BF627"/>
  <c r="Z627"/>
  <c r="AB627"/>
  <c r="AC627"/>
  <c r="AF627"/>
  <c r="AG627"/>
  <c r="AH627"/>
  <c r="AJ627"/>
  <c r="AK627"/>
  <c r="AO627"/>
  <c r="H627"/>
  <c r="AP627"/>
  <c r="I627"/>
  <c r="BI627"/>
  <c r="AE627"/>
  <c r="BD627"/>
  <c r="BJ627"/>
  <c r="J628"/>
  <c r="AL628"/>
  <c r="L628"/>
  <c r="BF628"/>
  <c r="Z628"/>
  <c r="AB628"/>
  <c r="AC628"/>
  <c r="AF628"/>
  <c r="AG628"/>
  <c r="AH628"/>
  <c r="AJ628"/>
  <c r="AK628"/>
  <c r="AO628"/>
  <c r="AW628"/>
  <c r="BH628"/>
  <c r="AD628"/>
  <c r="AP628"/>
  <c r="I628"/>
  <c r="BD628"/>
  <c r="BJ628"/>
  <c r="J629"/>
  <c r="AL629"/>
  <c r="L629"/>
  <c r="Z629"/>
  <c r="AB629"/>
  <c r="AC629"/>
  <c r="AF629"/>
  <c r="AG629"/>
  <c r="AH629"/>
  <c r="AJ629"/>
  <c r="AK629"/>
  <c r="AO629"/>
  <c r="BH629" s="1"/>
  <c r="AD629" s="1"/>
  <c r="AP629"/>
  <c r="BI629"/>
  <c r="AE629" s="1"/>
  <c r="BD629"/>
  <c r="BF629"/>
  <c r="BJ629"/>
  <c r="J630"/>
  <c r="AL630"/>
  <c r="L630"/>
  <c r="Z630"/>
  <c r="AB630"/>
  <c r="AC630"/>
  <c r="AF630"/>
  <c r="AG630"/>
  <c r="AH630"/>
  <c r="AJ630"/>
  <c r="AK630"/>
  <c r="AO630"/>
  <c r="AW630" s="1"/>
  <c r="AP630"/>
  <c r="AX630" s="1"/>
  <c r="BD630"/>
  <c r="BF630"/>
  <c r="BJ630"/>
  <c r="J631"/>
  <c r="AL631" s="1"/>
  <c r="L631"/>
  <c r="BF631" s="1"/>
  <c r="Z631"/>
  <c r="AB631"/>
  <c r="AC631"/>
  <c r="AF631"/>
  <c r="AG631"/>
  <c r="AH631"/>
  <c r="AJ631"/>
  <c r="AK631"/>
  <c r="AO631"/>
  <c r="H631" s="1"/>
  <c r="AP631"/>
  <c r="BD631"/>
  <c r="BJ631"/>
  <c r="J632"/>
  <c r="AL632"/>
  <c r="L632"/>
  <c r="BF632"/>
  <c r="Z632"/>
  <c r="AB632"/>
  <c r="AC632"/>
  <c r="AF632"/>
  <c r="AG632"/>
  <c r="AH632"/>
  <c r="AJ632"/>
  <c r="AK632"/>
  <c r="AO632"/>
  <c r="AW632"/>
  <c r="AP632"/>
  <c r="I632" s="1"/>
  <c r="BD632"/>
  <c r="BJ632"/>
  <c r="J633"/>
  <c r="AL633" s="1"/>
  <c r="L633"/>
  <c r="BF633" s="1"/>
  <c r="Z633"/>
  <c r="AB633"/>
  <c r="AC633"/>
  <c r="AF633"/>
  <c r="AG633"/>
  <c r="AH633"/>
  <c r="AJ633"/>
  <c r="AK633"/>
  <c r="AO633"/>
  <c r="H633" s="1"/>
  <c r="AP633"/>
  <c r="AX633" s="1"/>
  <c r="BD633"/>
  <c r="BJ633"/>
  <c r="J634"/>
  <c r="AL634"/>
  <c r="L634"/>
  <c r="BF634"/>
  <c r="Z634"/>
  <c r="AB634"/>
  <c r="AC634"/>
  <c r="AF634"/>
  <c r="AG634"/>
  <c r="AH634"/>
  <c r="AJ634"/>
  <c r="AK634"/>
  <c r="AO634"/>
  <c r="H634"/>
  <c r="AP634"/>
  <c r="BD634"/>
  <c r="BJ634"/>
  <c r="J635"/>
  <c r="AL635" s="1"/>
  <c r="L635"/>
  <c r="Z635"/>
  <c r="AB635"/>
  <c r="AC635"/>
  <c r="AF635"/>
  <c r="AG635"/>
  <c r="AH635"/>
  <c r="AJ635"/>
  <c r="AK635"/>
  <c r="AO635"/>
  <c r="BH635"/>
  <c r="AD635" s="1"/>
  <c r="AP635"/>
  <c r="BI635" s="1"/>
  <c r="AE635" s="1"/>
  <c r="BD635"/>
  <c r="BF635"/>
  <c r="BJ635"/>
  <c r="J637"/>
  <c r="AL637" s="1"/>
  <c r="L637"/>
  <c r="Z637"/>
  <c r="AB637"/>
  <c r="AC637"/>
  <c r="AF637"/>
  <c r="AG637"/>
  <c r="AH637"/>
  <c r="AJ637"/>
  <c r="AK637"/>
  <c r="AO637"/>
  <c r="AP637"/>
  <c r="BI637" s="1"/>
  <c r="AE637" s="1"/>
  <c r="BD637"/>
  <c r="BF637"/>
  <c r="BJ637"/>
  <c r="J639"/>
  <c r="AL639" s="1"/>
  <c r="L639"/>
  <c r="BF639" s="1"/>
  <c r="Z639"/>
  <c r="AB639"/>
  <c r="AC639"/>
  <c r="AF639"/>
  <c r="AG639"/>
  <c r="AH639"/>
  <c r="AJ639"/>
  <c r="AK639"/>
  <c r="AO639"/>
  <c r="H639" s="1"/>
  <c r="AP639"/>
  <c r="I639" s="1"/>
  <c r="BD639"/>
  <c r="BJ639"/>
  <c r="J642"/>
  <c r="AL642" s="1"/>
  <c r="L642"/>
  <c r="BF642" s="1"/>
  <c r="Z642"/>
  <c r="AB642"/>
  <c r="AC642"/>
  <c r="AF642"/>
  <c r="AG642"/>
  <c r="AH642"/>
  <c r="AJ642"/>
  <c r="AK642"/>
  <c r="AO642"/>
  <c r="AW642" s="1"/>
  <c r="AP642"/>
  <c r="AX642" s="1"/>
  <c r="BD642"/>
  <c r="BJ642"/>
  <c r="J645"/>
  <c r="AL645" s="1"/>
  <c r="L645"/>
  <c r="BF645" s="1"/>
  <c r="Z645"/>
  <c r="AB645"/>
  <c r="AC645"/>
  <c r="AF645"/>
  <c r="AG645"/>
  <c r="AH645"/>
  <c r="AJ645"/>
  <c r="AK645"/>
  <c r="AO645"/>
  <c r="BH645" s="1"/>
  <c r="AD645" s="1"/>
  <c r="AP645"/>
  <c r="BD645"/>
  <c r="BJ645"/>
  <c r="J647"/>
  <c r="AL647" s="1"/>
  <c r="L647"/>
  <c r="BF647" s="1"/>
  <c r="Z647"/>
  <c r="AB647"/>
  <c r="AC647"/>
  <c r="AF647"/>
  <c r="AG647"/>
  <c r="AH647"/>
  <c r="AJ647"/>
  <c r="AK647"/>
  <c r="AO647"/>
  <c r="H647" s="1"/>
  <c r="AP647"/>
  <c r="BI647" s="1"/>
  <c r="AE647" s="1"/>
  <c r="BD647"/>
  <c r="BJ647"/>
  <c r="J649"/>
  <c r="AL649"/>
  <c r="L649"/>
  <c r="BF649"/>
  <c r="Z649"/>
  <c r="AB649"/>
  <c r="AC649"/>
  <c r="AF649"/>
  <c r="AG649"/>
  <c r="AH649"/>
  <c r="AJ649"/>
  <c r="AK649"/>
  <c r="AO649"/>
  <c r="AW649"/>
  <c r="H649"/>
  <c r="AP649"/>
  <c r="BD649"/>
  <c r="BJ649"/>
  <c r="J651"/>
  <c r="AL651"/>
  <c r="L651"/>
  <c r="BF651"/>
  <c r="Z651"/>
  <c r="AB651"/>
  <c r="AC651"/>
  <c r="AF651"/>
  <c r="AG651"/>
  <c r="AH651"/>
  <c r="AJ651"/>
  <c r="AK651"/>
  <c r="AO651"/>
  <c r="BH651"/>
  <c r="AD651" s="1"/>
  <c r="AP651"/>
  <c r="AX651" s="1"/>
  <c r="BD651"/>
  <c r="BJ651"/>
  <c r="J653"/>
  <c r="AL653" s="1"/>
  <c r="L653"/>
  <c r="BF653" s="1"/>
  <c r="Z653"/>
  <c r="AB653"/>
  <c r="AC653"/>
  <c r="AF653"/>
  <c r="AG653"/>
  <c r="AH653"/>
  <c r="AJ653"/>
  <c r="AK653"/>
  <c r="AO653"/>
  <c r="H653"/>
  <c r="AP653"/>
  <c r="BD653"/>
  <c r="BJ653"/>
  <c r="J656"/>
  <c r="AL656"/>
  <c r="L656"/>
  <c r="BF656"/>
  <c r="Z656"/>
  <c r="AB656"/>
  <c r="AC656"/>
  <c r="AF656"/>
  <c r="AG656"/>
  <c r="AH656"/>
  <c r="AJ656"/>
  <c r="AK656"/>
  <c r="AO656"/>
  <c r="H656"/>
  <c r="AP656"/>
  <c r="I656"/>
  <c r="AW656"/>
  <c r="BD656"/>
  <c r="BJ656"/>
  <c r="J657"/>
  <c r="AL657" s="1"/>
  <c r="L657"/>
  <c r="BF657" s="1"/>
  <c r="Z657"/>
  <c r="AB657"/>
  <c r="AC657"/>
  <c r="AF657"/>
  <c r="AG657"/>
  <c r="AH657"/>
  <c r="AJ657"/>
  <c r="AK657"/>
  <c r="AO657"/>
  <c r="AW657" s="1"/>
  <c r="AV657" s="1"/>
  <c r="H657"/>
  <c r="AP657"/>
  <c r="AX657"/>
  <c r="BD657"/>
  <c r="BJ657"/>
  <c r="AB658"/>
  <c r="AC658"/>
  <c r="AD658"/>
  <c r="AE658"/>
  <c r="AF658"/>
  <c r="AG658"/>
  <c r="AH658"/>
  <c r="AJ658"/>
  <c r="AK658"/>
  <c r="AO658"/>
  <c r="BH658" s="1"/>
  <c r="AP658"/>
  <c r="I658"/>
  <c r="BD658"/>
  <c r="J660"/>
  <c r="L660"/>
  <c r="BF660"/>
  <c r="Z660"/>
  <c r="AB660"/>
  <c r="AC660"/>
  <c r="AF660"/>
  <c r="AG660"/>
  <c r="AH660"/>
  <c r="AJ660"/>
  <c r="AK660"/>
  <c r="AO660"/>
  <c r="AW660"/>
  <c r="AP660"/>
  <c r="BD660"/>
  <c r="BH660"/>
  <c r="AD660"/>
  <c r="BJ660"/>
  <c r="J661"/>
  <c r="AL661" s="1"/>
  <c r="L661"/>
  <c r="BF661" s="1"/>
  <c r="Z661"/>
  <c r="AB661"/>
  <c r="AC661"/>
  <c r="AF661"/>
  <c r="AG661"/>
  <c r="AH661"/>
  <c r="AJ661"/>
  <c r="AK661"/>
  <c r="AO661"/>
  <c r="BH661" s="1"/>
  <c r="AD661" s="1"/>
  <c r="AP661"/>
  <c r="BD661"/>
  <c r="BJ661"/>
  <c r="J662"/>
  <c r="L662"/>
  <c r="BF662"/>
  <c r="Z662"/>
  <c r="AB662"/>
  <c r="AC662"/>
  <c r="AF662"/>
  <c r="AG662"/>
  <c r="AH662"/>
  <c r="AJ662"/>
  <c r="AK662"/>
  <c r="AO662"/>
  <c r="BH662"/>
  <c r="AD662" s="1"/>
  <c r="AP662"/>
  <c r="AX662" s="1"/>
  <c r="BD662"/>
  <c r="BJ662"/>
  <c r="J663"/>
  <c r="AL663" s="1"/>
  <c r="L663"/>
  <c r="BF663" s="1"/>
  <c r="Z663"/>
  <c r="AB663"/>
  <c r="AC663"/>
  <c r="AF663"/>
  <c r="AG663"/>
  <c r="AH663"/>
  <c r="AJ663"/>
  <c r="AK663"/>
  <c r="AO663"/>
  <c r="AP663"/>
  <c r="AX663"/>
  <c r="BD663"/>
  <c r="BJ663"/>
  <c r="J664"/>
  <c r="AL664"/>
  <c r="L664"/>
  <c r="BF664"/>
  <c r="Z664"/>
  <c r="AB664"/>
  <c r="AC664"/>
  <c r="AF664"/>
  <c r="AG664"/>
  <c r="AH664"/>
  <c r="AJ664"/>
  <c r="AK664"/>
  <c r="AO664"/>
  <c r="AW664"/>
  <c r="AV664" s="1"/>
  <c r="H664"/>
  <c r="AP664"/>
  <c r="AX664"/>
  <c r="BD664"/>
  <c r="BJ664"/>
  <c r="J665"/>
  <c r="AL665"/>
  <c r="L665"/>
  <c r="BF665"/>
  <c r="Z665"/>
  <c r="AB665"/>
  <c r="AC665"/>
  <c r="AF665"/>
  <c r="AG665"/>
  <c r="AH665"/>
  <c r="AJ665"/>
  <c r="AK665"/>
  <c r="AO665"/>
  <c r="AW665"/>
  <c r="AP665"/>
  <c r="I665"/>
  <c r="BD665"/>
  <c r="BJ665"/>
  <c r="J666"/>
  <c r="AL666"/>
  <c r="L666"/>
  <c r="BF666"/>
  <c r="Z666"/>
  <c r="AB666"/>
  <c r="AC666"/>
  <c r="AF666"/>
  <c r="AG666"/>
  <c r="AH666"/>
  <c r="AJ666"/>
  <c r="AK666"/>
  <c r="AO666"/>
  <c r="AW666"/>
  <c r="H666"/>
  <c r="AP666"/>
  <c r="I666" s="1"/>
  <c r="BD666"/>
  <c r="BJ666"/>
  <c r="J667"/>
  <c r="AL667" s="1"/>
  <c r="L667"/>
  <c r="BF667" s="1"/>
  <c r="Z667"/>
  <c r="AB667"/>
  <c r="AC667"/>
  <c r="AF667"/>
  <c r="AG667"/>
  <c r="AH667"/>
  <c r="AJ667"/>
  <c r="AK667"/>
  <c r="AO667"/>
  <c r="AW667" s="1"/>
  <c r="AP667"/>
  <c r="I667"/>
  <c r="BD667"/>
  <c r="BJ667"/>
  <c r="J668"/>
  <c r="AL668"/>
  <c r="L668"/>
  <c r="BF668"/>
  <c r="Z668"/>
  <c r="AB668"/>
  <c r="AC668"/>
  <c r="AF668"/>
  <c r="AG668"/>
  <c r="AH668"/>
  <c r="AJ668"/>
  <c r="AK668"/>
  <c r="AO668"/>
  <c r="AP668"/>
  <c r="I668" s="1"/>
  <c r="BD668"/>
  <c r="BJ668"/>
  <c r="J669"/>
  <c r="AL669"/>
  <c r="L669"/>
  <c r="BF669"/>
  <c r="Z669"/>
  <c r="AB669"/>
  <c r="AC669"/>
  <c r="AF669"/>
  <c r="AG669"/>
  <c r="AH669"/>
  <c r="AJ669"/>
  <c r="AK669"/>
  <c r="AO669"/>
  <c r="BH669"/>
  <c r="AP669"/>
  <c r="I669"/>
  <c r="BI669"/>
  <c r="AE669"/>
  <c r="BD669"/>
  <c r="AD669"/>
  <c r="BJ669"/>
  <c r="J670"/>
  <c r="AL670" s="1"/>
  <c r="L670"/>
  <c r="Z670"/>
  <c r="AB670"/>
  <c r="AC670"/>
  <c r="AF670"/>
  <c r="AG670"/>
  <c r="AH670"/>
  <c r="AJ670"/>
  <c r="AK670"/>
  <c r="AO670"/>
  <c r="H670"/>
  <c r="AP670"/>
  <c r="AX670"/>
  <c r="BD670"/>
  <c r="BJ670"/>
  <c r="J671"/>
  <c r="AL671"/>
  <c r="L671"/>
  <c r="BF671"/>
  <c r="Z671"/>
  <c r="AB671"/>
  <c r="AC671"/>
  <c r="AF671"/>
  <c r="AG671"/>
  <c r="AH671"/>
  <c r="AJ671"/>
  <c r="AK671"/>
  <c r="AO671"/>
  <c r="H671"/>
  <c r="AP671"/>
  <c r="BD671"/>
  <c r="BJ671"/>
  <c r="J672"/>
  <c r="AL672" s="1"/>
  <c r="L672"/>
  <c r="BF672" s="1"/>
  <c r="Z672"/>
  <c r="AB672"/>
  <c r="AC672"/>
  <c r="AF672"/>
  <c r="AG672"/>
  <c r="AH672"/>
  <c r="AJ672"/>
  <c r="AK672"/>
  <c r="AO672"/>
  <c r="AW672" s="1"/>
  <c r="AP672"/>
  <c r="BD672"/>
  <c r="BJ672"/>
  <c r="J673"/>
  <c r="AL673"/>
  <c r="L673"/>
  <c r="BF673"/>
  <c r="Z673"/>
  <c r="AB673"/>
  <c r="AC673"/>
  <c r="AF673"/>
  <c r="AG673"/>
  <c r="AH673"/>
  <c r="AJ673"/>
  <c r="AK673"/>
  <c r="AO673"/>
  <c r="AW673"/>
  <c r="AP673"/>
  <c r="I673"/>
  <c r="BD673"/>
  <c r="BJ673"/>
  <c r="J674"/>
  <c r="AL674"/>
  <c r="L674"/>
  <c r="BF674"/>
  <c r="Z674"/>
  <c r="AB674"/>
  <c r="AC674"/>
  <c r="AF674"/>
  <c r="AG674"/>
  <c r="AH674"/>
  <c r="AJ674"/>
  <c r="AK674"/>
  <c r="AO674"/>
  <c r="H674"/>
  <c r="AP674"/>
  <c r="BD674"/>
  <c r="BJ674"/>
  <c r="J675"/>
  <c r="AL675" s="1"/>
  <c r="L675"/>
  <c r="BF675" s="1"/>
  <c r="Z675"/>
  <c r="AB675"/>
  <c r="AC675"/>
  <c r="AF675"/>
  <c r="AG675"/>
  <c r="AH675"/>
  <c r="AJ675"/>
  <c r="AK675"/>
  <c r="AO675"/>
  <c r="H675" s="1"/>
  <c r="AP675"/>
  <c r="AX675" s="1"/>
  <c r="BC675" s="1"/>
  <c r="BD675"/>
  <c r="BJ675"/>
  <c r="J676"/>
  <c r="AL676" s="1"/>
  <c r="L676"/>
  <c r="BF676" s="1"/>
  <c r="Z676"/>
  <c r="AB676"/>
  <c r="AC676"/>
  <c r="AF676"/>
  <c r="AG676"/>
  <c r="AH676"/>
  <c r="AJ676"/>
  <c r="AK676"/>
  <c r="AO676"/>
  <c r="AP676"/>
  <c r="I676" s="1"/>
  <c r="BD676"/>
  <c r="BJ676"/>
  <c r="J677"/>
  <c r="AL677"/>
  <c r="L677"/>
  <c r="BF677"/>
  <c r="Z677"/>
  <c r="AB677"/>
  <c r="AC677"/>
  <c r="AF677"/>
  <c r="AG677"/>
  <c r="AH677"/>
  <c r="AJ677"/>
  <c r="AK677"/>
  <c r="AO677"/>
  <c r="AP677"/>
  <c r="AX677" s="1"/>
  <c r="BD677"/>
  <c r="BJ677"/>
  <c r="J678"/>
  <c r="AL678"/>
  <c r="L678"/>
  <c r="BF678"/>
  <c r="Z678"/>
  <c r="AB678"/>
  <c r="AC678"/>
  <c r="AF678"/>
  <c r="AG678"/>
  <c r="AH678"/>
  <c r="AJ678"/>
  <c r="AK678"/>
  <c r="AO678"/>
  <c r="AP678"/>
  <c r="I678" s="1"/>
  <c r="BD678"/>
  <c r="BJ678"/>
  <c r="J679"/>
  <c r="AL679" s="1"/>
  <c r="L679"/>
  <c r="BF679" s="1"/>
  <c r="Z679"/>
  <c r="AB679"/>
  <c r="AC679"/>
  <c r="AF679"/>
  <c r="AG679"/>
  <c r="AH679"/>
  <c r="AJ679"/>
  <c r="AK679"/>
  <c r="AO679"/>
  <c r="H679" s="1"/>
  <c r="AP679"/>
  <c r="BI679"/>
  <c r="AE679" s="1"/>
  <c r="BD679"/>
  <c r="BJ679"/>
  <c r="J680"/>
  <c r="AL680" s="1"/>
  <c r="L680"/>
  <c r="BF680" s="1"/>
  <c r="Z680"/>
  <c r="AB680"/>
  <c r="AC680"/>
  <c r="AF680"/>
  <c r="AG680"/>
  <c r="AH680"/>
  <c r="AJ680"/>
  <c r="AK680"/>
  <c r="AO680"/>
  <c r="AW680" s="1"/>
  <c r="AP680"/>
  <c r="BI680"/>
  <c r="AE680" s="1"/>
  <c r="BD680"/>
  <c r="BJ680"/>
  <c r="J681"/>
  <c r="AL681" s="1"/>
  <c r="L681"/>
  <c r="BF681" s="1"/>
  <c r="Z681"/>
  <c r="AB681"/>
  <c r="AC681"/>
  <c r="AF681"/>
  <c r="AG681"/>
  <c r="AH681"/>
  <c r="AJ681"/>
  <c r="AK681"/>
  <c r="AO681"/>
  <c r="H681" s="1"/>
  <c r="AW681"/>
  <c r="AP681"/>
  <c r="BI681" s="1"/>
  <c r="AE681" s="1"/>
  <c r="BD681"/>
  <c r="BJ681"/>
  <c r="J682"/>
  <c r="AL682"/>
  <c r="L682"/>
  <c r="BF682"/>
  <c r="Z682"/>
  <c r="AB682"/>
  <c r="AC682"/>
  <c r="AF682"/>
  <c r="AG682"/>
  <c r="AH682"/>
  <c r="AJ682"/>
  <c r="AK682"/>
  <c r="AO682"/>
  <c r="H682"/>
  <c r="AP682"/>
  <c r="BI682"/>
  <c r="AE682" s="1"/>
  <c r="BD682"/>
  <c r="BJ682"/>
  <c r="J683"/>
  <c r="AL683" s="1"/>
  <c r="L683"/>
  <c r="BF683" s="1"/>
  <c r="Z683"/>
  <c r="AB683"/>
  <c r="AC683"/>
  <c r="AF683"/>
  <c r="AG683"/>
  <c r="AH683"/>
  <c r="AJ683"/>
  <c r="AK683"/>
  <c r="AO683"/>
  <c r="BH683" s="1"/>
  <c r="AD683" s="1"/>
  <c r="AP683"/>
  <c r="AX683"/>
  <c r="BD683"/>
  <c r="BI683"/>
  <c r="AE683"/>
  <c r="BJ683"/>
  <c r="J684"/>
  <c r="AL684" s="1"/>
  <c r="L684"/>
  <c r="BF684" s="1"/>
  <c r="Z684"/>
  <c r="AB684"/>
  <c r="AC684"/>
  <c r="AF684"/>
  <c r="AG684"/>
  <c r="AH684"/>
  <c r="AJ684"/>
  <c r="AK684"/>
  <c r="AO684"/>
  <c r="BH684" s="1"/>
  <c r="AD684" s="1"/>
  <c r="AP684"/>
  <c r="I684"/>
  <c r="BD684"/>
  <c r="BJ684"/>
  <c r="J685"/>
  <c r="AL685"/>
  <c r="L685"/>
  <c r="BF685"/>
  <c r="Z685"/>
  <c r="AB685"/>
  <c r="AC685"/>
  <c r="AF685"/>
  <c r="AG685"/>
  <c r="AH685"/>
  <c r="AJ685"/>
  <c r="AK685"/>
  <c r="AO685"/>
  <c r="AW685"/>
  <c r="AP685"/>
  <c r="BD685"/>
  <c r="BJ685"/>
  <c r="J686"/>
  <c r="AL686" s="1"/>
  <c r="L686"/>
  <c r="BF686" s="1"/>
  <c r="Z686"/>
  <c r="AB686"/>
  <c r="AC686"/>
  <c r="AF686"/>
  <c r="AG686"/>
  <c r="AH686"/>
  <c r="AJ686"/>
  <c r="AK686"/>
  <c r="AO686"/>
  <c r="AW686" s="1"/>
  <c r="AV686" s="1"/>
  <c r="AP686"/>
  <c r="BI686" s="1"/>
  <c r="AE686" s="1"/>
  <c r="BD686"/>
  <c r="BJ686"/>
  <c r="J687"/>
  <c r="AL687"/>
  <c r="L687"/>
  <c r="Z687"/>
  <c r="AB687"/>
  <c r="AC687"/>
  <c r="AF687"/>
  <c r="AG687"/>
  <c r="AH687"/>
  <c r="AJ687"/>
  <c r="AK687"/>
  <c r="AO687"/>
  <c r="AW687" s="1"/>
  <c r="AV687" s="1"/>
  <c r="AP687"/>
  <c r="I687"/>
  <c r="BD687"/>
  <c r="BF687"/>
  <c r="BJ687"/>
  <c r="J688"/>
  <c r="AL688" s="1"/>
  <c r="L688"/>
  <c r="BF688" s="1"/>
  <c r="Z688"/>
  <c r="AB688"/>
  <c r="AC688"/>
  <c r="AF688"/>
  <c r="AG688"/>
  <c r="AH688"/>
  <c r="AJ688"/>
  <c r="AK688"/>
  <c r="AO688"/>
  <c r="H688" s="1"/>
  <c r="AP688"/>
  <c r="I688" s="1"/>
  <c r="BD688"/>
  <c r="BJ688"/>
  <c r="J689"/>
  <c r="AL689"/>
  <c r="L689"/>
  <c r="BF689"/>
  <c r="Z689"/>
  <c r="AB689"/>
  <c r="AC689"/>
  <c r="AF689"/>
  <c r="AG689"/>
  <c r="AH689"/>
  <c r="AJ689"/>
  <c r="AK689"/>
  <c r="AO689"/>
  <c r="AW689"/>
  <c r="AP689"/>
  <c r="BI689"/>
  <c r="AE689" s="1"/>
  <c r="BD689"/>
  <c r="BJ689"/>
  <c r="J690"/>
  <c r="AL690" s="1"/>
  <c r="L690"/>
  <c r="BF690" s="1"/>
  <c r="Z690"/>
  <c r="AB690"/>
  <c r="AC690"/>
  <c r="AF690"/>
  <c r="AG690"/>
  <c r="AH690"/>
  <c r="AJ690"/>
  <c r="AK690"/>
  <c r="AO690"/>
  <c r="BH690" s="1"/>
  <c r="AD690" s="1"/>
  <c r="AP690"/>
  <c r="BI690"/>
  <c r="AE690" s="1"/>
  <c r="BD690"/>
  <c r="BJ690"/>
  <c r="J691"/>
  <c r="AL691" s="1"/>
  <c r="L691"/>
  <c r="BF691" s="1"/>
  <c r="Z691"/>
  <c r="AB691"/>
  <c r="AC691"/>
  <c r="AF691"/>
  <c r="AG691"/>
  <c r="AH691"/>
  <c r="AJ691"/>
  <c r="AK691"/>
  <c r="AO691"/>
  <c r="BH691" s="1"/>
  <c r="AD691" s="1"/>
  <c r="AP691"/>
  <c r="I691"/>
  <c r="BD691"/>
  <c r="BJ691"/>
  <c r="J692"/>
  <c r="AL692"/>
  <c r="L692"/>
  <c r="BF692"/>
  <c r="Z692"/>
  <c r="AB692"/>
  <c r="AC692"/>
  <c r="AF692"/>
  <c r="AG692"/>
  <c r="AH692"/>
  <c r="AJ692"/>
  <c r="AK692"/>
  <c r="AO692"/>
  <c r="AP692"/>
  <c r="BI692" s="1"/>
  <c r="AE692" s="1"/>
  <c r="BD692"/>
  <c r="BJ692"/>
  <c r="J693"/>
  <c r="AL693"/>
  <c r="L693"/>
  <c r="BF693"/>
  <c r="Z693"/>
  <c r="AB693"/>
  <c r="AC693"/>
  <c r="AF693"/>
  <c r="AG693"/>
  <c r="AH693"/>
  <c r="AJ693"/>
  <c r="AK693"/>
  <c r="AO693"/>
  <c r="BH693"/>
  <c r="AD693" s="1"/>
  <c r="AP693"/>
  <c r="BI693" s="1"/>
  <c r="BD693"/>
  <c r="BJ693"/>
  <c r="J694"/>
  <c r="AL694"/>
  <c r="L694"/>
  <c r="BF694"/>
  <c r="Z694"/>
  <c r="AB694"/>
  <c r="AC694"/>
  <c r="AF694"/>
  <c r="AG694"/>
  <c r="AH694"/>
  <c r="AJ694"/>
  <c r="AK694"/>
  <c r="AO694"/>
  <c r="AW694"/>
  <c r="AP694"/>
  <c r="AX694"/>
  <c r="BD694"/>
  <c r="BJ694"/>
  <c r="J695"/>
  <c r="AL695"/>
  <c r="L695"/>
  <c r="Z695"/>
  <c r="AB695"/>
  <c r="AC695"/>
  <c r="AF695"/>
  <c r="AG695"/>
  <c r="AH695"/>
  <c r="AJ695"/>
  <c r="AK695"/>
  <c r="AO695"/>
  <c r="BH695" s="1"/>
  <c r="AP695"/>
  <c r="BD695"/>
  <c r="BF695"/>
  <c r="BJ695"/>
  <c r="J696"/>
  <c r="AL696"/>
  <c r="L696"/>
  <c r="BF696"/>
  <c r="Z696"/>
  <c r="AB696"/>
  <c r="AC696"/>
  <c r="AF696"/>
  <c r="AG696"/>
  <c r="AH696"/>
  <c r="AJ696"/>
  <c r="AK696"/>
  <c r="AO696"/>
  <c r="H696"/>
  <c r="AP696"/>
  <c r="BI696"/>
  <c r="AE696" s="1"/>
  <c r="BD696"/>
  <c r="BJ696"/>
  <c r="J697"/>
  <c r="AL697" s="1"/>
  <c r="L697"/>
  <c r="Z697"/>
  <c r="AB697"/>
  <c r="AC697"/>
  <c r="AF697"/>
  <c r="AG697"/>
  <c r="AH697"/>
  <c r="AJ697"/>
  <c r="AK697"/>
  <c r="AO697"/>
  <c r="AP697"/>
  <c r="BI697" s="1"/>
  <c r="AE697" s="1"/>
  <c r="BD697"/>
  <c r="BF697"/>
  <c r="BJ697"/>
  <c r="J698"/>
  <c r="AL698" s="1"/>
  <c r="L698"/>
  <c r="BF698" s="1"/>
  <c r="Z698"/>
  <c r="AB698"/>
  <c r="AC698"/>
  <c r="AF698"/>
  <c r="AG698"/>
  <c r="AH698"/>
  <c r="AJ698"/>
  <c r="AK698"/>
  <c r="AO698"/>
  <c r="BH698" s="1"/>
  <c r="AD698" s="1"/>
  <c r="AP698"/>
  <c r="BI698"/>
  <c r="AE698" s="1"/>
  <c r="BD698"/>
  <c r="BJ698"/>
  <c r="J699"/>
  <c r="AL699" s="1"/>
  <c r="L699"/>
  <c r="BF699" s="1"/>
  <c r="Z699"/>
  <c r="AB699"/>
  <c r="AC699"/>
  <c r="AF699"/>
  <c r="AG699"/>
  <c r="AH699"/>
  <c r="AJ699"/>
  <c r="AK699"/>
  <c r="AO699"/>
  <c r="H699" s="1"/>
  <c r="AP699"/>
  <c r="BI699" s="1"/>
  <c r="AE699" s="1"/>
  <c r="BD699"/>
  <c r="BJ699"/>
  <c r="J700"/>
  <c r="AL700" s="1"/>
  <c r="L700"/>
  <c r="BF700" s="1"/>
  <c r="Z700"/>
  <c r="AB700"/>
  <c r="AC700"/>
  <c r="AF700"/>
  <c r="AG700"/>
  <c r="AH700"/>
  <c r="AJ700"/>
  <c r="AK700"/>
  <c r="AO700"/>
  <c r="BH700" s="1"/>
  <c r="AD700" s="1"/>
  <c r="AP700"/>
  <c r="AX700"/>
  <c r="BD700"/>
  <c r="BJ700"/>
  <c r="J701"/>
  <c r="AL701" s="1"/>
  <c r="L701"/>
  <c r="Z701"/>
  <c r="AB701"/>
  <c r="AC701"/>
  <c r="AF701"/>
  <c r="AG701"/>
  <c r="AH701"/>
  <c r="AJ701"/>
  <c r="AK701"/>
  <c r="AO701"/>
  <c r="AW701"/>
  <c r="AP701"/>
  <c r="I701"/>
  <c r="BD701"/>
  <c r="BF701"/>
  <c r="BJ701"/>
  <c r="J702"/>
  <c r="AL702" s="1"/>
  <c r="L702"/>
  <c r="BF702" s="1"/>
  <c r="Z702"/>
  <c r="AB702"/>
  <c r="AC702"/>
  <c r="AF702"/>
  <c r="AG702"/>
  <c r="AH702"/>
  <c r="AJ702"/>
  <c r="AK702"/>
  <c r="AO702"/>
  <c r="H702" s="1"/>
  <c r="AP702"/>
  <c r="AX702" s="1"/>
  <c r="BD702"/>
  <c r="BH702"/>
  <c r="AD702" s="1"/>
  <c r="BJ702"/>
  <c r="J703"/>
  <c r="AL703"/>
  <c r="L703"/>
  <c r="BF703"/>
  <c r="Z703"/>
  <c r="AB703"/>
  <c r="AC703"/>
  <c r="AF703"/>
  <c r="AG703"/>
  <c r="AH703"/>
  <c r="AJ703"/>
  <c r="AK703"/>
  <c r="AO703"/>
  <c r="AW703"/>
  <c r="AP703"/>
  <c r="I703"/>
  <c r="BD703"/>
  <c r="BJ703"/>
  <c r="J704"/>
  <c r="AL704"/>
  <c r="L704"/>
  <c r="Z704"/>
  <c r="AB704"/>
  <c r="AC704"/>
  <c r="AF704"/>
  <c r="AG704"/>
  <c r="AH704"/>
  <c r="AJ704"/>
  <c r="AK704"/>
  <c r="AO704"/>
  <c r="H704" s="1"/>
  <c r="AP704"/>
  <c r="BD704"/>
  <c r="BF704"/>
  <c r="BJ704"/>
  <c r="J705"/>
  <c r="AL705"/>
  <c r="L705"/>
  <c r="BF705"/>
  <c r="Z705"/>
  <c r="AB705"/>
  <c r="AC705"/>
  <c r="AF705"/>
  <c r="AG705"/>
  <c r="AH705"/>
  <c r="AJ705"/>
  <c r="AK705"/>
  <c r="AO705"/>
  <c r="AP705"/>
  <c r="BI705" s="1"/>
  <c r="AE705" s="1"/>
  <c r="BD705"/>
  <c r="BJ705"/>
  <c r="J706"/>
  <c r="AL706"/>
  <c r="L706"/>
  <c r="BF706"/>
  <c r="Z706"/>
  <c r="AB706"/>
  <c r="AC706"/>
  <c r="AF706"/>
  <c r="AG706"/>
  <c r="AH706"/>
  <c r="AJ706"/>
  <c r="AK706"/>
  <c r="AO706"/>
  <c r="H706"/>
  <c r="AP706"/>
  <c r="I706"/>
  <c r="BD706"/>
  <c r="BJ706"/>
  <c r="J707"/>
  <c r="AL707"/>
  <c r="L707"/>
  <c r="BF707"/>
  <c r="Z707"/>
  <c r="AB707"/>
  <c r="AC707"/>
  <c r="AF707"/>
  <c r="AG707"/>
  <c r="AH707"/>
  <c r="AJ707"/>
  <c r="AK707"/>
  <c r="AO707"/>
  <c r="AW707"/>
  <c r="AP707"/>
  <c r="I707" s="1"/>
  <c r="BD707"/>
  <c r="BJ707"/>
  <c r="J708"/>
  <c r="AL708"/>
  <c r="L708"/>
  <c r="BF708"/>
  <c r="Z708"/>
  <c r="AB708"/>
  <c r="AC708"/>
  <c r="AF708"/>
  <c r="AG708"/>
  <c r="AH708"/>
  <c r="AJ708"/>
  <c r="AK708"/>
  <c r="AO708"/>
  <c r="AW708"/>
  <c r="AP708"/>
  <c r="I708"/>
  <c r="AX708"/>
  <c r="BD708"/>
  <c r="BJ708"/>
  <c r="J709"/>
  <c r="AL709" s="1"/>
  <c r="L709"/>
  <c r="BF709" s="1"/>
  <c r="Z709"/>
  <c r="AB709"/>
  <c r="AC709"/>
  <c r="AF709"/>
  <c r="AG709"/>
  <c r="AH709"/>
  <c r="AJ709"/>
  <c r="AK709"/>
  <c r="AO709"/>
  <c r="BH709" s="1"/>
  <c r="AD709" s="1"/>
  <c r="AP709"/>
  <c r="I709"/>
  <c r="BD709"/>
  <c r="BJ709"/>
  <c r="J710"/>
  <c r="AL710"/>
  <c r="L710"/>
  <c r="BF710"/>
  <c r="Z710"/>
  <c r="AB710"/>
  <c r="AC710"/>
  <c r="AF710"/>
  <c r="AG710"/>
  <c r="AH710"/>
  <c r="AJ710"/>
  <c r="AK710"/>
  <c r="AO710"/>
  <c r="H710"/>
  <c r="AP710"/>
  <c r="BD710"/>
  <c r="BJ710"/>
  <c r="J711"/>
  <c r="AL711" s="1"/>
  <c r="L711"/>
  <c r="BF711" s="1"/>
  <c r="Z711"/>
  <c r="AB711"/>
  <c r="AC711"/>
  <c r="AF711"/>
  <c r="AG711"/>
  <c r="AH711"/>
  <c r="AJ711"/>
  <c r="AK711"/>
  <c r="AO711"/>
  <c r="H711" s="1"/>
  <c r="AP711"/>
  <c r="I711"/>
  <c r="BD711"/>
  <c r="BJ711"/>
  <c r="J712"/>
  <c r="AL712"/>
  <c r="L712"/>
  <c r="BF712"/>
  <c r="Z712"/>
  <c r="AB712"/>
  <c r="AC712"/>
  <c r="AF712"/>
  <c r="AG712"/>
  <c r="AH712"/>
  <c r="AJ712"/>
  <c r="AK712"/>
  <c r="AO712"/>
  <c r="BH712"/>
  <c r="AD712" s="1"/>
  <c r="AP712"/>
  <c r="AX712" s="1"/>
  <c r="BC712" s="1"/>
  <c r="BD712"/>
  <c r="BJ712"/>
  <c r="J713"/>
  <c r="AL713"/>
  <c r="L713"/>
  <c r="BF713"/>
  <c r="Z713"/>
  <c r="AB713"/>
  <c r="AC713"/>
  <c r="AF713"/>
  <c r="AG713"/>
  <c r="AH713"/>
  <c r="AJ713"/>
  <c r="AK713"/>
  <c r="AO713"/>
  <c r="AW713"/>
  <c r="AP713"/>
  <c r="AX713"/>
  <c r="BD713"/>
  <c r="BJ713"/>
  <c r="J714"/>
  <c r="AL714"/>
  <c r="L714"/>
  <c r="Z714"/>
  <c r="AB714"/>
  <c r="AC714"/>
  <c r="AF714"/>
  <c r="AG714"/>
  <c r="AH714"/>
  <c r="AJ714"/>
  <c r="AK714"/>
  <c r="AO714"/>
  <c r="BH714" s="1"/>
  <c r="AP714"/>
  <c r="BI714"/>
  <c r="AE714" s="1"/>
  <c r="BD714"/>
  <c r="BF714"/>
  <c r="BJ714"/>
  <c r="AB715"/>
  <c r="AC715"/>
  <c r="AD715"/>
  <c r="AE715"/>
  <c r="AF715"/>
  <c r="AG715"/>
  <c r="AH715"/>
  <c r="AJ715"/>
  <c r="AK715"/>
  <c r="AO715"/>
  <c r="AW715" s="1"/>
  <c r="AP715"/>
  <c r="BD715"/>
  <c r="J717"/>
  <c r="AL717"/>
  <c r="L717"/>
  <c r="Z717"/>
  <c r="AB717"/>
  <c r="AC717"/>
  <c r="AF717"/>
  <c r="AG717"/>
  <c r="AH717"/>
  <c r="AJ717"/>
  <c r="AK717"/>
  <c r="AO717"/>
  <c r="BH717" s="1"/>
  <c r="AP717"/>
  <c r="AX717"/>
  <c r="BD717"/>
  <c r="BF717"/>
  <c r="BJ717"/>
  <c r="J718"/>
  <c r="AL718"/>
  <c r="L718"/>
  <c r="Z718"/>
  <c r="AB718"/>
  <c r="AC718"/>
  <c r="AF718"/>
  <c r="AG718"/>
  <c r="AH718"/>
  <c r="AJ718"/>
  <c r="AK718"/>
  <c r="AO718"/>
  <c r="BH718" s="1"/>
  <c r="AD718" s="1"/>
  <c r="AP718"/>
  <c r="I718"/>
  <c r="BD718"/>
  <c r="BJ718"/>
  <c r="J719"/>
  <c r="AL719"/>
  <c r="L719"/>
  <c r="BF719"/>
  <c r="Z719"/>
  <c r="AB719"/>
  <c r="AC719"/>
  <c r="AF719"/>
  <c r="AG719"/>
  <c r="AH719"/>
  <c r="AJ719"/>
  <c r="AK719"/>
  <c r="AO719"/>
  <c r="AW719"/>
  <c r="AP719"/>
  <c r="I719" s="1"/>
  <c r="BD719"/>
  <c r="BJ719"/>
  <c r="J720"/>
  <c r="AL720"/>
  <c r="L720"/>
  <c r="BF720"/>
  <c r="Z720"/>
  <c r="AB720"/>
  <c r="AC720"/>
  <c r="AF720"/>
  <c r="AG720"/>
  <c r="AH720"/>
  <c r="AJ720"/>
  <c r="AK720"/>
  <c r="AO720"/>
  <c r="AW720"/>
  <c r="AP720"/>
  <c r="BD720"/>
  <c r="BJ720"/>
  <c r="J721"/>
  <c r="AL721" s="1"/>
  <c r="L721"/>
  <c r="BF721" s="1"/>
  <c r="Z721"/>
  <c r="AB721"/>
  <c r="AC721"/>
  <c r="AF721"/>
  <c r="AG721"/>
  <c r="AH721"/>
  <c r="AJ721"/>
  <c r="AK721"/>
  <c r="AO721"/>
  <c r="BH721"/>
  <c r="AD721" s="1"/>
  <c r="AP721"/>
  <c r="AX721" s="1"/>
  <c r="AV721" s="1"/>
  <c r="BD721"/>
  <c r="BJ721"/>
  <c r="J722"/>
  <c r="AL722"/>
  <c r="L722"/>
  <c r="BF722"/>
  <c r="Z722"/>
  <c r="AB722"/>
  <c r="AC722"/>
  <c r="AF722"/>
  <c r="AG722"/>
  <c r="AH722"/>
  <c r="AJ722"/>
  <c r="AK722"/>
  <c r="AO722"/>
  <c r="AP722"/>
  <c r="BI722" s="1"/>
  <c r="AE722" s="1"/>
  <c r="BD722"/>
  <c r="BJ722"/>
  <c r="J723"/>
  <c r="AL723"/>
  <c r="L723"/>
  <c r="Z723"/>
  <c r="AB723"/>
  <c r="AC723"/>
  <c r="AF723"/>
  <c r="AG723"/>
  <c r="AH723"/>
  <c r="AJ723"/>
  <c r="AK723"/>
  <c r="AO723"/>
  <c r="BH723" s="1"/>
  <c r="AD723" s="1"/>
  <c r="AP723"/>
  <c r="BD723"/>
  <c r="BF723"/>
  <c r="BJ723"/>
  <c r="J724"/>
  <c r="AL724"/>
  <c r="L724"/>
  <c r="BF724"/>
  <c r="Z724"/>
  <c r="AB724"/>
  <c r="AC724"/>
  <c r="AF724"/>
  <c r="AG724"/>
  <c r="AH724"/>
  <c r="AJ724"/>
  <c r="AK724"/>
  <c r="AO724"/>
  <c r="AW724"/>
  <c r="AV724" s="1"/>
  <c r="AP724"/>
  <c r="AX724"/>
  <c r="BD724"/>
  <c r="BJ724"/>
  <c r="J725"/>
  <c r="AL725" s="1"/>
  <c r="L725"/>
  <c r="BF725" s="1"/>
  <c r="Z725"/>
  <c r="AB725"/>
  <c r="AC725"/>
  <c r="AF725"/>
  <c r="AG725"/>
  <c r="AH725"/>
  <c r="AJ725"/>
  <c r="AK725"/>
  <c r="AO725"/>
  <c r="H725" s="1"/>
  <c r="AW725"/>
  <c r="AP725"/>
  <c r="BI725" s="1"/>
  <c r="BD725"/>
  <c r="BJ725"/>
  <c r="J726"/>
  <c r="AL726"/>
  <c r="L726"/>
  <c r="BF726"/>
  <c r="Z726"/>
  <c r="AB726"/>
  <c r="AC726"/>
  <c r="AF726"/>
  <c r="AG726"/>
  <c r="AH726"/>
  <c r="AJ726"/>
  <c r="AK726"/>
  <c r="AO726"/>
  <c r="AW726"/>
  <c r="AP726"/>
  <c r="BI726"/>
  <c r="AE726" s="1"/>
  <c r="BD726"/>
  <c r="BJ726"/>
  <c r="J727"/>
  <c r="AL727" s="1"/>
  <c r="L727"/>
  <c r="BF727" s="1"/>
  <c r="Z727"/>
  <c r="AB727"/>
  <c r="AC727"/>
  <c r="AF727"/>
  <c r="AG727"/>
  <c r="AH727"/>
  <c r="AJ727"/>
  <c r="AK727"/>
  <c r="AO727"/>
  <c r="AW727" s="1"/>
  <c r="AP727"/>
  <c r="I727" s="1"/>
  <c r="BD727"/>
  <c r="BJ727"/>
  <c r="J728"/>
  <c r="AL728" s="1"/>
  <c r="L728"/>
  <c r="Z728"/>
  <c r="AB728"/>
  <c r="AC728"/>
  <c r="AF728"/>
  <c r="AG728"/>
  <c r="AH728"/>
  <c r="AJ728"/>
  <c r="AK728"/>
  <c r="AO728"/>
  <c r="AP728"/>
  <c r="BI728" s="1"/>
  <c r="AE728" s="1"/>
  <c r="BD728"/>
  <c r="BF728"/>
  <c r="BJ728"/>
  <c r="J729"/>
  <c r="AL729" s="1"/>
  <c r="L729"/>
  <c r="Z729"/>
  <c r="AB729"/>
  <c r="AC729"/>
  <c r="AF729"/>
  <c r="AG729"/>
  <c r="AH729"/>
  <c r="AJ729"/>
  <c r="AK729"/>
  <c r="AO729"/>
  <c r="BH729"/>
  <c r="AD729" s="1"/>
  <c r="AP729"/>
  <c r="I729" s="1"/>
  <c r="BD729"/>
  <c r="BF729"/>
  <c r="BJ729"/>
  <c r="J730"/>
  <c r="AL730" s="1"/>
  <c r="L730"/>
  <c r="BF730" s="1"/>
  <c r="Z730"/>
  <c r="AB730"/>
  <c r="AC730"/>
  <c r="AF730"/>
  <c r="AG730"/>
  <c r="AH730"/>
  <c r="AJ730"/>
  <c r="AK730"/>
  <c r="AO730"/>
  <c r="AW730" s="1"/>
  <c r="AP730"/>
  <c r="BI730"/>
  <c r="AE730" s="1"/>
  <c r="BD730"/>
  <c r="BJ730"/>
  <c r="J731"/>
  <c r="AL731" s="1"/>
  <c r="L731"/>
  <c r="BF731" s="1"/>
  <c r="Z731"/>
  <c r="AB731"/>
  <c r="AC731"/>
  <c r="AF731"/>
  <c r="AG731"/>
  <c r="AH731"/>
  <c r="AJ731"/>
  <c r="AK731"/>
  <c r="AO731"/>
  <c r="H731" s="1"/>
  <c r="AP731"/>
  <c r="AX731" s="1"/>
  <c r="BD731"/>
  <c r="BJ731"/>
  <c r="J732"/>
  <c r="AL732" s="1"/>
  <c r="L732"/>
  <c r="BF732" s="1"/>
  <c r="Z732"/>
  <c r="AB732"/>
  <c r="AC732"/>
  <c r="AF732"/>
  <c r="AG732"/>
  <c r="AH732"/>
  <c r="AJ732"/>
  <c r="AK732"/>
  <c r="AO732"/>
  <c r="AP732"/>
  <c r="I732" s="1"/>
  <c r="BD732"/>
  <c r="BJ732"/>
  <c r="J733"/>
  <c r="AL733"/>
  <c r="L733"/>
  <c r="BF733"/>
  <c r="Z733"/>
  <c r="AB733"/>
  <c r="AC733"/>
  <c r="AF733"/>
  <c r="AG733"/>
  <c r="AH733"/>
  <c r="AJ733"/>
  <c r="AK733"/>
  <c r="AO733"/>
  <c r="AW733"/>
  <c r="AP733"/>
  <c r="BD733"/>
  <c r="BJ733"/>
  <c r="J734"/>
  <c r="AL734"/>
  <c r="L734"/>
  <c r="BF734"/>
  <c r="Z734"/>
  <c r="AB734"/>
  <c r="AC734"/>
  <c r="AF734"/>
  <c r="AG734"/>
  <c r="AH734"/>
  <c r="AJ734"/>
  <c r="AK734"/>
  <c r="AO734"/>
  <c r="H734"/>
  <c r="AP734"/>
  <c r="BD734"/>
  <c r="BJ734"/>
  <c r="J735"/>
  <c r="AL735" s="1"/>
  <c r="L735"/>
  <c r="BF735" s="1"/>
  <c r="Z735"/>
  <c r="AB735"/>
  <c r="AC735"/>
  <c r="AF735"/>
  <c r="AG735"/>
  <c r="AH735"/>
  <c r="AJ735"/>
  <c r="AK735"/>
  <c r="AO735"/>
  <c r="BH735" s="1"/>
  <c r="AD735" s="1"/>
  <c r="AP735"/>
  <c r="I735"/>
  <c r="BD735"/>
  <c r="BJ735"/>
  <c r="J736"/>
  <c r="AL736"/>
  <c r="L736"/>
  <c r="BF736"/>
  <c r="Z736"/>
  <c r="AB736"/>
  <c r="AC736"/>
  <c r="AF736"/>
  <c r="AG736"/>
  <c r="AH736"/>
  <c r="AJ736"/>
  <c r="AK736"/>
  <c r="AO736"/>
  <c r="BH736"/>
  <c r="AD736" s="1"/>
  <c r="AP736"/>
  <c r="AX736" s="1"/>
  <c r="BD736"/>
  <c r="BJ736"/>
  <c r="J737"/>
  <c r="AL737" s="1"/>
  <c r="L737"/>
  <c r="BF737" s="1"/>
  <c r="Z737"/>
  <c r="AB737"/>
  <c r="AC737"/>
  <c r="AF737"/>
  <c r="AG737"/>
  <c r="AH737"/>
  <c r="AJ737"/>
  <c r="AK737"/>
  <c r="AO737"/>
  <c r="AW737" s="1"/>
  <c r="AV737" s="1"/>
  <c r="AP737"/>
  <c r="AX737" s="1"/>
  <c r="BD737"/>
  <c r="BJ737"/>
  <c r="J738"/>
  <c r="AL738" s="1"/>
  <c r="L738"/>
  <c r="BF738" s="1"/>
  <c r="Z738"/>
  <c r="AB738"/>
  <c r="AC738"/>
  <c r="AF738"/>
  <c r="AG738"/>
  <c r="AH738"/>
  <c r="AJ738"/>
  <c r="AK738"/>
  <c r="AO738"/>
  <c r="AW738" s="1"/>
  <c r="AV738" s="1"/>
  <c r="AP738"/>
  <c r="AX738" s="1"/>
  <c r="BD738"/>
  <c r="BJ738"/>
  <c r="J739"/>
  <c r="AL739" s="1"/>
  <c r="L739"/>
  <c r="BF739" s="1"/>
  <c r="Z739"/>
  <c r="AB739"/>
  <c r="AC739"/>
  <c r="AF739"/>
  <c r="AG739"/>
  <c r="AH739"/>
  <c r="AJ739"/>
  <c r="AK739"/>
  <c r="AO739"/>
  <c r="AW739" s="1"/>
  <c r="AP739"/>
  <c r="I739" s="1"/>
  <c r="BD739"/>
  <c r="BJ739"/>
  <c r="J740"/>
  <c r="AL740" s="1"/>
  <c r="L740"/>
  <c r="BF740" s="1"/>
  <c r="Z740"/>
  <c r="AB740"/>
  <c r="AC740"/>
  <c r="AF740"/>
  <c r="AG740"/>
  <c r="AH740"/>
  <c r="AJ740"/>
  <c r="AK740"/>
  <c r="AO740"/>
  <c r="H740" s="1"/>
  <c r="AP740"/>
  <c r="BI740" s="1"/>
  <c r="AE740" s="1"/>
  <c r="BD740"/>
  <c r="BJ740"/>
  <c r="J741"/>
  <c r="AL741"/>
  <c r="L741"/>
  <c r="BF741"/>
  <c r="Z741"/>
  <c r="AB741"/>
  <c r="AC741"/>
  <c r="AF741"/>
  <c r="AG741"/>
  <c r="AH741"/>
  <c r="AJ741"/>
  <c r="AK741"/>
  <c r="AO741"/>
  <c r="BH741"/>
  <c r="AD741" s="1"/>
  <c r="AP741"/>
  <c r="BI741" s="1"/>
  <c r="AE741" s="1"/>
  <c r="BD741"/>
  <c r="BJ741"/>
  <c r="J742"/>
  <c r="AL742"/>
  <c r="L742"/>
  <c r="BF742"/>
  <c r="Z742"/>
  <c r="AB742"/>
  <c r="AC742"/>
  <c r="AF742"/>
  <c r="AG742"/>
  <c r="AH742"/>
  <c r="AJ742"/>
  <c r="AK742"/>
  <c r="AO742"/>
  <c r="H742"/>
  <c r="AP742"/>
  <c r="AX742"/>
  <c r="BD742"/>
  <c r="BJ742"/>
  <c r="J743"/>
  <c r="AL743"/>
  <c r="L743"/>
  <c r="BF743"/>
  <c r="Z743"/>
  <c r="AB743"/>
  <c r="AC743"/>
  <c r="AF743"/>
  <c r="AG743"/>
  <c r="AH743"/>
  <c r="AJ743"/>
  <c r="AK743"/>
  <c r="AO743"/>
  <c r="AW743"/>
  <c r="AP743"/>
  <c r="AX743" s="1"/>
  <c r="AV743" s="1"/>
  <c r="BD743"/>
  <c r="BJ743"/>
  <c r="J744"/>
  <c r="AL744"/>
  <c r="L744"/>
  <c r="BF744"/>
  <c r="Z744"/>
  <c r="AB744"/>
  <c r="AC744"/>
  <c r="AF744"/>
  <c r="AG744"/>
  <c r="AH744"/>
  <c r="AJ744"/>
  <c r="AK744"/>
  <c r="AO744"/>
  <c r="BH744"/>
  <c r="AD744" s="1"/>
  <c r="AP744"/>
  <c r="BI744" s="1"/>
  <c r="AE744" s="1"/>
  <c r="BD744"/>
  <c r="BJ744"/>
  <c r="J745"/>
  <c r="AL745"/>
  <c r="L745"/>
  <c r="BF745"/>
  <c r="Z745"/>
  <c r="AB745"/>
  <c r="AC745"/>
  <c r="AF745"/>
  <c r="AG745"/>
  <c r="AH745"/>
  <c r="AJ745"/>
  <c r="AK745"/>
  <c r="AO745"/>
  <c r="H745"/>
  <c r="AP745"/>
  <c r="I745"/>
  <c r="BD745"/>
  <c r="BJ745"/>
  <c r="J746"/>
  <c r="AL746"/>
  <c r="L746"/>
  <c r="BF746"/>
  <c r="Z746"/>
  <c r="AB746"/>
  <c r="AC746"/>
  <c r="AF746"/>
  <c r="AG746"/>
  <c r="AH746"/>
  <c r="AJ746"/>
  <c r="AK746"/>
  <c r="AO746"/>
  <c r="BH746"/>
  <c r="AD746" s="1"/>
  <c r="AP746"/>
  <c r="BI746" s="1"/>
  <c r="AE746" s="1"/>
  <c r="BD746"/>
  <c r="BJ746"/>
  <c r="J747"/>
  <c r="AL747"/>
  <c r="L747"/>
  <c r="Z747"/>
  <c r="AB747"/>
  <c r="AC747"/>
  <c r="AF747"/>
  <c r="AG747"/>
  <c r="AH747"/>
  <c r="AJ747"/>
  <c r="AK747"/>
  <c r="AO747"/>
  <c r="BH747" s="1"/>
  <c r="AD747" s="1"/>
  <c r="AP747"/>
  <c r="AX747"/>
  <c r="BD747"/>
  <c r="BF747"/>
  <c r="BJ747"/>
  <c r="J748"/>
  <c r="AL748" s="1"/>
  <c r="L748"/>
  <c r="BF748" s="1"/>
  <c r="Z748"/>
  <c r="AB748"/>
  <c r="AC748"/>
  <c r="AF748"/>
  <c r="AG748"/>
  <c r="AH748"/>
  <c r="AJ748"/>
  <c r="AK748"/>
  <c r="AO748"/>
  <c r="AW748" s="1"/>
  <c r="BC748" s="1"/>
  <c r="AP748"/>
  <c r="AX748" s="1"/>
  <c r="BD748"/>
  <c r="BJ748"/>
  <c r="J749"/>
  <c r="AL749" s="1"/>
  <c r="L749"/>
  <c r="BF749" s="1"/>
  <c r="Z749"/>
  <c r="AB749"/>
  <c r="AC749"/>
  <c r="AF749"/>
  <c r="AG749"/>
  <c r="AH749"/>
  <c r="AJ749"/>
  <c r="AK749"/>
  <c r="AO749"/>
  <c r="H749" s="1"/>
  <c r="AP749"/>
  <c r="BD749"/>
  <c r="BJ749"/>
  <c r="AB750"/>
  <c r="AC750"/>
  <c r="AD750"/>
  <c r="AE750"/>
  <c r="AF750"/>
  <c r="AG750"/>
  <c r="AH750"/>
  <c r="AJ750"/>
  <c r="AK750"/>
  <c r="AO750"/>
  <c r="AP750"/>
  <c r="BD750"/>
  <c r="J752"/>
  <c r="AL752" s="1"/>
  <c r="L752"/>
  <c r="Z752"/>
  <c r="AB752"/>
  <c r="AC752"/>
  <c r="AF752"/>
  <c r="AG752"/>
  <c r="AH752"/>
  <c r="AJ752"/>
  <c r="AK752"/>
  <c r="AO752"/>
  <c r="H752"/>
  <c r="AP752"/>
  <c r="AX752"/>
  <c r="BD752"/>
  <c r="BJ752"/>
  <c r="J753"/>
  <c r="AL753"/>
  <c r="L753"/>
  <c r="BF753"/>
  <c r="Z753"/>
  <c r="AB753"/>
  <c r="AC753"/>
  <c r="AF753"/>
  <c r="AG753"/>
  <c r="AH753"/>
  <c r="AJ753"/>
  <c r="AK753"/>
  <c r="AO753"/>
  <c r="AP753"/>
  <c r="BD753"/>
  <c r="BJ753"/>
  <c r="J754"/>
  <c r="AL754" s="1"/>
  <c r="L754"/>
  <c r="BF754" s="1"/>
  <c r="Z754"/>
  <c r="AB754"/>
  <c r="AC754"/>
  <c r="AF754"/>
  <c r="AG754"/>
  <c r="AH754"/>
  <c r="AJ754"/>
  <c r="AK754"/>
  <c r="AO754"/>
  <c r="BH754"/>
  <c r="AD754" s="1"/>
  <c r="AP754"/>
  <c r="BD754"/>
  <c r="BJ754"/>
  <c r="J755"/>
  <c r="L755"/>
  <c r="BF755" s="1"/>
  <c r="Z755"/>
  <c r="AB755"/>
  <c r="AC755"/>
  <c r="AF755"/>
  <c r="AG755"/>
  <c r="AH755"/>
  <c r="AJ755"/>
  <c r="AK755"/>
  <c r="AO755"/>
  <c r="AP755"/>
  <c r="BD755"/>
  <c r="BH755"/>
  <c r="AD755" s="1"/>
  <c r="BJ755"/>
  <c r="J756"/>
  <c r="AL756"/>
  <c r="L756"/>
  <c r="Z756"/>
  <c r="AB756"/>
  <c r="AC756"/>
  <c r="AF756"/>
  <c r="AG756"/>
  <c r="AH756"/>
  <c r="AJ756"/>
  <c r="AK756"/>
  <c r="AO756"/>
  <c r="AP756"/>
  <c r="BI756"/>
  <c r="AE756" s="1"/>
  <c r="BD756"/>
  <c r="BF756"/>
  <c r="BJ756"/>
  <c r="J757"/>
  <c r="AL757"/>
  <c r="L757"/>
  <c r="Z757"/>
  <c r="AB757"/>
  <c r="AC757"/>
  <c r="AF757"/>
  <c r="AG757"/>
  <c r="AH757"/>
  <c r="AJ757"/>
  <c r="AK757"/>
  <c r="AO757"/>
  <c r="H757" s="1"/>
  <c r="AP757"/>
  <c r="BI757"/>
  <c r="AE757" s="1"/>
  <c r="BD757"/>
  <c r="BF757"/>
  <c r="BJ757"/>
  <c r="J758"/>
  <c r="AL758"/>
  <c r="L758"/>
  <c r="BF758"/>
  <c r="Z758"/>
  <c r="AB758"/>
  <c r="AC758"/>
  <c r="AF758"/>
  <c r="AG758"/>
  <c r="AH758"/>
  <c r="AJ758"/>
  <c r="AK758"/>
  <c r="AO758"/>
  <c r="AW758"/>
  <c r="AP758"/>
  <c r="AX758"/>
  <c r="BD758"/>
  <c r="BJ758"/>
  <c r="J759"/>
  <c r="AL759"/>
  <c r="L759"/>
  <c r="BF759"/>
  <c r="Z759"/>
  <c r="AB759"/>
  <c r="AC759"/>
  <c r="AF759"/>
  <c r="AG759"/>
  <c r="AH759"/>
  <c r="AJ759"/>
  <c r="AK759"/>
  <c r="AO759"/>
  <c r="BH759"/>
  <c r="AD759" s="1"/>
  <c r="AP759"/>
  <c r="BD759"/>
  <c r="BJ759"/>
  <c r="AB760"/>
  <c r="AC760"/>
  <c r="AD760"/>
  <c r="AE760"/>
  <c r="AF760"/>
  <c r="AG760"/>
  <c r="AH760"/>
  <c r="AJ760"/>
  <c r="AK760"/>
  <c r="AO760"/>
  <c r="H760"/>
  <c r="AP760"/>
  <c r="BD760"/>
  <c r="J762"/>
  <c r="AL762"/>
  <c r="L762"/>
  <c r="BF762"/>
  <c r="Z762"/>
  <c r="AB762"/>
  <c r="AC762"/>
  <c r="AF762"/>
  <c r="AG762"/>
  <c r="AH762"/>
  <c r="AJ762"/>
  <c r="AK762"/>
  <c r="AO762"/>
  <c r="BH762"/>
  <c r="AD762" s="1"/>
  <c r="AP762"/>
  <c r="I762" s="1"/>
  <c r="BI762"/>
  <c r="AE762" s="1"/>
  <c r="AX762"/>
  <c r="BD762"/>
  <c r="BJ762"/>
  <c r="J764"/>
  <c r="AL764"/>
  <c r="L764"/>
  <c r="BF764"/>
  <c r="Z764"/>
  <c r="AB764"/>
  <c r="AC764"/>
  <c r="AF764"/>
  <c r="AG764"/>
  <c r="AH764"/>
  <c r="AJ764"/>
  <c r="AK764"/>
  <c r="AO764"/>
  <c r="AP764"/>
  <c r="I764" s="1"/>
  <c r="BD764"/>
  <c r="BJ764"/>
  <c r="J765"/>
  <c r="AL765" s="1"/>
  <c r="L765"/>
  <c r="Z765"/>
  <c r="AB765"/>
  <c r="AC765"/>
  <c r="AF765"/>
  <c r="AG765"/>
  <c r="AH765"/>
  <c r="AJ765"/>
  <c r="AS761" s="1"/>
  <c r="AK765"/>
  <c r="AO765"/>
  <c r="AP765"/>
  <c r="I765"/>
  <c r="BD765"/>
  <c r="BJ765"/>
  <c r="J767"/>
  <c r="AL767"/>
  <c r="L767"/>
  <c r="BF767"/>
  <c r="Z767"/>
  <c r="AB767"/>
  <c r="AC767"/>
  <c r="AF767"/>
  <c r="AG767"/>
  <c r="AH767"/>
  <c r="AJ767"/>
  <c r="AK767"/>
  <c r="AO767"/>
  <c r="BH767"/>
  <c r="AD767" s="1"/>
  <c r="AP767"/>
  <c r="BD767"/>
  <c r="BJ767"/>
  <c r="J768"/>
  <c r="AL768" s="1"/>
  <c r="L768"/>
  <c r="BF768" s="1"/>
  <c r="Z768"/>
  <c r="AB768"/>
  <c r="AC768"/>
  <c r="AF768"/>
  <c r="AG768"/>
  <c r="AH768"/>
  <c r="AJ768"/>
  <c r="AK768"/>
  <c r="AO768"/>
  <c r="AP768"/>
  <c r="BD768"/>
  <c r="BJ768"/>
  <c r="J769"/>
  <c r="AL769" s="1"/>
  <c r="L769"/>
  <c r="BF769" s="1"/>
  <c r="AB769"/>
  <c r="AC769"/>
  <c r="AD769"/>
  <c r="AE769"/>
  <c r="AF769"/>
  <c r="AG769"/>
  <c r="AH769"/>
  <c r="AJ769"/>
  <c r="AK769"/>
  <c r="AO769"/>
  <c r="AW769"/>
  <c r="AV769" s="1"/>
  <c r="AP769"/>
  <c r="BI769"/>
  <c r="BD769"/>
  <c r="BJ769"/>
  <c r="Z769" s="1"/>
  <c r="J771"/>
  <c r="AL771" s="1"/>
  <c r="L771"/>
  <c r="BF771"/>
  <c r="Z771"/>
  <c r="AB771"/>
  <c r="AC771"/>
  <c r="AF771"/>
  <c r="AG771"/>
  <c r="AH771"/>
  <c r="AJ771"/>
  <c r="AK771"/>
  <c r="AO771"/>
  <c r="AP771"/>
  <c r="BI771"/>
  <c r="AE771" s="1"/>
  <c r="BD771"/>
  <c r="BJ771"/>
  <c r="J772"/>
  <c r="AL772" s="1"/>
  <c r="AU770" s="1"/>
  <c r="L772"/>
  <c r="BF772"/>
  <c r="AB772"/>
  <c r="AC772"/>
  <c r="AD772"/>
  <c r="AE772"/>
  <c r="AF772"/>
  <c r="AG772"/>
  <c r="AH772"/>
  <c r="AJ772"/>
  <c r="AS770" s="1"/>
  <c r="AK772"/>
  <c r="AO772"/>
  <c r="AP772"/>
  <c r="BD772"/>
  <c r="BJ772"/>
  <c r="Z772" s="1"/>
  <c r="J774"/>
  <c r="L774"/>
  <c r="Z774"/>
  <c r="AB774"/>
  <c r="AC774"/>
  <c r="AF774"/>
  <c r="AG774"/>
  <c r="AH774"/>
  <c r="AJ774"/>
  <c r="AK774"/>
  <c r="AO774"/>
  <c r="AP774"/>
  <c r="BD774"/>
  <c r="BJ774"/>
  <c r="J775"/>
  <c r="AL775"/>
  <c r="L775"/>
  <c r="BF775"/>
  <c r="Z775"/>
  <c r="AB775"/>
  <c r="AC775"/>
  <c r="AF775"/>
  <c r="AG775"/>
  <c r="AH775"/>
  <c r="AJ775"/>
  <c r="AK775"/>
  <c r="AO775"/>
  <c r="H775"/>
  <c r="AP775"/>
  <c r="AX775"/>
  <c r="BC775" s="1"/>
  <c r="BD775"/>
  <c r="BJ775"/>
  <c r="J776"/>
  <c r="L776"/>
  <c r="BF776" s="1"/>
  <c r="Z776"/>
  <c r="AB776"/>
  <c r="AC776"/>
  <c r="AF776"/>
  <c r="AG776"/>
  <c r="AH776"/>
  <c r="AJ776"/>
  <c r="AK776"/>
  <c r="AO776"/>
  <c r="AP776"/>
  <c r="BD776"/>
  <c r="BJ776"/>
  <c r="J777"/>
  <c r="AL777"/>
  <c r="L777"/>
  <c r="BF777"/>
  <c r="Z777"/>
  <c r="AB777"/>
  <c r="AC777"/>
  <c r="AF777"/>
  <c r="AG777"/>
  <c r="AH777"/>
  <c r="AJ777"/>
  <c r="AK777"/>
  <c r="AO777"/>
  <c r="BH777"/>
  <c r="AD777" s="1"/>
  <c r="AP777"/>
  <c r="AX777" s="1"/>
  <c r="BD777"/>
  <c r="BI777"/>
  <c r="AE777" s="1"/>
  <c r="BJ777"/>
  <c r="J778"/>
  <c r="L778"/>
  <c r="BF778" s="1"/>
  <c r="Z778"/>
  <c r="AB778"/>
  <c r="AC778"/>
  <c r="AF778"/>
  <c r="AG778"/>
  <c r="AH778"/>
  <c r="AJ778"/>
  <c r="AK778"/>
  <c r="AO778"/>
  <c r="AP778"/>
  <c r="I778" s="1"/>
  <c r="BD778"/>
  <c r="BJ778"/>
  <c r="J779"/>
  <c r="AL779" s="1"/>
  <c r="L779"/>
  <c r="Z779"/>
  <c r="AB779"/>
  <c r="AC779"/>
  <c r="AF779"/>
  <c r="AG779"/>
  <c r="AH779"/>
  <c r="AJ779"/>
  <c r="AK779"/>
  <c r="AO779"/>
  <c r="BH779"/>
  <c r="AD779" s="1"/>
  <c r="AP779"/>
  <c r="BD779"/>
  <c r="BF779"/>
  <c r="BJ779"/>
  <c r="J780"/>
  <c r="AL780" s="1"/>
  <c r="L780"/>
  <c r="BF780" s="1"/>
  <c r="Z780"/>
  <c r="AB780"/>
  <c r="AC780"/>
  <c r="AF780"/>
  <c r="AG780"/>
  <c r="AH780"/>
  <c r="AJ780"/>
  <c r="AK780"/>
  <c r="AO780"/>
  <c r="AP780"/>
  <c r="AX780" s="1"/>
  <c r="BD780"/>
  <c r="BJ780"/>
  <c r="J782"/>
  <c r="AL782"/>
  <c r="L782"/>
  <c r="BF782"/>
  <c r="Z782"/>
  <c r="AB782"/>
  <c r="AC782"/>
  <c r="AF782"/>
  <c r="AG782"/>
  <c r="AH782"/>
  <c r="AJ782"/>
  <c r="AK782"/>
  <c r="AO782"/>
  <c r="H782"/>
  <c r="AP782"/>
  <c r="BD782"/>
  <c r="BJ782"/>
  <c r="J783"/>
  <c r="AL783" s="1"/>
  <c r="L783"/>
  <c r="BF783" s="1"/>
  <c r="Z783"/>
  <c r="AB783"/>
  <c r="AC783"/>
  <c r="AF783"/>
  <c r="AG783"/>
  <c r="AH783"/>
  <c r="AJ783"/>
  <c r="AK783"/>
  <c r="AO783"/>
  <c r="AW783" s="1"/>
  <c r="AP783"/>
  <c r="AX783"/>
  <c r="I783"/>
  <c r="BI783"/>
  <c r="AE783" s="1"/>
  <c r="BD783"/>
  <c r="BJ783"/>
  <c r="J784"/>
  <c r="AL784" s="1"/>
  <c r="L784"/>
  <c r="BF784" s="1"/>
  <c r="AB784"/>
  <c r="AC784"/>
  <c r="AD784"/>
  <c r="AE784"/>
  <c r="AF784"/>
  <c r="AG784"/>
  <c r="AH784"/>
  <c r="AJ784"/>
  <c r="AK784"/>
  <c r="AO784"/>
  <c r="H784"/>
  <c r="AP784"/>
  <c r="I784"/>
  <c r="BD784"/>
  <c r="BJ784"/>
  <c r="Z784" s="1"/>
  <c r="J786"/>
  <c r="J785" s="1"/>
  <c r="L786"/>
  <c r="Z786"/>
  <c r="AB786"/>
  <c r="AC786"/>
  <c r="AF786"/>
  <c r="AG786"/>
  <c r="AH786"/>
  <c r="AJ786"/>
  <c r="AK786"/>
  <c r="AO786"/>
  <c r="AW786" s="1"/>
  <c r="AP786"/>
  <c r="BI786"/>
  <c r="AE786" s="1"/>
  <c r="BD786"/>
  <c r="BF786"/>
  <c r="BJ786"/>
  <c r="J788"/>
  <c r="AL788"/>
  <c r="L788"/>
  <c r="BF788" s="1"/>
  <c r="AB788"/>
  <c r="AC788"/>
  <c r="AD788"/>
  <c r="AE788"/>
  <c r="AF788"/>
  <c r="AG788"/>
  <c r="AH788"/>
  <c r="AJ788"/>
  <c r="AS785"/>
  <c r="AK788"/>
  <c r="AO788"/>
  <c r="AP788"/>
  <c r="BI788" s="1"/>
  <c r="BD788"/>
  <c r="BJ788"/>
  <c r="Z788"/>
  <c r="J790"/>
  <c r="J789"/>
  <c r="K67" i="3" s="1"/>
  <c r="N67" s="1"/>
  <c r="L790" i="1"/>
  <c r="L789"/>
  <c r="L67" i="3" s="1"/>
  <c r="Z790" i="1"/>
  <c r="AB790"/>
  <c r="AC790"/>
  <c r="AF790"/>
  <c r="AG790"/>
  <c r="AH790"/>
  <c r="AJ790"/>
  <c r="AS789" s="1"/>
  <c r="AK790"/>
  <c r="AT789" s="1"/>
  <c r="AO790"/>
  <c r="AP790"/>
  <c r="I790"/>
  <c r="I789" s="1"/>
  <c r="J67" i="3" s="1"/>
  <c r="BD790" i="1"/>
  <c r="BF790"/>
  <c r="BJ790"/>
  <c r="J792"/>
  <c r="J791" s="1"/>
  <c r="L792"/>
  <c r="Z792"/>
  <c r="AB792"/>
  <c r="AC792"/>
  <c r="AF792"/>
  <c r="AG792"/>
  <c r="AH792"/>
  <c r="AJ792"/>
  <c r="AK792"/>
  <c r="AO792"/>
  <c r="AP792"/>
  <c r="BI792"/>
  <c r="AE792" s="1"/>
  <c r="BD792"/>
  <c r="BF792"/>
  <c r="BJ792"/>
  <c r="J793"/>
  <c r="AL793"/>
  <c r="L793"/>
  <c r="BF793"/>
  <c r="Z793"/>
  <c r="AB793"/>
  <c r="AC793"/>
  <c r="AF793"/>
  <c r="AG793"/>
  <c r="AH793"/>
  <c r="AJ793"/>
  <c r="AK793"/>
  <c r="AO793"/>
  <c r="BH793"/>
  <c r="AD793" s="1"/>
  <c r="AP793"/>
  <c r="AX793"/>
  <c r="BD793"/>
  <c r="BJ793"/>
  <c r="J794"/>
  <c r="AL794"/>
  <c r="L794"/>
  <c r="BF794"/>
  <c r="Z794"/>
  <c r="AB794"/>
  <c r="AC794"/>
  <c r="AF794"/>
  <c r="AG794"/>
  <c r="AH794"/>
  <c r="AJ794"/>
  <c r="AK794"/>
  <c r="AO794"/>
  <c r="AW794"/>
  <c r="AP794"/>
  <c r="AX794"/>
  <c r="BD794"/>
  <c r="BJ794"/>
  <c r="J796"/>
  <c r="AL796"/>
  <c r="L796"/>
  <c r="Z796"/>
  <c r="AB796"/>
  <c r="AC796"/>
  <c r="AF796"/>
  <c r="AG796"/>
  <c r="AH796"/>
  <c r="AJ796"/>
  <c r="AK796"/>
  <c r="AO796"/>
  <c r="H796" s="1"/>
  <c r="AP796"/>
  <c r="AX796"/>
  <c r="BD796"/>
  <c r="BF796"/>
  <c r="BJ796"/>
  <c r="J799"/>
  <c r="AL799" s="1"/>
  <c r="L799"/>
  <c r="Z799"/>
  <c r="AB799"/>
  <c r="AC799"/>
  <c r="AF799"/>
  <c r="AG799"/>
  <c r="AH799"/>
  <c r="AJ799"/>
  <c r="AS798" s="1"/>
  <c r="AK799"/>
  <c r="AT798" s="1"/>
  <c r="AO799"/>
  <c r="AP799"/>
  <c r="BD799"/>
  <c r="BJ799"/>
  <c r="J802"/>
  <c r="L802"/>
  <c r="BF802"/>
  <c r="Z802"/>
  <c r="AB802"/>
  <c r="AC802"/>
  <c r="AF802"/>
  <c r="AG802"/>
  <c r="AH802"/>
  <c r="AJ802"/>
  <c r="AK802"/>
  <c r="AO802"/>
  <c r="AP802"/>
  <c r="I802" s="1"/>
  <c r="BD802"/>
  <c r="BJ802"/>
  <c r="J803"/>
  <c r="AL803" s="1"/>
  <c r="L803"/>
  <c r="Z803"/>
  <c r="AB803"/>
  <c r="AC803"/>
  <c r="AF803"/>
  <c r="AG803"/>
  <c r="AH803"/>
  <c r="AJ803"/>
  <c r="AS801" s="1"/>
  <c r="AK803"/>
  <c r="AO803"/>
  <c r="AP803"/>
  <c r="BD803"/>
  <c r="BH803"/>
  <c r="AD803" s="1"/>
  <c r="BJ803"/>
  <c r="J807"/>
  <c r="AL807"/>
  <c r="L807"/>
  <c r="Z807"/>
  <c r="AB807"/>
  <c r="AC807"/>
  <c r="AD807"/>
  <c r="AE807"/>
  <c r="AH807"/>
  <c r="AJ807"/>
  <c r="AS806" s="1"/>
  <c r="AK807"/>
  <c r="AO807"/>
  <c r="AP807"/>
  <c r="AX807" s="1"/>
  <c r="BD807"/>
  <c r="BJ807"/>
  <c r="J808"/>
  <c r="J806" s="1"/>
  <c r="L808"/>
  <c r="BF808"/>
  <c r="Z808"/>
  <c r="AB808"/>
  <c r="AC808"/>
  <c r="AD808"/>
  <c r="AE808"/>
  <c r="AH808"/>
  <c r="AJ808"/>
  <c r="AK808"/>
  <c r="AO808"/>
  <c r="H808"/>
  <c r="AP808"/>
  <c r="AX808"/>
  <c r="BD808"/>
  <c r="BJ808"/>
  <c r="J809"/>
  <c r="AL809"/>
  <c r="L809"/>
  <c r="BF809"/>
  <c r="Z809"/>
  <c r="AB809"/>
  <c r="AC809"/>
  <c r="AD809"/>
  <c r="AE809"/>
  <c r="AH809"/>
  <c r="AJ809"/>
  <c r="AK809"/>
  <c r="AO809"/>
  <c r="H809"/>
  <c r="AP809"/>
  <c r="AX809"/>
  <c r="BD809"/>
  <c r="BJ809"/>
  <c r="J810"/>
  <c r="AL810"/>
  <c r="L810"/>
  <c r="BF810"/>
  <c r="Z810"/>
  <c r="AB810"/>
  <c r="AC810"/>
  <c r="AD810"/>
  <c r="AE810"/>
  <c r="AH810"/>
  <c r="AJ810"/>
  <c r="AK810"/>
  <c r="AO810"/>
  <c r="H810"/>
  <c r="AP810"/>
  <c r="AX810"/>
  <c r="BC810" s="1"/>
  <c r="BD810"/>
  <c r="BJ810"/>
  <c r="C2" i="6"/>
  <c r="F2"/>
  <c r="C4"/>
  <c r="F4"/>
  <c r="C6"/>
  <c r="I10"/>
  <c r="C2" i="4"/>
  <c r="F2"/>
  <c r="F4"/>
  <c r="C6"/>
  <c r="F8"/>
  <c r="J91" i="13"/>
  <c r="J92" i="11"/>
  <c r="J92" i="13"/>
  <c r="F91" i="14"/>
  <c r="J91" i="12"/>
  <c r="I29" i="6"/>
  <c r="BK126" i="13"/>
  <c r="F35" i="12"/>
  <c r="BK184" i="11"/>
  <c r="J184" s="1"/>
  <c r="J101"/>
  <c r="P458" i="14"/>
  <c r="BK458"/>
  <c r="J458" s="1"/>
  <c r="J107" s="1"/>
  <c r="R334"/>
  <c r="T334"/>
  <c r="T273"/>
  <c r="R240"/>
  <c r="BK179"/>
  <c r="J179"/>
  <c r="J99" s="1"/>
  <c r="BK240"/>
  <c r="BK273"/>
  <c r="J273"/>
  <c r="J104" s="1"/>
  <c r="BK521"/>
  <c r="J521" s="1"/>
  <c r="J109"/>
  <c r="AX774" i="1"/>
  <c r="AW777"/>
  <c r="AW775"/>
  <c r="AV775"/>
  <c r="I769"/>
  <c r="BH760"/>
  <c r="BJ760"/>
  <c r="Z760" s="1"/>
  <c r="J760"/>
  <c r="AL760" s="1"/>
  <c r="L760"/>
  <c r="BF760" s="1"/>
  <c r="AW760"/>
  <c r="AW756"/>
  <c r="I758"/>
  <c r="BH753"/>
  <c r="AD753" s="1"/>
  <c r="I752"/>
  <c r="BH752"/>
  <c r="AD752"/>
  <c r="I756"/>
  <c r="BI759"/>
  <c r="AE759" s="1"/>
  <c r="I755"/>
  <c r="AW741"/>
  <c r="AW747"/>
  <c r="AV747" s="1"/>
  <c r="H678"/>
  <c r="AX690"/>
  <c r="AX692"/>
  <c r="BI684"/>
  <c r="AE684" s="1"/>
  <c r="AX698"/>
  <c r="J715"/>
  <c r="AW688"/>
  <c r="AW670"/>
  <c r="I657"/>
  <c r="BH649"/>
  <c r="AD649" s="1"/>
  <c r="AW647"/>
  <c r="BH620"/>
  <c r="AD620" s="1"/>
  <c r="H628"/>
  <c r="AX635"/>
  <c r="AX622"/>
  <c r="AX629"/>
  <c r="BI626"/>
  <c r="AE626" s="1"/>
  <c r="I619"/>
  <c r="I600"/>
  <c r="BH582"/>
  <c r="AD582" s="1"/>
  <c r="BH594"/>
  <c r="AD594" s="1"/>
  <c r="BI583"/>
  <c r="AE583" s="1"/>
  <c r="BH607"/>
  <c r="AD607" s="1"/>
  <c r="AW612"/>
  <c r="AW582"/>
  <c r="AW594"/>
  <c r="BI575"/>
  <c r="AE575" s="1"/>
  <c r="BH573"/>
  <c r="AD573" s="1"/>
  <c r="I559"/>
  <c r="BI562"/>
  <c r="AE562"/>
  <c r="AX570"/>
  <c r="AX568"/>
  <c r="AW565"/>
  <c r="AV565" s="1"/>
  <c r="H557"/>
  <c r="AX562"/>
  <c r="BI569"/>
  <c r="AE569"/>
  <c r="BI559"/>
  <c r="AE559"/>
  <c r="AW569"/>
  <c r="BI551"/>
  <c r="AE551"/>
  <c r="BH551"/>
  <c r="AD551"/>
  <c r="AW552"/>
  <c r="AX551"/>
  <c r="H552"/>
  <c r="BI548"/>
  <c r="AE548" s="1"/>
  <c r="I548"/>
  <c r="I544"/>
  <c r="BH544"/>
  <c r="AD544" s="1"/>
  <c r="BI544"/>
  <c r="AE544" s="1"/>
  <c r="H544"/>
  <c r="AX539"/>
  <c r="I539"/>
  <c r="I538"/>
  <c r="J57" i="3" s="1"/>
  <c r="AX537" i="1"/>
  <c r="AW536"/>
  <c r="H534"/>
  <c r="H532"/>
  <c r="AX530"/>
  <c r="BI528"/>
  <c r="AE528" s="1"/>
  <c r="H528"/>
  <c r="BH528"/>
  <c r="AD528"/>
  <c r="AX526"/>
  <c r="H522"/>
  <c r="AW520"/>
  <c r="H518"/>
  <c r="BH518"/>
  <c r="AD518"/>
  <c r="I516"/>
  <c r="I514"/>
  <c r="BI514"/>
  <c r="AE514"/>
  <c r="BI510"/>
  <c r="AE510"/>
  <c r="H510"/>
  <c r="BH510"/>
  <c r="AD510" s="1"/>
  <c r="AW506"/>
  <c r="H506"/>
  <c r="AW504"/>
  <c r="I502"/>
  <c r="BI502"/>
  <c r="AE502" s="1"/>
  <c r="BI500"/>
  <c r="AE500" s="1"/>
  <c r="J486"/>
  <c r="K53" i="3" s="1"/>
  <c r="N53" s="1"/>
  <c r="AS490" i="1"/>
  <c r="BI493"/>
  <c r="I488"/>
  <c r="I491"/>
  <c r="H488"/>
  <c r="H491"/>
  <c r="BH488"/>
  <c r="AD488"/>
  <c r="I487"/>
  <c r="AX493"/>
  <c r="BI487"/>
  <c r="AE487"/>
  <c r="I485"/>
  <c r="BI485"/>
  <c r="H485"/>
  <c r="BH485"/>
  <c r="AW483"/>
  <c r="BC483" s="1"/>
  <c r="I479"/>
  <c r="BH477"/>
  <c r="AD477"/>
  <c r="H475"/>
  <c r="BH475"/>
  <c r="AD475" s="1"/>
  <c r="I474"/>
  <c r="BI474"/>
  <c r="AE474"/>
  <c r="H474"/>
  <c r="BH474"/>
  <c r="AD474" s="1"/>
  <c r="BH471"/>
  <c r="AD471" s="1"/>
  <c r="AX471"/>
  <c r="I471"/>
  <c r="AW467"/>
  <c r="AV467" s="1"/>
  <c r="I467"/>
  <c r="BC463"/>
  <c r="BI465"/>
  <c r="AE465"/>
  <c r="I463"/>
  <c r="BI463"/>
  <c r="AE463" s="1"/>
  <c r="H463"/>
  <c r="AX465"/>
  <c r="BH463"/>
  <c r="AD463" s="1"/>
  <c r="H462"/>
  <c r="BF458"/>
  <c r="AX458"/>
  <c r="BH456"/>
  <c r="AD456"/>
  <c r="BC457"/>
  <c r="I458"/>
  <c r="I452"/>
  <c r="BI452"/>
  <c r="AE452" s="1"/>
  <c r="I450"/>
  <c r="H449"/>
  <c r="L444"/>
  <c r="L50" i="3" s="1"/>
  <c r="AS444" i="1"/>
  <c r="H446"/>
  <c r="H445"/>
  <c r="BH445"/>
  <c r="AD445"/>
  <c r="AW447"/>
  <c r="BC447"/>
  <c r="BH436"/>
  <c r="AD436"/>
  <c r="I435"/>
  <c r="I439"/>
  <c r="AW442"/>
  <c r="AV442"/>
  <c r="BI439"/>
  <c r="AE439"/>
  <c r="H439"/>
  <c r="AW436"/>
  <c r="BH439"/>
  <c r="AD439"/>
  <c r="I438"/>
  <c r="I442"/>
  <c r="I436"/>
  <c r="AW433"/>
  <c r="H430"/>
  <c r="AW427"/>
  <c r="BH430"/>
  <c r="AD430" s="1"/>
  <c r="I429"/>
  <c r="BI429"/>
  <c r="AE429"/>
  <c r="I428"/>
  <c r="H428"/>
  <c r="I427"/>
  <c r="I432"/>
  <c r="I426"/>
  <c r="BF424"/>
  <c r="AX418"/>
  <c r="BH415"/>
  <c r="AD415" s="1"/>
  <c r="AW415"/>
  <c r="AV415" s="1"/>
  <c r="BC412"/>
  <c r="I412"/>
  <c r="AX409"/>
  <c r="BI412"/>
  <c r="AE412"/>
  <c r="H412"/>
  <c r="AW409"/>
  <c r="AV409" s="1"/>
  <c r="BH412"/>
  <c r="AD412"/>
  <c r="I411"/>
  <c r="BI411"/>
  <c r="AE411" s="1"/>
  <c r="I409"/>
  <c r="H409"/>
  <c r="I403"/>
  <c r="AX401"/>
  <c r="AX397"/>
  <c r="I397"/>
  <c r="H397"/>
  <c r="BC393"/>
  <c r="H393"/>
  <c r="BH393"/>
  <c r="AD393"/>
  <c r="I392"/>
  <c r="BI392"/>
  <c r="AE392" s="1"/>
  <c r="BH392"/>
  <c r="AD392" s="1"/>
  <c r="I390"/>
  <c r="AX388"/>
  <c r="AX385"/>
  <c r="BC385" s="1"/>
  <c r="AX381"/>
  <c r="I381"/>
  <c r="AW376"/>
  <c r="I378"/>
  <c r="BI378"/>
  <c r="AE378"/>
  <c r="I376"/>
  <c r="H376"/>
  <c r="BH371"/>
  <c r="AD371"/>
  <c r="I370"/>
  <c r="BI370"/>
  <c r="AE370" s="1"/>
  <c r="BH370"/>
  <c r="AD370" s="1"/>
  <c r="I369"/>
  <c r="BI369"/>
  <c r="AE369"/>
  <c r="I374"/>
  <c r="I368"/>
  <c r="H374"/>
  <c r="BI365"/>
  <c r="AE365" s="1"/>
  <c r="BH355"/>
  <c r="BH329"/>
  <c r="AB329"/>
  <c r="BH323"/>
  <c r="AB323"/>
  <c r="I327"/>
  <c r="AX366"/>
  <c r="AW356"/>
  <c r="AW350"/>
  <c r="H346"/>
  <c r="I342"/>
  <c r="AW336"/>
  <c r="H363"/>
  <c r="AX355"/>
  <c r="I352"/>
  <c r="I345"/>
  <c r="H342"/>
  <c r="H339" s="1"/>
  <c r="I42" i="3"/>
  <c r="I338" i="1"/>
  <c r="AX335"/>
  <c r="I332"/>
  <c r="AX329"/>
  <c r="I326"/>
  <c r="AX323"/>
  <c r="AX365"/>
  <c r="BH363"/>
  <c r="AD363" s="1"/>
  <c r="I362"/>
  <c r="BI358"/>
  <c r="H358"/>
  <c r="AW355"/>
  <c r="BC355"/>
  <c r="BI352"/>
  <c r="H352"/>
  <c r="BI345"/>
  <c r="AC345"/>
  <c r="BH342"/>
  <c r="AB342"/>
  <c r="BI338"/>
  <c r="AC338"/>
  <c r="H338"/>
  <c r="BI332"/>
  <c r="AC332" s="1"/>
  <c r="H332"/>
  <c r="AW329"/>
  <c r="BI326"/>
  <c r="AC326" s="1"/>
  <c r="AW323"/>
  <c r="AV323" s="1"/>
  <c r="BI362"/>
  <c r="AE362" s="1"/>
  <c r="BH358"/>
  <c r="I366"/>
  <c r="H356"/>
  <c r="H350"/>
  <c r="H336"/>
  <c r="I355"/>
  <c r="I335"/>
  <c r="I329"/>
  <c r="I323"/>
  <c r="H313"/>
  <c r="AX306"/>
  <c r="I303"/>
  <c r="I318"/>
  <c r="H303"/>
  <c r="H318"/>
  <c r="H312"/>
  <c r="I308"/>
  <c r="I302"/>
  <c r="BH318"/>
  <c r="AB318" s="1"/>
  <c r="I317"/>
  <c r="AX314"/>
  <c r="BH312"/>
  <c r="AB312" s="1"/>
  <c r="BI308"/>
  <c r="AC308" s="1"/>
  <c r="AW305"/>
  <c r="BI302"/>
  <c r="AC302"/>
  <c r="H302"/>
  <c r="BI317"/>
  <c r="AC317" s="1"/>
  <c r="H317"/>
  <c r="AW314"/>
  <c r="H311"/>
  <c r="I307"/>
  <c r="AX304"/>
  <c r="AV304" s="1"/>
  <c r="BH302"/>
  <c r="AB302" s="1"/>
  <c r="I301"/>
  <c r="BI301"/>
  <c r="AC301"/>
  <c r="I314"/>
  <c r="H305"/>
  <c r="J288"/>
  <c r="K37" i="3"/>
  <c r="N37" s="1"/>
  <c r="AX293" i="1"/>
  <c r="AT288"/>
  <c r="BH289"/>
  <c r="AB289" s="1"/>
  <c r="AX283"/>
  <c r="I285"/>
  <c r="AX282"/>
  <c r="BI285"/>
  <c r="AC285"/>
  <c r="I284"/>
  <c r="AX281"/>
  <c r="BI284"/>
  <c r="AC284"/>
  <c r="I279"/>
  <c r="BH279"/>
  <c r="AB279" s="1"/>
  <c r="I278"/>
  <c r="BI278"/>
  <c r="AC278"/>
  <c r="H278"/>
  <c r="I277"/>
  <c r="BI277"/>
  <c r="AC277"/>
  <c r="AX275"/>
  <c r="BH273"/>
  <c r="AB273" s="1"/>
  <c r="I272"/>
  <c r="I266"/>
  <c r="AW268"/>
  <c r="I270"/>
  <c r="H270"/>
  <c r="AW267"/>
  <c r="BH270"/>
  <c r="AB270" s="1"/>
  <c r="H269"/>
  <c r="I274"/>
  <c r="I268"/>
  <c r="H268"/>
  <c r="I273"/>
  <c r="I267"/>
  <c r="H262"/>
  <c r="H260"/>
  <c r="BH260"/>
  <c r="AB260" s="1"/>
  <c r="H258"/>
  <c r="BI257"/>
  <c r="AC257"/>
  <c r="H257"/>
  <c r="BH257"/>
  <c r="AB257" s="1"/>
  <c r="H256"/>
  <c r="I255"/>
  <c r="I254"/>
  <c r="AW244"/>
  <c r="BI242"/>
  <c r="AC242" s="1"/>
  <c r="H242"/>
  <c r="AX240"/>
  <c r="I237"/>
  <c r="BI237"/>
  <c r="AC237"/>
  <c r="H237"/>
  <c r="BH237"/>
  <c r="AB237" s="1"/>
  <c r="I235"/>
  <c r="BI235"/>
  <c r="AC235"/>
  <c r="AV233"/>
  <c r="H233"/>
  <c r="BH233"/>
  <c r="AB233"/>
  <c r="I232"/>
  <c r="BI232"/>
  <c r="AC232" s="1"/>
  <c r="H232"/>
  <c r="BH232"/>
  <c r="AB232"/>
  <c r="I230"/>
  <c r="BC226"/>
  <c r="I223"/>
  <c r="I226"/>
  <c r="BI226"/>
  <c r="AC226"/>
  <c r="H226"/>
  <c r="I222"/>
  <c r="BH226"/>
  <c r="AB226"/>
  <c r="BI222"/>
  <c r="AC222"/>
  <c r="H222"/>
  <c r="I221"/>
  <c r="I218"/>
  <c r="BI218"/>
  <c r="AC218" s="1"/>
  <c r="I216"/>
  <c r="I215" s="1"/>
  <c r="BI216"/>
  <c r="AC216"/>
  <c r="BH214"/>
  <c r="AB214"/>
  <c r="BC211"/>
  <c r="BI211"/>
  <c r="AC211" s="1"/>
  <c r="H211"/>
  <c r="AT203"/>
  <c r="H208"/>
  <c r="AW205"/>
  <c r="BH208"/>
  <c r="AB208" s="1"/>
  <c r="H207"/>
  <c r="BH207"/>
  <c r="AB207"/>
  <c r="AW209"/>
  <c r="H206"/>
  <c r="BH206"/>
  <c r="AB206"/>
  <c r="I205"/>
  <c r="AV198"/>
  <c r="AV184"/>
  <c r="BH201"/>
  <c r="AB201" s="1"/>
  <c r="I200"/>
  <c r="BH195"/>
  <c r="AB195"/>
  <c r="I194"/>
  <c r="BH189"/>
  <c r="AB189" s="1"/>
  <c r="BH183"/>
  <c r="AB183" s="1"/>
  <c r="I182"/>
  <c r="BH177"/>
  <c r="AB177"/>
  <c r="I176"/>
  <c r="BH200"/>
  <c r="AB200" s="1"/>
  <c r="BH194"/>
  <c r="AB194" s="1"/>
  <c r="BH188"/>
  <c r="AB188" s="1"/>
  <c r="BH182"/>
  <c r="AB182" s="1"/>
  <c r="BH176"/>
  <c r="AB176" s="1"/>
  <c r="H193"/>
  <c r="H175"/>
  <c r="AX201"/>
  <c r="I198"/>
  <c r="I192"/>
  <c r="AX189"/>
  <c r="AX183"/>
  <c r="BC183" s="1"/>
  <c r="I180"/>
  <c r="AX177"/>
  <c r="BC177" s="1"/>
  <c r="I174"/>
  <c r="AW201"/>
  <c r="BC201" s="1"/>
  <c r="BI198"/>
  <c r="AC198"/>
  <c r="H198"/>
  <c r="AW195"/>
  <c r="BI192"/>
  <c r="AC192"/>
  <c r="AW189"/>
  <c r="BI186"/>
  <c r="AC186" s="1"/>
  <c r="H186"/>
  <c r="AW183"/>
  <c r="BI180"/>
  <c r="AC180" s="1"/>
  <c r="H180"/>
  <c r="AW177"/>
  <c r="BI174"/>
  <c r="AC174" s="1"/>
  <c r="H174"/>
  <c r="BH198"/>
  <c r="AB198"/>
  <c r="BH186"/>
  <c r="AB186"/>
  <c r="BH180"/>
  <c r="AB180"/>
  <c r="BH174"/>
  <c r="AB174"/>
  <c r="BC199"/>
  <c r="BI170"/>
  <c r="AC170" s="1"/>
  <c r="H170"/>
  <c r="AX171"/>
  <c r="AW166"/>
  <c r="AS165"/>
  <c r="I166"/>
  <c r="H166"/>
  <c r="I164"/>
  <c r="BI164"/>
  <c r="AC164"/>
  <c r="BH164"/>
  <c r="AB164"/>
  <c r="H163"/>
  <c r="I158"/>
  <c r="BI158"/>
  <c r="AC158"/>
  <c r="AV135"/>
  <c r="AX153"/>
  <c r="AW144"/>
  <c r="AV144" s="1"/>
  <c r="AW119"/>
  <c r="I148"/>
  <c r="H145"/>
  <c r="AW142"/>
  <c r="AV142" s="1"/>
  <c r="I135"/>
  <c r="AX132"/>
  <c r="BC132" s="1"/>
  <c r="AW129"/>
  <c r="H126"/>
  <c r="AW123"/>
  <c r="H120"/>
  <c r="H154"/>
  <c r="BI148"/>
  <c r="AC148" s="1"/>
  <c r="H148"/>
  <c r="I144"/>
  <c r="I138"/>
  <c r="BI135"/>
  <c r="AC135"/>
  <c r="H135"/>
  <c r="BH126"/>
  <c r="AB126" s="1"/>
  <c r="I125"/>
  <c r="I119"/>
  <c r="I153"/>
  <c r="H144"/>
  <c r="H125"/>
  <c r="H119"/>
  <c r="I118"/>
  <c r="H118"/>
  <c r="I142"/>
  <c r="I123"/>
  <c r="H142"/>
  <c r="I132"/>
  <c r="H129"/>
  <c r="H123"/>
  <c r="H117"/>
  <c r="BH112"/>
  <c r="AB112"/>
  <c r="AW113"/>
  <c r="BI115"/>
  <c r="AC115" s="1"/>
  <c r="H115"/>
  <c r="AW112"/>
  <c r="BH115"/>
  <c r="AB115" s="1"/>
  <c r="H113"/>
  <c r="I112"/>
  <c r="H110"/>
  <c r="BH110"/>
  <c r="AB110"/>
  <c r="AW106"/>
  <c r="BC106" s="1"/>
  <c r="I106"/>
  <c r="AW104"/>
  <c r="AV104"/>
  <c r="AW98"/>
  <c r="BC98"/>
  <c r="AX94"/>
  <c r="AX103"/>
  <c r="I100"/>
  <c r="BI100"/>
  <c r="AC100" s="1"/>
  <c r="I104"/>
  <c r="I98"/>
  <c r="H104"/>
  <c r="H98"/>
  <c r="I103"/>
  <c r="H94"/>
  <c r="I93"/>
  <c r="BI89"/>
  <c r="AC89"/>
  <c r="I85"/>
  <c r="I83"/>
  <c r="BI83"/>
  <c r="AC83"/>
  <c r="H81"/>
  <c r="BH81"/>
  <c r="AB81" s="1"/>
  <c r="AX75"/>
  <c r="BH73"/>
  <c r="AB73"/>
  <c r="I72"/>
  <c r="AX69"/>
  <c r="AW66"/>
  <c r="AV66"/>
  <c r="I77"/>
  <c r="BI77"/>
  <c r="AC77" s="1"/>
  <c r="BI64"/>
  <c r="AC64" s="1"/>
  <c r="AX73"/>
  <c r="I70"/>
  <c r="BI70"/>
  <c r="AC70" s="1"/>
  <c r="H70"/>
  <c r="I66"/>
  <c r="I65"/>
  <c r="J21" i="3" s="1"/>
  <c r="H63" i="1"/>
  <c r="I59"/>
  <c r="H62"/>
  <c r="I58"/>
  <c r="AX54"/>
  <c r="AW52"/>
  <c r="AV52" s="1"/>
  <c r="BC52"/>
  <c r="I52"/>
  <c r="I44"/>
  <c r="BI44"/>
  <c r="AC44"/>
  <c r="H44"/>
  <c r="I40"/>
  <c r="BI40"/>
  <c r="AC40"/>
  <c r="H40"/>
  <c r="AW38"/>
  <c r="H35"/>
  <c r="BH35"/>
  <c r="AB35"/>
  <c r="H38"/>
  <c r="I30"/>
  <c r="BI30"/>
  <c r="AC30"/>
  <c r="H30"/>
  <c r="I26"/>
  <c r="BH26"/>
  <c r="AB26"/>
  <c r="AW26"/>
  <c r="AV22"/>
  <c r="I22"/>
  <c r="BI22"/>
  <c r="AC22" s="1"/>
  <c r="H22"/>
  <c r="BH22"/>
  <c r="AB22"/>
  <c r="AX20"/>
  <c r="I20"/>
  <c r="BI18"/>
  <c r="AC18"/>
  <c r="I16"/>
  <c r="I14"/>
  <c r="BI14"/>
  <c r="AC14"/>
  <c r="AX596"/>
  <c r="BI594"/>
  <c r="AE594" s="1"/>
  <c r="AX168"/>
  <c r="I168"/>
  <c r="I738"/>
  <c r="BI735"/>
  <c r="AE735" s="1"/>
  <c r="AW729"/>
  <c r="AV729" s="1"/>
  <c r="I717"/>
  <c r="H733"/>
  <c r="BI717"/>
  <c r="AE717" s="1"/>
  <c r="BH740"/>
  <c r="AD740" s="1"/>
  <c r="AX735"/>
  <c r="AX727"/>
  <c r="AD717"/>
  <c r="BH733"/>
  <c r="AD733"/>
  <c r="BI718"/>
  <c r="AE718"/>
  <c r="H744"/>
  <c r="H732"/>
  <c r="AX745"/>
  <c r="AW723"/>
  <c r="AX718"/>
  <c r="BH715"/>
  <c r="H703"/>
  <c r="AW693"/>
  <c r="H685"/>
  <c r="H667"/>
  <c r="H673"/>
  <c r="I698"/>
  <c r="H693"/>
  <c r="H709"/>
  <c r="AX684"/>
  <c r="BH682"/>
  <c r="AD682" s="1"/>
  <c r="BH675"/>
  <c r="AD675" s="1"/>
  <c r="AX674"/>
  <c r="AW669"/>
  <c r="AX666"/>
  <c r="BC666" s="1"/>
  <c r="BH703"/>
  <c r="AD703"/>
  <c r="BH685"/>
  <c r="AD685"/>
  <c r="BH670"/>
  <c r="AD670"/>
  <c r="AW710"/>
  <c r="AV710"/>
  <c r="AW682"/>
  <c r="BH706"/>
  <c r="AD706"/>
  <c r="BI695"/>
  <c r="AE695"/>
  <c r="I645"/>
  <c r="I637"/>
  <c r="H632"/>
  <c r="AW635"/>
  <c r="AX621"/>
  <c r="AV621" s="1"/>
  <c r="AX617"/>
  <c r="BH627"/>
  <c r="AD627" s="1"/>
  <c r="AW622"/>
  <c r="BC622" s="1"/>
  <c r="BI632"/>
  <c r="AE632" s="1"/>
  <c r="AX627"/>
  <c r="AV627" s="1"/>
  <c r="BI620"/>
  <c r="AE620"/>
  <c r="BI616"/>
  <c r="AE616"/>
  <c r="BI615"/>
  <c r="AE615"/>
  <c r="BH632"/>
  <c r="AD632"/>
  <c r="BI628"/>
  <c r="AE628"/>
  <c r="AW627"/>
  <c r="BC627"/>
  <c r="AX628"/>
  <c r="AV628" s="1"/>
  <c r="AW625"/>
  <c r="H620"/>
  <c r="AX616"/>
  <c r="AX615"/>
  <c r="BH601"/>
  <c r="AD601"/>
  <c r="I581"/>
  <c r="AX606"/>
  <c r="H613"/>
  <c r="I597"/>
  <c r="BI607"/>
  <c r="AE607"/>
  <c r="H601"/>
  <c r="AX584"/>
  <c r="AV584" s="1"/>
  <c r="BI581"/>
  <c r="AE581"/>
  <c r="BI603"/>
  <c r="AE603"/>
  <c r="BH600"/>
  <c r="AD600"/>
  <c r="BI613"/>
  <c r="AE613"/>
  <c r="H607"/>
  <c r="H600"/>
  <c r="BH613"/>
  <c r="AD613"/>
  <c r="AX603"/>
  <c r="BI601"/>
  <c r="AE601" s="1"/>
  <c r="BH575"/>
  <c r="AD575" s="1"/>
  <c r="AW575"/>
  <c r="AL573"/>
  <c r="AX556"/>
  <c r="BC556"/>
  <c r="AW554"/>
  <c r="AV554"/>
  <c r="H559"/>
  <c r="BH555"/>
  <c r="AD555" s="1"/>
  <c r="BI568"/>
  <c r="AE568" s="1"/>
  <c r="BH558"/>
  <c r="AD558" s="1"/>
  <c r="AW566"/>
  <c r="H565"/>
  <c r="I557"/>
  <c r="AW555"/>
  <c r="BC555" s="1"/>
  <c r="BH564"/>
  <c r="AD564" s="1"/>
  <c r="BH571"/>
  <c r="BI556"/>
  <c r="AE556"/>
  <c r="BH542"/>
  <c r="AD542"/>
  <c r="AW542"/>
  <c r="H562"/>
  <c r="BH568"/>
  <c r="AD568"/>
  <c r="BH562"/>
  <c r="AD562"/>
  <c r="I561"/>
  <c r="BH556"/>
  <c r="AD556" s="1"/>
  <c r="I555"/>
  <c r="H567"/>
  <c r="AW564"/>
  <c r="BC564" s="1"/>
  <c r="BI561"/>
  <c r="AE561" s="1"/>
  <c r="AW558"/>
  <c r="BH567"/>
  <c r="AD567"/>
  <c r="I566"/>
  <c r="I560"/>
  <c r="I554"/>
  <c r="H566"/>
  <c r="H554"/>
  <c r="I570"/>
  <c r="I564"/>
  <c r="I558"/>
  <c r="AW573"/>
  <c r="BC573" s="1"/>
  <c r="I573"/>
  <c r="BI573"/>
  <c r="AE573"/>
  <c r="BI595"/>
  <c r="AE595"/>
  <c r="BI592"/>
  <c r="AE592"/>
  <c r="BH591"/>
  <c r="AD591"/>
  <c r="I585"/>
  <c r="I611"/>
  <c r="AX608"/>
  <c r="BC608"/>
  <c r="I605"/>
  <c r="AX602"/>
  <c r="AV602" s="1"/>
  <c r="I588"/>
  <c r="I587"/>
  <c r="BI611"/>
  <c r="AE611"/>
  <c r="H611"/>
  <c r="BI605"/>
  <c r="AE605" s="1"/>
  <c r="AX613"/>
  <c r="AV613" s="1"/>
  <c r="BH611"/>
  <c r="AD611" s="1"/>
  <c r="I610"/>
  <c r="AX607"/>
  <c r="I604"/>
  <c r="BI597"/>
  <c r="AE597"/>
  <c r="AX591"/>
  <c r="BI604"/>
  <c r="AE604" s="1"/>
  <c r="AX595"/>
  <c r="BC595" s="1"/>
  <c r="AX594"/>
  <c r="BC594"/>
  <c r="BI588"/>
  <c r="AE588"/>
  <c r="BI587"/>
  <c r="AE587"/>
  <c r="BI585"/>
  <c r="AE585"/>
  <c r="AX593"/>
  <c r="AX592"/>
  <c r="BC592" s="1"/>
  <c r="I602"/>
  <c r="H608"/>
  <c r="H602"/>
  <c r="I624"/>
  <c r="I618"/>
  <c r="AW633"/>
  <c r="BI624"/>
  <c r="AE624" s="1"/>
  <c r="BI618"/>
  <c r="AE618" s="1"/>
  <c r="I635"/>
  <c r="BH630"/>
  <c r="AD630" s="1"/>
  <c r="I629"/>
  <c r="AX626"/>
  <c r="I623"/>
  <c r="AX620"/>
  <c r="I617"/>
  <c r="H635"/>
  <c r="H623"/>
  <c r="I621"/>
  <c r="I642"/>
  <c r="BI653"/>
  <c r="AE653" s="1"/>
  <c r="AW651"/>
  <c r="H651"/>
  <c r="H713"/>
  <c r="H707"/>
  <c r="BI709"/>
  <c r="AE709" s="1"/>
  <c r="BI691"/>
  <c r="AE691" s="1"/>
  <c r="BI685"/>
  <c r="AE685" s="1"/>
  <c r="BI673"/>
  <c r="AE673" s="1"/>
  <c r="I713"/>
  <c r="I689"/>
  <c r="I683"/>
  <c r="H689"/>
  <c r="BH713"/>
  <c r="AD713"/>
  <c r="AX709"/>
  <c r="BH707"/>
  <c r="AD707"/>
  <c r="AX703"/>
  <c r="BC703"/>
  <c r="BH701"/>
  <c r="AD701"/>
  <c r="I694"/>
  <c r="AX691"/>
  <c r="BH689"/>
  <c r="AD689"/>
  <c r="AX679"/>
  <c r="AX673"/>
  <c r="BC673" s="1"/>
  <c r="I670"/>
  <c r="AX667"/>
  <c r="BH665"/>
  <c r="AD665"/>
  <c r="I664"/>
  <c r="BI694"/>
  <c r="AE694" s="1"/>
  <c r="BI670"/>
  <c r="AE670" s="1"/>
  <c r="BI664"/>
  <c r="AE664" s="1"/>
  <c r="I699"/>
  <c r="I663"/>
  <c r="I662"/>
  <c r="H701"/>
  <c r="H665"/>
  <c r="H698"/>
  <c r="H662"/>
  <c r="L750"/>
  <c r="BH750"/>
  <c r="I750"/>
  <c r="BJ750"/>
  <c r="Z750" s="1"/>
  <c r="J750"/>
  <c r="AL750" s="1"/>
  <c r="BI745"/>
  <c r="AE745" s="1"/>
  <c r="BI739"/>
  <c r="AE739" s="1"/>
  <c r="BI727"/>
  <c r="AE727" s="1"/>
  <c r="I749"/>
  <c r="I743"/>
  <c r="I737"/>
  <c r="I725"/>
  <c r="AW746"/>
  <c r="H743"/>
  <c r="BI737"/>
  <c r="AE737" s="1"/>
  <c r="H737"/>
  <c r="BH743"/>
  <c r="AD743" s="1"/>
  <c r="I742"/>
  <c r="I730"/>
  <c r="I724"/>
  <c r="H719"/>
  <c r="BI748"/>
  <c r="AE748" s="1"/>
  <c r="BI742"/>
  <c r="AE742" s="1"/>
  <c r="BI736"/>
  <c r="AE736" s="1"/>
  <c r="BI724"/>
  <c r="AE724" s="1"/>
  <c r="BH719"/>
  <c r="AD719" s="1"/>
  <c r="H747"/>
  <c r="H741"/>
  <c r="H735"/>
  <c r="H729"/>
  <c r="H723"/>
  <c r="I740"/>
  <c r="I768"/>
  <c r="AX771"/>
  <c r="I771"/>
  <c r="BH776"/>
  <c r="AD776" s="1"/>
  <c r="I775"/>
  <c r="BI775"/>
  <c r="AE775"/>
  <c r="AW591"/>
  <c r="BC591"/>
  <c r="AW721"/>
  <c r="BC721"/>
  <c r="H721"/>
  <c r="R136" i="14"/>
  <c r="T538"/>
  <c r="T136"/>
  <c r="J131"/>
  <c r="E85"/>
  <c r="P189" i="11"/>
  <c r="R189"/>
  <c r="J89"/>
  <c r="F91"/>
  <c r="J91"/>
  <c r="F92"/>
  <c r="J89" i="12"/>
  <c r="E112"/>
  <c r="P125" i="13"/>
  <c r="P124" s="1"/>
  <c r="R199"/>
  <c r="F91"/>
  <c r="P205" i="9"/>
  <c r="E85"/>
  <c r="J121"/>
  <c r="J89"/>
  <c r="F91"/>
  <c r="E24" i="8"/>
  <c r="G24"/>
  <c r="G23"/>
  <c r="G18"/>
  <c r="G5"/>
  <c r="G6"/>
  <c r="E16"/>
  <c r="G16"/>
  <c r="G58"/>
  <c r="I14" i="5"/>
  <c r="AL715" i="1"/>
  <c r="H715"/>
  <c r="BJ715"/>
  <c r="Z715"/>
  <c r="AX715"/>
  <c r="AV715"/>
  <c r="L715"/>
  <c r="BF715" s="1"/>
  <c r="BJ571"/>
  <c r="Z571" s="1"/>
  <c r="BI571"/>
  <c r="AX571"/>
  <c r="AW571"/>
  <c r="L571"/>
  <c r="BF571" s="1"/>
  <c r="J571"/>
  <c r="AL571" s="1"/>
  <c r="I571"/>
  <c r="BC409"/>
  <c r="BC323"/>
  <c r="AV329"/>
  <c r="BC314"/>
  <c r="BC304"/>
  <c r="AV183"/>
  <c r="BC144"/>
  <c r="AV112"/>
  <c r="BC112"/>
  <c r="AV106"/>
  <c r="AV98"/>
  <c r="AV622"/>
  <c r="AW658"/>
  <c r="J658"/>
  <c r="AL658"/>
  <c r="L658"/>
  <c r="L572"/>
  <c r="L59" i="3" s="1"/>
  <c r="BJ658" i="1"/>
  <c r="Z658" s="1"/>
  <c r="H658"/>
  <c r="AX658"/>
  <c r="AV573"/>
  <c r="AV594"/>
  <c r="BC613"/>
  <c r="BF750"/>
  <c r="F92" i="14"/>
  <c r="F121" i="13"/>
  <c r="E85"/>
  <c r="F92" i="12"/>
  <c r="J92" i="14"/>
  <c r="E85" i="11"/>
  <c r="F92" i="9"/>
  <c r="J118" i="13"/>
  <c r="F91" i="12"/>
  <c r="J92"/>
  <c r="J129" i="14"/>
  <c r="BI810" i="1"/>
  <c r="AG810" s="1"/>
  <c r="AT801"/>
  <c r="AW810"/>
  <c r="AV810"/>
  <c r="BH810"/>
  <c r="AF810"/>
  <c r="BH75"/>
  <c r="AB75"/>
  <c r="BI66"/>
  <c r="AC66"/>
  <c r="BH62"/>
  <c r="AB62"/>
  <c r="AX32"/>
  <c r="BI24"/>
  <c r="AC24" s="1"/>
  <c r="AW37"/>
  <c r="BI74"/>
  <c r="AC74"/>
  <c r="J61"/>
  <c r="K20" i="3" s="1"/>
  <c r="N20" s="1"/>
  <c r="I64" i="1"/>
  <c r="AX60"/>
  <c r="BI60"/>
  <c r="AC60" s="1"/>
  <c r="BI55"/>
  <c r="AC55" s="1"/>
  <c r="I55"/>
  <c r="I50"/>
  <c r="J17" i="3"/>
  <c r="I49" i="1"/>
  <c r="I48"/>
  <c r="J16" i="3" s="1"/>
  <c r="AX37" i="1"/>
  <c r="AW36"/>
  <c r="BI35"/>
  <c r="AC35" s="1"/>
  <c r="I35"/>
  <c r="BI34"/>
  <c r="AC34"/>
  <c r="AS13"/>
  <c r="J798"/>
  <c r="K69" i="3" s="1"/>
  <c r="N69" s="1"/>
  <c r="AU798" i="1"/>
  <c r="AW792"/>
  <c r="BH774"/>
  <c r="AD774"/>
  <c r="AW774"/>
  <c r="BC774" s="1"/>
  <c r="H769"/>
  <c r="BI768"/>
  <c r="AE768"/>
  <c r="AX768"/>
  <c r="I682"/>
  <c r="H676"/>
  <c r="AW676"/>
  <c r="BH676"/>
  <c r="AD676"/>
  <c r="AV703"/>
  <c r="H790"/>
  <c r="H789" s="1"/>
  <c r="I67" i="3"/>
  <c r="H779" i="1"/>
  <c r="AW765"/>
  <c r="I748"/>
  <c r="BH732"/>
  <c r="AD732"/>
  <c r="AW732"/>
  <c r="H730"/>
  <c r="AW712"/>
  <c r="AV712"/>
  <c r="BI688"/>
  <c r="AE688" s="1"/>
  <c r="H687"/>
  <c r="BH687"/>
  <c r="AD687" s="1"/>
  <c r="BH680"/>
  <c r="AD680" s="1"/>
  <c r="H680"/>
  <c r="AW678"/>
  <c r="BH678"/>
  <c r="AD678" s="1"/>
  <c r="AX671"/>
  <c r="I671"/>
  <c r="BH802"/>
  <c r="AD802" s="1"/>
  <c r="AW802"/>
  <c r="H802"/>
  <c r="AL792"/>
  <c r="AU791" s="1"/>
  <c r="I772"/>
  <c r="BI772"/>
  <c r="AX744"/>
  <c r="AX726"/>
  <c r="I726"/>
  <c r="AW697"/>
  <c r="BH697"/>
  <c r="AD697" s="1"/>
  <c r="H697"/>
  <c r="AX695"/>
  <c r="I695"/>
  <c r="BC667"/>
  <c r="BH731"/>
  <c r="AD731" s="1"/>
  <c r="AW722"/>
  <c r="BH722"/>
  <c r="AD722"/>
  <c r="H722"/>
  <c r="H717"/>
  <c r="I715"/>
  <c r="BI715"/>
  <c r="AW714"/>
  <c r="AD714"/>
  <c r="AX707"/>
  <c r="BC707" s="1"/>
  <c r="AX704"/>
  <c r="BI704"/>
  <c r="AE704" s="1"/>
  <c r="I704"/>
  <c r="AX689"/>
  <c r="BI436"/>
  <c r="AE436" s="1"/>
  <c r="AX436"/>
  <c r="BI427"/>
  <c r="AE427" s="1"/>
  <c r="AX427"/>
  <c r="AT785"/>
  <c r="I757"/>
  <c r="AW609"/>
  <c r="H546"/>
  <c r="J538"/>
  <c r="K57" i="3" s="1"/>
  <c r="N57" s="1"/>
  <c r="AW524" i="1"/>
  <c r="AV524"/>
  <c r="I522"/>
  <c r="AW514"/>
  <c r="AV514" s="1"/>
  <c r="H514"/>
  <c r="H481"/>
  <c r="BI467"/>
  <c r="AE467"/>
  <c r="I464"/>
  <c r="BI461"/>
  <c r="AE461" s="1"/>
  <c r="H460"/>
  <c r="BH457"/>
  <c r="AD457"/>
  <c r="BH449"/>
  <c r="AD449"/>
  <c r="I449"/>
  <c r="BC189"/>
  <c r="AW662"/>
  <c r="AV662" s="1"/>
  <c r="AX711"/>
  <c r="BI753"/>
  <c r="AE753" s="1"/>
  <c r="H772"/>
  <c r="I794"/>
  <c r="I807"/>
  <c r="I806" s="1"/>
  <c r="BI808"/>
  <c r="AG808"/>
  <c r="BI794"/>
  <c r="AE794"/>
  <c r="AX778"/>
  <c r="AX769"/>
  <c r="H767"/>
  <c r="H724"/>
  <c r="BI657"/>
  <c r="AE657"/>
  <c r="I606"/>
  <c r="I579"/>
  <c r="AX564"/>
  <c r="BH537"/>
  <c r="H435"/>
  <c r="BI437"/>
  <c r="AE437" s="1"/>
  <c r="BI431"/>
  <c r="AE431" s="1"/>
  <c r="AV216"/>
  <c r="BH609"/>
  <c r="AD609"/>
  <c r="I589"/>
  <c r="I549"/>
  <c r="BI537"/>
  <c r="H537"/>
  <c r="BI530"/>
  <c r="AE530"/>
  <c r="AW530"/>
  <c r="AV530"/>
  <c r="BH524"/>
  <c r="AD524"/>
  <c r="BI522"/>
  <c r="AE522"/>
  <c r="BH520"/>
  <c r="AD520"/>
  <c r="AX495"/>
  <c r="BC495"/>
  <c r="BH492"/>
  <c r="AD492"/>
  <c r="L486"/>
  <c r="L53" i="3"/>
  <c r="BI483" i="1"/>
  <c r="AE483"/>
  <c r="I483"/>
  <c r="AW456"/>
  <c r="BI449"/>
  <c r="AE449"/>
  <c r="AT444"/>
  <c r="BI443"/>
  <c r="AW441"/>
  <c r="H438"/>
  <c r="BH438"/>
  <c r="AD438"/>
  <c r="H777"/>
  <c r="BI807"/>
  <c r="AG807" s="1"/>
  <c r="L791"/>
  <c r="L68" i="3" s="1"/>
  <c r="BI778" i="1"/>
  <c r="AE778" s="1"/>
  <c r="AW771"/>
  <c r="AW767"/>
  <c r="BI765"/>
  <c r="AE765" s="1"/>
  <c r="AX660"/>
  <c r="AV660" s="1"/>
  <c r="AX656"/>
  <c r="BC656"/>
  <c r="AW602"/>
  <c r="AX590"/>
  <c r="AV590" s="1"/>
  <c r="BI589"/>
  <c r="AE589"/>
  <c r="I583"/>
  <c r="BI579"/>
  <c r="AE579" s="1"/>
  <c r="BI577"/>
  <c r="AE577" s="1"/>
  <c r="BI552"/>
  <c r="AE552" s="1"/>
  <c r="I552"/>
  <c r="AW512"/>
  <c r="AX506"/>
  <c r="BH500"/>
  <c r="AD500"/>
  <c r="BH498"/>
  <c r="AD498"/>
  <c r="BI496"/>
  <c r="BH481"/>
  <c r="AD481" s="1"/>
  <c r="BI464"/>
  <c r="AE464" s="1"/>
  <c r="H441"/>
  <c r="BH433"/>
  <c r="AD433"/>
  <c r="BH418"/>
  <c r="AD418"/>
  <c r="BI407"/>
  <c r="AE407"/>
  <c r="AX399"/>
  <c r="BH395"/>
  <c r="AD395" s="1"/>
  <c r="AW391"/>
  <c r="AV391" s="1"/>
  <c r="BI390"/>
  <c r="AE390"/>
  <c r="AW384"/>
  <c r="BI380"/>
  <c r="AE380" s="1"/>
  <c r="AW380"/>
  <c r="BH378"/>
  <c r="AD378"/>
  <c r="AW378"/>
  <c r="AV378" s="1"/>
  <c r="AW377"/>
  <c r="AV377" s="1"/>
  <c r="I363"/>
  <c r="BI353"/>
  <c r="I351"/>
  <c r="I350"/>
  <c r="BI344"/>
  <c r="AC344" s="1"/>
  <c r="I344"/>
  <c r="AU339"/>
  <c r="I334"/>
  <c r="AX330"/>
  <c r="BH328"/>
  <c r="AB328" s="1"/>
  <c r="AW328"/>
  <c r="H327"/>
  <c r="AX322"/>
  <c r="BH321"/>
  <c r="AB321" s="1"/>
  <c r="H321"/>
  <c r="AW301"/>
  <c r="AX296"/>
  <c r="I296"/>
  <c r="AW293"/>
  <c r="AV293" s="1"/>
  <c r="BF292"/>
  <c r="AX268"/>
  <c r="AW266"/>
  <c r="I265"/>
  <c r="AW254"/>
  <c r="AX242"/>
  <c r="BI233"/>
  <c r="AC233"/>
  <c r="I233"/>
  <c r="H230"/>
  <c r="AW221"/>
  <c r="AV221"/>
  <c r="AX207"/>
  <c r="AX206"/>
  <c r="BI199"/>
  <c r="AC199"/>
  <c r="BH196"/>
  <c r="AB196"/>
  <c r="AW196"/>
  <c r="H185"/>
  <c r="BI183"/>
  <c r="AC183"/>
  <c r="I171"/>
  <c r="BI167"/>
  <c r="AC167" s="1"/>
  <c r="BI162"/>
  <c r="AC162" s="1"/>
  <c r="BI161"/>
  <c r="AC161" s="1"/>
  <c r="H151"/>
  <c r="AX142"/>
  <c r="BH140"/>
  <c r="AB140" s="1"/>
  <c r="AW140"/>
  <c r="I133"/>
  <c r="BI112"/>
  <c r="AC112" s="1"/>
  <c r="AX108"/>
  <c r="BI106"/>
  <c r="AC106"/>
  <c r="AX104"/>
  <c r="BC104"/>
  <c r="BI102"/>
  <c r="AC102"/>
  <c r="AW102"/>
  <c r="BI101"/>
  <c r="AC101" s="1"/>
  <c r="BH99"/>
  <c r="AB99" s="1"/>
  <c r="H99"/>
  <c r="AW97"/>
  <c r="BH93"/>
  <c r="AB93" s="1"/>
  <c r="BI93"/>
  <c r="AC93" s="1"/>
  <c r="AX92"/>
  <c r="H85"/>
  <c r="I75"/>
  <c r="AX74"/>
  <c r="AW70"/>
  <c r="AV70" s="1"/>
  <c r="BH66"/>
  <c r="AB66"/>
  <c r="AW63"/>
  <c r="BF54"/>
  <c r="AL52"/>
  <c r="AW51"/>
  <c r="BF49"/>
  <c r="AW30"/>
  <c r="AX18"/>
  <c r="AV412"/>
  <c r="BH411"/>
  <c r="AD411" s="1"/>
  <c r="AW395"/>
  <c r="H364"/>
  <c r="I353"/>
  <c r="BF299"/>
  <c r="AX221"/>
  <c r="I149"/>
  <c r="I137"/>
  <c r="AX102"/>
  <c r="AW96"/>
  <c r="BH78"/>
  <c r="AB78" s="1"/>
  <c r="BI73"/>
  <c r="AC73" s="1"/>
  <c r="H69"/>
  <c r="L50"/>
  <c r="L17" i="3"/>
  <c r="BI46" i="1"/>
  <c r="AC46"/>
  <c r="BF43"/>
  <c r="BH426"/>
  <c r="AD426" s="1"/>
  <c r="AW411"/>
  <c r="BH401"/>
  <c r="AD401" s="1"/>
  <c r="AW387"/>
  <c r="AW385"/>
  <c r="AV385"/>
  <c r="I380"/>
  <c r="BH362"/>
  <c r="AD362" s="1"/>
  <c r="AW346"/>
  <c r="AS343"/>
  <c r="J343"/>
  <c r="K43" i="3" s="1"/>
  <c r="N43"/>
  <c r="J339" i="1"/>
  <c r="K42" i="3"/>
  <c r="N42" s="1"/>
  <c r="BI330" i="1"/>
  <c r="AC330"/>
  <c r="BH327"/>
  <c r="AB327"/>
  <c r="I322"/>
  <c r="H314"/>
  <c r="AX313"/>
  <c r="I310"/>
  <c r="I306"/>
  <c r="H301"/>
  <c r="BH293"/>
  <c r="AB293" s="1"/>
  <c r="AW283"/>
  <c r="BC283" s="1"/>
  <c r="AW273"/>
  <c r="AX269"/>
  <c r="BH267"/>
  <c r="AB267" s="1"/>
  <c r="BH266"/>
  <c r="AB266" s="1"/>
  <c r="BI264"/>
  <c r="AC264" s="1"/>
  <c r="BH258"/>
  <c r="AB258" s="1"/>
  <c r="BH254"/>
  <c r="AB254" s="1"/>
  <c r="BI249"/>
  <c r="AC249" s="1"/>
  <c r="BI246"/>
  <c r="AC246" s="1"/>
  <c r="I240"/>
  <c r="BI230"/>
  <c r="AC230"/>
  <c r="H228"/>
  <c r="BH211"/>
  <c r="AB211" s="1"/>
  <c r="AX200"/>
  <c r="AW182"/>
  <c r="AW176"/>
  <c r="BC176" s="1"/>
  <c r="AX167"/>
  <c r="AX162"/>
  <c r="AX138"/>
  <c r="AX101"/>
  <c r="AX99"/>
  <c r="AV99" s="1"/>
  <c r="BH97"/>
  <c r="AB97" s="1"/>
  <c r="AW85"/>
  <c r="AW78"/>
  <c r="AW76"/>
  <c r="AW73"/>
  <c r="AV73" s="1"/>
  <c r="AL63"/>
  <c r="H57"/>
  <c r="BF51"/>
  <c r="H51"/>
  <c r="BI37"/>
  <c r="AC37" s="1"/>
  <c r="BH20"/>
  <c r="AB20" s="1"/>
  <c r="L343"/>
  <c r="L43" i="3" s="1"/>
  <c r="AX327" i="1"/>
  <c r="BC327" s="1"/>
  <c r="BI310"/>
  <c r="AC310"/>
  <c r="H282"/>
  <c r="AS131"/>
  <c r="BH127"/>
  <c r="AB127"/>
  <c r="AW127"/>
  <c r="AS45"/>
  <c r="J45"/>
  <c r="K15" i="3"/>
  <c r="N15" s="1"/>
  <c r="I799" i="1"/>
  <c r="I798" s="1"/>
  <c r="J69" i="3" s="1"/>
  <c r="AX799" i="1"/>
  <c r="BF718"/>
  <c r="L716"/>
  <c r="L61" i="3" s="1"/>
  <c r="BI687" i="1"/>
  <c r="AE687" s="1"/>
  <c r="BH679"/>
  <c r="AD679" s="1"/>
  <c r="AW679"/>
  <c r="AV679" s="1"/>
  <c r="AV667"/>
  <c r="AX634"/>
  <c r="I634"/>
  <c r="BF543"/>
  <c r="I489"/>
  <c r="I486" s="1"/>
  <c r="J53" i="3" s="1"/>
  <c r="AX489" i="1"/>
  <c r="BI489"/>
  <c r="H583"/>
  <c r="AW583"/>
  <c r="BH583"/>
  <c r="AD583"/>
  <c r="BF807"/>
  <c r="L806"/>
  <c r="L72" i="3" s="1"/>
  <c r="BH796" i="1"/>
  <c r="AD796" s="1"/>
  <c r="AW796"/>
  <c r="BC796" s="1"/>
  <c r="AW788"/>
  <c r="AW784"/>
  <c r="BH784"/>
  <c r="I782"/>
  <c r="BI782"/>
  <c r="AE782" s="1"/>
  <c r="AX782"/>
  <c r="BC782" s="1"/>
  <c r="AX779"/>
  <c r="BH757"/>
  <c r="AD757" s="1"/>
  <c r="AW757"/>
  <c r="AE725"/>
  <c r="I723"/>
  <c r="BI723"/>
  <c r="AE723"/>
  <c r="AX723"/>
  <c r="AW711"/>
  <c r="BH711"/>
  <c r="AD711" s="1"/>
  <c r="H708"/>
  <c r="H695"/>
  <c r="AD695"/>
  <c r="AX693"/>
  <c r="I693"/>
  <c r="AE693"/>
  <c r="I685"/>
  <c r="AX685"/>
  <c r="BF670"/>
  <c r="BH626"/>
  <c r="AD626"/>
  <c r="H626"/>
  <c r="AW626"/>
  <c r="BC581"/>
  <c r="AL575"/>
  <c r="AX536"/>
  <c r="I536"/>
  <c r="BI536"/>
  <c r="AE536" s="1"/>
  <c r="AL461"/>
  <c r="I456"/>
  <c r="AV446"/>
  <c r="BH443"/>
  <c r="H443"/>
  <c r="AW443"/>
  <c r="BI438"/>
  <c r="AE438" s="1"/>
  <c r="AX438"/>
  <c r="BI383"/>
  <c r="AE383" s="1"/>
  <c r="I383"/>
  <c r="AX383"/>
  <c r="AW308"/>
  <c r="H308"/>
  <c r="BH308"/>
  <c r="AB308"/>
  <c r="BI634"/>
  <c r="AE634"/>
  <c r="BI799"/>
  <c r="AE799"/>
  <c r="BI809"/>
  <c r="AG809" s="1"/>
  <c r="BF774"/>
  <c r="H750"/>
  <c r="AW750"/>
  <c r="BH728"/>
  <c r="AD728"/>
  <c r="H728"/>
  <c r="AW728"/>
  <c r="BI720"/>
  <c r="AE720"/>
  <c r="AX720"/>
  <c r="I720"/>
  <c r="BI719"/>
  <c r="AE719" s="1"/>
  <c r="BI678"/>
  <c r="AE678" s="1"/>
  <c r="AW668"/>
  <c r="H668"/>
  <c r="BH668"/>
  <c r="AD668"/>
  <c r="AL662"/>
  <c r="AX649"/>
  <c r="BC649" s="1"/>
  <c r="BI649"/>
  <c r="AE649"/>
  <c r="I649"/>
  <c r="H637"/>
  <c r="AW637"/>
  <c r="BH637"/>
  <c r="AD637" s="1"/>
  <c r="AV608"/>
  <c r="BH570"/>
  <c r="AD570"/>
  <c r="H570"/>
  <c r="AW570"/>
  <c r="BC570" s="1"/>
  <c r="AW556"/>
  <c r="H556"/>
  <c r="AX524"/>
  <c r="BC524"/>
  <c r="BI524"/>
  <c r="AE524"/>
  <c r="I524"/>
  <c r="H502"/>
  <c r="AW372"/>
  <c r="BC372" s="1"/>
  <c r="H372"/>
  <c r="BH372"/>
  <c r="AD372"/>
  <c r="AV591"/>
  <c r="AV595"/>
  <c r="BF799"/>
  <c r="L798"/>
  <c r="L69" i="3" s="1"/>
  <c r="BH794" i="1"/>
  <c r="AD794" s="1"/>
  <c r="H786"/>
  <c r="BH786"/>
  <c r="AD786" s="1"/>
  <c r="AL755"/>
  <c r="I700"/>
  <c r="BI700"/>
  <c r="AE700" s="1"/>
  <c r="AW683"/>
  <c r="H683"/>
  <c r="H587"/>
  <c r="AW587"/>
  <c r="BC587" s="1"/>
  <c r="BH587"/>
  <c r="AD587"/>
  <c r="H579"/>
  <c r="BH579"/>
  <c r="AD579" s="1"/>
  <c r="AW579"/>
  <c r="BC579" s="1"/>
  <c r="BI790"/>
  <c r="AE790" s="1"/>
  <c r="AX790"/>
  <c r="AL778"/>
  <c r="I777"/>
  <c r="BC777"/>
  <c r="BI776"/>
  <c r="AE776" s="1"/>
  <c r="AX760"/>
  <c r="BC760" s="1"/>
  <c r="BI760"/>
  <c r="I760"/>
  <c r="H753"/>
  <c r="AW753"/>
  <c r="I734"/>
  <c r="BI734"/>
  <c r="AE734"/>
  <c r="AX734"/>
  <c r="I710"/>
  <c r="AX710"/>
  <c r="BI710"/>
  <c r="AE710" s="1"/>
  <c r="BH694"/>
  <c r="AD694" s="1"/>
  <c r="BH692"/>
  <c r="AD692" s="1"/>
  <c r="AW692"/>
  <c r="AV692" s="1"/>
  <c r="H692"/>
  <c r="AW677"/>
  <c r="BC677" s="1"/>
  <c r="H677"/>
  <c r="BH677"/>
  <c r="AD677" s="1"/>
  <c r="BI661"/>
  <c r="AE661" s="1"/>
  <c r="AX661"/>
  <c r="I661"/>
  <c r="I631"/>
  <c r="BI631"/>
  <c r="AE631"/>
  <c r="AX631"/>
  <c r="H624"/>
  <c r="AW624"/>
  <c r="BC624" s="1"/>
  <c r="AV624"/>
  <c r="BH624"/>
  <c r="AD624"/>
  <c r="BI593"/>
  <c r="AE593"/>
  <c r="I593"/>
  <c r="I512"/>
  <c r="BI512"/>
  <c r="AE512"/>
  <c r="AX512"/>
  <c r="AX510"/>
  <c r="I510"/>
  <c r="BF508"/>
  <c r="L497"/>
  <c r="L56" i="3" s="1"/>
  <c r="BI658" i="1"/>
  <c r="AX687"/>
  <c r="BC687"/>
  <c r="L361"/>
  <c r="AL786"/>
  <c r="AU785" s="1"/>
  <c r="I780"/>
  <c r="AX741"/>
  <c r="BI672"/>
  <c r="AE672"/>
  <c r="I672"/>
  <c r="H663"/>
  <c r="AW663"/>
  <c r="BH663"/>
  <c r="AD663" s="1"/>
  <c r="BI584"/>
  <c r="AE584" s="1"/>
  <c r="I584"/>
  <c r="AX560"/>
  <c r="BI560"/>
  <c r="AE560" s="1"/>
  <c r="AX546"/>
  <c r="BI546"/>
  <c r="AE546" s="1"/>
  <c r="I546"/>
  <c r="BI498"/>
  <c r="AE498"/>
  <c r="L448"/>
  <c r="L51" i="3"/>
  <c r="BF450" i="1"/>
  <c r="I430"/>
  <c r="BI430"/>
  <c r="AE430"/>
  <c r="AX430"/>
  <c r="AV430" s="1"/>
  <c r="BH373"/>
  <c r="AD373" s="1"/>
  <c r="H373"/>
  <c r="L173"/>
  <c r="L29" i="3" s="1"/>
  <c r="I786" i="1"/>
  <c r="H705"/>
  <c r="AW705"/>
  <c r="BC705" s="1"/>
  <c r="BH705"/>
  <c r="AD705"/>
  <c r="AW674"/>
  <c r="AV674"/>
  <c r="I599"/>
  <c r="BI599"/>
  <c r="AE599" s="1"/>
  <c r="H577"/>
  <c r="I569"/>
  <c r="AX569"/>
  <c r="AV569" s="1"/>
  <c r="AX554"/>
  <c r="BC554"/>
  <c r="BI554"/>
  <c r="AE554"/>
  <c r="I460"/>
  <c r="BI460"/>
  <c r="AE460" s="1"/>
  <c r="AX460"/>
  <c r="AL449"/>
  <c r="AL445"/>
  <c r="J444"/>
  <c r="K50" i="3"/>
  <c r="N50" s="1"/>
  <c r="AX359" i="1"/>
  <c r="BC359" s="1"/>
  <c r="I359"/>
  <c r="BI359"/>
  <c r="H793"/>
  <c r="AV201"/>
  <c r="AV189"/>
  <c r="AV355"/>
  <c r="BC569"/>
  <c r="BI747"/>
  <c r="AE747" s="1"/>
  <c r="I747"/>
  <c r="AW706"/>
  <c r="AX772"/>
  <c r="BI780"/>
  <c r="AE780" s="1"/>
  <c r="L785"/>
  <c r="L66" i="3" s="1"/>
  <c r="H774" i="1"/>
  <c r="L770"/>
  <c r="L64" i="3" s="1"/>
  <c r="AW752" i="1"/>
  <c r="BC752" s="1"/>
  <c r="BH696"/>
  <c r="AD696" s="1"/>
  <c r="AW696"/>
  <c r="AX672"/>
  <c r="BC672"/>
  <c r="BI671"/>
  <c r="AE671"/>
  <c r="BI656"/>
  <c r="AE656"/>
  <c r="BH647"/>
  <c r="AD647"/>
  <c r="AW782"/>
  <c r="AV782"/>
  <c r="BH782"/>
  <c r="AD782"/>
  <c r="BH756"/>
  <c r="AD756" s="1"/>
  <c r="H756"/>
  <c r="H615"/>
  <c r="BC514"/>
  <c r="I508"/>
  <c r="H467"/>
  <c r="BH467"/>
  <c r="AD467" s="1"/>
  <c r="BF428"/>
  <c r="L425"/>
  <c r="L49" i="3"/>
  <c r="BH399" i="1"/>
  <c r="AD399"/>
  <c r="L349"/>
  <c r="L45" i="3"/>
  <c r="BF350" i="1"/>
  <c r="I244"/>
  <c r="I189"/>
  <c r="BI189"/>
  <c r="AC189" s="1"/>
  <c r="BH187"/>
  <c r="AB187" s="1"/>
  <c r="H187"/>
  <c r="AW187"/>
  <c r="AX757"/>
  <c r="AW734"/>
  <c r="BI708"/>
  <c r="AE708" s="1"/>
  <c r="AX609"/>
  <c r="L398"/>
  <c r="L48" i="3" s="1"/>
  <c r="AW373" i="1"/>
  <c r="L320"/>
  <c r="L41" i="3" s="1"/>
  <c r="H188" i="1"/>
  <c r="AW495"/>
  <c r="H495"/>
  <c r="H431"/>
  <c r="BH431"/>
  <c r="AD431" s="1"/>
  <c r="AX410"/>
  <c r="AV410" s="1"/>
  <c r="BI410"/>
  <c r="AE410"/>
  <c r="I410"/>
  <c r="BI388"/>
  <c r="AE388" s="1"/>
  <c r="I388"/>
  <c r="AX377"/>
  <c r="I377"/>
  <c r="H353"/>
  <c r="BH353"/>
  <c r="AX325"/>
  <c r="I325"/>
  <c r="BI318"/>
  <c r="AC318"/>
  <c r="AX318"/>
  <c r="AL310"/>
  <c r="BI166"/>
  <c r="AC166"/>
  <c r="AX166"/>
  <c r="BC166"/>
  <c r="AL132"/>
  <c r="J131"/>
  <c r="K25" i="3" s="1"/>
  <c r="N25"/>
  <c r="BI123" i="1"/>
  <c r="AC123"/>
  <c r="AX123"/>
  <c r="AW546"/>
  <c r="AV546" s="1"/>
  <c r="I447"/>
  <c r="H384"/>
  <c r="H487"/>
  <c r="H486" s="1"/>
  <c r="I53" i="3" s="1"/>
  <c r="AW487" i="1"/>
  <c r="AV487" s="1"/>
  <c r="BH487"/>
  <c r="AD487"/>
  <c r="I477"/>
  <c r="AX477"/>
  <c r="BH424"/>
  <c r="H424"/>
  <c r="H416"/>
  <c r="BH416"/>
  <c r="AD416" s="1"/>
  <c r="H405"/>
  <c r="AW405"/>
  <c r="BH390"/>
  <c r="AD390" s="1"/>
  <c r="BI374"/>
  <c r="AE374" s="1"/>
  <c r="AX374"/>
  <c r="AV374" s="1"/>
  <c r="I371"/>
  <c r="AX371"/>
  <c r="BI368"/>
  <c r="AE368"/>
  <c r="AX368"/>
  <c r="BI364"/>
  <c r="AE364" s="1"/>
  <c r="I282"/>
  <c r="H271"/>
  <c r="AW271"/>
  <c r="BH271"/>
  <c r="AB271" s="1"/>
  <c r="AX260"/>
  <c r="BC260" s="1"/>
  <c r="I260"/>
  <c r="L259"/>
  <c r="L36" i="3" s="1"/>
  <c r="BF260" i="1"/>
  <c r="BH204"/>
  <c r="AB204"/>
  <c r="H204"/>
  <c r="AW204"/>
  <c r="BH181"/>
  <c r="AB181"/>
  <c r="H181"/>
  <c r="AW181"/>
  <c r="BC181" s="1"/>
  <c r="AX176"/>
  <c r="BI176"/>
  <c r="AC176" s="1"/>
  <c r="BH171"/>
  <c r="AB171" s="1"/>
  <c r="AW171"/>
  <c r="I150"/>
  <c r="BI150"/>
  <c r="AC150"/>
  <c r="AX150"/>
  <c r="I120"/>
  <c r="BI120"/>
  <c r="AC120"/>
  <c r="AX120"/>
  <c r="BI619"/>
  <c r="AE619" s="1"/>
  <c r="BH681"/>
  <c r="AD681" s="1"/>
  <c r="BH657"/>
  <c r="AD657" s="1"/>
  <c r="BH608"/>
  <c r="AD608" s="1"/>
  <c r="I590"/>
  <c r="AX575"/>
  <c r="AW559"/>
  <c r="BC559" s="1"/>
  <c r="BF539"/>
  <c r="AW500"/>
  <c r="BH495"/>
  <c r="AD495" s="1"/>
  <c r="I492"/>
  <c r="I490" s="1"/>
  <c r="J54" i="3" s="1"/>
  <c r="H464" i="1"/>
  <c r="BH462"/>
  <c r="AD462" s="1"/>
  <c r="AW461"/>
  <c r="AV449"/>
  <c r="AW431"/>
  <c r="I421"/>
  <c r="BH385"/>
  <c r="AD385" s="1"/>
  <c r="BI377"/>
  <c r="AE377" s="1"/>
  <c r="L347"/>
  <c r="L44" i="3" s="1"/>
  <c r="I211" i="1"/>
  <c r="H171"/>
  <c r="L490"/>
  <c r="L54" i="3" s="1"/>
  <c r="BF491" i="1"/>
  <c r="AW489"/>
  <c r="AV489"/>
  <c r="BH489"/>
  <c r="I446"/>
  <c r="BI446"/>
  <c r="AE446"/>
  <c r="AX416"/>
  <c r="BI416"/>
  <c r="AE416" s="1"/>
  <c r="AW383"/>
  <c r="AV383" s="1"/>
  <c r="BH383"/>
  <c r="AD383"/>
  <c r="BI357"/>
  <c r="I357"/>
  <c r="AX321"/>
  <c r="AW313"/>
  <c r="BC313" s="1"/>
  <c r="BH313"/>
  <c r="AB313"/>
  <c r="H292"/>
  <c r="BH292"/>
  <c r="AB292" s="1"/>
  <c r="AW292"/>
  <c r="H249"/>
  <c r="BH249"/>
  <c r="AB249" s="1"/>
  <c r="AW249"/>
  <c r="I224"/>
  <c r="I220"/>
  <c r="J33" i="3" s="1"/>
  <c r="BI224" i="1"/>
  <c r="AC224" s="1"/>
  <c r="AX224"/>
  <c r="AL224"/>
  <c r="I156"/>
  <c r="BI156"/>
  <c r="AC156"/>
  <c r="AX156"/>
  <c r="H132"/>
  <c r="AW132"/>
  <c r="AV132"/>
  <c r="BH132"/>
  <c r="AB132"/>
  <c r="AW130"/>
  <c r="AX47"/>
  <c r="BI47"/>
  <c r="AC47"/>
  <c r="BF47"/>
  <c r="L45"/>
  <c r="L15" i="3" s="1"/>
  <c r="AX577" i="1"/>
  <c r="BI506"/>
  <c r="AE506"/>
  <c r="BH483"/>
  <c r="AD483"/>
  <c r="L459"/>
  <c r="L52" i="3"/>
  <c r="BI421" i="1"/>
  <c r="AE421"/>
  <c r="H279"/>
  <c r="BH341"/>
  <c r="AB341"/>
  <c r="AW341"/>
  <c r="BH340"/>
  <c r="AB340" s="1"/>
  <c r="AW340"/>
  <c r="AV340" s="1"/>
  <c r="BH326"/>
  <c r="AB326"/>
  <c r="BH307"/>
  <c r="AB307"/>
  <c r="H307"/>
  <c r="AW307"/>
  <c r="BI303"/>
  <c r="AC303"/>
  <c r="AX303"/>
  <c r="AW299"/>
  <c r="AV299" s="1"/>
  <c r="BH299"/>
  <c r="AB299"/>
  <c r="BI292"/>
  <c r="AC292"/>
  <c r="H284"/>
  <c r="AW284"/>
  <c r="BH284"/>
  <c r="AB284" s="1"/>
  <c r="BH269"/>
  <c r="AB269" s="1"/>
  <c r="AW269"/>
  <c r="I258"/>
  <c r="BI258"/>
  <c r="AC258"/>
  <c r="AX258"/>
  <c r="H252"/>
  <c r="AW252"/>
  <c r="BH252"/>
  <c r="AB252" s="1"/>
  <c r="BH242"/>
  <c r="AB242" s="1"/>
  <c r="AW242"/>
  <c r="BC242" s="1"/>
  <c r="AX209"/>
  <c r="AV209"/>
  <c r="I209"/>
  <c r="I201"/>
  <c r="BI201"/>
  <c r="AC201"/>
  <c r="AW193"/>
  <c r="BH193"/>
  <c r="AB193" s="1"/>
  <c r="AW191"/>
  <c r="BH191"/>
  <c r="AB191" s="1"/>
  <c r="H191"/>
  <c r="I190"/>
  <c r="BI190"/>
  <c r="AC190" s="1"/>
  <c r="AX190"/>
  <c r="BH178"/>
  <c r="AB178"/>
  <c r="AW178"/>
  <c r="BI175"/>
  <c r="AC175"/>
  <c r="AX175"/>
  <c r="BC175"/>
  <c r="BH167"/>
  <c r="AB167"/>
  <c r="H167"/>
  <c r="AW167"/>
  <c r="BI145"/>
  <c r="AC145" s="1"/>
  <c r="AX145"/>
  <c r="H143"/>
  <c r="BI139"/>
  <c r="AC139" s="1"/>
  <c r="I139"/>
  <c r="AX139"/>
  <c r="I130"/>
  <c r="BI130"/>
  <c r="AC130"/>
  <c r="H124"/>
  <c r="AW121"/>
  <c r="BH121"/>
  <c r="AB121"/>
  <c r="H89"/>
  <c r="AW89"/>
  <c r="AV89" s="1"/>
  <c r="BH89"/>
  <c r="AB89"/>
  <c r="H46"/>
  <c r="BH46"/>
  <c r="AB46" s="1"/>
  <c r="AW46"/>
  <c r="AX26"/>
  <c r="AV26"/>
  <c r="BI26"/>
  <c r="AC26"/>
  <c r="AW498"/>
  <c r="AX454"/>
  <c r="BH452"/>
  <c r="AD452" s="1"/>
  <c r="AX445"/>
  <c r="BC445" s="1"/>
  <c r="AX443"/>
  <c r="I333"/>
  <c r="L309"/>
  <c r="L40" i="3"/>
  <c r="L300" i="1"/>
  <c r="L39" i="3"/>
  <c r="I271" i="1"/>
  <c r="L236"/>
  <c r="L35" i="3" s="1"/>
  <c r="BH205" i="1"/>
  <c r="AB205" s="1"/>
  <c r="L203"/>
  <c r="L30" i="3" s="1"/>
  <c r="H194" i="1"/>
  <c r="BH168"/>
  <c r="AB168"/>
  <c r="AX161"/>
  <c r="AX137"/>
  <c r="I356"/>
  <c r="BI331"/>
  <c r="AC331" s="1"/>
  <c r="I331"/>
  <c r="AX311"/>
  <c r="BI299"/>
  <c r="AC299"/>
  <c r="AX299"/>
  <c r="H297"/>
  <c r="AW297"/>
  <c r="BI254"/>
  <c r="AC254" s="1"/>
  <c r="AX254"/>
  <c r="AV254" s="1"/>
  <c r="BF221"/>
  <c r="L220"/>
  <c r="L33" i="3"/>
  <c r="J203" i="1"/>
  <c r="K30" i="3"/>
  <c r="N30" s="1"/>
  <c r="AW197" i="1"/>
  <c r="BH197"/>
  <c r="AB197" s="1"/>
  <c r="H197"/>
  <c r="BI196"/>
  <c r="AC196"/>
  <c r="H137"/>
  <c r="AW137"/>
  <c r="AW71"/>
  <c r="BH71"/>
  <c r="AB71"/>
  <c r="H71"/>
  <c r="H52"/>
  <c r="H50" s="1"/>
  <c r="I17" i="3"/>
  <c r="BH52" i="1"/>
  <c r="AB52"/>
  <c r="AW473"/>
  <c r="AW438"/>
  <c r="AX403"/>
  <c r="L339"/>
  <c r="L42" i="3" s="1"/>
  <c r="BI312" i="1"/>
  <c r="AC312" s="1"/>
  <c r="AW310"/>
  <c r="AV310" s="1"/>
  <c r="BH283"/>
  <c r="AB283" s="1"/>
  <c r="AX271"/>
  <c r="AW246"/>
  <c r="BF237"/>
  <c r="AT220"/>
  <c r="AL214"/>
  <c r="AU213"/>
  <c r="BI209"/>
  <c r="AC209"/>
  <c r="I175"/>
  <c r="BI144"/>
  <c r="AC144" s="1"/>
  <c r="BI119"/>
  <c r="AC119" s="1"/>
  <c r="AW64"/>
  <c r="AT56"/>
  <c r="L56"/>
  <c r="L19" i="3"/>
  <c r="BI337" i="1"/>
  <c r="AC337"/>
  <c r="I337"/>
  <c r="I304"/>
  <c r="BI304"/>
  <c r="AC304"/>
  <c r="BH296"/>
  <c r="AB296"/>
  <c r="H296"/>
  <c r="AW296"/>
  <c r="AV296" s="1"/>
  <c r="AX228"/>
  <c r="BI228"/>
  <c r="AC228" s="1"/>
  <c r="I228"/>
  <c r="BF226"/>
  <c r="L225"/>
  <c r="L34" i="3" s="1"/>
  <c r="I184" i="1"/>
  <c r="BI184"/>
  <c r="AC184"/>
  <c r="L165"/>
  <c r="L28" i="3"/>
  <c r="BF166" i="1"/>
  <c r="AW156"/>
  <c r="BH156"/>
  <c r="AB156" s="1"/>
  <c r="H155"/>
  <c r="BH155"/>
  <c r="AB155"/>
  <c r="AW150"/>
  <c r="BC150"/>
  <c r="BH150"/>
  <c r="AB150"/>
  <c r="H149"/>
  <c r="L147"/>
  <c r="L27" i="3" s="1"/>
  <c r="BF148" i="1"/>
  <c r="AW134"/>
  <c r="BH134"/>
  <c r="AB134" s="1"/>
  <c r="AW118"/>
  <c r="BH118"/>
  <c r="AB118"/>
  <c r="BF96"/>
  <c r="L95"/>
  <c r="L24" i="3" s="1"/>
  <c r="H74" i="1"/>
  <c r="AW74"/>
  <c r="BH74"/>
  <c r="AB74" s="1"/>
  <c r="BH24"/>
  <c r="AB24" s="1"/>
  <c r="H24"/>
  <c r="AW24"/>
  <c r="AV24" s="1"/>
  <c r="H246"/>
  <c r="L136"/>
  <c r="L26" i="3"/>
  <c r="H134" i="1"/>
  <c r="H64"/>
  <c r="I94"/>
  <c r="BI94"/>
  <c r="AC94" s="1"/>
  <c r="AX87"/>
  <c r="AV87" s="1"/>
  <c r="BH77"/>
  <c r="AB77" s="1"/>
  <c r="BH55"/>
  <c r="AB55" s="1"/>
  <c r="AL49"/>
  <c r="AU48" s="1"/>
  <c r="J48"/>
  <c r="H34"/>
  <c r="AW34"/>
  <c r="BH34"/>
  <c r="AB34"/>
  <c r="AX28"/>
  <c r="I28"/>
  <c r="BI28"/>
  <c r="AC28"/>
  <c r="L13"/>
  <c r="L13" i="3"/>
  <c r="BF14" i="1"/>
  <c r="I89"/>
  <c r="L67"/>
  <c r="L22" i="3" s="1"/>
  <c r="BI126" i="1"/>
  <c r="AC126" s="1"/>
  <c r="BI113"/>
  <c r="AC113" s="1"/>
  <c r="BI97"/>
  <c r="AC97" s="1"/>
  <c r="I96"/>
  <c r="AX96"/>
  <c r="AV96"/>
  <c r="L91"/>
  <c r="L23" i="3"/>
  <c r="BF93" i="1"/>
  <c r="H83"/>
  <c r="AW83"/>
  <c r="AV83"/>
  <c r="BH83"/>
  <c r="AB83"/>
  <c r="H80"/>
  <c r="BH80"/>
  <c r="AB80" s="1"/>
  <c r="I69"/>
  <c r="BI69"/>
  <c r="AC69"/>
  <c r="BH44"/>
  <c r="AB44"/>
  <c r="AW44"/>
  <c r="I36"/>
  <c r="BI36"/>
  <c r="AC36"/>
  <c r="AX36"/>
  <c r="BC36"/>
  <c r="AX16"/>
  <c r="BF345"/>
  <c r="BH344"/>
  <c r="AB344" s="1"/>
  <c r="BF340"/>
  <c r="AW277"/>
  <c r="AW240"/>
  <c r="BH185"/>
  <c r="AB185" s="1"/>
  <c r="BI163"/>
  <c r="AC163" s="1"/>
  <c r="BH146"/>
  <c r="AB146" s="1"/>
  <c r="AW146"/>
  <c r="I114"/>
  <c r="AX72"/>
  <c r="BI59"/>
  <c r="AC59"/>
  <c r="I57"/>
  <c r="AX46"/>
  <c r="BC46" s="1"/>
  <c r="I152"/>
  <c r="BI152"/>
  <c r="AC152" s="1"/>
  <c r="BI85"/>
  <c r="AC85" s="1"/>
  <c r="AX85"/>
  <c r="L131"/>
  <c r="L25" i="3"/>
  <c r="BH92" i="1"/>
  <c r="AB92" s="1"/>
  <c r="AW72"/>
  <c r="BC72" s="1"/>
  <c r="H4" i="7"/>
  <c r="C6" i="21"/>
  <c r="H2" i="7"/>
  <c r="AV182" i="1"/>
  <c r="BC182"/>
  <c r="BC142"/>
  <c r="AV268"/>
  <c r="BC602"/>
  <c r="AV774"/>
  <c r="BC293"/>
  <c r="BC378"/>
  <c r="BC506"/>
  <c r="BC73"/>
  <c r="BC530"/>
  <c r="BC416"/>
  <c r="BC662"/>
  <c r="BC546"/>
  <c r="AV359"/>
  <c r="BC310"/>
  <c r="AV175"/>
  <c r="BC383"/>
  <c r="AV318"/>
  <c r="BC318"/>
  <c r="AV308"/>
  <c r="BC308"/>
  <c r="BC258"/>
  <c r="AV258"/>
  <c r="AV303"/>
  <c r="BC303"/>
  <c r="AV260"/>
  <c r="BC374"/>
  <c r="AV760"/>
  <c r="BC679"/>
  <c r="AV672"/>
  <c r="AV36"/>
  <c r="AV579"/>
  <c r="BC757"/>
  <c r="BC24"/>
  <c r="BC74"/>
  <c r="AV74"/>
  <c r="AV166"/>
  <c r="AV752"/>
  <c r="AV242"/>
  <c r="BC299"/>
  <c r="BC487"/>
  <c r="BC123"/>
  <c r="AV123"/>
  <c r="AV495"/>
  <c r="BC674"/>
  <c r="BC430"/>
  <c r="L47" i="3"/>
  <c r="AV512" i="1"/>
  <c r="BC512"/>
  <c r="BC536"/>
  <c r="L805"/>
  <c r="L71" i="3" s="1"/>
  <c r="F14" i="5"/>
  <c r="F22" s="1"/>
  <c r="L16" i="3"/>
  <c r="K16"/>
  <c r="N16" s="1"/>
  <c r="BC724" i="1"/>
  <c r="BH775"/>
  <c r="AD775"/>
  <c r="BI758"/>
  <c r="AE758"/>
  <c r="BH724"/>
  <c r="AD724"/>
  <c r="BI666"/>
  <c r="AE666"/>
  <c r="AW557"/>
  <c r="AV557" s="1"/>
  <c r="BC557"/>
  <c r="BI549"/>
  <c r="AE549"/>
  <c r="BH548"/>
  <c r="AD548"/>
  <c r="H492"/>
  <c r="AX488"/>
  <c r="AV488" s="1"/>
  <c r="I372"/>
  <c r="H354"/>
  <c r="I316"/>
  <c r="BI316"/>
  <c r="AC316" s="1"/>
  <c r="L288"/>
  <c r="L37" i="3" s="1"/>
  <c r="BH278" i="1"/>
  <c r="AB278" s="1"/>
  <c r="AW278"/>
  <c r="H277"/>
  <c r="BH277"/>
  <c r="AB277" s="1"/>
  <c r="I275"/>
  <c r="BI275"/>
  <c r="AC275"/>
  <c r="BI273"/>
  <c r="AC273"/>
  <c r="AX273"/>
  <c r="BC273"/>
  <c r="BI269"/>
  <c r="AC269"/>
  <c r="I269"/>
  <c r="BH262"/>
  <c r="AB262" s="1"/>
  <c r="AW262"/>
  <c r="H235"/>
  <c r="H224"/>
  <c r="AS220"/>
  <c r="J215"/>
  <c r="K32" i="3" s="1"/>
  <c r="N32" s="1"/>
  <c r="AL218" i="1"/>
  <c r="AU215"/>
  <c r="I207"/>
  <c r="I127"/>
  <c r="BH117"/>
  <c r="AB117"/>
  <c r="AW117"/>
  <c r="H96"/>
  <c r="BH96"/>
  <c r="AB96"/>
  <c r="AS91"/>
  <c r="L61"/>
  <c r="BF62"/>
  <c r="F31" i="6"/>
  <c r="I22" i="5" s="1"/>
  <c r="BH447" i="1"/>
  <c r="AX442"/>
  <c r="BH432"/>
  <c r="AD432" s="1"/>
  <c r="AX432"/>
  <c r="AW432"/>
  <c r="AX426"/>
  <c r="AX413"/>
  <c r="AW403"/>
  <c r="AW401"/>
  <c r="BI401"/>
  <c r="AE401" s="1"/>
  <c r="BI385"/>
  <c r="AE385" s="1"/>
  <c r="BH377"/>
  <c r="AD377" s="1"/>
  <c r="BI372"/>
  <c r="AE372" s="1"/>
  <c r="AX363"/>
  <c r="BC363" s="1"/>
  <c r="BH357"/>
  <c r="BH354"/>
  <c r="AW338"/>
  <c r="AV338" s="1"/>
  <c r="BC338"/>
  <c r="AW332"/>
  <c r="AV332"/>
  <c r="BI328"/>
  <c r="AC328"/>
  <c r="H322"/>
  <c r="AW322"/>
  <c r="BH322"/>
  <c r="AB322" s="1"/>
  <c r="BH317"/>
  <c r="AB317" s="1"/>
  <c r="AW317"/>
  <c r="AX316"/>
  <c r="I315"/>
  <c r="AX315"/>
  <c r="AW311"/>
  <c r="BC311" s="1"/>
  <c r="AX305"/>
  <c r="BC305"/>
  <c r="J298"/>
  <c r="K38" i="3"/>
  <c r="N38" s="1"/>
  <c r="I293" i="1"/>
  <c r="BH282"/>
  <c r="AB282" s="1"/>
  <c r="BI281"/>
  <c r="AC281" s="1"/>
  <c r="I281"/>
  <c r="AX279"/>
  <c r="BI279"/>
  <c r="AC279" s="1"/>
  <c r="AX266"/>
  <c r="AV266" s="1"/>
  <c r="AW228"/>
  <c r="BF216"/>
  <c r="L215"/>
  <c r="L32" i="3"/>
  <c r="L213" i="1"/>
  <c r="L31" i="3"/>
  <c r="BF214" i="1"/>
  <c r="BI182"/>
  <c r="AC182" s="1"/>
  <c r="I163"/>
  <c r="AX163"/>
  <c r="AW154"/>
  <c r="BH154"/>
  <c r="AB154"/>
  <c r="AX140"/>
  <c r="AV140"/>
  <c r="I140"/>
  <c r="I108"/>
  <c r="BI108"/>
  <c r="AC108"/>
  <c r="BI122"/>
  <c r="AC122"/>
  <c r="BH122"/>
  <c r="AB122"/>
  <c r="H122"/>
  <c r="BI118"/>
  <c r="AC118" s="1"/>
  <c r="AX118"/>
  <c r="AT91"/>
  <c r="AT61"/>
  <c r="R125" i="9"/>
  <c r="P169"/>
  <c r="T126" i="13"/>
  <c r="T125"/>
  <c r="BI58" i="1"/>
  <c r="AC58"/>
  <c r="AX58"/>
  <c r="BH57"/>
  <c r="AB57" s="1"/>
  <c r="AW57"/>
  <c r="BH43"/>
  <c r="AB43" s="1"/>
  <c r="H43"/>
  <c r="H42" s="1"/>
  <c r="I14" i="3" s="1"/>
  <c r="E12" i="8"/>
  <c r="G12"/>
  <c r="T169" i="9"/>
  <c r="T125"/>
  <c r="T124" s="1"/>
  <c r="R205"/>
  <c r="R169" i="13"/>
  <c r="R125"/>
  <c r="R124" s="1"/>
  <c r="R124" i="12"/>
  <c r="R123" s="1"/>
  <c r="R122"/>
  <c r="P126" i="11"/>
  <c r="R169"/>
  <c r="R125" s="1"/>
  <c r="R124"/>
  <c r="BK190"/>
  <c r="J190"/>
  <c r="J103" s="1"/>
  <c r="R538" i="14"/>
  <c r="BK545"/>
  <c r="J545"/>
  <c r="J115" s="1"/>
  <c r="BC403" i="1"/>
  <c r="AV403"/>
  <c r="L20" i="3"/>
  <c r="BC442" i="1"/>
  <c r="BC118"/>
  <c r="AV163"/>
  <c r="BC296"/>
  <c r="AV150"/>
  <c r="E13" i="8"/>
  <c r="G13"/>
  <c r="BC96" i="1"/>
  <c r="AV176"/>
  <c r="AX729"/>
  <c r="BI729"/>
  <c r="AE729" s="1"/>
  <c r="BI668"/>
  <c r="AE668" s="1"/>
  <c r="AX668"/>
  <c r="H783"/>
  <c r="BH783"/>
  <c r="AD783" s="1"/>
  <c r="AX653"/>
  <c r="I653"/>
  <c r="BI645"/>
  <c r="AE645" s="1"/>
  <c r="AX645"/>
  <c r="BH625"/>
  <c r="AD625" s="1"/>
  <c r="H625"/>
  <c r="H612"/>
  <c r="BH612"/>
  <c r="AD612" s="1"/>
  <c r="AV314"/>
  <c r="AX802"/>
  <c r="BC658"/>
  <c r="AX749"/>
  <c r="BI749"/>
  <c r="AE749"/>
  <c r="J32" i="3"/>
  <c r="I733" i="1"/>
  <c r="BI733"/>
  <c r="AE733" s="1"/>
  <c r="AX733"/>
  <c r="BI674"/>
  <c r="AE674"/>
  <c r="I674"/>
  <c r="I660"/>
  <c r="BI660"/>
  <c r="AE660"/>
  <c r="I690"/>
  <c r="BH686"/>
  <c r="AD686" s="1"/>
  <c r="BH656"/>
  <c r="AD656" s="1"/>
  <c r="BH664"/>
  <c r="AD664" s="1"/>
  <c r="AX754"/>
  <c r="BI752"/>
  <c r="AE752"/>
  <c r="AW745"/>
  <c r="BC745"/>
  <c r="BI667"/>
  <c r="AE667"/>
  <c r="BI596"/>
  <c r="AE596"/>
  <c r="AW675"/>
  <c r="H669"/>
  <c r="AX500"/>
  <c r="AX475"/>
  <c r="BC475" s="1"/>
  <c r="I475"/>
  <c r="BH428"/>
  <c r="AD428"/>
  <c r="I399"/>
  <c r="BH391"/>
  <c r="AD391" s="1"/>
  <c r="BH403"/>
  <c r="AD403" s="1"/>
  <c r="AW348"/>
  <c r="BH348"/>
  <c r="H348"/>
  <c r="H347" s="1"/>
  <c r="I44" i="3"/>
  <c r="AS339" i="1"/>
  <c r="BH532"/>
  <c r="AD532" s="1"/>
  <c r="AX491"/>
  <c r="AX391"/>
  <c r="BC391"/>
  <c r="AW479"/>
  <c r="BH469"/>
  <c r="AD469" s="1"/>
  <c r="BH380"/>
  <c r="AD380" s="1"/>
  <c r="BH446"/>
  <c r="AD446" s="1"/>
  <c r="BH536"/>
  <c r="AD536" s="1"/>
  <c r="BI440"/>
  <c r="AE440" s="1"/>
  <c r="BI413"/>
  <c r="AE413" s="1"/>
  <c r="H479"/>
  <c r="AX407"/>
  <c r="H337"/>
  <c r="AW337"/>
  <c r="BH337"/>
  <c r="AB337" s="1"/>
  <c r="AW469"/>
  <c r="AX440"/>
  <c r="BI342"/>
  <c r="AC342" s="1"/>
  <c r="BI391"/>
  <c r="AE391" s="1"/>
  <c r="I340"/>
  <c r="AX340"/>
  <c r="BI265"/>
  <c r="AC265" s="1"/>
  <c r="H334"/>
  <c r="H333"/>
  <c r="H285"/>
  <c r="AX223"/>
  <c r="I185"/>
  <c r="I179"/>
  <c r="AW161"/>
  <c r="BC161" s="1"/>
  <c r="H75"/>
  <c r="AW75"/>
  <c r="AV75" s="1"/>
  <c r="BH306"/>
  <c r="AB306"/>
  <c r="H128"/>
  <c r="BI324"/>
  <c r="AC324" s="1"/>
  <c r="BH256"/>
  <c r="AB256" s="1"/>
  <c r="H218"/>
  <c r="H179"/>
  <c r="AW168"/>
  <c r="AV168" s="1"/>
  <c r="P538" i="14"/>
  <c r="AX149" i="1"/>
  <c r="BH334"/>
  <c r="AB334" s="1"/>
  <c r="BH244"/>
  <c r="AB244" s="1"/>
  <c r="BH240"/>
  <c r="AB240" s="1"/>
  <c r="AX307"/>
  <c r="BH184"/>
  <c r="AB184"/>
  <c r="J50"/>
  <c r="K17" i="3"/>
  <c r="N17" s="1"/>
  <c r="AL51" i="1"/>
  <c r="AU50"/>
  <c r="L42"/>
  <c r="BF44"/>
  <c r="BI289"/>
  <c r="AC289"/>
  <c r="BH114"/>
  <c r="AB114"/>
  <c r="BH106"/>
  <c r="AB106"/>
  <c r="H106"/>
  <c r="AW93"/>
  <c r="T199" i="13"/>
  <c r="T124"/>
  <c r="BH161" i="1"/>
  <c r="AB161"/>
  <c r="AW141"/>
  <c r="BC141"/>
  <c r="P136" i="14"/>
  <c r="BI114" i="1"/>
  <c r="AC114" s="1"/>
  <c r="BI52"/>
  <c r="AC52" s="1"/>
  <c r="BI125"/>
  <c r="AC125" s="1"/>
  <c r="BI124"/>
  <c r="AC124" s="1"/>
  <c r="H102"/>
  <c r="I92"/>
  <c r="I91" s="1"/>
  <c r="J23" i="3" s="1"/>
  <c r="BI51" i="1"/>
  <c r="AC51" s="1"/>
  <c r="AW16"/>
  <c r="BC16" s="1"/>
  <c r="E47" i="8"/>
  <c r="E50"/>
  <c r="G50"/>
  <c r="BC340" i="1"/>
  <c r="AV161"/>
  <c r="BC307"/>
  <c r="L14" i="3"/>
  <c r="BC75" i="1"/>
  <c r="AV141"/>
  <c r="E51" i="8"/>
  <c r="G51" s="1"/>
  <c r="E54"/>
  <c r="G54" s="1"/>
  <c r="E48"/>
  <c r="G48" s="1"/>
  <c r="E49"/>
  <c r="G49" s="1"/>
  <c r="G47"/>
  <c r="BC729" i="1"/>
  <c r="AV783"/>
  <c r="AX784"/>
  <c r="BI784"/>
  <c r="AX786"/>
  <c r="K66" i="3"/>
  <c r="N66" s="1"/>
  <c r="AX788" i="1"/>
  <c r="I788"/>
  <c r="AL790"/>
  <c r="AU789"/>
  <c r="I810"/>
  <c r="BH809"/>
  <c r="AF809"/>
  <c r="J805"/>
  <c r="K71" i="3" s="1"/>
  <c r="P71" s="1"/>
  <c r="I809" i="1"/>
  <c r="AW809"/>
  <c r="AT806"/>
  <c r="I808"/>
  <c r="AW808"/>
  <c r="AL808"/>
  <c r="BH808"/>
  <c r="AF808" s="1"/>
  <c r="K72" i="3"/>
  <c r="N72" s="1"/>
  <c r="I803" i="1"/>
  <c r="BI802"/>
  <c r="AE802" s="1"/>
  <c r="AV796"/>
  <c r="I796"/>
  <c r="BI796"/>
  <c r="AE796" s="1"/>
  <c r="AV794"/>
  <c r="H794"/>
  <c r="AW793"/>
  <c r="K68" i="3"/>
  <c r="N68" s="1"/>
  <c r="AX792" i="1"/>
  <c r="I792"/>
  <c r="I770"/>
  <c r="J64" i="3" s="1"/>
  <c r="J770" i="1"/>
  <c r="K64" i="3" s="1"/>
  <c r="N64" s="1"/>
  <c r="BC769" i="1"/>
  <c r="BH769"/>
  <c r="H768"/>
  <c r="AT761"/>
  <c r="AX765"/>
  <c r="AW762"/>
  <c r="H762"/>
  <c r="J761"/>
  <c r="K63" i="3" s="1"/>
  <c r="N63" s="1"/>
  <c r="AW779" i="1"/>
  <c r="AW778"/>
  <c r="AL776"/>
  <c r="AS773"/>
  <c r="AW759"/>
  <c r="H759"/>
  <c r="AV758"/>
  <c r="H758"/>
  <c r="BH758"/>
  <c r="AD758"/>
  <c r="AS751"/>
  <c r="AX756"/>
  <c r="J751"/>
  <c r="K62" i="3" s="1"/>
  <c r="N62" s="1"/>
  <c r="AW754" i="1"/>
  <c r="H754"/>
  <c r="AV748"/>
  <c r="BC747"/>
  <c r="H746"/>
  <c r="BH745"/>
  <c r="AD745"/>
  <c r="AV745"/>
  <c r="AW744"/>
  <c r="BH742"/>
  <c r="AD742"/>
  <c r="AW742"/>
  <c r="AV741"/>
  <c r="BH739"/>
  <c r="AD739" s="1"/>
  <c r="H739"/>
  <c r="BC738"/>
  <c r="BH738"/>
  <c r="AD738" s="1"/>
  <c r="BC737"/>
  <c r="BH737"/>
  <c r="AD737" s="1"/>
  <c r="AW736"/>
  <c r="H736"/>
  <c r="BH734"/>
  <c r="AD734" s="1"/>
  <c r="AV733"/>
  <c r="BI732"/>
  <c r="AE732" s="1"/>
  <c r="AX732"/>
  <c r="AV730"/>
  <c r="AX730"/>
  <c r="BC730"/>
  <c r="I728"/>
  <c r="AX728"/>
  <c r="BC727"/>
  <c r="H727"/>
  <c r="AV726"/>
  <c r="BC726"/>
  <c r="H726"/>
  <c r="BH726"/>
  <c r="AD726" s="1"/>
  <c r="BH725"/>
  <c r="AD725" s="1"/>
  <c r="AT716"/>
  <c r="BC722"/>
  <c r="AX722"/>
  <c r="AV722"/>
  <c r="I722"/>
  <c r="AS716"/>
  <c r="I721"/>
  <c r="BI721"/>
  <c r="AE721"/>
  <c r="BC720"/>
  <c r="AV720"/>
  <c r="BH720"/>
  <c r="AD720"/>
  <c r="H720"/>
  <c r="I714"/>
  <c r="AX714"/>
  <c r="AX705"/>
  <c r="I705"/>
  <c r="BC715"/>
  <c r="BC713"/>
  <c r="AV713"/>
  <c r="BI713"/>
  <c r="AE713"/>
  <c r="H712"/>
  <c r="BI712"/>
  <c r="AE712" s="1"/>
  <c r="AV711"/>
  <c r="BI711"/>
  <c r="AE711"/>
  <c r="BC710"/>
  <c r="BH710"/>
  <c r="AD710" s="1"/>
  <c r="AW709"/>
  <c r="BC708"/>
  <c r="AV708"/>
  <c r="BH708"/>
  <c r="AD708"/>
  <c r="BI706"/>
  <c r="AE706" s="1"/>
  <c r="AX706"/>
  <c r="BI703"/>
  <c r="AE703" s="1"/>
  <c r="BI702"/>
  <c r="AE702"/>
  <c r="AV701"/>
  <c r="AX701"/>
  <c r="BC701" s="1"/>
  <c r="BI701"/>
  <c r="AE701" s="1"/>
  <c r="H700"/>
  <c r="BH699"/>
  <c r="AD699" s="1"/>
  <c r="I697"/>
  <c r="I696"/>
  <c r="AX696"/>
  <c r="BC694"/>
  <c r="AV694"/>
  <c r="H694"/>
  <c r="BC692"/>
  <c r="I692"/>
  <c r="H691"/>
  <c r="AW691"/>
  <c r="BC689"/>
  <c r="AV689"/>
  <c r="BC686"/>
  <c r="I686"/>
  <c r="AX686"/>
  <c r="AW684"/>
  <c r="H684"/>
  <c r="AV682"/>
  <c r="AX682"/>
  <c r="BC682"/>
  <c r="I680"/>
  <c r="AX680"/>
  <c r="I679"/>
  <c r="AX678"/>
  <c r="AV677"/>
  <c r="I677"/>
  <c r="AX676"/>
  <c r="BI676"/>
  <c r="AE676"/>
  <c r="AV675"/>
  <c r="BI675"/>
  <c r="AE675"/>
  <c r="I675"/>
  <c r="BH674"/>
  <c r="AD674" s="1"/>
  <c r="AV673"/>
  <c r="BH673"/>
  <c r="AD673" s="1"/>
  <c r="AW671"/>
  <c r="J659"/>
  <c r="K60" i="3"/>
  <c r="N60" s="1"/>
  <c r="BH671" i="1"/>
  <c r="AD671" s="1"/>
  <c r="AV669"/>
  <c r="AX669"/>
  <c r="BC669"/>
  <c r="AT659"/>
  <c r="AV666"/>
  <c r="BH666"/>
  <c r="AD666" s="1"/>
  <c r="AV665"/>
  <c r="AX665"/>
  <c r="BC665"/>
  <c r="BI665"/>
  <c r="AE665"/>
  <c r="AS659"/>
  <c r="BC664"/>
  <c r="AV663"/>
  <c r="BC663"/>
  <c r="BI663"/>
  <c r="AE663"/>
  <c r="AW661"/>
  <c r="H661"/>
  <c r="BC660"/>
  <c r="H660"/>
  <c r="AL660"/>
  <c r="AU659" s="1"/>
  <c r="AV658"/>
  <c r="BC657"/>
  <c r="AV656"/>
  <c r="BH653"/>
  <c r="AD653" s="1"/>
  <c r="AW653"/>
  <c r="AV649"/>
  <c r="AX647"/>
  <c r="I647"/>
  <c r="AV642"/>
  <c r="BI642"/>
  <c r="AE642"/>
  <c r="BH642"/>
  <c r="AD642"/>
  <c r="BF658"/>
  <c r="BH634"/>
  <c r="AD634" s="1"/>
  <c r="AW634"/>
  <c r="I633"/>
  <c r="BI633"/>
  <c r="AE633"/>
  <c r="BH633"/>
  <c r="AD633"/>
  <c r="AW631"/>
  <c r="BH631"/>
  <c r="AD631"/>
  <c r="AW629"/>
  <c r="H629"/>
  <c r="BC628"/>
  <c r="BC625"/>
  <c r="BH623"/>
  <c r="AD623" s="1"/>
  <c r="BH622"/>
  <c r="AD622" s="1"/>
  <c r="BC621"/>
  <c r="BH621"/>
  <c r="AD621" s="1"/>
  <c r="H621"/>
  <c r="AV620"/>
  <c r="BC620"/>
  <c r="BH619"/>
  <c r="AD619"/>
  <c r="AW619"/>
  <c r="AW618"/>
  <c r="BH618"/>
  <c r="AD618"/>
  <c r="AW617"/>
  <c r="BH617"/>
  <c r="AD617" s="1"/>
  <c r="BC616"/>
  <c r="BH616"/>
  <c r="AD616" s="1"/>
  <c r="AW615"/>
  <c r="AV611"/>
  <c r="BI610"/>
  <c r="AE610"/>
  <c r="H610"/>
  <c r="AW610"/>
  <c r="I609"/>
  <c r="AV607"/>
  <c r="H606"/>
  <c r="AW606"/>
  <c r="BC605"/>
  <c r="AV605"/>
  <c r="BH605"/>
  <c r="AD605" s="1"/>
  <c r="H605"/>
  <c r="AW604"/>
  <c r="H604"/>
  <c r="AW603"/>
  <c r="BH603"/>
  <c r="AD603" s="1"/>
  <c r="BC601"/>
  <c r="I601"/>
  <c r="AV600"/>
  <c r="AX600"/>
  <c r="BC600" s="1"/>
  <c r="BC599"/>
  <c r="BI598"/>
  <c r="AE598" s="1"/>
  <c r="I598"/>
  <c r="BC597"/>
  <c r="AV597"/>
  <c r="BH597"/>
  <c r="AD597"/>
  <c r="AW577"/>
  <c r="BH569"/>
  <c r="AD569" s="1"/>
  <c r="AT541"/>
  <c r="I567"/>
  <c r="AX567"/>
  <c r="BC593"/>
  <c r="AV593"/>
  <c r="BH593"/>
  <c r="AD593" s="1"/>
  <c r="H593"/>
  <c r="AS572"/>
  <c r="BH590"/>
  <c r="AD590" s="1"/>
  <c r="BC590"/>
  <c r="BC589"/>
  <c r="AV588"/>
  <c r="BC588"/>
  <c r="AT572"/>
  <c r="AV587"/>
  <c r="BI586"/>
  <c r="AE586"/>
  <c r="I586"/>
  <c r="AW586"/>
  <c r="BC585"/>
  <c r="J572"/>
  <c r="K59" i="3"/>
  <c r="N59" s="1"/>
  <c r="BI582" i="1"/>
  <c r="AE582"/>
  <c r="AX582"/>
  <c r="AL581"/>
  <c r="BC552"/>
  <c r="AV552"/>
  <c r="AW551"/>
  <c r="AW549"/>
  <c r="H549"/>
  <c r="BC548"/>
  <c r="BC566"/>
  <c r="AX566"/>
  <c r="AV566"/>
  <c r="BC565"/>
  <c r="AX565"/>
  <c r="BI565"/>
  <c r="AE565" s="1"/>
  <c r="AV564"/>
  <c r="AX563"/>
  <c r="BH563"/>
  <c r="AD563" s="1"/>
  <c r="I563"/>
  <c r="AW563"/>
  <c r="BC562"/>
  <c r="H561"/>
  <c r="AW561"/>
  <c r="AV560"/>
  <c r="BC560"/>
  <c r="H560"/>
  <c r="J541"/>
  <c r="K58" i="3" s="1"/>
  <c r="N58" s="1"/>
  <c r="AX558" i="1"/>
  <c r="BI557"/>
  <c r="AE557"/>
  <c r="AV556"/>
  <c r="AV555"/>
  <c r="AS541"/>
  <c r="BI555"/>
  <c r="AE555" s="1"/>
  <c r="BC544"/>
  <c r="AV544"/>
  <c r="AL544"/>
  <c r="AU541" s="1"/>
  <c r="BI543"/>
  <c r="AE543"/>
  <c r="I543"/>
  <c r="AW543"/>
  <c r="BH543"/>
  <c r="AD543"/>
  <c r="AX542"/>
  <c r="I542"/>
  <c r="AV534"/>
  <c r="BC534"/>
  <c r="I534"/>
  <c r="BI534"/>
  <c r="AE534"/>
  <c r="BC528"/>
  <c r="AX528"/>
  <c r="AV528" s="1"/>
  <c r="H530"/>
  <c r="H526"/>
  <c r="AW526"/>
  <c r="AV520"/>
  <c r="BC520"/>
  <c r="BI520"/>
  <c r="AE520" s="1"/>
  <c r="I520"/>
  <c r="BC518"/>
  <c r="BI518"/>
  <c r="AE518"/>
  <c r="AX518"/>
  <c r="AV518" s="1"/>
  <c r="AV516"/>
  <c r="BC516"/>
  <c r="H516"/>
  <c r="BH516"/>
  <c r="AD516"/>
  <c r="J497"/>
  <c r="K56" i="3"/>
  <c r="N56" s="1"/>
  <c r="AT497" i="1"/>
  <c r="AW508"/>
  <c r="H508"/>
  <c r="AL532"/>
  <c r="AU497" s="1"/>
  <c r="I532"/>
  <c r="AX532"/>
  <c r="AV532"/>
  <c r="AW502"/>
  <c r="AS497"/>
  <c r="BC498"/>
  <c r="AV498"/>
  <c r="I498"/>
  <c r="I496"/>
  <c r="I494" s="1"/>
  <c r="J55" i="3"/>
  <c r="AW496" i="1"/>
  <c r="AS494"/>
  <c r="BI495"/>
  <c r="AE495"/>
  <c r="AL495"/>
  <c r="AU494"/>
  <c r="AW493"/>
  <c r="H493"/>
  <c r="AT490"/>
  <c r="H490"/>
  <c r="I54" i="3" s="1"/>
  <c r="AL492" i="1"/>
  <c r="AU490" s="1"/>
  <c r="AX492"/>
  <c r="AV492" s="1"/>
  <c r="AW491"/>
  <c r="BC489"/>
  <c r="AU486"/>
  <c r="AS486"/>
  <c r="AV485"/>
  <c r="AV483"/>
  <c r="AX504"/>
  <c r="BI504"/>
  <c r="AE504"/>
  <c r="AX479"/>
  <c r="AV474"/>
  <c r="BC474"/>
  <c r="AV473"/>
  <c r="BC473"/>
  <c r="BI473"/>
  <c r="AE473"/>
  <c r="I473"/>
  <c r="BC471"/>
  <c r="AV471"/>
  <c r="H471"/>
  <c r="I469"/>
  <c r="AX469"/>
  <c r="BC467"/>
  <c r="BC481"/>
  <c r="I481"/>
  <c r="AX481"/>
  <c r="AV481" s="1"/>
  <c r="AV458"/>
  <c r="BC458"/>
  <c r="BH458"/>
  <c r="AL458"/>
  <c r="H458"/>
  <c r="AX456"/>
  <c r="I454"/>
  <c r="I448" s="1"/>
  <c r="J51" i="3" s="1"/>
  <c r="H454" i="1"/>
  <c r="AS448"/>
  <c r="AT448"/>
  <c r="AU448"/>
  <c r="AX450"/>
  <c r="AV447"/>
  <c r="AU444"/>
  <c r="H444"/>
  <c r="I50" i="3"/>
  <c r="I445" i="1"/>
  <c r="I444"/>
  <c r="J50" i="3" s="1"/>
  <c r="AV445" i="1"/>
  <c r="AV443"/>
  <c r="BC443"/>
  <c r="H442"/>
  <c r="AW465"/>
  <c r="H465"/>
  <c r="J459"/>
  <c r="K52" i="3" s="1"/>
  <c r="N52" s="1"/>
  <c r="AT459" i="1"/>
  <c r="AS459"/>
  <c r="I462"/>
  <c r="H461"/>
  <c r="AU459"/>
  <c r="AV460"/>
  <c r="AX433"/>
  <c r="BI433"/>
  <c r="AE433" s="1"/>
  <c r="AV432"/>
  <c r="BC431"/>
  <c r="AV431"/>
  <c r="I431"/>
  <c r="AS425"/>
  <c r="AW429"/>
  <c r="H429"/>
  <c r="AV428"/>
  <c r="BC426"/>
  <c r="AV426"/>
  <c r="H426"/>
  <c r="AX424"/>
  <c r="BI424"/>
  <c r="BC441"/>
  <c r="AV441"/>
  <c r="BI441"/>
  <c r="AE441"/>
  <c r="I441"/>
  <c r="AW440"/>
  <c r="BC439"/>
  <c r="AT425"/>
  <c r="AX437"/>
  <c r="AU425"/>
  <c r="I425"/>
  <c r="J49" i="3"/>
  <c r="J425" i="1"/>
  <c r="K49" i="3"/>
  <c r="N49" s="1"/>
  <c r="AV435" i="1"/>
  <c r="BC415"/>
  <c r="I415"/>
  <c r="BI415"/>
  <c r="AE415" s="1"/>
  <c r="BC413"/>
  <c r="AV413"/>
  <c r="H413"/>
  <c r="BH413"/>
  <c r="AD413"/>
  <c r="AT398"/>
  <c r="BH410"/>
  <c r="AD410" s="1"/>
  <c r="J398"/>
  <c r="K48" i="3" s="1"/>
  <c r="N48" s="1"/>
  <c r="AW407" i="1"/>
  <c r="BH407"/>
  <c r="AD407"/>
  <c r="BC405"/>
  <c r="AV405"/>
  <c r="I405"/>
  <c r="BI405"/>
  <c r="AE405" s="1"/>
  <c r="I398"/>
  <c r="J48" i="3" s="1"/>
  <c r="BC399" i="1"/>
  <c r="AV399"/>
  <c r="AL399"/>
  <c r="AU398" s="1"/>
  <c r="H399"/>
  <c r="AW397"/>
  <c r="BC418"/>
  <c r="AV418"/>
  <c r="H418"/>
  <c r="AW392"/>
  <c r="BC390"/>
  <c r="AV390"/>
  <c r="H390"/>
  <c r="AV388"/>
  <c r="BC388"/>
  <c r="H388"/>
  <c r="AV387"/>
  <c r="BC387"/>
  <c r="BI387"/>
  <c r="AE387" s="1"/>
  <c r="I387"/>
  <c r="BI384"/>
  <c r="AE384"/>
  <c r="AX384"/>
  <c r="H381"/>
  <c r="AW381"/>
  <c r="BC380"/>
  <c r="AV380"/>
  <c r="BC377"/>
  <c r="AX376"/>
  <c r="AT361"/>
  <c r="AX395"/>
  <c r="AS361"/>
  <c r="I395"/>
  <c r="BC366"/>
  <c r="AV366"/>
  <c r="BH366"/>
  <c r="AD366" s="1"/>
  <c r="H366"/>
  <c r="I364"/>
  <c r="I361"/>
  <c r="J47" i="3" s="1"/>
  <c r="AV363" i="1"/>
  <c r="BC362"/>
  <c r="AV362"/>
  <c r="H362"/>
  <c r="BC358"/>
  <c r="AX358"/>
  <c r="AV358" s="1"/>
  <c r="AX356"/>
  <c r="AS349"/>
  <c r="BC354"/>
  <c r="I354"/>
  <c r="I349" s="1"/>
  <c r="J45" i="3"/>
  <c r="AV353" i="1"/>
  <c r="AT349"/>
  <c r="BC352"/>
  <c r="J349"/>
  <c r="K45" i="3" s="1"/>
  <c r="N45" s="1"/>
  <c r="BC351" i="1"/>
  <c r="AV351"/>
  <c r="BH351"/>
  <c r="BI351"/>
  <c r="H351"/>
  <c r="AL350"/>
  <c r="AU349"/>
  <c r="BI373"/>
  <c r="AE373" s="1"/>
  <c r="AX373"/>
  <c r="AV372"/>
  <c r="AW370"/>
  <c r="H369"/>
  <c r="AW369"/>
  <c r="AU361"/>
  <c r="AV368"/>
  <c r="H368"/>
  <c r="J361"/>
  <c r="BC346"/>
  <c r="AV346"/>
  <c r="BI346"/>
  <c r="AC346" s="1"/>
  <c r="I346"/>
  <c r="BH345"/>
  <c r="AB345"/>
  <c r="AW345"/>
  <c r="I343"/>
  <c r="J43" i="3" s="1"/>
  <c r="BC344" i="1"/>
  <c r="AV342"/>
  <c r="BC341"/>
  <c r="AX341"/>
  <c r="AV341"/>
  <c r="I341"/>
  <c r="I339"/>
  <c r="J42" i="3" s="1"/>
  <c r="AT320" i="1"/>
  <c r="BC337"/>
  <c r="AV337"/>
  <c r="I336"/>
  <c r="AX336"/>
  <c r="AV336" s="1"/>
  <c r="AV335"/>
  <c r="BC335"/>
  <c r="H335"/>
  <c r="BH335"/>
  <c r="AB335" s="1"/>
  <c r="BC333"/>
  <c r="AV333"/>
  <c r="BH333"/>
  <c r="AB333" s="1"/>
  <c r="BC332"/>
  <c r="AW331"/>
  <c r="BH331"/>
  <c r="AB331" s="1"/>
  <c r="BC330"/>
  <c r="AV330"/>
  <c r="J320"/>
  <c r="K41" i="3" s="1"/>
  <c r="N41" s="1"/>
  <c r="BH330" i="1"/>
  <c r="AB330"/>
  <c r="H330"/>
  <c r="AV328"/>
  <c r="BC328"/>
  <c r="I328"/>
  <c r="I320" s="1"/>
  <c r="J41" i="3" s="1"/>
  <c r="AS320" i="1"/>
  <c r="AV327"/>
  <c r="BC326"/>
  <c r="AV326"/>
  <c r="H326"/>
  <c r="BC325"/>
  <c r="AV325"/>
  <c r="H325"/>
  <c r="H320" s="1"/>
  <c r="I41" i="3" s="1"/>
  <c r="BH325" i="1"/>
  <c r="AB325"/>
  <c r="AW324"/>
  <c r="BH324"/>
  <c r="AB324" s="1"/>
  <c r="AU320"/>
  <c r="AV321"/>
  <c r="BC321"/>
  <c r="BI321"/>
  <c r="AC321"/>
  <c r="BI348"/>
  <c r="AX348"/>
  <c r="BC348" s="1"/>
  <c r="AL348"/>
  <c r="AU347"/>
  <c r="J300"/>
  <c r="K39" i="3"/>
  <c r="N39" s="1"/>
  <c r="AW306" i="1"/>
  <c r="I300"/>
  <c r="J39" i="3" s="1"/>
  <c r="AV305" i="1"/>
  <c r="BI305"/>
  <c r="AC305"/>
  <c r="AS300"/>
  <c r="H300"/>
  <c r="I39" i="3" s="1"/>
  <c r="AV317" i="1"/>
  <c r="BC317"/>
  <c r="AT309"/>
  <c r="BC316"/>
  <c r="AV316"/>
  <c r="BH316"/>
  <c r="AB316"/>
  <c r="H316"/>
  <c r="BC315"/>
  <c r="AV315"/>
  <c r="J309"/>
  <c r="K40" i="3" s="1"/>
  <c r="N40" s="1"/>
  <c r="BH315" i="1"/>
  <c r="AB315"/>
  <c r="H315"/>
  <c r="AS309"/>
  <c r="I313"/>
  <c r="I309"/>
  <c r="J40" i="3" s="1"/>
  <c r="AX312" i="1"/>
  <c r="AV312" s="1"/>
  <c r="AU309"/>
  <c r="BI311"/>
  <c r="AC311" s="1"/>
  <c r="AV311"/>
  <c r="BC301"/>
  <c r="AV301"/>
  <c r="AL301"/>
  <c r="AU300"/>
  <c r="BC297"/>
  <c r="I297"/>
  <c r="BI297"/>
  <c r="AC297"/>
  <c r="AV297"/>
  <c r="AS288"/>
  <c r="BC292"/>
  <c r="AV292"/>
  <c r="I292"/>
  <c r="I288" s="1"/>
  <c r="J37" i="3" s="1"/>
  <c r="AU288" i="1"/>
  <c r="BC289"/>
  <c r="AV289"/>
  <c r="H289"/>
  <c r="H288"/>
  <c r="I37" i="3" s="1"/>
  <c r="AW285" i="1"/>
  <c r="AV285" s="1"/>
  <c r="AV282"/>
  <c r="H281"/>
  <c r="AW281"/>
  <c r="AV279"/>
  <c r="BC279"/>
  <c r="AV278"/>
  <c r="BC278"/>
  <c r="AV277"/>
  <c r="BC277"/>
  <c r="AV302"/>
  <c r="AW274"/>
  <c r="H274"/>
  <c r="AV273"/>
  <c r="BC272"/>
  <c r="AV272"/>
  <c r="BI272"/>
  <c r="AC272" s="1"/>
  <c r="H272"/>
  <c r="H259" s="1"/>
  <c r="I36" i="3" s="1"/>
  <c r="BH272" i="1"/>
  <c r="AB272"/>
  <c r="BC271"/>
  <c r="BC270"/>
  <c r="AV270"/>
  <c r="BI270"/>
  <c r="AC270" s="1"/>
  <c r="AS259"/>
  <c r="AT259"/>
  <c r="BC266"/>
  <c r="AW265"/>
  <c r="BC265" s="1"/>
  <c r="BH265"/>
  <c r="AB265"/>
  <c r="H264"/>
  <c r="I262"/>
  <c r="AX262"/>
  <c r="AV262" s="1"/>
  <c r="AU259"/>
  <c r="AX257"/>
  <c r="BC257" s="1"/>
  <c r="BC275"/>
  <c r="AV275"/>
  <c r="H275"/>
  <c r="J259"/>
  <c r="K36" i="3" s="1"/>
  <c r="N36" s="1"/>
  <c r="BH275" i="1"/>
  <c r="AB275" s="1"/>
  <c r="BH255"/>
  <c r="AB255" s="1"/>
  <c r="AW255"/>
  <c r="AV255" s="1"/>
  <c r="I252"/>
  <c r="AX252"/>
  <c r="AV252" s="1"/>
  <c r="AV249"/>
  <c r="BC249"/>
  <c r="I249"/>
  <c r="BC244"/>
  <c r="AV244"/>
  <c r="AS236"/>
  <c r="H236"/>
  <c r="I35" i="3"/>
  <c r="BI244" i="1"/>
  <c r="AC244"/>
  <c r="AU236"/>
  <c r="BC237"/>
  <c r="J236"/>
  <c r="K35" i="3"/>
  <c r="N35" s="1"/>
  <c r="AV237" i="1"/>
  <c r="AV235"/>
  <c r="BC235"/>
  <c r="BH235"/>
  <c r="AB235" s="1"/>
  <c r="AV256"/>
  <c r="AV232"/>
  <c r="BC232"/>
  <c r="BC230"/>
  <c r="AV230"/>
  <c r="I225"/>
  <c r="J34" i="3"/>
  <c r="J225" i="1"/>
  <c r="K34" i="3"/>
  <c r="N34" s="1"/>
  <c r="H225" i="1"/>
  <c r="I34" i="3"/>
  <c r="AL226" i="1"/>
  <c r="AU225"/>
  <c r="AW224"/>
  <c r="BC223"/>
  <c r="AV223"/>
  <c r="J220"/>
  <c r="K33" i="3" s="1"/>
  <c r="N33" s="1"/>
  <c r="BH223" i="1"/>
  <c r="AB223"/>
  <c r="H223"/>
  <c r="AV222"/>
  <c r="BC222"/>
  <c r="BH222"/>
  <c r="AB222" s="1"/>
  <c r="AL222"/>
  <c r="AU220" s="1"/>
  <c r="BC221"/>
  <c r="H221"/>
  <c r="AV218"/>
  <c r="AS215"/>
  <c r="H216"/>
  <c r="H215" s="1"/>
  <c r="I32" i="3" s="1"/>
  <c r="I214" i="1"/>
  <c r="I213"/>
  <c r="J31" i="3" s="1"/>
  <c r="AX214" i="1"/>
  <c r="AV214" s="1"/>
  <c r="BC209"/>
  <c r="BH209"/>
  <c r="AB209" s="1"/>
  <c r="BC208"/>
  <c r="AV208"/>
  <c r="BI208"/>
  <c r="AC208" s="1"/>
  <c r="I208"/>
  <c r="AV207"/>
  <c r="BC207"/>
  <c r="BC206"/>
  <c r="AV206"/>
  <c r="AS203"/>
  <c r="BI206"/>
  <c r="AC206" s="1"/>
  <c r="H203"/>
  <c r="I30" i="3" s="1"/>
  <c r="I203" i="1"/>
  <c r="J30" i="3" s="1"/>
  <c r="AX204" i="1"/>
  <c r="BC204" s="1"/>
  <c r="BI204"/>
  <c r="AC204"/>
  <c r="AU203"/>
  <c r="AW200"/>
  <c r="BC200" s="1"/>
  <c r="BH199"/>
  <c r="AB199"/>
  <c r="AV197"/>
  <c r="BI197"/>
  <c r="AC197" s="1"/>
  <c r="I197"/>
  <c r="BC197"/>
  <c r="AX196"/>
  <c r="BC196" s="1"/>
  <c r="AX195"/>
  <c r="BC195" s="1"/>
  <c r="I195"/>
  <c r="AV194"/>
  <c r="BC193"/>
  <c r="AV193"/>
  <c r="BI193"/>
  <c r="AC193" s="1"/>
  <c r="I193"/>
  <c r="H192"/>
  <c r="AW192"/>
  <c r="AV192" s="1"/>
  <c r="I191"/>
  <c r="BI191"/>
  <c r="AC191" s="1"/>
  <c r="AW190"/>
  <c r="AV190" s="1"/>
  <c r="H190"/>
  <c r="AV188"/>
  <c r="BC188"/>
  <c r="BI188"/>
  <c r="AC188" s="1"/>
  <c r="I188"/>
  <c r="BI187"/>
  <c r="AC187"/>
  <c r="AX187"/>
  <c r="AX186"/>
  <c r="AV186" s="1"/>
  <c r="AV181"/>
  <c r="I181"/>
  <c r="I173" s="1"/>
  <c r="J29" i="3" s="1"/>
  <c r="AT173" i="1"/>
  <c r="BC180"/>
  <c r="AU173"/>
  <c r="AW179"/>
  <c r="BC179" s="1"/>
  <c r="AS173"/>
  <c r="J173"/>
  <c r="K29" i="3" s="1"/>
  <c r="N29" s="1"/>
  <c r="H165" i="1"/>
  <c r="I28" i="3"/>
  <c r="BC168" i="1"/>
  <c r="J165"/>
  <c r="K28" i="3" s="1"/>
  <c r="N28" s="1"/>
  <c r="I165" i="1"/>
  <c r="J28" i="3"/>
  <c r="BC167" i="1"/>
  <c r="AU165"/>
  <c r="AL166"/>
  <c r="AW164"/>
  <c r="BC164" s="1"/>
  <c r="H162"/>
  <c r="AW162"/>
  <c r="BC162" s="1"/>
  <c r="H160"/>
  <c r="AW160"/>
  <c r="AV160" s="1"/>
  <c r="I160"/>
  <c r="AX160"/>
  <c r="AW158"/>
  <c r="BH158"/>
  <c r="AB158" s="1"/>
  <c r="AS147"/>
  <c r="I155"/>
  <c r="AX155"/>
  <c r="BC155" s="1"/>
  <c r="I154"/>
  <c r="AX154"/>
  <c r="AV154" s="1"/>
  <c r="BC152"/>
  <c r="AV152"/>
  <c r="BH152"/>
  <c r="AB152" s="1"/>
  <c r="H152"/>
  <c r="H147" s="1"/>
  <c r="I27" i="3" s="1"/>
  <c r="AT147" i="1"/>
  <c r="BC151"/>
  <c r="I151"/>
  <c r="AX151"/>
  <c r="AV151" s="1"/>
  <c r="BH151"/>
  <c r="AB151" s="1"/>
  <c r="I147"/>
  <c r="J27" i="3" s="1"/>
  <c r="AV149" i="1"/>
  <c r="BC149"/>
  <c r="BH149"/>
  <c r="AB149" s="1"/>
  <c r="J147"/>
  <c r="K27" i="3" s="1"/>
  <c r="N27" s="1"/>
  <c r="AV148" i="1"/>
  <c r="BC148"/>
  <c r="AL148"/>
  <c r="AU147"/>
  <c r="BI146"/>
  <c r="AC146"/>
  <c r="I146"/>
  <c r="I136"/>
  <c r="J26" i="3" s="1"/>
  <c r="AW145" i="1"/>
  <c r="BC145" s="1"/>
  <c r="AW143"/>
  <c r="AX143"/>
  <c r="BC143" s="1"/>
  <c r="H141"/>
  <c r="BC140"/>
  <c r="AW139"/>
  <c r="AU136"/>
  <c r="BH139"/>
  <c r="AB139"/>
  <c r="BC138"/>
  <c r="AV138"/>
  <c r="BH138"/>
  <c r="AB138"/>
  <c r="J136"/>
  <c r="K26" i="3"/>
  <c r="N26" s="1"/>
  <c r="H138" i="1"/>
  <c r="AT136"/>
  <c r="AV134"/>
  <c r="BI134"/>
  <c r="AC134"/>
  <c r="AX134"/>
  <c r="BC134" s="1"/>
  <c r="I131"/>
  <c r="J25" i="3" s="1"/>
  <c r="BI133" i="1"/>
  <c r="AC133" s="1"/>
  <c r="AW133"/>
  <c r="BC133" s="1"/>
  <c r="H133"/>
  <c r="H131"/>
  <c r="I25" i="3" s="1"/>
  <c r="AU131" i="1"/>
  <c r="AV130"/>
  <c r="BC130"/>
  <c r="BH130"/>
  <c r="AB130"/>
  <c r="AV129"/>
  <c r="BC129"/>
  <c r="BI129"/>
  <c r="AC129"/>
  <c r="I129"/>
  <c r="AX127"/>
  <c r="AV127" s="1"/>
  <c r="BC126"/>
  <c r="AX126"/>
  <c r="AV126" s="1"/>
  <c r="AW125"/>
  <c r="BC125" s="1"/>
  <c r="AW124"/>
  <c r="AV122"/>
  <c r="BC122"/>
  <c r="I122"/>
  <c r="I95" s="1"/>
  <c r="J24" i="3" s="1"/>
  <c r="BC121" i="1"/>
  <c r="AV121"/>
  <c r="BI121"/>
  <c r="AC121"/>
  <c r="I121"/>
  <c r="AW120"/>
  <c r="AV120" s="1"/>
  <c r="BC117"/>
  <c r="AV117"/>
  <c r="BI117"/>
  <c r="AC117"/>
  <c r="I117"/>
  <c r="AX115"/>
  <c r="BC115" s="1"/>
  <c r="AV114"/>
  <c r="BC114"/>
  <c r="H114"/>
  <c r="AX113"/>
  <c r="BC113" s="1"/>
  <c r="I110"/>
  <c r="AX110"/>
  <c r="BC110" s="1"/>
  <c r="AV108"/>
  <c r="BC108"/>
  <c r="H108"/>
  <c r="BH108"/>
  <c r="AB108" s="1"/>
  <c r="AW128"/>
  <c r="AV128" s="1"/>
  <c r="AX128"/>
  <c r="BI128"/>
  <c r="AC128" s="1"/>
  <c r="AV103"/>
  <c r="BC103"/>
  <c r="H103"/>
  <c r="BH103"/>
  <c r="AB103"/>
  <c r="AW101"/>
  <c r="BH101"/>
  <c r="AB101" s="1"/>
  <c r="AU95"/>
  <c r="H100"/>
  <c r="H95"/>
  <c r="I24" i="3" s="1"/>
  <c r="AW100" i="1"/>
  <c r="AV100" s="1"/>
  <c r="J95"/>
  <c r="K24" i="3"/>
  <c r="N24" s="1"/>
  <c r="AT95" i="1"/>
  <c r="AS95"/>
  <c r="AX97"/>
  <c r="AV97" s="1"/>
  <c r="AV93"/>
  <c r="BC93"/>
  <c r="AL93"/>
  <c r="AU91"/>
  <c r="AV92"/>
  <c r="BC92"/>
  <c r="BC87"/>
  <c r="I87"/>
  <c r="BC85"/>
  <c r="BC83"/>
  <c r="I81"/>
  <c r="AX81"/>
  <c r="AV81" s="1"/>
  <c r="BC80"/>
  <c r="AX80"/>
  <c r="AV80" s="1"/>
  <c r="I80"/>
  <c r="AX78"/>
  <c r="AS67"/>
  <c r="BI78"/>
  <c r="AC78"/>
  <c r="AL78"/>
  <c r="BC77"/>
  <c r="AV77"/>
  <c r="H77"/>
  <c r="BI71"/>
  <c r="AC71" s="1"/>
  <c r="AX71"/>
  <c r="AV71" s="1"/>
  <c r="AT67"/>
  <c r="J65"/>
  <c r="K21" i="3"/>
  <c r="N21" s="1"/>
  <c r="BC66" i="1"/>
  <c r="H61"/>
  <c r="I20" i="3" s="1"/>
  <c r="AU61" i="1"/>
  <c r="AS61"/>
  <c r="I63"/>
  <c r="I61" s="1"/>
  <c r="J20" i="3" s="1"/>
  <c r="AX63" i="1"/>
  <c r="AX62"/>
  <c r="BC62" s="1"/>
  <c r="BI62"/>
  <c r="AC62"/>
  <c r="AW60"/>
  <c r="I56"/>
  <c r="J19" i="3" s="1"/>
  <c r="BH60" i="1"/>
  <c r="AB60" s="1"/>
  <c r="BC59"/>
  <c r="AV59"/>
  <c r="J56"/>
  <c r="K19" i="3" s="1"/>
  <c r="N19" s="1"/>
  <c r="BH59" i="1"/>
  <c r="AB59"/>
  <c r="H59"/>
  <c r="BC58"/>
  <c r="AV58"/>
  <c r="H58"/>
  <c r="BH58"/>
  <c r="AB58"/>
  <c r="AL57"/>
  <c r="AU56"/>
  <c r="AW55"/>
  <c r="AS53"/>
  <c r="BI76"/>
  <c r="AC76" s="1"/>
  <c r="AX76"/>
  <c r="BC76" s="1"/>
  <c r="BH76"/>
  <c r="AB76" s="1"/>
  <c r="I38"/>
  <c r="BI38"/>
  <c r="AC38" s="1"/>
  <c r="AX49"/>
  <c r="AV49" s="1"/>
  <c r="H49"/>
  <c r="H48"/>
  <c r="I16" i="3" s="1"/>
  <c r="BH49" i="1"/>
  <c r="AB49" s="1"/>
  <c r="AV47"/>
  <c r="BC47"/>
  <c r="BH47"/>
  <c r="AB47" s="1"/>
  <c r="H47"/>
  <c r="H45" s="1"/>
  <c r="I15" i="3" s="1"/>
  <c r="I45" i="1"/>
  <c r="J15" i="3"/>
  <c r="BC44" i="1"/>
  <c r="AV44"/>
  <c r="J42"/>
  <c r="K14" i="3"/>
  <c r="N14" s="1"/>
  <c r="AX43" i="1"/>
  <c r="BC43" s="1"/>
  <c r="C27" i="5"/>
  <c r="I43" i="1"/>
  <c r="I42" s="1"/>
  <c r="J14" i="3" s="1"/>
  <c r="BC40" i="1"/>
  <c r="AV40"/>
  <c r="BH40"/>
  <c r="AB40"/>
  <c r="AV37"/>
  <c r="BH36"/>
  <c r="AB36" s="1"/>
  <c r="BC34"/>
  <c r="AV34"/>
  <c r="I34"/>
  <c r="AW32"/>
  <c r="H32"/>
  <c r="AV30"/>
  <c r="BC30"/>
  <c r="BC28"/>
  <c r="AV28"/>
  <c r="BH28"/>
  <c r="AB28"/>
  <c r="H28"/>
  <c r="J13"/>
  <c r="K13" i="3" s="1"/>
  <c r="N13" s="1"/>
  <c r="BC26" i="1"/>
  <c r="BC20"/>
  <c r="AV20"/>
  <c r="H20"/>
  <c r="AL20"/>
  <c r="AW18"/>
  <c r="AU13"/>
  <c r="H18"/>
  <c r="AT13"/>
  <c r="H16"/>
  <c r="F133" i="19"/>
  <c r="I13" i="21" s="1"/>
  <c r="F35" i="9"/>
  <c r="J211"/>
  <c r="J104"/>
  <c r="BK205"/>
  <c r="J205"/>
  <c r="J102" s="1"/>
  <c r="F37"/>
  <c r="F34"/>
  <c r="BK126"/>
  <c r="BK125" s="1"/>
  <c r="J34"/>
  <c r="F36"/>
  <c r="J126"/>
  <c r="J98" s="1"/>
  <c r="J33"/>
  <c r="F33"/>
  <c r="BK200" i="13"/>
  <c r="J200" s="1"/>
  <c r="J103" s="1"/>
  <c r="F36"/>
  <c r="BK169"/>
  <c r="J169" s="1"/>
  <c r="J100" s="1"/>
  <c r="J34"/>
  <c r="F34"/>
  <c r="F37"/>
  <c r="F35"/>
  <c r="J126"/>
  <c r="J98"/>
  <c r="F33"/>
  <c r="J33"/>
  <c r="F37" i="12"/>
  <c r="BK163"/>
  <c r="J163" s="1"/>
  <c r="J101" s="1"/>
  <c r="J164"/>
  <c r="J102"/>
  <c r="J34"/>
  <c r="F34"/>
  <c r="BK124"/>
  <c r="BK123"/>
  <c r="BK122" s="1"/>
  <c r="J122" s="1"/>
  <c r="J33"/>
  <c r="F33"/>
  <c r="F36"/>
  <c r="J124"/>
  <c r="J98" s="1"/>
  <c r="J195" i="11"/>
  <c r="J104" s="1"/>
  <c r="BK189"/>
  <c r="J189" s="1"/>
  <c r="J102" s="1"/>
  <c r="F34"/>
  <c r="F37"/>
  <c r="J34"/>
  <c r="BK126"/>
  <c r="BK125" s="1"/>
  <c r="F33"/>
  <c r="J33"/>
  <c r="F35"/>
  <c r="F36"/>
  <c r="BK417" i="14"/>
  <c r="J417" s="1"/>
  <c r="J106" s="1"/>
  <c r="R239"/>
  <c r="R135"/>
  <c r="BK463"/>
  <c r="J463"/>
  <c r="J108" s="1"/>
  <c r="J542"/>
  <c r="J114" s="1"/>
  <c r="BK538"/>
  <c r="J538" s="1"/>
  <c r="J112" s="1"/>
  <c r="BK334"/>
  <c r="J334"/>
  <c r="J105" s="1"/>
  <c r="J240"/>
  <c r="J103" s="1"/>
  <c r="BK190"/>
  <c r="J190" s="1"/>
  <c r="J101" s="1"/>
  <c r="F35"/>
  <c r="J34"/>
  <c r="F34"/>
  <c r="F37"/>
  <c r="J137"/>
  <c r="J98"/>
  <c r="F36"/>
  <c r="J33"/>
  <c r="F33"/>
  <c r="I315" i="20"/>
  <c r="I14" i="21"/>
  <c r="Q224" i="10"/>
  <c r="I18" i="21"/>
  <c r="H127" i="16"/>
  <c r="I16" i="21"/>
  <c r="H109" i="17"/>
  <c r="I17" i="21"/>
  <c r="AV784" i="1"/>
  <c r="BC784"/>
  <c r="BC786"/>
  <c r="AV786"/>
  <c r="AV809"/>
  <c r="BC809"/>
  <c r="I805"/>
  <c r="J71" i="3"/>
  <c r="J72"/>
  <c r="BC808" i="1"/>
  <c r="AV808"/>
  <c r="BC793"/>
  <c r="AV793"/>
  <c r="AV792"/>
  <c r="BC792"/>
  <c r="AV765"/>
  <c r="BC765"/>
  <c r="BC762"/>
  <c r="AV762"/>
  <c r="BC779"/>
  <c r="AV779"/>
  <c r="AV778"/>
  <c r="BC778"/>
  <c r="AV754"/>
  <c r="BC754"/>
  <c r="BC744"/>
  <c r="AV744"/>
  <c r="AV742"/>
  <c r="BC742"/>
  <c r="AV736"/>
  <c r="BC736"/>
  <c r="AV728"/>
  <c r="BC728"/>
  <c r="AV714"/>
  <c r="BC714"/>
  <c r="BC709"/>
  <c r="AV709"/>
  <c r="BC706"/>
  <c r="AV706"/>
  <c r="BC696"/>
  <c r="AV696"/>
  <c r="BC691"/>
  <c r="AV691"/>
  <c r="BC684"/>
  <c r="AV684"/>
  <c r="AV680"/>
  <c r="BC680"/>
  <c r="AV678"/>
  <c r="BC678"/>
  <c r="BC676"/>
  <c r="AV676"/>
  <c r="AV671"/>
  <c r="BC671"/>
  <c r="BC661"/>
  <c r="AV661"/>
  <c r="BC653"/>
  <c r="AV653"/>
  <c r="BC647"/>
  <c r="AV647"/>
  <c r="BC634"/>
  <c r="AV634"/>
  <c r="BC631"/>
  <c r="AV631"/>
  <c r="AV629"/>
  <c r="BC629"/>
  <c r="AV619"/>
  <c r="BC619"/>
  <c r="AV618"/>
  <c r="BC618"/>
  <c r="BC617"/>
  <c r="AV617"/>
  <c r="AV615"/>
  <c r="BC615"/>
  <c r="AV610"/>
  <c r="BC610"/>
  <c r="BC606"/>
  <c r="AV606"/>
  <c r="AV604"/>
  <c r="BC604"/>
  <c r="BC603"/>
  <c r="AV603"/>
  <c r="AV577"/>
  <c r="BC577"/>
  <c r="AV567"/>
  <c r="BC567"/>
  <c r="I541"/>
  <c r="J58" i="3" s="1"/>
  <c r="BC586" i="1"/>
  <c r="AV586"/>
  <c r="BC582"/>
  <c r="AV582"/>
  <c r="BC551"/>
  <c r="AV551"/>
  <c r="AV549"/>
  <c r="BC549"/>
  <c r="AV563"/>
  <c r="BC563"/>
  <c r="AV561"/>
  <c r="BC561"/>
  <c r="BC558"/>
  <c r="AV558"/>
  <c r="AV543"/>
  <c r="BC543"/>
  <c r="BC526"/>
  <c r="AV526"/>
  <c r="H497"/>
  <c r="I56" i="3" s="1"/>
  <c r="BC532" i="1"/>
  <c r="BC502"/>
  <c r="AV502"/>
  <c r="BC496"/>
  <c r="AV496"/>
  <c r="AV493"/>
  <c r="BC493"/>
  <c r="BC492"/>
  <c r="AV491"/>
  <c r="BC491"/>
  <c r="BC504"/>
  <c r="AV504"/>
  <c r="BC479"/>
  <c r="AV479"/>
  <c r="AV469"/>
  <c r="BC469"/>
  <c r="BC456"/>
  <c r="AV456"/>
  <c r="BC465"/>
  <c r="AV465"/>
  <c r="AV433"/>
  <c r="BC433"/>
  <c r="BC429"/>
  <c r="AV429"/>
  <c r="AV424"/>
  <c r="BC424"/>
  <c r="BC440"/>
  <c r="AV440"/>
  <c r="BC407"/>
  <c r="AV407"/>
  <c r="AV397"/>
  <c r="BC397"/>
  <c r="AV392"/>
  <c r="BC392"/>
  <c r="AV384"/>
  <c r="BC384"/>
  <c r="AV381"/>
  <c r="BC381"/>
  <c r="BC395"/>
  <c r="AV395"/>
  <c r="BC356"/>
  <c r="AV356"/>
  <c r="AV370"/>
  <c r="BC370"/>
  <c r="AV369"/>
  <c r="BC369"/>
  <c r="K47" i="3"/>
  <c r="N47" s="1"/>
  <c r="BC345" i="1"/>
  <c r="AV345"/>
  <c r="BC336"/>
  <c r="BC331"/>
  <c r="AV331"/>
  <c r="AV324"/>
  <c r="BC324"/>
  <c r="AV348"/>
  <c r="BC306"/>
  <c r="AV306"/>
  <c r="BC285"/>
  <c r="BC281"/>
  <c r="AV281"/>
  <c r="BC274"/>
  <c r="AV274"/>
  <c r="AV265"/>
  <c r="BC262"/>
  <c r="BC255"/>
  <c r="BC252"/>
  <c r="AV224"/>
  <c r="BC224"/>
  <c r="H220"/>
  <c r="I33" i="3"/>
  <c r="BC214" i="1"/>
  <c r="AV204"/>
  <c r="AV200"/>
  <c r="AV196"/>
  <c r="BC192"/>
  <c r="H173"/>
  <c r="I29" i="3"/>
  <c r="BC190" i="1"/>
  <c r="BC187"/>
  <c r="AV187"/>
  <c r="BC186"/>
  <c r="AV179"/>
  <c r="AV164"/>
  <c r="AV162"/>
  <c r="BC160"/>
  <c r="BC158"/>
  <c r="AV158"/>
  <c r="AV145"/>
  <c r="AV143"/>
  <c r="H136"/>
  <c r="I26" i="3" s="1"/>
  <c r="AV139" i="1"/>
  <c r="BC139"/>
  <c r="AV133"/>
  <c r="BC127"/>
  <c r="AV125"/>
  <c r="AV124"/>
  <c r="BC124"/>
  <c r="BC120"/>
  <c r="BC128"/>
  <c r="AV101"/>
  <c r="BC101"/>
  <c r="BC100"/>
  <c r="BC97"/>
  <c r="BC78"/>
  <c r="AV78"/>
  <c r="BC63"/>
  <c r="AV63"/>
  <c r="AV62"/>
  <c r="AV60"/>
  <c r="BC60"/>
  <c r="H56"/>
  <c r="I19" i="3" s="1"/>
  <c r="AV55" i="1"/>
  <c r="BC55"/>
  <c r="AV32"/>
  <c r="BC32"/>
  <c r="BC18"/>
  <c r="AV18"/>
  <c r="BK125" i="13"/>
  <c r="J125" s="1"/>
  <c r="J97" s="1"/>
  <c r="BK136" i="14"/>
  <c r="I316" i="20"/>
  <c r="BI68" i="1"/>
  <c r="AC68" s="1"/>
  <c r="AX68"/>
  <c r="BC68" s="1"/>
  <c r="BH68"/>
  <c r="AB68" s="1"/>
  <c r="AL68"/>
  <c r="AU67" s="1"/>
  <c r="H68"/>
  <c r="C28" i="5"/>
  <c r="F28" s="1"/>
  <c r="H54" i="1"/>
  <c r="H53" s="1"/>
  <c r="I18" i="3" s="1"/>
  <c r="AW54" i="1"/>
  <c r="BC54"/>
  <c r="J53"/>
  <c r="K18" i="3"/>
  <c r="N18" s="1"/>
  <c r="AV54" i="1"/>
  <c r="AT53"/>
  <c r="BC14"/>
  <c r="AV14"/>
  <c r="BH14"/>
  <c r="AB14"/>
  <c r="H14"/>
  <c r="F8" i="21" l="1"/>
  <c r="C2" i="7"/>
  <c r="J125" i="11"/>
  <c r="J97" s="1"/>
  <c r="BK124"/>
  <c r="J124" s="1"/>
  <c r="J30" i="12"/>
  <c r="J96"/>
  <c r="BK124" i="9"/>
  <c r="J124" s="1"/>
  <c r="J125"/>
  <c r="J97" s="1"/>
  <c r="AV43" i="1"/>
  <c r="BC49"/>
  <c r="BC81"/>
  <c r="AV110"/>
  <c r="AV113"/>
  <c r="AV115"/>
  <c r="BC154"/>
  <c r="AV257"/>
  <c r="BC312"/>
  <c r="AV68"/>
  <c r="J136" i="14"/>
  <c r="J97" s="1"/>
  <c r="BK239"/>
  <c r="J239" s="1"/>
  <c r="J102" s="1"/>
  <c r="J126" i="11"/>
  <c r="J98" s="1"/>
  <c r="J123" i="12"/>
  <c r="J97" s="1"/>
  <c r="BK199" i="13"/>
  <c r="AV155" i="1"/>
  <c r="AV76"/>
  <c r="BC71"/>
  <c r="AV195"/>
  <c r="AV373"/>
  <c r="BC373"/>
  <c r="AV376"/>
  <c r="BC376"/>
  <c r="BC437"/>
  <c r="AV437"/>
  <c r="BC542"/>
  <c r="AV542"/>
  <c r="AV322"/>
  <c r="BC322"/>
  <c r="AV72"/>
  <c r="AV16"/>
  <c r="I67"/>
  <c r="J22" i="3" s="1"/>
  <c r="BC64" i="1"/>
  <c r="AV64"/>
  <c r="AV438"/>
  <c r="BC438"/>
  <c r="BC137"/>
  <c r="AV137"/>
  <c r="AV191"/>
  <c r="BC191"/>
  <c r="AV269"/>
  <c r="BC269"/>
  <c r="AV500"/>
  <c r="BC500"/>
  <c r="AV271"/>
  <c r="I785"/>
  <c r="J66" i="3" s="1"/>
  <c r="AV683" i="1"/>
  <c r="BC683"/>
  <c r="AV668"/>
  <c r="BC668"/>
  <c r="AV626"/>
  <c r="BC626"/>
  <c r="AV788"/>
  <c r="BC788"/>
  <c r="AV85"/>
  <c r="AV411"/>
  <c r="BC411"/>
  <c r="BC51"/>
  <c r="AV51"/>
  <c r="BC771"/>
  <c r="AV771"/>
  <c r="AV609"/>
  <c r="BC609"/>
  <c r="BC37"/>
  <c r="AV651"/>
  <c r="BC651"/>
  <c r="BC633"/>
  <c r="AV633"/>
  <c r="BC575"/>
  <c r="AV575"/>
  <c r="AV635"/>
  <c r="BC635"/>
  <c r="AV38"/>
  <c r="BC38"/>
  <c r="AV119"/>
  <c r="BC119"/>
  <c r="AV153"/>
  <c r="BC153"/>
  <c r="BC329"/>
  <c r="AV365"/>
  <c r="BC365"/>
  <c r="AV537"/>
  <c r="BC537"/>
  <c r="AV570"/>
  <c r="AV670"/>
  <c r="BC670"/>
  <c r="BC741"/>
  <c r="AV777"/>
  <c r="AW807"/>
  <c r="H807"/>
  <c r="H806" s="1"/>
  <c r="BH807"/>
  <c r="AF807" s="1"/>
  <c r="AU806"/>
  <c r="BI803"/>
  <c r="AE803" s="1"/>
  <c r="AX803"/>
  <c r="BF803"/>
  <c r="L801"/>
  <c r="L70" i="3" s="1"/>
  <c r="I801" i="1"/>
  <c r="J70" i="3" s="1"/>
  <c r="AL802" i="1"/>
  <c r="AU801" s="1"/>
  <c r="J801"/>
  <c r="K70" i="3" s="1"/>
  <c r="N70" s="1"/>
  <c r="I793" i="1"/>
  <c r="BI793"/>
  <c r="AE793" s="1"/>
  <c r="H792"/>
  <c r="H791" s="1"/>
  <c r="I68" i="3" s="1"/>
  <c r="BH792" i="1"/>
  <c r="AD792" s="1"/>
  <c r="AS791"/>
  <c r="BC783"/>
  <c r="H780"/>
  <c r="AW780"/>
  <c r="BH780"/>
  <c r="AD780" s="1"/>
  <c r="I776"/>
  <c r="AX776"/>
  <c r="BI774"/>
  <c r="AE774" s="1"/>
  <c r="I774"/>
  <c r="AT773"/>
  <c r="L773"/>
  <c r="L65" i="3" s="1"/>
  <c r="AW772" i="1"/>
  <c r="BH772"/>
  <c r="AT770"/>
  <c r="BH768"/>
  <c r="AD768" s="1"/>
  <c r="AW768"/>
  <c r="H765"/>
  <c r="BH765"/>
  <c r="AD765" s="1"/>
  <c r="H764"/>
  <c r="H761" s="1"/>
  <c r="I63" i="3" s="1"/>
  <c r="BH764" i="1"/>
  <c r="AD764" s="1"/>
  <c r="AW764"/>
  <c r="I759"/>
  <c r="AX759"/>
  <c r="H755"/>
  <c r="H751" s="1"/>
  <c r="I62" i="3" s="1"/>
  <c r="AW755" i="1"/>
  <c r="AX753"/>
  <c r="I753"/>
  <c r="I751" s="1"/>
  <c r="J62" i="3" s="1"/>
  <c r="AT751" i="1"/>
  <c r="L751"/>
  <c r="L62" i="3" s="1"/>
  <c r="BF752" i="1"/>
  <c r="BC743"/>
  <c r="AV727"/>
  <c r="BC488"/>
  <c r="AV559"/>
  <c r="AV705"/>
  <c r="BC732"/>
  <c r="AV732"/>
  <c r="I791"/>
  <c r="J68" i="3" s="1"/>
  <c r="AV475" i="1"/>
  <c r="R124" i="9"/>
  <c r="BC228" i="1"/>
  <c r="AV228"/>
  <c r="AV401"/>
  <c r="BC401"/>
  <c r="BC432"/>
  <c r="AV313"/>
  <c r="BC89"/>
  <c r="BC254"/>
  <c r="BC70"/>
  <c r="BC146"/>
  <c r="AV146"/>
  <c r="BC240"/>
  <c r="AV240"/>
  <c r="BC99"/>
  <c r="AV118"/>
  <c r="AV156"/>
  <c r="BC156"/>
  <c r="BC454"/>
  <c r="AV454"/>
  <c r="AV46"/>
  <c r="AV167"/>
  <c r="BC284"/>
  <c r="AV284"/>
  <c r="AV307"/>
  <c r="BC171"/>
  <c r="AV171"/>
  <c r="AV734"/>
  <c r="BC734"/>
  <c r="AV510"/>
  <c r="BC510"/>
  <c r="AV283"/>
  <c r="BC711"/>
  <c r="AV757"/>
  <c r="BC583"/>
  <c r="AV583"/>
  <c r="L541"/>
  <c r="AV102"/>
  <c r="BC102"/>
  <c r="AV802"/>
  <c r="BC802"/>
  <c r="AV177"/>
  <c r="BC571"/>
  <c r="AV571"/>
  <c r="AV592"/>
  <c r="AU572"/>
  <c r="AV693"/>
  <c r="BC693"/>
  <c r="BC723"/>
  <c r="AV723"/>
  <c r="AV596"/>
  <c r="BC596"/>
  <c r="BC268"/>
  <c r="AV427"/>
  <c r="BC427"/>
  <c r="BC436"/>
  <c r="AV436"/>
  <c r="AV506"/>
  <c r="AV536"/>
  <c r="H541"/>
  <c r="I58" i="3" s="1"/>
  <c r="AV612" i="1"/>
  <c r="BC612"/>
  <c r="AV756"/>
  <c r="BC756"/>
  <c r="H803"/>
  <c r="H801" s="1"/>
  <c r="I70" i="3" s="1"/>
  <c r="AW803" i="1"/>
  <c r="BH799"/>
  <c r="AD799" s="1"/>
  <c r="H799"/>
  <c r="H798" s="1"/>
  <c r="I69" i="3" s="1"/>
  <c r="AW799" i="1"/>
  <c r="BC794"/>
  <c r="AT791"/>
  <c r="BH790"/>
  <c r="AD790" s="1"/>
  <c r="AW790"/>
  <c r="BH788"/>
  <c r="H788"/>
  <c r="H785" s="1"/>
  <c r="I66" i="3" s="1"/>
  <c r="BI779" i="1"/>
  <c r="AE779" s="1"/>
  <c r="I779"/>
  <c r="H778"/>
  <c r="BH778"/>
  <c r="AD778" s="1"/>
  <c r="H776"/>
  <c r="H773" s="1"/>
  <c r="I65" i="3" s="1"/>
  <c r="AW776" i="1"/>
  <c r="AL774"/>
  <c r="AU773" s="1"/>
  <c r="J773"/>
  <c r="K65" i="3" s="1"/>
  <c r="N65" s="1"/>
  <c r="BH771" i="1"/>
  <c r="AD771" s="1"/>
  <c r="H771"/>
  <c r="H770" s="1"/>
  <c r="I64" i="3" s="1"/>
  <c r="I767" i="1"/>
  <c r="I761" s="1"/>
  <c r="J63" i="3" s="1"/>
  <c r="AX767" i="1"/>
  <c r="BC767" s="1"/>
  <c r="BI767"/>
  <c r="AE767" s="1"/>
  <c r="BF765"/>
  <c r="L761"/>
  <c r="L63" i="3" s="1"/>
  <c r="AX764" i="1"/>
  <c r="BI764"/>
  <c r="AE764" s="1"/>
  <c r="AU761"/>
  <c r="BC758"/>
  <c r="BI755"/>
  <c r="AE755" s="1"/>
  <c r="AX755"/>
  <c r="I754"/>
  <c r="BI754"/>
  <c r="AE754" s="1"/>
  <c r="AU751"/>
  <c r="AX750"/>
  <c r="BI750"/>
  <c r="BC733"/>
  <c r="AV707"/>
  <c r="AV685"/>
  <c r="BC642"/>
  <c r="BC630"/>
  <c r="AV630"/>
  <c r="AV601"/>
  <c r="BC598"/>
  <c r="BC584"/>
  <c r="H738"/>
  <c r="H748"/>
  <c r="BH748"/>
  <c r="AD748" s="1"/>
  <c r="AW702"/>
  <c r="AW698"/>
  <c r="I741"/>
  <c r="AX719"/>
  <c r="AV719" s="1"/>
  <c r="AW699"/>
  <c r="BC685"/>
  <c r="L659"/>
  <c r="L60" i="3" s="1"/>
  <c r="AW695" i="1"/>
  <c r="I702"/>
  <c r="AW704"/>
  <c r="BH704"/>
  <c r="AD704" s="1"/>
  <c r="AX725"/>
  <c r="AV725" s="1"/>
  <c r="BI651"/>
  <c r="AE651" s="1"/>
  <c r="BI662"/>
  <c r="AE662" s="1"/>
  <c r="BI707"/>
  <c r="AE707" s="1"/>
  <c r="H714"/>
  <c r="AW717"/>
  <c r="AW731"/>
  <c r="BH667"/>
  <c r="AD667" s="1"/>
  <c r="AW740"/>
  <c r="I744"/>
  <c r="AX688"/>
  <c r="AV688" s="1"/>
  <c r="BH730"/>
  <c r="AD730" s="1"/>
  <c r="I746"/>
  <c r="BH749"/>
  <c r="AD749" s="1"/>
  <c r="I736"/>
  <c r="BI731"/>
  <c r="AE731" s="1"/>
  <c r="BI743"/>
  <c r="AE743" s="1"/>
  <c r="I731"/>
  <c r="I716" s="1"/>
  <c r="J61" i="3" s="1"/>
  <c r="AX740" i="1"/>
  <c r="AX746"/>
  <c r="H686"/>
  <c r="I681"/>
  <c r="AX697"/>
  <c r="I712"/>
  <c r="H642"/>
  <c r="AX632"/>
  <c r="AV632" s="1"/>
  <c r="H630"/>
  <c r="BI630"/>
  <c r="AE630" s="1"/>
  <c r="I630"/>
  <c r="AX623"/>
  <c r="AV623" s="1"/>
  <c r="BI625"/>
  <c r="AE625" s="1"/>
  <c r="H645"/>
  <c r="AW645"/>
  <c r="BH688"/>
  <c r="AD688" s="1"/>
  <c r="BI677"/>
  <c r="AE677" s="1"/>
  <c r="AW700"/>
  <c r="BH672"/>
  <c r="AD672" s="1"/>
  <c r="H690"/>
  <c r="H672"/>
  <c r="AW690"/>
  <c r="AW735"/>
  <c r="BI738"/>
  <c r="AE738" s="1"/>
  <c r="H718"/>
  <c r="BH727"/>
  <c r="AD727" s="1"/>
  <c r="AW718"/>
  <c r="AX637"/>
  <c r="AW639"/>
  <c r="BH639"/>
  <c r="AD639" s="1"/>
  <c r="I625"/>
  <c r="I572" s="1"/>
  <c r="J59" i="3" s="1"/>
  <c r="H616" i="1"/>
  <c r="AX639"/>
  <c r="BI639"/>
  <c r="AE639" s="1"/>
  <c r="I651"/>
  <c r="AX681"/>
  <c r="AV681" s="1"/>
  <c r="AX739"/>
  <c r="AV739" s="1"/>
  <c r="AU716"/>
  <c r="AX699"/>
  <c r="BI622"/>
  <c r="AE622" s="1"/>
  <c r="AW568"/>
  <c r="AV562"/>
  <c r="AV548"/>
  <c r="AW539"/>
  <c r="BH539"/>
  <c r="AD539" s="1"/>
  <c r="BI526"/>
  <c r="AE526" s="1"/>
  <c r="I526"/>
  <c r="I497" s="1"/>
  <c r="J56" i="3" s="1"/>
  <c r="BH522" i="1"/>
  <c r="AD522" s="1"/>
  <c r="AW522"/>
  <c r="AX508"/>
  <c r="BI508"/>
  <c r="AE508" s="1"/>
  <c r="H496"/>
  <c r="H494" s="1"/>
  <c r="I55" i="3" s="1"/>
  <c r="BH496" i="1"/>
  <c r="J494"/>
  <c r="K55" i="3" s="1"/>
  <c r="N55" s="1"/>
  <c r="AT486" i="1"/>
  <c r="BC485"/>
  <c r="H473"/>
  <c r="H459" s="1"/>
  <c r="I52" i="3" s="1"/>
  <c r="BH473" i="1"/>
  <c r="AD473" s="1"/>
  <c r="BH464"/>
  <c r="AD464" s="1"/>
  <c r="AW464"/>
  <c r="AV463"/>
  <c r="AX461"/>
  <c r="BC461" s="1"/>
  <c r="I461"/>
  <c r="I459" s="1"/>
  <c r="BC460"/>
  <c r="AW452"/>
  <c r="H452"/>
  <c r="BH450"/>
  <c r="AD450" s="1"/>
  <c r="H450"/>
  <c r="H448" s="1"/>
  <c r="I51" i="3" s="1"/>
  <c r="AW450" i="1"/>
  <c r="BC446"/>
  <c r="BH440"/>
  <c r="AD440" s="1"/>
  <c r="H440"/>
  <c r="H425" s="1"/>
  <c r="I49" i="3" s="1"/>
  <c r="AV393" i="1"/>
  <c r="H371"/>
  <c r="H361" s="1"/>
  <c r="I47" i="3" s="1"/>
  <c r="AW371" i="1"/>
  <c r="BH364"/>
  <c r="AD364" s="1"/>
  <c r="AW364"/>
  <c r="H357"/>
  <c r="H349" s="1"/>
  <c r="I45" i="3" s="1"/>
  <c r="AW357" i="1"/>
  <c r="BC353"/>
  <c r="AT343"/>
  <c r="AT339"/>
  <c r="BI334"/>
  <c r="AC334" s="1"/>
  <c r="AX334"/>
  <c r="BI333"/>
  <c r="AC333" s="1"/>
  <c r="BH310"/>
  <c r="AB310" s="1"/>
  <c r="H310"/>
  <c r="H309" s="1"/>
  <c r="I40" i="3" s="1"/>
  <c r="AT300" i="1"/>
  <c r="BC282"/>
  <c r="AX267"/>
  <c r="AV267" s="1"/>
  <c r="BI267"/>
  <c r="AC267" s="1"/>
  <c r="AX264"/>
  <c r="BI256"/>
  <c r="AC256" s="1"/>
  <c r="I256"/>
  <c r="I236" s="1"/>
  <c r="J35" i="3" s="1"/>
  <c r="BC256" i="1"/>
  <c r="AX246"/>
  <c r="AV226"/>
  <c r="BC218"/>
  <c r="AV211"/>
  <c r="BC184"/>
  <c r="H716"/>
  <c r="J490"/>
  <c r="K54" i="3" s="1"/>
  <c r="N54" s="1"/>
  <c r="AW477" i="1"/>
  <c r="H477"/>
  <c r="BI462"/>
  <c r="AE462" s="1"/>
  <c r="AX462"/>
  <c r="AV439"/>
  <c r="BH421"/>
  <c r="AD421" s="1"/>
  <c r="H421"/>
  <c r="H398" s="1"/>
  <c r="AW421"/>
  <c r="BC410"/>
  <c r="AS398"/>
  <c r="BC368"/>
  <c r="AV352"/>
  <c r="AX350"/>
  <c r="BI350"/>
  <c r="H343"/>
  <c r="I43" i="3" s="1"/>
  <c r="AU343" i="1"/>
  <c r="BC302"/>
  <c r="BI283"/>
  <c r="AC283" s="1"/>
  <c r="I283"/>
  <c r="I259" s="1"/>
  <c r="J36" i="3" s="1"/>
  <c r="AS225" i="1"/>
  <c r="AX205"/>
  <c r="AV205" s="1"/>
  <c r="AX185"/>
  <c r="BI178"/>
  <c r="AC178" s="1"/>
  <c r="AX178"/>
  <c r="AV174"/>
  <c r="AW170"/>
  <c r="BC163"/>
  <c r="AS136"/>
  <c r="AW94"/>
  <c r="H92"/>
  <c r="H91" s="1"/>
  <c r="I23" i="3" s="1"/>
  <c r="H87" i="1"/>
  <c r="H67" s="1"/>
  <c r="I22" i="3" s="1"/>
  <c r="BH87" i="1"/>
  <c r="AB87" s="1"/>
  <c r="BH69"/>
  <c r="AB69" s="1"/>
  <c r="AW69"/>
  <c r="J67"/>
  <c r="AS56"/>
  <c r="AT45"/>
  <c r="AU45"/>
  <c r="H37"/>
  <c r="H13" s="1"/>
  <c r="BH37"/>
  <c r="AB37" s="1"/>
  <c r="AV35"/>
  <c r="E7" i="8"/>
  <c r="P126" i="9"/>
  <c r="P125" s="1"/>
  <c r="P124" s="1"/>
  <c r="T125" i="11"/>
  <c r="T124" s="1"/>
  <c r="AT165" i="1"/>
  <c r="BI57"/>
  <c r="AC57" s="1"/>
  <c r="AX57"/>
  <c r="BC57" s="1"/>
  <c r="I53"/>
  <c r="J18" i="3" s="1"/>
  <c r="L53" i="1"/>
  <c r="AT42"/>
  <c r="I32"/>
  <c r="I13" s="1"/>
  <c r="BI32"/>
  <c r="AC32" s="1"/>
  <c r="T239" i="14"/>
  <c r="T135" s="1"/>
  <c r="P124" i="12"/>
  <c r="P123" s="1"/>
  <c r="P122" s="1"/>
  <c r="T124"/>
  <c r="T123" s="1"/>
  <c r="T122" s="1"/>
  <c r="P184" i="11"/>
  <c r="P125" s="1"/>
  <c r="P124" s="1"/>
  <c r="P521" i="14"/>
  <c r="P239" s="1"/>
  <c r="P135" s="1"/>
  <c r="I61" i="3"/>
  <c r="AW749" i="1"/>
  <c r="J716"/>
  <c r="I48" i="3" l="1"/>
  <c r="J13"/>
  <c r="I12" i="1"/>
  <c r="J12" i="3" s="1"/>
  <c r="L18"/>
  <c r="L12" i="1"/>
  <c r="L12" i="3" s="1"/>
  <c r="H12" i="1"/>
  <c r="I12" i="3" s="1"/>
  <c r="I13"/>
  <c r="K22"/>
  <c r="N22" s="1"/>
  <c r="J12" i="1"/>
  <c r="K12" i="3" s="1"/>
  <c r="P12" s="1"/>
  <c r="BC94" i="1"/>
  <c r="AV94"/>
  <c r="AV350"/>
  <c r="BC350"/>
  <c r="AV477"/>
  <c r="BC477"/>
  <c r="BC357"/>
  <c r="AV357"/>
  <c r="BC364"/>
  <c r="AV364"/>
  <c r="BC371"/>
  <c r="AV371"/>
  <c r="AV450"/>
  <c r="BC450"/>
  <c r="BC452"/>
  <c r="AV452"/>
  <c r="J52" i="3"/>
  <c r="I360" i="1"/>
  <c r="J46" i="3" s="1"/>
  <c r="BC522" i="1"/>
  <c r="AV522"/>
  <c r="BC568"/>
  <c r="AV568"/>
  <c r="BC637"/>
  <c r="AV637"/>
  <c r="BC690"/>
  <c r="AV690"/>
  <c r="BC700"/>
  <c r="AV700"/>
  <c r="I659"/>
  <c r="J60" i="3" s="1"/>
  <c r="AV746" i="1"/>
  <c r="BC746"/>
  <c r="BC717"/>
  <c r="AV717"/>
  <c r="AV699"/>
  <c r="BC699"/>
  <c r="BC702"/>
  <c r="AV702"/>
  <c r="BC750"/>
  <c r="AV750"/>
  <c r="E8" i="8"/>
  <c r="G8" s="1"/>
  <c r="G7"/>
  <c r="BC69" i="1"/>
  <c r="AV69"/>
  <c r="AV170"/>
  <c r="BC170"/>
  <c r="BC178"/>
  <c r="AV178"/>
  <c r="BC185"/>
  <c r="AV185"/>
  <c r="BC421"/>
  <c r="AV421"/>
  <c r="BC462"/>
  <c r="AV462"/>
  <c r="AV246"/>
  <c r="BC246"/>
  <c r="BC264"/>
  <c r="AV264"/>
  <c r="AV334"/>
  <c r="BC334"/>
  <c r="AV464"/>
  <c r="BC464"/>
  <c r="BC508"/>
  <c r="AV508"/>
  <c r="AV539"/>
  <c r="BC539"/>
  <c r="H572"/>
  <c r="I59" i="3" s="1"/>
  <c r="BC205" i="1"/>
  <c r="BC639"/>
  <c r="AV639"/>
  <c r="BC718"/>
  <c r="AV718"/>
  <c r="AV735"/>
  <c r="BC735"/>
  <c r="H659"/>
  <c r="I60" i="3" s="1"/>
  <c r="BC645" i="1"/>
  <c r="AV645"/>
  <c r="AV697"/>
  <c r="BC697"/>
  <c r="AV740"/>
  <c r="BC740"/>
  <c r="AV731"/>
  <c r="BC731"/>
  <c r="AV704"/>
  <c r="BC704"/>
  <c r="BC695"/>
  <c r="AV695"/>
  <c r="AV698"/>
  <c r="BC698"/>
  <c r="BC632"/>
  <c r="BC719"/>
  <c r="BC776"/>
  <c r="AV776"/>
  <c r="BC790"/>
  <c r="AV790"/>
  <c r="BC799"/>
  <c r="AV799"/>
  <c r="L58" i="3"/>
  <c r="L360" i="1"/>
  <c r="L46" i="3" s="1"/>
  <c r="AV461" i="1"/>
  <c r="BC681"/>
  <c r="BC755"/>
  <c r="AV755"/>
  <c r="BC759"/>
  <c r="AV759"/>
  <c r="BC768"/>
  <c r="AV768"/>
  <c r="BC772"/>
  <c r="AV772"/>
  <c r="AV780"/>
  <c r="BC780"/>
  <c r="AV807"/>
  <c r="BC807"/>
  <c r="BC267"/>
  <c r="AV57"/>
  <c r="J199" i="13"/>
  <c r="J102" s="1"/>
  <c r="BK124"/>
  <c r="J124" s="1"/>
  <c r="BK135" i="14"/>
  <c r="J135" s="1"/>
  <c r="J30" i="11"/>
  <c r="J96"/>
  <c r="AV803" i="1"/>
  <c r="BC803"/>
  <c r="BC688"/>
  <c r="AV767"/>
  <c r="BC623"/>
  <c r="BC725"/>
  <c r="BC739"/>
  <c r="BC753"/>
  <c r="AV753"/>
  <c r="AV764"/>
  <c r="BC764"/>
  <c r="I773"/>
  <c r="J65" i="3" s="1"/>
  <c r="I72"/>
  <c r="H805" i="1"/>
  <c r="I71" i="3" s="1"/>
  <c r="J96" i="9"/>
  <c r="I22" i="21" s="1"/>
  <c r="J30" i="9"/>
  <c r="J39" s="1"/>
  <c r="I20" i="21"/>
  <c r="J39" i="12"/>
  <c r="BC749" i="1"/>
  <c r="AV749"/>
  <c r="K61" i="3"/>
  <c r="N61" s="1"/>
  <c r="K73" s="1"/>
  <c r="I12" i="7" s="1"/>
  <c r="M12" s="1"/>
  <c r="J360" i="1"/>
  <c r="K46" i="3" s="1"/>
  <c r="P46" s="1"/>
  <c r="J811" i="1"/>
  <c r="I19" i="21" l="1"/>
  <c r="J39" i="11"/>
  <c r="J30" i="13"/>
  <c r="J96"/>
  <c r="H360" i="1"/>
  <c r="I46" i="3" s="1"/>
  <c r="J30" i="14"/>
  <c r="J96"/>
  <c r="G3" i="8"/>
  <c r="I23" i="21" s="1"/>
  <c r="J39" i="13" l="1"/>
  <c r="I21" i="21"/>
  <c r="I12"/>
  <c r="J39" i="14"/>
  <c r="I24" i="21" l="1"/>
  <c r="I13" i="7" s="1"/>
  <c r="M13" s="1"/>
  <c r="I14" s="1"/>
  <c r="C22" i="5" s="1"/>
  <c r="C29" s="1"/>
  <c r="I28" s="1"/>
  <c r="F29" l="1"/>
  <c r="I29" s="1"/>
</calcChain>
</file>

<file path=xl/connections.xml><?xml version="1.0" encoding="utf-8"?>
<connections xmlns="http://schemas.openxmlformats.org/spreadsheetml/2006/main">
  <connection id="1" name="00013-00015-1PP2" type="6" refreshedVersion="4" background="1" saveData="1">
    <textPr codePage="65001" sourceFile="D:\DWG\2013\ZS Čimice Nehonský\00013-00015-1PP.csv" decimal="," thousands="." tab="0" semicolon="1">
      <textFields count="2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<sst xmlns="http://schemas.openxmlformats.org/spreadsheetml/2006/main" count="21107" uniqueCount="5901">
  <si>
    <t>Název stavby:</t>
  </si>
  <si>
    <t>Druh stavby:</t>
  </si>
  <si>
    <t>Lokalita:</t>
  </si>
  <si>
    <t>JKSO: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</si>
  <si>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</si>
  <si>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</si>
  <si>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</si>
  <si>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</si>
  <si>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</si>
  <si>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</si>
  <si>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</si>
  <si>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</si>
  <si>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</si>
  <si>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</si>
  <si>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</si>
  <si>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</si>
  <si>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</si>
  <si>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</si>
  <si>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</si>
  <si>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</si>
  <si>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</si>
  <si>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</si>
  <si>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</si>
  <si>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</si>
  <si>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</si>
  <si>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</si>
  <si>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</si>
  <si>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</si>
  <si>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</si>
  <si>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</si>
  <si>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</si>
  <si>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</si>
  <si>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</si>
  <si>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</si>
  <si>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</si>
  <si>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</si>
  <si>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</si>
  <si>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</si>
  <si>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</si>
  <si>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</si>
  <si>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</si>
  <si>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</si>
  <si>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</si>
  <si>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</si>
  <si>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</si>
  <si>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</si>
  <si>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</si>
  <si>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</si>
  <si>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</si>
  <si>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</si>
  <si>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</si>
  <si>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</si>
  <si>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</si>
  <si>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</si>
  <si>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</si>
  <si>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</si>
  <si>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</si>
  <si>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</si>
  <si>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</si>
  <si>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</si>
  <si>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</si>
  <si>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</si>
  <si>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</si>
  <si>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</si>
  <si>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</si>
  <si>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</si>
  <si>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</si>
  <si>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</si>
  <si>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</si>
  <si>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</si>
  <si>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</si>
  <si>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</si>
  <si>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</si>
  <si>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</si>
  <si>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</si>
  <si>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</si>
  <si>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</si>
  <si>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</si>
  <si>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</si>
  <si>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</si>
  <si>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</si>
  <si>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</si>
  <si>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</si>
  <si>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</si>
  <si>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</si>
  <si>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</si>
  <si>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</si>
  <si>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</si>
  <si>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</si>
  <si>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</si>
  <si>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</si>
  <si>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</si>
  <si>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</si>
  <si>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</si>
  <si>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</si>
  <si>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</si>
  <si>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</si>
  <si>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</si>
  <si>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</si>
  <si>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</si>
  <si>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</si>
  <si>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</si>
  <si>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</si>
  <si>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</si>
  <si>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</si>
  <si>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</si>
  <si>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</si>
  <si>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</si>
  <si>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</si>
  <si>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</si>
  <si>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</si>
  <si>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</si>
  <si>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</si>
  <si>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</si>
  <si>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</si>
  <si>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</si>
  <si>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</si>
  <si>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</si>
  <si>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</si>
  <si>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</si>
  <si>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</si>
  <si>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</si>
  <si>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</si>
  <si>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</si>
  <si>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</si>
  <si>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</si>
  <si>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</si>
  <si>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</si>
  <si>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</si>
  <si>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</si>
  <si>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</si>
  <si>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</si>
  <si>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</si>
  <si>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</si>
  <si>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</si>
  <si>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</si>
  <si>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</si>
  <si>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</si>
  <si>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</si>
  <si>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</si>
  <si>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</si>
  <si>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</si>
  <si>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</si>
  <si>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</si>
  <si>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</si>
  <si>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</si>
  <si>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</si>
  <si>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</si>
  <si>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</si>
  <si>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</si>
  <si>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</si>
  <si>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</si>
  <si>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</si>
  <si>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</si>
  <si>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</si>
  <si>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</si>
  <si>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</si>
  <si>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</si>
  <si>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</si>
  <si>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</si>
  <si>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</si>
  <si>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</si>
  <si>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</si>
  <si>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</si>
  <si>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</si>
  <si>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</si>
  <si>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</si>
  <si>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</si>
  <si>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</si>
  <si>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</si>
  <si>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</si>
  <si>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</si>
  <si>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</si>
  <si>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</si>
  <si>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</si>
  <si>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</si>
  <si>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</si>
  <si>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</si>
  <si>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</si>
  <si>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</si>
  <si>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</si>
  <si>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</si>
  <si>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</si>
  <si>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</si>
  <si>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</si>
  <si>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</si>
  <si>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</si>
  <si>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</si>
  <si>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</si>
  <si>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</si>
  <si>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</si>
  <si>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</si>
  <si>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</si>
  <si>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</si>
  <si>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</si>
  <si>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</si>
  <si>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</si>
  <si>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</si>
  <si>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</si>
  <si>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</si>
  <si>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</si>
  <si>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</si>
  <si>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</si>
  <si>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</si>
  <si>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</si>
  <si>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</si>
  <si>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</si>
  <si>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</si>
  <si>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</si>
  <si>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</si>
  <si>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</si>
  <si>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</si>
  <si>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</si>
  <si>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</si>
  <si>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</si>
  <si>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</si>
  <si>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</si>
  <si>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</si>
  <si>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</si>
  <si>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</si>
  <si>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</si>
  <si>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</si>
  <si>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</si>
  <si>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</si>
  <si>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</si>
  <si>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</si>
  <si>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</si>
  <si>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</si>
  <si>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</si>
  <si>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</si>
  <si>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</si>
  <si>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</si>
  <si>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</si>
  <si>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</si>
  <si>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</si>
  <si>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</si>
  <si>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</si>
  <si>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</si>
  <si>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</si>
  <si>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</si>
  <si>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</si>
  <si>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</si>
  <si>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</si>
  <si>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</si>
  <si>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</si>
  <si>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</si>
  <si>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</si>
  <si>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</si>
  <si>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</si>
  <si>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</si>
  <si>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</si>
  <si>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</si>
  <si>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</si>
  <si>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</si>
  <si>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</si>
  <si>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</si>
  <si>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</si>
  <si>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</si>
  <si>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</si>
  <si>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</si>
  <si>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</si>
  <si>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</si>
  <si>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</si>
  <si>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</si>
  <si>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</si>
  <si>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</si>
  <si>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</si>
  <si>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</si>
  <si>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</si>
  <si>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</si>
  <si>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</si>
  <si>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</si>
  <si>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</si>
  <si>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</si>
  <si>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</si>
  <si>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</si>
  <si>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</si>
  <si>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</si>
  <si>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</si>
  <si>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</si>
  <si>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</si>
  <si>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</si>
  <si>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</si>
  <si>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</si>
  <si>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</si>
  <si>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</si>
  <si>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</si>
  <si>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</si>
  <si>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</si>
  <si>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</si>
  <si>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</si>
  <si>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</si>
  <si>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</si>
  <si>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</si>
  <si>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</si>
  <si>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</si>
  <si>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</si>
  <si>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</si>
  <si>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</si>
  <si>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</si>
  <si>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</si>
  <si>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</si>
  <si>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</si>
  <si>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</si>
  <si>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</si>
  <si>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</si>
  <si>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</si>
  <si>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</si>
  <si>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</si>
  <si>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</si>
  <si>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</si>
  <si>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</si>
  <si>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</si>
  <si>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</si>
  <si>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</si>
  <si>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</si>
  <si>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</si>
  <si>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</si>
  <si>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</si>
  <si>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</si>
  <si>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</si>
  <si>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</si>
  <si>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</si>
  <si>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</si>
  <si>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</si>
  <si>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</si>
  <si>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</si>
  <si>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</si>
  <si>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</si>
  <si>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</si>
  <si>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</si>
  <si>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</si>
  <si>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</si>
  <si>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</si>
  <si>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</si>
  <si>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</si>
  <si>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</si>
  <si>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</si>
  <si>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</si>
  <si>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</si>
  <si>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</si>
  <si>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</si>
  <si>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</si>
  <si>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</si>
  <si>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</si>
  <si>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</si>
  <si>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</si>
  <si>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</si>
  <si>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</si>
  <si>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</si>
  <si>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</si>
  <si>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</si>
  <si>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</si>
  <si>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</si>
  <si>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</si>
  <si>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</si>
  <si>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</si>
  <si>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</si>
  <si>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</si>
  <si>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</si>
  <si>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</si>
  <si>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</si>
  <si>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</si>
  <si>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</si>
  <si>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</si>
  <si>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</si>
  <si>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</si>
  <si>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</si>
  <si>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</si>
  <si>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</si>
  <si>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</si>
  <si>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</si>
  <si>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</si>
  <si>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</si>
  <si>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</si>
  <si>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</si>
  <si>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</si>
  <si>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</si>
  <si>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</si>
  <si>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</si>
  <si>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</si>
  <si>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</si>
  <si>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</si>
  <si>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</si>
  <si>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</si>
  <si>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</si>
  <si>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</si>
  <si>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</si>
  <si>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</si>
  <si>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</si>
  <si>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</si>
  <si>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</si>
  <si>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</si>
  <si>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</si>
  <si>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</si>
  <si>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</si>
  <si>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</si>
  <si>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</si>
  <si>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</si>
  <si>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</si>
  <si>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</si>
  <si>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</si>
  <si>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</si>
  <si>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</si>
  <si>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</si>
  <si>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</si>
  <si>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</si>
  <si>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</si>
  <si>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</si>
  <si>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</si>
  <si>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</si>
  <si>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</si>
  <si>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</si>
  <si>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</si>
  <si>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</si>
  <si>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</si>
  <si>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</si>
  <si>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</si>
  <si>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</si>
  <si>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</si>
  <si>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</si>
  <si>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</si>
  <si>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</si>
  <si>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</si>
  <si>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</si>
  <si>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</si>
  <si>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</si>
  <si>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</si>
  <si>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</si>
  <si>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</si>
  <si>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</si>
  <si>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</si>
  <si>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</si>
  <si>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</si>
  <si>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</si>
  <si>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</si>
  <si>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</si>
  <si>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</si>
  <si>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</si>
  <si>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</si>
  <si>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</si>
  <si>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</si>
  <si>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</si>
  <si>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</si>
  <si>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</si>
  <si>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</si>
  <si>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</si>
  <si>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</si>
  <si>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</si>
  <si>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</si>
  <si>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</si>
  <si>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</si>
  <si>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</si>
  <si>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</si>
  <si>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</si>
  <si>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</si>
  <si>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</si>
  <si>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</si>
  <si>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</si>
  <si>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</si>
  <si>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</si>
  <si>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</si>
  <si>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</si>
  <si>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</si>
  <si>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</si>
  <si>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</si>
  <si>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</si>
  <si>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</si>
  <si>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</si>
  <si>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</si>
  <si>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</si>
  <si>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</si>
  <si>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</si>
  <si>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</si>
  <si>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</si>
  <si>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</si>
  <si>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</si>
  <si>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</si>
  <si>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</si>
  <si>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</si>
  <si>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</si>
  <si>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</si>
  <si>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</si>
  <si>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</si>
  <si>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</si>
  <si>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</si>
  <si>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</si>
  <si>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</si>
  <si>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</si>
  <si>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</si>
  <si>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</si>
  <si>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</si>
  <si>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</si>
  <si>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</si>
  <si>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</si>
  <si>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</si>
  <si>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</si>
  <si>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</si>
  <si>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</si>
  <si>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</si>
  <si>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</si>
  <si>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</si>
  <si>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</si>
  <si>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</si>
  <si>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</si>
  <si>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</si>
  <si>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</si>
  <si>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</si>
  <si>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</si>
  <si>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</si>
  <si>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</si>
  <si>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</si>
  <si>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</si>
  <si>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</si>
  <si>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</si>
  <si>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</si>
  <si>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</si>
  <si>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</si>
  <si>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</si>
  <si>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</si>
  <si>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</si>
  <si>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</si>
  <si>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</si>
  <si>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</si>
  <si>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</si>
  <si>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</si>
  <si>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</si>
  <si>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</si>
  <si>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</si>
  <si>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</si>
  <si>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</si>
  <si>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</si>
  <si>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</si>
  <si>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</si>
  <si>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</si>
  <si>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</si>
  <si>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</si>
  <si>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</si>
  <si>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</si>
  <si>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</si>
  <si>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</si>
  <si>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</si>
  <si>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</si>
  <si>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</si>
  <si>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</si>
  <si>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</si>
  <si>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</si>
  <si>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</si>
  <si>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</si>
  <si>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</si>
  <si>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</si>
  <si>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</si>
  <si>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</si>
  <si>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</si>
  <si>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</si>
  <si>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</si>
  <si>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</si>
  <si>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</si>
  <si>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</si>
  <si>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</si>
  <si>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</si>
  <si>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</si>
  <si>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</si>
  <si>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</si>
  <si>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</si>
  <si>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</si>
  <si>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</si>
  <si>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</si>
  <si>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</si>
  <si>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</si>
  <si>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</si>
  <si>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</si>
  <si>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</si>
  <si>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</si>
  <si>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</si>
  <si>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</si>
  <si>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</si>
  <si>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</si>
  <si>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</si>
  <si>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</si>
  <si>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</si>
  <si>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</si>
  <si>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</si>
  <si>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</si>
  <si>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</si>
  <si>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</si>
  <si>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</si>
  <si>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</si>
  <si>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</si>
  <si>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</si>
  <si>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</si>
  <si>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</si>
  <si>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</si>
  <si>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</si>
  <si>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</si>
  <si>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</si>
  <si>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</si>
  <si>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</si>
  <si>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</si>
  <si>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</si>
  <si>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</si>
  <si>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</si>
  <si>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</si>
  <si>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</si>
  <si>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</si>
  <si>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Poznámka:</t>
  </si>
  <si>
    <t>Objekt</t>
  </si>
  <si>
    <t>Kód</t>
  </si>
  <si>
    <t>112101111R0R</t>
  </si>
  <si>
    <t>Varianta:</t>
  </si>
  <si>
    <t>112101112R0R</t>
  </si>
  <si>
    <t>112101113R0R</t>
  </si>
  <si>
    <t>112101114R0R</t>
  </si>
  <si>
    <t>112101115R0R</t>
  </si>
  <si>
    <t>112101116R0R</t>
  </si>
  <si>
    <t>112101117R0R</t>
  </si>
  <si>
    <t>112101118R0R</t>
  </si>
  <si>
    <t>112101119R0R</t>
  </si>
  <si>
    <t>112101120R0R</t>
  </si>
  <si>
    <t>112101121R0R</t>
  </si>
  <si>
    <t>112101122R0R</t>
  </si>
  <si>
    <t>112101123R0R</t>
  </si>
  <si>
    <t>114211101R00</t>
  </si>
  <si>
    <t>125703301R0R</t>
  </si>
  <si>
    <t>113108410R00</t>
  </si>
  <si>
    <t>121101101R00</t>
  </si>
  <si>
    <t>122101101R00</t>
  </si>
  <si>
    <t>139601102R00</t>
  </si>
  <si>
    <t>131101113R00</t>
  </si>
  <si>
    <t>151101101R0R</t>
  </si>
  <si>
    <t>162201102R00</t>
  </si>
  <si>
    <t>167101102R00</t>
  </si>
  <si>
    <t>174101102R00</t>
  </si>
  <si>
    <t>174101101R00</t>
  </si>
  <si>
    <t>212532111R00</t>
  </si>
  <si>
    <t>212792112R00</t>
  </si>
  <si>
    <t>28611223.A</t>
  </si>
  <si>
    <t>28611222.A</t>
  </si>
  <si>
    <t>224361114R00</t>
  </si>
  <si>
    <t>224383122R00</t>
  </si>
  <si>
    <t>224321212R00</t>
  </si>
  <si>
    <t>264322213R00</t>
  </si>
  <si>
    <t>273361821R00</t>
  </si>
  <si>
    <t>273323411RV1</t>
  </si>
  <si>
    <t>273351215R00</t>
  </si>
  <si>
    <t>273351216R00</t>
  </si>
  <si>
    <t>275326131R00</t>
  </si>
  <si>
    <t>275351215R00</t>
  </si>
  <si>
    <t>275351216R00</t>
  </si>
  <si>
    <t>274323411R00</t>
  </si>
  <si>
    <t>274351215R00</t>
  </si>
  <si>
    <t>274351216R00</t>
  </si>
  <si>
    <t>278320040RAA</t>
  </si>
  <si>
    <t>274314811R00</t>
  </si>
  <si>
    <t>274272110RT5</t>
  </si>
  <si>
    <t>274272120RT5</t>
  </si>
  <si>
    <t>274272160RTR</t>
  </si>
  <si>
    <t>274272150RT5</t>
  </si>
  <si>
    <t>274272160RT5</t>
  </si>
  <si>
    <t>289971211R00</t>
  </si>
  <si>
    <t>69366199</t>
  </si>
  <si>
    <t>69366198</t>
  </si>
  <si>
    <t>311361821R00</t>
  </si>
  <si>
    <t>311271178R0R</t>
  </si>
  <si>
    <t>311238123R00</t>
  </si>
  <si>
    <t>279323411R00</t>
  </si>
  <si>
    <t>311321411R00</t>
  </si>
  <si>
    <t>311351105R00</t>
  </si>
  <si>
    <t>311351106R00</t>
  </si>
  <si>
    <t>311271177R00</t>
  </si>
  <si>
    <t>317121047RT3</t>
  </si>
  <si>
    <t>317121047RT4</t>
  </si>
  <si>
    <t>317121044RT7</t>
  </si>
  <si>
    <t>317120044RAC</t>
  </si>
  <si>
    <t>317941121R00</t>
  </si>
  <si>
    <t>13335590</t>
  </si>
  <si>
    <t>13233662</t>
  </si>
  <si>
    <t>317941123RU6</t>
  </si>
  <si>
    <t>317121101R00</t>
  </si>
  <si>
    <t>59321114.A</t>
  </si>
  <si>
    <t>317121102R00</t>
  </si>
  <si>
    <t>59321141</t>
  </si>
  <si>
    <t>59321115.A</t>
  </si>
  <si>
    <t>59321116.A</t>
  </si>
  <si>
    <t>59321228.A</t>
  </si>
  <si>
    <t>59321229.A</t>
  </si>
  <si>
    <t>317121103R00</t>
  </si>
  <si>
    <t>59321231.A</t>
  </si>
  <si>
    <t>59321118.A</t>
  </si>
  <si>
    <t>59321215</t>
  </si>
  <si>
    <t>311271114R00</t>
  </si>
  <si>
    <t>311271176RT6</t>
  </si>
  <si>
    <t>327321114R00</t>
  </si>
  <si>
    <t>327361007R00</t>
  </si>
  <si>
    <t>327351211R00</t>
  </si>
  <si>
    <t>327351221R00</t>
  </si>
  <si>
    <t>331361821R00</t>
  </si>
  <si>
    <t>331351101R00</t>
  </si>
  <si>
    <t>331351102R00</t>
  </si>
  <si>
    <t>332351101R00</t>
  </si>
  <si>
    <t>332351102R00</t>
  </si>
  <si>
    <t>330321411R00</t>
  </si>
  <si>
    <t>330321410R00</t>
  </si>
  <si>
    <t>334121111R00</t>
  </si>
  <si>
    <t>5938455R</t>
  </si>
  <si>
    <t>5938454R</t>
  </si>
  <si>
    <t>342255024R00</t>
  </si>
  <si>
    <t>342255026R00</t>
  </si>
  <si>
    <t>342255028R00</t>
  </si>
  <si>
    <t>342255032R00</t>
  </si>
  <si>
    <t>346275113R00</t>
  </si>
  <si>
    <t>346275115R00</t>
  </si>
  <si>
    <t>346275116R00</t>
  </si>
  <si>
    <t>342248120R00</t>
  </si>
  <si>
    <t>342261211RS3</t>
  </si>
  <si>
    <t>342262411RSR</t>
  </si>
  <si>
    <t>347016123R0R</t>
  </si>
  <si>
    <t>347016124R0R</t>
  </si>
  <si>
    <t>347016125R0R</t>
  </si>
  <si>
    <t>342091043R00</t>
  </si>
  <si>
    <t>342948112R00</t>
  </si>
  <si>
    <t>389381001R00</t>
  </si>
  <si>
    <t>953802325R0R</t>
  </si>
  <si>
    <t>382127832R0R</t>
  </si>
  <si>
    <t>388996141R00</t>
  </si>
  <si>
    <t>390996141R00</t>
  </si>
  <si>
    <t>411321414R00</t>
  </si>
  <si>
    <t>411354256R00</t>
  </si>
  <si>
    <t>411351101R00</t>
  </si>
  <si>
    <t>411351102R00</t>
  </si>
  <si>
    <t>411354175R00</t>
  </si>
  <si>
    <t>411354176R00</t>
  </si>
  <si>
    <t>411361821R00</t>
  </si>
  <si>
    <t>411361921R00</t>
  </si>
  <si>
    <t>413321414R00</t>
  </si>
  <si>
    <t>413361821R00</t>
  </si>
  <si>
    <t>411352101R00</t>
  </si>
  <si>
    <t>411352102R00</t>
  </si>
  <si>
    <t>413351107R00</t>
  </si>
  <si>
    <t>413351108R00</t>
  </si>
  <si>
    <t>413351215R00</t>
  </si>
  <si>
    <t>413351216R00</t>
  </si>
  <si>
    <t>416021125R00</t>
  </si>
  <si>
    <t>416021123R00</t>
  </si>
  <si>
    <t>416111126R0R</t>
  </si>
  <si>
    <t>416021126R00</t>
  </si>
  <si>
    <t>416093145R00</t>
  </si>
  <si>
    <t>416093146R0R</t>
  </si>
  <si>
    <t>416093147R00</t>
  </si>
  <si>
    <t>416093148R00</t>
  </si>
  <si>
    <t>416093149R00</t>
  </si>
  <si>
    <t>411120011RA0</t>
  </si>
  <si>
    <t>411121221RT6</t>
  </si>
  <si>
    <t>430361821R00</t>
  </si>
  <si>
    <t>430361821R0R</t>
  </si>
  <si>
    <t>430321414R00</t>
  </si>
  <si>
    <t>431351121R00</t>
  </si>
  <si>
    <t>431351122R00</t>
  </si>
  <si>
    <t>430320040RAR</t>
  </si>
  <si>
    <t>430320030RAC</t>
  </si>
  <si>
    <t>451535111R00</t>
  </si>
  <si>
    <t>596831111RVR</t>
  </si>
  <si>
    <t>597091111R0R</t>
  </si>
  <si>
    <t>602016193R00</t>
  </si>
  <si>
    <t>602021187RW3</t>
  </si>
  <si>
    <t>602021191R00</t>
  </si>
  <si>
    <t>601016193R00</t>
  </si>
  <si>
    <t>612481211RT2</t>
  </si>
  <si>
    <t>612474611R00</t>
  </si>
  <si>
    <t>612421626R00</t>
  </si>
  <si>
    <t>612474410R00</t>
  </si>
  <si>
    <t>611481211RT2</t>
  </si>
  <si>
    <t>611474410R00</t>
  </si>
  <si>
    <t>622311137RV1</t>
  </si>
  <si>
    <t>622311354R0R</t>
  </si>
  <si>
    <t>622311355R0R</t>
  </si>
  <si>
    <t>622311356R0R</t>
  </si>
  <si>
    <t>622311527RU1</t>
  </si>
  <si>
    <t>622311737RT3</t>
  </si>
  <si>
    <t>622311737RV1</t>
  </si>
  <si>
    <t>622300154R00</t>
  </si>
  <si>
    <t>553927397</t>
  </si>
  <si>
    <t>622391112R00</t>
  </si>
  <si>
    <t>622311111R00</t>
  </si>
  <si>
    <t>622412224R00</t>
  </si>
  <si>
    <t>631312711R00</t>
  </si>
  <si>
    <t>631313711R00</t>
  </si>
  <si>
    <t>631315711R00</t>
  </si>
  <si>
    <t>631319171R00</t>
  </si>
  <si>
    <t>631319173R00</t>
  </si>
  <si>
    <t>631319175R00</t>
  </si>
  <si>
    <t>631345821R00</t>
  </si>
  <si>
    <t>631351101R00</t>
  </si>
  <si>
    <t>631351102R00</t>
  </si>
  <si>
    <t>631361921R00</t>
  </si>
  <si>
    <t>632451021R00</t>
  </si>
  <si>
    <t>631571005R00</t>
  </si>
  <si>
    <t>632921413R00</t>
  </si>
  <si>
    <t>631312611RM1</t>
  </si>
  <si>
    <t>631313611R00</t>
  </si>
  <si>
    <t>631315611R00</t>
  </si>
  <si>
    <t>631312621RM1</t>
  </si>
  <si>
    <t>631313621R00</t>
  </si>
  <si>
    <t>631319151R00</t>
  </si>
  <si>
    <t>631319153R00</t>
  </si>
  <si>
    <t>631319155R00</t>
  </si>
  <si>
    <t>639570010RAR</t>
  </si>
  <si>
    <t>831350111RA0</t>
  </si>
  <si>
    <t>877355121R0R</t>
  </si>
  <si>
    <t>212750010RAB</t>
  </si>
  <si>
    <t>871413121R00</t>
  </si>
  <si>
    <t>28611139.R</t>
  </si>
  <si>
    <t>931961115RR1</t>
  </si>
  <si>
    <t>941955003R00</t>
  </si>
  <si>
    <t>941955004R00</t>
  </si>
  <si>
    <t>944944031R00</t>
  </si>
  <si>
    <t>941941031R00</t>
  </si>
  <si>
    <t>941941111R00</t>
  </si>
  <si>
    <t>941941831R00</t>
  </si>
  <si>
    <t>944944011R00</t>
  </si>
  <si>
    <t>944944081R00</t>
  </si>
  <si>
    <t>952901111R00</t>
  </si>
  <si>
    <t>953941312R00</t>
  </si>
  <si>
    <t>44984124</t>
  </si>
  <si>
    <t>44984142</t>
  </si>
  <si>
    <t>899712111R00</t>
  </si>
  <si>
    <t>278311061R00</t>
  </si>
  <si>
    <t>955311061R0R</t>
  </si>
  <si>
    <t>899712199R00</t>
  </si>
  <si>
    <t>955311999R0R</t>
  </si>
  <si>
    <t>965042241R00</t>
  </si>
  <si>
    <t>965049111R00</t>
  </si>
  <si>
    <t>965081713R00</t>
  </si>
  <si>
    <t>963016152R00</t>
  </si>
  <si>
    <t>962086111R00</t>
  </si>
  <si>
    <t>962086116R00</t>
  </si>
  <si>
    <t>968061125R00</t>
  </si>
  <si>
    <t>968072456R00</t>
  </si>
  <si>
    <t>968062357R00</t>
  </si>
  <si>
    <t>968061112R00</t>
  </si>
  <si>
    <t>962084121R00</t>
  </si>
  <si>
    <t>962022391R00</t>
  </si>
  <si>
    <t>962052211R00</t>
  </si>
  <si>
    <t>961044111R00</t>
  </si>
  <si>
    <t>962032314R00</t>
  </si>
  <si>
    <t>962032231R00</t>
  </si>
  <si>
    <t>963022819R00</t>
  </si>
  <si>
    <t>978041112R00</t>
  </si>
  <si>
    <t>976071111R00</t>
  </si>
  <si>
    <t>970051200R00</t>
  </si>
  <si>
    <t>981011415R0R</t>
  </si>
  <si>
    <t>981011112R00</t>
  </si>
  <si>
    <t>981511114R00</t>
  </si>
  <si>
    <t>998012022R00</t>
  </si>
  <si>
    <t>S</t>
  </si>
  <si>
    <t>979081111R00</t>
  </si>
  <si>
    <t>979081121R00</t>
  </si>
  <si>
    <t>979990201R00</t>
  </si>
  <si>
    <t>979990122R0R</t>
  </si>
  <si>
    <t>979990103R00</t>
  </si>
  <si>
    <t>979990141R0R</t>
  </si>
  <si>
    <t>979990121R00</t>
  </si>
  <si>
    <t>979990162R0R</t>
  </si>
  <si>
    <t>979990108R0R</t>
  </si>
  <si>
    <t>979990107R0R</t>
  </si>
  <si>
    <t>711</t>
  </si>
  <si>
    <t>711491171R00</t>
  </si>
  <si>
    <t>711491172R00</t>
  </si>
  <si>
    <t>711212015R00</t>
  </si>
  <si>
    <t>711471051R00</t>
  </si>
  <si>
    <t>28322026</t>
  </si>
  <si>
    <t>711111001R00</t>
  </si>
  <si>
    <t>11163111</t>
  </si>
  <si>
    <t>711112001R00</t>
  </si>
  <si>
    <t>711141559RT1</t>
  </si>
  <si>
    <t>62852265R</t>
  </si>
  <si>
    <t>62833159</t>
  </si>
  <si>
    <t>711141559RT2</t>
  </si>
  <si>
    <t>62852265</t>
  </si>
  <si>
    <t>711142559RT1</t>
  </si>
  <si>
    <t>711142559RT2</t>
  </si>
  <si>
    <t>711823121RT6</t>
  </si>
  <si>
    <t>711191272R00</t>
  </si>
  <si>
    <t>711403311R00</t>
  </si>
  <si>
    <t>711472051RZR</t>
  </si>
  <si>
    <t>711823111RT2</t>
  </si>
  <si>
    <t>998711202R00</t>
  </si>
  <si>
    <t>712</t>
  </si>
  <si>
    <t>712378103RT2</t>
  </si>
  <si>
    <t>712378104RT2</t>
  </si>
  <si>
    <t>712372111RV3</t>
  </si>
  <si>
    <t>712871801RZR</t>
  </si>
  <si>
    <t>712391172RZ7</t>
  </si>
  <si>
    <t>712311101R00</t>
  </si>
  <si>
    <t>712341559R00</t>
  </si>
  <si>
    <t>628522691</t>
  </si>
  <si>
    <t>712351111RT4</t>
  </si>
  <si>
    <t>712801001R00</t>
  </si>
  <si>
    <t>712800030RA0</t>
  </si>
  <si>
    <t>712391172RZ5</t>
  </si>
  <si>
    <t>712391172RZ6</t>
  </si>
  <si>
    <t>998712202R00</t>
  </si>
  <si>
    <t>713</t>
  </si>
  <si>
    <t>713121121R00</t>
  </si>
  <si>
    <t>28375705</t>
  </si>
  <si>
    <t>713121111R00</t>
  </si>
  <si>
    <t>631514491</t>
  </si>
  <si>
    <t>631514492</t>
  </si>
  <si>
    <t>63151450</t>
  </si>
  <si>
    <t>713191100RT9</t>
  </si>
  <si>
    <t>713131153R00</t>
  </si>
  <si>
    <t>283754918</t>
  </si>
  <si>
    <t>713131131R00</t>
  </si>
  <si>
    <t>713141131R00</t>
  </si>
  <si>
    <t>283755163</t>
  </si>
  <si>
    <t>283758904</t>
  </si>
  <si>
    <t>998713202R00</t>
  </si>
  <si>
    <t>714</t>
  </si>
  <si>
    <t>714183002R00</t>
  </si>
  <si>
    <t>61721211R</t>
  </si>
  <si>
    <t>998714202R00</t>
  </si>
  <si>
    <t>721</t>
  </si>
  <si>
    <t>721242804R00</t>
  </si>
  <si>
    <t>721176117R0R</t>
  </si>
  <si>
    <t>721176118R0R</t>
  </si>
  <si>
    <t>721176119R0R</t>
  </si>
  <si>
    <t>721176115R00</t>
  </si>
  <si>
    <t>721176116R00</t>
  </si>
  <si>
    <t>998721202R00</t>
  </si>
  <si>
    <t>725</t>
  </si>
  <si>
    <t>725292001R0R</t>
  </si>
  <si>
    <t>725292035R00</t>
  </si>
  <si>
    <t>725292011R00</t>
  </si>
  <si>
    <t>725292061R00</t>
  </si>
  <si>
    <t>725299071R00</t>
  </si>
  <si>
    <t>725299072R00</t>
  </si>
  <si>
    <t>725299073R00</t>
  </si>
  <si>
    <t>725299074R00</t>
  </si>
  <si>
    <t>725299075R00</t>
  </si>
  <si>
    <t>725292041R00</t>
  </si>
  <si>
    <t>725292043R00</t>
  </si>
  <si>
    <t>725299076R00</t>
  </si>
  <si>
    <t>725299077R00</t>
  </si>
  <si>
    <t>725299078R00</t>
  </si>
  <si>
    <t>725299079R00</t>
  </si>
  <si>
    <t>725299080R00</t>
  </si>
  <si>
    <t>998725202R00</t>
  </si>
  <si>
    <t>733</t>
  </si>
  <si>
    <t>733121111R00</t>
  </si>
  <si>
    <t>733120815R00</t>
  </si>
  <si>
    <t>998733203R00</t>
  </si>
  <si>
    <t>735</t>
  </si>
  <si>
    <t>735151821R00</t>
  </si>
  <si>
    <t>725640911R00</t>
  </si>
  <si>
    <t>998735202R00</t>
  </si>
  <si>
    <t>762</t>
  </si>
  <si>
    <t>762341220R0R</t>
  </si>
  <si>
    <t>998762202R00</t>
  </si>
  <si>
    <t>764</t>
  </si>
  <si>
    <t>764410401R00</t>
  </si>
  <si>
    <t>764410402R00</t>
  </si>
  <si>
    <t>764410403R00</t>
  </si>
  <si>
    <t>764410404R00</t>
  </si>
  <si>
    <t>764410405R00</t>
  </si>
  <si>
    <t>764410406R00</t>
  </si>
  <si>
    <t>764410407R00</t>
  </si>
  <si>
    <t>764410408R00</t>
  </si>
  <si>
    <t>764410409R00</t>
  </si>
  <si>
    <t>764410410R00</t>
  </si>
  <si>
    <t>764410411R00</t>
  </si>
  <si>
    <t>764410412R00</t>
  </si>
  <si>
    <t>764410413R00</t>
  </si>
  <si>
    <t>764410414R00</t>
  </si>
  <si>
    <t>764410415R00</t>
  </si>
  <si>
    <t>764410416R00</t>
  </si>
  <si>
    <t>764410417R00</t>
  </si>
  <si>
    <t>764410418R00</t>
  </si>
  <si>
    <t>764410420R00</t>
  </si>
  <si>
    <t>764451802R00</t>
  </si>
  <si>
    <t>998764202R00</t>
  </si>
  <si>
    <t>765</t>
  </si>
  <si>
    <t>765321810R00</t>
  </si>
  <si>
    <t>766</t>
  </si>
  <si>
    <t>766412123R0R</t>
  </si>
  <si>
    <t>766694112R00</t>
  </si>
  <si>
    <t>60775371</t>
  </si>
  <si>
    <t>60775373</t>
  </si>
  <si>
    <t>766694113R00</t>
  </si>
  <si>
    <t>766694122R00</t>
  </si>
  <si>
    <t>60775376</t>
  </si>
  <si>
    <t>766812111R0R</t>
  </si>
  <si>
    <t>766812112R0R</t>
  </si>
  <si>
    <t>766825111R0R</t>
  </si>
  <si>
    <t>766825112R0R</t>
  </si>
  <si>
    <t>766825113R0R</t>
  </si>
  <si>
    <t>766825114R0R</t>
  </si>
  <si>
    <t>766825115R0R</t>
  </si>
  <si>
    <t>766825116R0R</t>
  </si>
  <si>
    <t>766825117R0R</t>
  </si>
  <si>
    <t>766825118R0R</t>
  </si>
  <si>
    <t>766825119R0R</t>
  </si>
  <si>
    <t>766825120R0R</t>
  </si>
  <si>
    <t>766825121R0R</t>
  </si>
  <si>
    <t>766825122R0R</t>
  </si>
  <si>
    <t>766825123R0R</t>
  </si>
  <si>
    <t>766825124R0R</t>
  </si>
  <si>
    <t>766825125R0R</t>
  </si>
  <si>
    <t>998766202R00</t>
  </si>
  <si>
    <t>767</t>
  </si>
  <si>
    <t>767586204RVR</t>
  </si>
  <si>
    <t>767586205RVR</t>
  </si>
  <si>
    <t>767586201RUR</t>
  </si>
  <si>
    <t>767586201RTR</t>
  </si>
  <si>
    <t>767590110R0R</t>
  </si>
  <si>
    <t>767590111R0R</t>
  </si>
  <si>
    <t>767590112R0R</t>
  </si>
  <si>
    <t>767590113R0R</t>
  </si>
  <si>
    <t>767590114R0R</t>
  </si>
  <si>
    <t>767590115R0R</t>
  </si>
  <si>
    <t>767590116R0R</t>
  </si>
  <si>
    <t>767590117R0R</t>
  </si>
  <si>
    <t>767590118R0R</t>
  </si>
  <si>
    <t>767590119R0R</t>
  </si>
  <si>
    <t>767590120R0R</t>
  </si>
  <si>
    <t>767590121R0R</t>
  </si>
  <si>
    <t>767590122R0R</t>
  </si>
  <si>
    <t>767590123R0R</t>
  </si>
  <si>
    <t>767590124R0R</t>
  </si>
  <si>
    <t>767590125R0R</t>
  </si>
  <si>
    <t>767590126R0R</t>
  </si>
  <si>
    <t>767590127R0R</t>
  </si>
  <si>
    <t>767590128R0R</t>
  </si>
  <si>
    <t>767590129R0R</t>
  </si>
  <si>
    <t>767590130R0R</t>
  </si>
  <si>
    <t>767590131R0R</t>
  </si>
  <si>
    <t>767590132R0R</t>
  </si>
  <si>
    <t>767590133R0R</t>
  </si>
  <si>
    <t>767590134R0R</t>
  </si>
  <si>
    <t>767590135R0R</t>
  </si>
  <si>
    <t>767590136R0R</t>
  </si>
  <si>
    <t>767590137R0R</t>
  </si>
  <si>
    <t>767590138R0R</t>
  </si>
  <si>
    <t>767590139R0R</t>
  </si>
  <si>
    <t>767590140R0R</t>
  </si>
  <si>
    <t>767590141R0R</t>
  </si>
  <si>
    <t>767590142R0R</t>
  </si>
  <si>
    <t>767590143R0R</t>
  </si>
  <si>
    <t>767590144R0R</t>
  </si>
  <si>
    <t>767590145R0R</t>
  </si>
  <si>
    <t>767590146R0R</t>
  </si>
  <si>
    <t>767590147R0R</t>
  </si>
  <si>
    <t>767590148R0R</t>
  </si>
  <si>
    <t>767590149R0R</t>
  </si>
  <si>
    <t>767590150R0R</t>
  </si>
  <si>
    <t>767590151R0R</t>
  </si>
  <si>
    <t>767590152R0R</t>
  </si>
  <si>
    <t>767590153R0R</t>
  </si>
  <si>
    <t>767590154R0R</t>
  </si>
  <si>
    <t>767590155R0R</t>
  </si>
  <si>
    <t>767590156R0R</t>
  </si>
  <si>
    <t>767590157R0R</t>
  </si>
  <si>
    <t>767590158R0R</t>
  </si>
  <si>
    <t>767590159R0R</t>
  </si>
  <si>
    <t>767590160R0R</t>
  </si>
  <si>
    <t>767590161R0R</t>
  </si>
  <si>
    <t>767590162R0R</t>
  </si>
  <si>
    <t>767590163R0R</t>
  </si>
  <si>
    <t>767590164R0R</t>
  </si>
  <si>
    <t>767590165R0R</t>
  </si>
  <si>
    <t>767590166R0R</t>
  </si>
  <si>
    <t>767427411R0R</t>
  </si>
  <si>
    <t>767427412RT1</t>
  </si>
  <si>
    <t>767427361R0R</t>
  </si>
  <si>
    <t>767427362R0R</t>
  </si>
  <si>
    <t>767427363R0R</t>
  </si>
  <si>
    <t>767920820R00</t>
  </si>
  <si>
    <t>767900040RA0</t>
  </si>
  <si>
    <t>998767202R00</t>
  </si>
  <si>
    <t>766VD</t>
  </si>
  <si>
    <t>766766661101VD</t>
  </si>
  <si>
    <t>766766661102VD</t>
  </si>
  <si>
    <t>766766661103VD</t>
  </si>
  <si>
    <t>766766661104VD</t>
  </si>
  <si>
    <t>766766661105VD</t>
  </si>
  <si>
    <t>766766661106VD</t>
  </si>
  <si>
    <t>766766661107VD</t>
  </si>
  <si>
    <t>766766661108VD</t>
  </si>
  <si>
    <t>766766661109VD</t>
  </si>
  <si>
    <t>766766661110VD</t>
  </si>
  <si>
    <t>766766661111VD</t>
  </si>
  <si>
    <t>766766661112VD</t>
  </si>
  <si>
    <t>766766661113VD</t>
  </si>
  <si>
    <t>766766661114VD</t>
  </si>
  <si>
    <t>766766661115VD</t>
  </si>
  <si>
    <t>766766661116VD</t>
  </si>
  <si>
    <t>766766661117VD</t>
  </si>
  <si>
    <t>766766661118VD</t>
  </si>
  <si>
    <t>766766661119VD</t>
  </si>
  <si>
    <t>766766661120VD</t>
  </si>
  <si>
    <t>766766661121VD</t>
  </si>
  <si>
    <t>766766661122VD</t>
  </si>
  <si>
    <t>766766661123VD</t>
  </si>
  <si>
    <t>766766661124VD</t>
  </si>
  <si>
    <t>766766661125VD</t>
  </si>
  <si>
    <t>766766661126VD</t>
  </si>
  <si>
    <t>766766661127VD</t>
  </si>
  <si>
    <t>766766661128VD</t>
  </si>
  <si>
    <t>766766661129VD</t>
  </si>
  <si>
    <t>766766661130VD</t>
  </si>
  <si>
    <t>766766661131VD</t>
  </si>
  <si>
    <t>766766661132VD</t>
  </si>
  <si>
    <t>766766661133VD</t>
  </si>
  <si>
    <t>766766661140VD</t>
  </si>
  <si>
    <t>766766661141VD</t>
  </si>
  <si>
    <t>766766661142VD</t>
  </si>
  <si>
    <t>766766661143VD</t>
  </si>
  <si>
    <t>766766661144VD</t>
  </si>
  <si>
    <t>766766661145VD</t>
  </si>
  <si>
    <t>766766661146VD</t>
  </si>
  <si>
    <t>766766661147VD</t>
  </si>
  <si>
    <t>766766661148VD</t>
  </si>
  <si>
    <t>766766661149VD</t>
  </si>
  <si>
    <t>766766661150VD</t>
  </si>
  <si>
    <t>766766661151VD</t>
  </si>
  <si>
    <t>766766661152VD</t>
  </si>
  <si>
    <t>766766661153VD</t>
  </si>
  <si>
    <t>766766661154VD</t>
  </si>
  <si>
    <t>766766661155VD</t>
  </si>
  <si>
    <t>766766661156VD</t>
  </si>
  <si>
    <t>766766661157VD</t>
  </si>
  <si>
    <t>766766661158VD</t>
  </si>
  <si>
    <t>766766661159VD</t>
  </si>
  <si>
    <t>766766661160VD</t>
  </si>
  <si>
    <t>766766661170VD</t>
  </si>
  <si>
    <t>768VD</t>
  </si>
  <si>
    <t>768000001VD</t>
  </si>
  <si>
    <t>768000002VD</t>
  </si>
  <si>
    <t>768000003VD</t>
  </si>
  <si>
    <t>768000004VD</t>
  </si>
  <si>
    <t>768000005VD</t>
  </si>
  <si>
    <t>768000006VD</t>
  </si>
  <si>
    <t>768000007VD</t>
  </si>
  <si>
    <t>768000008VD</t>
  </si>
  <si>
    <t>768000009VD</t>
  </si>
  <si>
    <t>768000010VD</t>
  </si>
  <si>
    <t>768000011VD</t>
  </si>
  <si>
    <t>768000012VD</t>
  </si>
  <si>
    <t>768000013VD</t>
  </si>
  <si>
    <t>768000014VD</t>
  </si>
  <si>
    <t>768000015VD</t>
  </si>
  <si>
    <t>768000016VD</t>
  </si>
  <si>
    <t>768000017VD</t>
  </si>
  <si>
    <t>768000018VD</t>
  </si>
  <si>
    <t>768000019VD</t>
  </si>
  <si>
    <t>768000020VD</t>
  </si>
  <si>
    <t>768000022VD</t>
  </si>
  <si>
    <t>768000025VD</t>
  </si>
  <si>
    <t>768000026VD</t>
  </si>
  <si>
    <t>768000027VD</t>
  </si>
  <si>
    <t>768000028VD</t>
  </si>
  <si>
    <t>768000030VD</t>
  </si>
  <si>
    <t>768000031VD</t>
  </si>
  <si>
    <t>768000032VD</t>
  </si>
  <si>
    <t>768000033VD</t>
  </si>
  <si>
    <t>768000040VD</t>
  </si>
  <si>
    <t>768000041VD</t>
  </si>
  <si>
    <t>768000042VD</t>
  </si>
  <si>
    <t>768000043VD</t>
  </si>
  <si>
    <t>771</t>
  </si>
  <si>
    <t>771101210R00</t>
  </si>
  <si>
    <t>771575101RUR</t>
  </si>
  <si>
    <t>597643011</t>
  </si>
  <si>
    <t>597642020</t>
  </si>
  <si>
    <t>597642055R</t>
  </si>
  <si>
    <t>597623082</t>
  </si>
  <si>
    <t>771475014RT6</t>
  </si>
  <si>
    <t>597623082R</t>
  </si>
  <si>
    <t>998771202R00</t>
  </si>
  <si>
    <t>776</t>
  </si>
  <si>
    <t>776101115R0R</t>
  </si>
  <si>
    <t>776101121R0R</t>
  </si>
  <si>
    <t>776421100RU1</t>
  </si>
  <si>
    <t>776521100R00</t>
  </si>
  <si>
    <t>28412391R</t>
  </si>
  <si>
    <t>998776202R00</t>
  </si>
  <si>
    <t>777</t>
  </si>
  <si>
    <t>777116041R0R</t>
  </si>
  <si>
    <t>998777202R00</t>
  </si>
  <si>
    <t>781</t>
  </si>
  <si>
    <t>781475112RUR</t>
  </si>
  <si>
    <t>597623081R</t>
  </si>
  <si>
    <t>597623083R</t>
  </si>
  <si>
    <t>781101210R00</t>
  </si>
  <si>
    <t>781101142R00</t>
  </si>
  <si>
    <t>24551191</t>
  </si>
  <si>
    <t>781240131R00</t>
  </si>
  <si>
    <t>998781202R00</t>
  </si>
  <si>
    <t>782</t>
  </si>
  <si>
    <t>782131140RVR</t>
  </si>
  <si>
    <t>998782202R00</t>
  </si>
  <si>
    <t>783</t>
  </si>
  <si>
    <t>783323230R00</t>
  </si>
  <si>
    <t>784</t>
  </si>
  <si>
    <t>784111101R00</t>
  </si>
  <si>
    <t>784115312R00</t>
  </si>
  <si>
    <t>784114222R00</t>
  </si>
  <si>
    <t>784114222R0R</t>
  </si>
  <si>
    <t>786</t>
  </si>
  <si>
    <t>786623111R0R</t>
  </si>
  <si>
    <t>787</t>
  </si>
  <si>
    <t>787911111R00</t>
  </si>
  <si>
    <t>63465124</t>
  </si>
  <si>
    <t>M33</t>
  </si>
  <si>
    <t>330030010RAR</t>
  </si>
  <si>
    <t>330030011RAR</t>
  </si>
  <si>
    <t>330030012RAR</t>
  </si>
  <si>
    <t>330030013RAR</t>
  </si>
  <si>
    <t>Zkrácený popis / Varianta</t>
  </si>
  <si>
    <t>Rozmìry</t>
  </si>
  <si>
    <t>HSV</t>
  </si>
  <si>
    <t>Prípravné a pridružené práce</t>
  </si>
  <si>
    <t xml:space="preserve">Postupné kácení se spouštením cástí dreviny - lípa srdcitá, obvod kmene: 	</t>
  </si>
  <si>
    <t>Postupné kácení bez nutnosti spouštení cástí dreviny - smrk ztepilý, obvod</t>
  </si>
  <si>
    <t>kmene: 113cm, cena vcetne ekologické likvidace bioodpadu</t>
  </si>
  <si>
    <t>Postupné kácení bez nutnosti spouštení cástí dreviny - trešen ptací, cena vcetne</t>
  </si>
  <si>
    <t>ekologické likvidace bioodpadu</t>
  </si>
  <si>
    <t>Kácení v celých délkách dreviny - bríza belokorá, cena vcetne ekologické</t>
  </si>
  <si>
    <t>likvidace bioodpadu</t>
  </si>
  <si>
    <t>Kácení 5ks mladých drevin, obvod kmene cca 20cm, cena vcetne ekologické</t>
  </si>
  <si>
    <t>Odstranení kerové skupiny za lípou, plocha cca 30m2, cena vcetne ekologické</t>
  </si>
  <si>
    <t>Odstranení kerové skupiny za jídelnou, plocha cca 18m2, cena vcetne ekologické</t>
  </si>
  <si>
    <t>Odstranení kerové skupiny k ulici Jánská, plocha cca 39m2, cena ekologické</t>
  </si>
  <si>
    <t>Odstranení popínavé rostliny z oplocení, cca 25bm, vcetne ekologické</t>
  </si>
  <si>
    <t>Zrízení ochrany dreviny pri stavební cinnosti - jírovec madal - ochrana kmene a</t>
  </si>
  <si>
    <t>kosterních vetví docasným oplocením</t>
  </si>
  <si>
    <t>Rez dreviny - vrba kroucená - redukce sekundárních výhonu</t>
  </si>
  <si>
    <t>Zrízení ochrany dreviny pri stavební cinnosti - vrba kroucená - ochrana kmene docasným oplocením</t>
  </si>
  <si>
    <t>Náhradní výsadba - Tilia cordata o velikosti alespon 100 cm</t>
  </si>
  <si>
    <t>Odstranení  trub do DN 150 mm, ve výkopu</t>
  </si>
  <si>
    <t>Vybourání a likvidace topenárského kanálu mezi stávající jídelnou a školou</t>
  </si>
  <si>
    <t xml:space="preserve">Predpokládá se, že kanál má vnitrní rozmer 900 x 600mm.  Predpokládaná skladba kanálu:_x000D_
"	ŽB žlab o vnejším rozmeru 1400 x 850mm, tl. steny 250mm_x000D_
"	Žlab je zakrytý PZD deskou tl 90mm, délky 1190mm a šírky 290mm_x000D_
"	Kanál je odizolován  asfaltovou izolací - 2x IPA tl. 4mm_x000D_
"	Pod kanálem je provedena podkladní betonová deska tl. 100mm s presahem 200mm na každou stranu - šíre je tedy 1800mm_x000D_
"	Po bocích je provedena ochranná zdená prizdívka z plných keramických cihel tl 140mm_x000D_
"	Z horní strany je kanál ochránen  prebetonováním deskou tl. 150mm _x000D_
"	Soucásti kanálu jsou dle sdelení rozvody plynu, vody, topení a elektro prípojky - tyto rozvody je nutné pred bouráním odpojit a zaslepit:_x000D_
"	Zrušení stávající prípojky elektro, odpojení v rozvadecích a zrušení jisticu. Odhad likvidace rozvodu elektro - 50m_x000D_
"	Odpojení potrubí vodovodu a zaslepení na nejbližší odbocce.  Odhad likvidace potrubí - 50m._x000D_
"	Odpojení potrubí plynovodu a zaslepení na nejbližší odbocce.  Odhad likvidace potrubí - 50m._x000D_
"	Odpojení potrubí vytáp?ní a zaslepení na nejbližší odbocce.  Odhad likvidace potrubí - 50m._x000D_
</t>
  </si>
  <si>
    <t>Odstranení stávajících zpevnených ploch pl.nad 50 m2, tl.10 cm</t>
  </si>
  <si>
    <t>afalt, dlažba, kamenivo, zemina</t>
  </si>
  <si>
    <t>Odkopávky a prokopávky</t>
  </si>
  <si>
    <t>Sejmutí ornice s premístením do 50 m</t>
  </si>
  <si>
    <t>Odkopávky nezapažené v hor. 1-2 do 100 m3</t>
  </si>
  <si>
    <t>Hloubené vykopávky</t>
  </si>
  <si>
    <t>Rucní výkop jam, rýh a šachet v hornine tr. 3</t>
  </si>
  <si>
    <t>Hloubení. jam hor.1-2 do 10000 m3, STROJNE</t>
  </si>
  <si>
    <t>Roubení</t>
  </si>
  <si>
    <t>Záporová pažící stena, kompletní provedení - dle popisu v pd (viz statická cást projektu)</t>
  </si>
  <si>
    <t>Premístení výkopku</t>
  </si>
  <si>
    <t>Vodorovné premístení výkopku z hor.1-4 do 50 m</t>
  </si>
  <si>
    <t>Nakládání výkopku z hor.1-4 v množství nad 100 m3</t>
  </si>
  <si>
    <t>Konstrukce ze zemin</t>
  </si>
  <si>
    <t>Zásyp rucní se zhutnením</t>
  </si>
  <si>
    <t>Zásyp jam, rýh, šachet se zhutnením</t>
  </si>
  <si>
    <t>Uprava podloží a základové spáry</t>
  </si>
  <si>
    <t>Lože trativodu z kameniva hrub.drceného,16-32 mm</t>
  </si>
  <si>
    <t>Montáž trativodu z flexibilních trubek (odvetrání radonu)</t>
  </si>
  <si>
    <t>Trubka PVC perforovaná d 100 mm</t>
  </si>
  <si>
    <t>Trubka PVC perforovaná d 80 mm</t>
  </si>
  <si>
    <t>Piloty</t>
  </si>
  <si>
    <t>Výztuž pilot betonovaných do zeme z oceli 10505(R)</t>
  </si>
  <si>
    <t>Zrízení pilot,vytaž.pažnic, z ŽB do 20 m, D 1250mm</t>
  </si>
  <si>
    <t>Výpln pilot z ŽB C25/30 XC2, cem.portland. se susp</t>
  </si>
  <si>
    <t>Vrty</t>
  </si>
  <si>
    <t>Vrty zapažené do 1250 mm hl.do 20 m hor.3</t>
  </si>
  <si>
    <t>Základy</t>
  </si>
  <si>
    <t>Výztuž základových konstrukcí z beton. oceli 10505 (R)</t>
  </si>
  <si>
    <t>Železobeton základ. desek vodostavební C 25/30 XC2</t>
  </si>
  <si>
    <t>Bednení sten základových desek - zrízení</t>
  </si>
  <si>
    <t>Bednení sten základových desek - odstranení</t>
  </si>
  <si>
    <t>Zákl. patky z betonu železového vodostaveb.C 25/30 XC2</t>
  </si>
  <si>
    <t>Bednení sten základových patek - zrízení</t>
  </si>
  <si>
    <t>Bednení sten základových patek - odstranení</t>
  </si>
  <si>
    <t>Železobeton základ. pasù vodostavební C25/30 XC2</t>
  </si>
  <si>
    <t>Bednení sten základových pasu - zrízení</t>
  </si>
  <si>
    <t>Bednení sten základových pasu - odstranení</t>
  </si>
  <si>
    <t>Základy pod stroje a zarízení ŽB z betonu C 20/25</t>
  </si>
  <si>
    <t>výztuž 120 kg/m3, objem 5 m3,kompletní provedení</t>
  </si>
  <si>
    <t>Beton základ. pasu prostý C 35/45 XD3</t>
  </si>
  <si>
    <t>Zdivo základové z bednicích tvárnic, tl. 15 cm</t>
  </si>
  <si>
    <t>výpln tvárnic betonem C 25/30</t>
  </si>
  <si>
    <t>Zdivo základové z bednicích tvárnic, tl. 20 cm</t>
  </si>
  <si>
    <t>Zdivo základové z bednicích tvárnic, tl. 30 cm</t>
  </si>
  <si>
    <t>výpln tvárnic betonem C 35/45 XD3</t>
  </si>
  <si>
    <t>Zdivo základové z bednicích tvárnic, tl. 40 cm</t>
  </si>
  <si>
    <t>Zdivo základové z bednicích tvárnic, tl. 50 cm</t>
  </si>
  <si>
    <t>Zpevnování hornin a konstrukcí</t>
  </si>
  <si>
    <t>Zøízení vrstvy z geotextilie</t>
  </si>
  <si>
    <t>Geotextilie 500 g/m2</t>
  </si>
  <si>
    <t>Geotextilie 300 g/m2</t>
  </si>
  <si>
    <t>Zdi podperné a volné</t>
  </si>
  <si>
    <t>Výztuž nadzáklad. zdí z betonárské oceli 10505 (R)</t>
  </si>
  <si>
    <t>Zdivo z tvárnic porobetonových tl. 40 cm P4 - 550</t>
  </si>
  <si>
    <t>Železobeton základ. zdí vodostavební C 25/30 XC2</t>
  </si>
  <si>
    <t>Železobeton nadzákladových zdí C 25/30 XC1</t>
  </si>
  <si>
    <t>Bednení nadzákladových zdí oboustranné - zrízení</t>
  </si>
  <si>
    <t>Bednení nadzákladových zdí oboustranné-odstranení</t>
  </si>
  <si>
    <t>Zdivo z tvárnic porobetonových tl. 30 cm P4 - 550</t>
  </si>
  <si>
    <t>Preklad nenosný pórobeton, svetlost otv. do 105 cm</t>
  </si>
  <si>
    <t>preklad nenosný NEP 12,5 P4,4 124 x 24,9 x 12,5 cm</t>
  </si>
  <si>
    <t>preklad nenosný NEP 15 P4,4 124 x 24,9 x 15 cm</t>
  </si>
  <si>
    <t>Preklad nosný pórobeton, svetlost otv. do 180 cm</t>
  </si>
  <si>
    <t>preklad nosný 149 x 24,9 x 20 cm</t>
  </si>
  <si>
    <t>Preklad nosný pórobeton, otvor šírky do 180 cm</t>
  </si>
  <si>
    <t>preklad 199 x 24,9 x 20 cm</t>
  </si>
  <si>
    <t>Osazení ocelových válcovaných nosníku do c.12</t>
  </si>
  <si>
    <t>Uhelník nerovnoramenný L jakost S235 80x40x6 mm</t>
  </si>
  <si>
    <t>Uhelník nerovnoramenný L jakost S235  50x30x4 mm</t>
  </si>
  <si>
    <t>Osazení ocelových válcovaných nosníku  c.14-22</t>
  </si>
  <si>
    <t>vcetne dodávky profilu U c.22</t>
  </si>
  <si>
    <t>Osazení prekladu svetlost otvoru do 105 cm</t>
  </si>
  <si>
    <t>Preklad železobetonový RZP 119/12/24 V</t>
  </si>
  <si>
    <t>Osazení prekladu svetlost otvoru do 180 cm</t>
  </si>
  <si>
    <t>Preklad železobetonový RZP 149x24x19 P</t>
  </si>
  <si>
    <t>Preklad železobetonový RZP 149/12/24 V</t>
  </si>
  <si>
    <t>Preklad železobetonový RZP 179/12/24 V</t>
  </si>
  <si>
    <t>Pøeklad železobetonový RZP 149/14/24 V</t>
  </si>
  <si>
    <t>Preklad železobetonový RZP 179/14/24 V</t>
  </si>
  <si>
    <t>Osazení prekladu svetlost otvoru do 375 cm</t>
  </si>
  <si>
    <t>Preklad železobetonový RZP 239/14/24 V</t>
  </si>
  <si>
    <t>Preklad železobetonový RZP 239/12/24 V</t>
  </si>
  <si>
    <t>Preklad železobetonový RZP 284/14/14 V</t>
  </si>
  <si>
    <t>Zdivo nosné z cihel vápenopísk. - oplocení</t>
  </si>
  <si>
    <t>Zdivo z tvárnic porobetonových hladkých tl. 25 cm</t>
  </si>
  <si>
    <t>Zdi prehradní a operné</t>
  </si>
  <si>
    <t>Operné zdi z bet. železového C 25/30 XC2</t>
  </si>
  <si>
    <t>Výztuž zdí a valu z oceli 10 505 (R)</t>
  </si>
  <si>
    <t>Bednení zdí a valu H do 20 m - zrízení</t>
  </si>
  <si>
    <t>Bednení zdí a valu H do 20 m - odbednení</t>
  </si>
  <si>
    <t>Sloupy a pilíre, stožáry a rámové stojky</t>
  </si>
  <si>
    <t>Výztuž sloupu z betonár. oceli 10505 (R)</t>
  </si>
  <si>
    <t>Bednení sloupu ctyruhelníkového prurezu - zrízení</t>
  </si>
  <si>
    <t>Bednení sloupu ctyruhelníkového prurezu-odstranení</t>
  </si>
  <si>
    <t>Bednení sloupu oblých - zrízení</t>
  </si>
  <si>
    <t>Bednení sloupu oblých - odstranení</t>
  </si>
  <si>
    <t>Beton sloupu a pilíru železový C 30/37 XC1</t>
  </si>
  <si>
    <t>Beton sloupu a pilíru železový C 25/30</t>
  </si>
  <si>
    <t>Osazení prefabrikovaných oper z ŽB do 5 t</t>
  </si>
  <si>
    <t>Díl operné zdi L 180/105</t>
  </si>
  <si>
    <t>Díl operné zdi L 130/80</t>
  </si>
  <si>
    <t>Steny a prícky</t>
  </si>
  <si>
    <t>Prícky z desek porobetonových tl. 10 cm P4-550</t>
  </si>
  <si>
    <t>Prícky z desek porobetonových tl. 12,5 cm P4-550</t>
  </si>
  <si>
    <t>Prícky z desek porobetonových tl. 15 cm P4-550</t>
  </si>
  <si>
    <t>Prícky z desek porobetonových tl. 20 cm P4-550</t>
  </si>
  <si>
    <t>Prizdívky z desek porobetonových tl. 100 mm P4 - 550</t>
  </si>
  <si>
    <t>Prizdívky z desek porobetonových tl. 150 mm P4 - 550</t>
  </si>
  <si>
    <t>Prizdívky z desek porobetonových tl. 200 mm P4 - 550</t>
  </si>
  <si>
    <t>SDK1 - Prícka sádrokarton. ocel.kce, 2x oplášt. tl.100 mm</t>
  </si>
  <si>
    <t>desky standard impreg. tl. 12,5 mm, vc. tmelení a broušení</t>
  </si>
  <si>
    <t>SDk2 - Prícka SDK instalacní 2x OK, 2x opl. tl. 300 mm</t>
  </si>
  <si>
    <t>desky standard impreg.tl.12,5 mm, vc. tmelení a broušení</t>
  </si>
  <si>
    <t>SDK3 - Predstena SDK, tl.125mm,ocel. kce CW,UW 100, 2x desky impregnované 12,5mm, vc. tmelení a broušení</t>
  </si>
  <si>
    <t>SDK4 - Predstena SDK, tl.75mm,ocel. kce CW,UW 50, 2x desky impregnované 12,5mm, vc. tmelení a broušení</t>
  </si>
  <si>
    <t>SDK5 - Predstena SDK, vc. tmelení a broušení</t>
  </si>
  <si>
    <t>Príplatek za nestandardní povrchovou upravu Q3</t>
  </si>
  <si>
    <t>Ukotvení prícek k beton.kcím pristrelenými kotvami</t>
  </si>
  <si>
    <t>Ruzné kompletní konstrukce nedelitelné do stav. dílu</t>
  </si>
  <si>
    <t>Dobetonování prefabrikovaných konstrukcí</t>
  </si>
  <si>
    <t>M+D  - Ocelová konstrukce ocelové lávky, kompletní provedení vc. povrchu - dle popisu v pd (viz v.c. D12.204+205)</t>
  </si>
  <si>
    <t>vc. kotvení KD1</t>
  </si>
  <si>
    <t>O14 - Chránicka z HDPE, komplet - dle popisu v pd (viz tab. ost. v.)</t>
  </si>
  <si>
    <t>Demontáž a zpetná montáž prvku mobiliáre, komplet (podrobný popis viz tz)</t>
  </si>
  <si>
    <t>Demontáž a po provedení prací opetovná montáž herního vybavení a mobiliáre parku:_x000D_
o	2x Osmistranná lavice_x000D_
o	Drevený had_x000D_
o	Drevený krokodýl_x000D_
o	Lávka pro deti_x000D_
o	Lavicky_x000D_
Pokud budou behem prací poškozeny základy techto prvku budou obnoveny. Proto budou soucástí ceny i nové základy.</t>
  </si>
  <si>
    <t>Stropy a stropní konstrukce (pro pozemní stavby)</t>
  </si>
  <si>
    <t>Stropy deskové ze železobetonu C 25/30 XC1</t>
  </si>
  <si>
    <t>Bednení stropu plech pozink. vlna 60 mm tl. 0,88 mm</t>
  </si>
  <si>
    <t>Bednení stropu deskových, bednení vlastní -zrízení</t>
  </si>
  <si>
    <t>Bednení stropu deskových, vlastní - odstranení</t>
  </si>
  <si>
    <t>Podperná konstr. stropu - zrízení</t>
  </si>
  <si>
    <t>Podperná konstr. stropu - odstranení</t>
  </si>
  <si>
    <t>Výztuž stropu z betonárské oceli 10505(R)</t>
  </si>
  <si>
    <t>Výztuž stropu svarovanou sítí</t>
  </si>
  <si>
    <t>Nosníky z betonu železového C 25/30</t>
  </si>
  <si>
    <t>Výztuž nosníku z betonárské oceli 10505(R)</t>
  </si>
  <si>
    <t>Bednení  hlavic pravoúhlých - zrízení</t>
  </si>
  <si>
    <t>Bednení hlavic pravouhlých - odstranení</t>
  </si>
  <si>
    <t>Bednení nosníku - zrízení</t>
  </si>
  <si>
    <t>Bednení nosníku - odstranení</t>
  </si>
  <si>
    <t>Podperná konstr.nosníku do 4 m - zrízení</t>
  </si>
  <si>
    <t>Podperná konstr.nosníku do 4 m - odstranení</t>
  </si>
  <si>
    <t>PH6 - Podhledy SDK, dvouúrovnový rošt 1x deska obyc. 15 mm, vc. tmelení a brousení (podrobný popis viz tz)</t>
  </si>
  <si>
    <t>PH7 - Podhledy SDK, dvouurovnový rošt 1x deska impregnovaná 15 mm, komplet vc. tmelení a brousení (podrobný popis viz tz)</t>
  </si>
  <si>
    <t>PH8 - Podhled vodeodolný, komplet vc. tmelení a broušení (podrobný popi viz tz)</t>
  </si>
  <si>
    <t>PH9 - Podhledy SDK, kovová.kce CD. 1x deska požární, komplet vc. tmelení a broušení</t>
  </si>
  <si>
    <t>Celo podhledu SDK - PH6, vc. tmelení a broušení - podrobne viz tz</t>
  </si>
  <si>
    <t>Celo podhledu SDK - PH1, vc. tmelení a broušení - podrobne viz tz</t>
  </si>
  <si>
    <t>Celo podhledu SDK - PH4, vc. tmelení a broušení - podrobne viz tz</t>
  </si>
  <si>
    <t>Celo podhledu SDK - PH7, vc. tmelení a broušení - podrobne viz tz</t>
  </si>
  <si>
    <t>Celo podhledu SDK - PH8, vc. tmelení a broušení - podrobne viz tz</t>
  </si>
  <si>
    <t>Strop montovaný z desek PZD, tlouška 7,0 cm</t>
  </si>
  <si>
    <t>Osazování stropních desek š. do 60, dl. do 90 cm</t>
  </si>
  <si>
    <t>vcetne dodávky PZD 74x29x6,5 cm</t>
  </si>
  <si>
    <t>Schodište</t>
  </si>
  <si>
    <t>Výztuž schodišt. konstrukcí 10505 (R)</t>
  </si>
  <si>
    <t>vylamovací výztuž schodišt, komplet - prum. 12/100</t>
  </si>
  <si>
    <t>Beton schodištových konstrukcí železový C 25/30</t>
  </si>
  <si>
    <t>Bednení schodist - zrízení</t>
  </si>
  <si>
    <t>Bednení schodist - odstranení</t>
  </si>
  <si>
    <t>Schodištová konstrukce ŽB beton C 35/45 XD3</t>
  </si>
  <si>
    <t>vc. bednení, výztuže (vc. žb zídky) - venkovní schodište</t>
  </si>
  <si>
    <t>Schodištová konstrukce ŽB beton C 16/20</t>
  </si>
  <si>
    <t>vc. bednení, výztuž, kotvení do stáv. kce trny</t>
  </si>
  <si>
    <t>Podkladní a vedlejší konstrukce (krome vozovek a železnicního svršku)</t>
  </si>
  <si>
    <t>Podkladní vrstva tl. do 25 cm ze šterku</t>
  </si>
  <si>
    <t>Kryty pozemních komunikací, letiš a ploch dláždìných (pøedlažby)</t>
  </si>
  <si>
    <t>Kladení dlažby z dlaždic na sucho</t>
  </si>
  <si>
    <t>vc.dlažby betonové 50/50/8 cm</t>
  </si>
  <si>
    <t>Žlab odvodnovací 100/200 nerezový, komplet</t>
  </si>
  <si>
    <t>žlab - 3bm u hlavního vtupu - aco 100/200 vcetne odtokové vpusti a KG potrubí dn 100 s napojením na kanalizaci  - délka potrubí 5m+ odbocka 150/100 - napojení na hlavní svod KD.</t>
  </si>
  <si>
    <t>Omítky ze suchých smesí</t>
  </si>
  <si>
    <t>Penetrace sten</t>
  </si>
  <si>
    <t>Tenkovrstvá omítka na stenách silikonová</t>
  </si>
  <si>
    <t>Podkladní náter sten pod omítky</t>
  </si>
  <si>
    <t>Penetrace stropu</t>
  </si>
  <si>
    <t>Uprava povrchu vnitrní</t>
  </si>
  <si>
    <t>Montáž výztužné síte(perlinky)do sterky-vnit.steny</t>
  </si>
  <si>
    <t>vcetne výztužné síte a sterkového tmelu</t>
  </si>
  <si>
    <t>Omítka sten vnitrní, VPC jádro, vápen.štuk,</t>
  </si>
  <si>
    <t xml:space="preserve">- Cementový prednástrik tl.2-7 mm (tl. dle podkladu)_x000D_
- Jádrová omítka pro strojní/rucní zpracování tl.20mm (na stropech tl. cca. 15mm)_x000D_
- Štuková vápenocementová omítka tl.3-4mm  _x000D_
</t>
  </si>
  <si>
    <t>Omítka vnitrní zdiva, MVC, hladká</t>
  </si>
  <si>
    <t xml:space="preserve">- Cementový prednástrik tl.2-7 mm (tl. dle podkladu)_x000D_
- Jádrová omítka pro strojní/rucní zpracování tl.15mm _x000D_
</t>
  </si>
  <si>
    <t>Omítka sten vnitrní tenkovrstvá vápenná - štuk</t>
  </si>
  <si>
    <t>Montáž výztužné síte (perlinky) do sterky-stropy</t>
  </si>
  <si>
    <t>Omítka stropu vnitrní tenkovrstvá vápenná - štuk</t>
  </si>
  <si>
    <t>Uprava povrchu vnejší</t>
  </si>
  <si>
    <t>Zateplovací systém, fasáda, EPS F tl.200 mm</t>
  </si>
  <si>
    <t>zakoncený sterkou s výztužnou tkaninou</t>
  </si>
  <si>
    <t>Položka obsahuje: nanesení lepicího tmelu na izolacní desky, nalepení desek, zajištení talírovými hmoždinkami STR U (min.6 ks/m2), prebroušení desek, natažení sterky, vtlacení výztužné tkaniny (1,15 m2/m2), prehlazení sterky. V položce je obsaženo 0,14 m rohových lišt na m2. Soucinitel tepelné vodivosti izolantu 0,039 W/mK.</t>
  </si>
  <si>
    <t>Zatepl.systém , ostení, fenolická pena tl. 50 mm</t>
  </si>
  <si>
    <t>Položka obsahuje: nanesení lepicího tmelu na izolacní desky, nalepení desek, prebroušení desek, osazení lišt, natažení sterky, vtlacení výztužné tkaniny, prehlazení sterky. V položce je obsaženo 3,33 m rohových lišt, 1,67 m lišt s okapnickou, 5 m napojovacích lišt na m2 a 1,68 m2 výztužné tkaniny</t>
  </si>
  <si>
    <t>Zatepl.systém , ostení, fenolická pena tl. 100 mm</t>
  </si>
  <si>
    <t>Zatepl.systém , ostení, fenolická pena tl. 120 mm</t>
  </si>
  <si>
    <t>Zateplovací systém, sokl, XPS tl. 200 mm</t>
  </si>
  <si>
    <t>se soklovou omítkou</t>
  </si>
  <si>
    <t>Položka obsahuje: nanesení lepicího tmelu na izolacní desky, nalepení desek, zajištení talírovými hmoždinkami (6 ks/m2), prebroušení desek, natažení sterky, vtlacení výztužné tkaniny (1,15 m2/m2), prehlazení sterky, kontaktní náter a povrchovou upravu omítkou. V položce je obsaženo 0,14 m rohových lišt na m2. Soucinitel tepelné vodivosti izolantu 0,038 W/mK.</t>
  </si>
  <si>
    <t>Zatepl.syst., fasáda, miner.desky KV 200 mm</t>
  </si>
  <si>
    <t>s omítkou</t>
  </si>
  <si>
    <t>Položka obsahuje: nanesení lepicího tmelu na izolacní desky, nalepení desek, zajištení zapouštecími hmoždinkami (6 ks/m2), kašírování desek sterkovou hmotou, natažení sterky s výztužnou tkaninou (1,15 m2/m2), kontaktní náter a povrchovou upravu omítkou. V položce je obsaženo 0,14 m rohových lišt na m2. Soucinitel tepelné vodivosti izolantu 0,041 W/mK.</t>
  </si>
  <si>
    <t>zakonèený sterkou s výztužnou tkaninou</t>
  </si>
  <si>
    <t>Montáž zakládací sady ETICS</t>
  </si>
  <si>
    <t>Profil soklový ETICS š. 200 mm, délka 2,0m</t>
  </si>
  <si>
    <t>Príplatek za pocet hmoždinek 8 ks/m2</t>
  </si>
  <si>
    <t>Z18 - Dilatacní profil KZS</t>
  </si>
  <si>
    <t>Náter sten hydrofobizacní (pohledový beton)</t>
  </si>
  <si>
    <t>Podlahy a podlahové konstrukce</t>
  </si>
  <si>
    <t>Mazanina betonová tl. 5 - 8 cm C 25/30</t>
  </si>
  <si>
    <t>s plastifikátorem</t>
  </si>
  <si>
    <t>Mazanina betonová tl. 8 - 12 cm C 25/30</t>
  </si>
  <si>
    <t>Mazanina betonová tl. 12 - 24 cm C 25/30</t>
  </si>
  <si>
    <t>Príplatek za stržení povrchu mazaniny tl. 8 cm</t>
  </si>
  <si>
    <t>Príplatek za stržení povrchu mazaniny tl. 12 cm</t>
  </si>
  <si>
    <t>Príplatek za stržení povrchu mazaniny tl. 24 cm</t>
  </si>
  <si>
    <t>Mazanina z polystyrenbetonu tl. do 24 cm, 0,2 MPa</t>
  </si>
  <si>
    <t>Bednení sten, rýh a otvoru v podlahách - zrízení</t>
  </si>
  <si>
    <t>Bednení sten, rýh a otvoru v podlahách -odstranení</t>
  </si>
  <si>
    <t>Výztuž mazanin svarovanou sítí</t>
  </si>
  <si>
    <t>Vyrovnávací poter MC 15, v pásu, tl. do 20 mm</t>
  </si>
  <si>
    <t>Násyp z kameniva tež. praného (kacírku)</t>
  </si>
  <si>
    <t>Dlažba z dlaždic betonových do MC 10, tl. 40 mm</t>
  </si>
  <si>
    <t>Mazanina betonová tl. 5 - 8 cm C 16/20</t>
  </si>
  <si>
    <t>z betonu prostého</t>
  </si>
  <si>
    <t>Mazanina betonová tl. 8 - 12 cm C 16/20</t>
  </si>
  <si>
    <t>Mazanina betonová tl. 12 - 24 cm C 16/20</t>
  </si>
  <si>
    <t>Mazanina betonová tl. 5 - 8 cm C 20/25</t>
  </si>
  <si>
    <t>Mazanina betonová tl. 8 - 12 cm C 20/25</t>
  </si>
  <si>
    <t>Príplatek za prehlaz. mazanin tl. 8 cm</t>
  </si>
  <si>
    <t>Príplatek za prehlaz. mazanin tl. 12cm</t>
  </si>
  <si>
    <t>Príplatek za prehlaz. mazanin tl. 24cm</t>
  </si>
  <si>
    <t>Okapový chodník kolem budovy dláždený šírky 0,5 m</t>
  </si>
  <si>
    <t>vc. podkladu</t>
  </si>
  <si>
    <t xml:space="preserve">·        500x500x50mm betonová dlažba _x000D_
·        3mm lepidlo_x000D_
·        100 mm - betonová deska, C 16/20 XC2, + 1x KARI sí? Ø6x Ø6, oka 100/100 mm_x000D_
·        40 mm - lože z kamenné drtì  4/8 mm _x000D_
</t>
  </si>
  <si>
    <t>Potrubí z trub plastických, sklenených a cedicových</t>
  </si>
  <si>
    <t>Kanalizace z trub PVC-KG, DN 100 mm</t>
  </si>
  <si>
    <t>(cást drenáže)</t>
  </si>
  <si>
    <t>Položka obsahuje: vyhloubení rýhy, svislé premístìní, naložení prebytku po zásypu na dopravní prostredek a odvoz do 20 km, lože pod potrubí, dodávku a montáž potrubí z trub PVC hrdlových vnejšího prumeru podle popisu, dodávku a montáž PVC tvarovek jednoosých (1 kus/ 10 m potrubí), zkoušku tesnosti potrubí, obsyp potrubí z kameniva, dosyp rýhy výkopkem se zhutnením, obalení geotextilií, v jc. jsou zapocteny i potrebné šachty</t>
  </si>
  <si>
    <t>Zaslepení stáv. potrubí ve výkopu</t>
  </si>
  <si>
    <t>Trativody z drenážních trubek</t>
  </si>
  <si>
    <t>lože beton.,obsyp kamenivem,svìtlost trub 10cm</t>
  </si>
  <si>
    <t>Položka obsahuje: vyhloubení rýhy, svislé premístìní, naložení prebytku po zásypu na dopravní prostredek a odvoz do 20 km, lože pod potrubí, dodávku a montáž potrubí z trub drenážních prum. 100mm, dodávku a montáž šachet, obsyp potrubí z kameniva, dosyp rýhy výkopkem se zhutnením, obalení geotextilií</t>
  </si>
  <si>
    <t>Montáž trub z plastu plynotesných</t>
  </si>
  <si>
    <t>Trubka prum. 100mm plynotesná</t>
  </si>
  <si>
    <t>Ruzné dokoncovací konstrukce a práce inženýrských staveb</t>
  </si>
  <si>
    <t>Vložky do dilatacních spár, xps polystyren, tl 50 mm</t>
  </si>
  <si>
    <t>Lešení a stavební výtahy</t>
  </si>
  <si>
    <t>Lešení lehké pomocné, výška podlahy do 2,5 m</t>
  </si>
  <si>
    <t>Lešení lehké pomocné, výška podlahy do 3,5 m</t>
  </si>
  <si>
    <t>Príplatek za každý mesíc použití sítí k pol. 4011</t>
  </si>
  <si>
    <t>Montáž lešení leh.rad.s podlahami,š.do 1 m, H 10 m</t>
  </si>
  <si>
    <t>Pronájem lešení za den</t>
  </si>
  <si>
    <t>Demontáž lešení leh.øad.s podlahami,š.1 m, H 10 m</t>
  </si>
  <si>
    <t>Montáž ochranné síte z umelých vláken</t>
  </si>
  <si>
    <t>Demontáž ochranné síte z umelých vláken</t>
  </si>
  <si>
    <t>Ruzné dokoncovací konstrukce a práce na pozemních stavbách</t>
  </si>
  <si>
    <t>Vycištení budov o výšce podlaží do 4 m</t>
  </si>
  <si>
    <t>Osazení požárního hasicího prístroje na stenu</t>
  </si>
  <si>
    <t>Prístroj hasicí práškový 34A</t>
  </si>
  <si>
    <t>Prístroj hasicí snehový 55B</t>
  </si>
  <si>
    <t>Tabulky a znacky k jednotlivým zarízením 200x400mm</t>
  </si>
  <si>
    <t>Zálivka otvoru C 20/25 a prostupu</t>
  </si>
  <si>
    <t>Ocelové pruchodky na strechu pro vyvedení chladících rozvodu</t>
  </si>
  <si>
    <t>M+D - Folie pro nalepení na stenu, sklo, laminát, urcené pro vyríznutí obrysu obrazcu lidí, zvírat apod. Rezáno na plotru</t>
  </si>
  <si>
    <t>Stavební prípomoce pro profese, kompletní provedení</t>
  </si>
  <si>
    <t xml:space="preserve">drážky, prostupy vc. jejich zapravení_x000D_
požární a vodotesné utesnení, atd._x000D_
_x000D_
Manžety pro dlouhodobou vodotesnost 60 kPa (0,6 bar), plynotesnost a parotesnost do pretlaku 30 kPa a tesnost proti pronikání radonu. - pro prostupy :_x000D_
- kanalizace DN 160 a 125mm_x000D_
- elektro_x000D_
- elektro slaboproud 2x_x000D_
- plyn_x000D_
- vodovod DN 40_x000D_
_x000D_
- Požární ucpávky EI 30 DP1 - 25 ks_x000D_
_x000D_
- Požární zatmelení rozvodu EI 30DP1 - 50 KS_x000D_
_x000D_
</t>
  </si>
  <si>
    <t>Bourání konstrukcí</t>
  </si>
  <si>
    <t>Bourání mazanin betonových tl. nad 10 cm, nad 4 m2</t>
  </si>
  <si>
    <t>Príplatek, bourání mazanin se svar. síí tl. 10 cm</t>
  </si>
  <si>
    <t>Bourání dlažeb keramických tl.10 mm, nad 1 m2</t>
  </si>
  <si>
    <t>DMTZ podhledu SDK,2urov.køíž.rošt,1xoplášt.15 mm</t>
  </si>
  <si>
    <t>Bourání prícek z plynosilik. a pórobetonu tl.15 cm</t>
  </si>
  <si>
    <t>Bourání prícek z plynosilik. a pórobetonu tl.20 cm</t>
  </si>
  <si>
    <t>Vyvešení drevených dverních krídel pl. do 2 m2</t>
  </si>
  <si>
    <t>Vybourání dverních zárubní pl. nad 2 m2</t>
  </si>
  <si>
    <t>Vybourání drevených rámu oken dvojitých nad  4 m2</t>
  </si>
  <si>
    <t>Vyvešení drevìných okenních krídel pl. do 1,5 m2</t>
  </si>
  <si>
    <t>Bourání prícek deskových,sádrokartonových</t>
  </si>
  <si>
    <t>Bourání zdiva nadzákladového kamenného na MVC</t>
  </si>
  <si>
    <t>Bourání zdiva železobetonového nadzákladového</t>
  </si>
  <si>
    <t>Bourání základu z betonu prostého</t>
  </si>
  <si>
    <t>Bourání pilíru cihelných</t>
  </si>
  <si>
    <t>Bourání zdiva z cihel pálených na MVC</t>
  </si>
  <si>
    <t>Bourání kamenných.schodištových stupnu</t>
  </si>
  <si>
    <t>Demontáž, likvidace a montáž nového vc. dodávky - sud na vodu 500l</t>
  </si>
  <si>
    <t>Prorážení otvoru a ostatní bourací práce</t>
  </si>
  <si>
    <t>Odstranení KZS EPS F tl. 120 mm s omítkou</t>
  </si>
  <si>
    <t>Vybourání kovových zábradlí a madel</t>
  </si>
  <si>
    <t>Vrtání jádrové do ŽB do D 200 mm</t>
  </si>
  <si>
    <t>Demolice</t>
  </si>
  <si>
    <t>Demolice budov,komplet</t>
  </si>
  <si>
    <t>Demolice budov rozebráním, drevené ostatní</t>
  </si>
  <si>
    <t>Demolice konstrukcí postup.rozebráním, železobeton</t>
  </si>
  <si>
    <t>Presun hmot</t>
  </si>
  <si>
    <t>Presun hmot pro budovy monolitické výšky do 12 m</t>
  </si>
  <si>
    <t>Presuny sutí</t>
  </si>
  <si>
    <t>Odvoz suti a vybour. hmot na skládku do 1 km</t>
  </si>
  <si>
    <t>Príplatek k odvozu za každý další 1 km</t>
  </si>
  <si>
    <t>Poplatek za skládku suti -azbestocementové výrobky</t>
  </si>
  <si>
    <t>Poplatek za skládku suti - PVC strešní krytina</t>
  </si>
  <si>
    <t>Poplatek za skládku suti - beton do 30x30 cm</t>
  </si>
  <si>
    <t>Poplatek za skládku suti - polystyren+omítka</t>
  </si>
  <si>
    <t>Poplatek za skládku suti - asfaltové pásy</t>
  </si>
  <si>
    <t>Poplatek za skládku suti - drevo+sklo</t>
  </si>
  <si>
    <t>Poplatek za skládku suti - železobeton</t>
  </si>
  <si>
    <t>Poplatek za skládku suti - smes</t>
  </si>
  <si>
    <t>PSV</t>
  </si>
  <si>
    <t>Izolace proti vode</t>
  </si>
  <si>
    <t>Izolace tlaková, podkladní textilie, vodorovná</t>
  </si>
  <si>
    <t>Geotextilie 300 g/m2 š. 200cm 100% PP</t>
  </si>
  <si>
    <t>Izolace tlaková, ochranná textilie, vodorovná</t>
  </si>
  <si>
    <t>Geotextilie 500 g/m2 š. 200cm 100% PP</t>
  </si>
  <si>
    <t>Sterka hydroizolacní podlah vc. penetrace</t>
  </si>
  <si>
    <t>Do spár stena- stena, stena - podlaha, vložit tesnící hydroizolacní tesnící pásku - vkládá se prímo do sterky._x000D_
podrobné parametry viz tz -oddíl 1.1.4.1.4</t>
  </si>
  <si>
    <t>Izolace, tlak. voda, vodorovná fólií PVC, volne</t>
  </si>
  <si>
    <t>Fólie tl. 1,0mm, š. 1300 mm zemní</t>
  </si>
  <si>
    <t>Izolace proti vlhkosti vodor. náter ALP za studena</t>
  </si>
  <si>
    <t>Lak asfaltový izolacní</t>
  </si>
  <si>
    <t>Izolace proti vlhkosti svis. náter ALP, za studena</t>
  </si>
  <si>
    <t>Izolace proti vlhk. vodorovná pásy pritavením</t>
  </si>
  <si>
    <t>1 vrstva - materiál ve specifikaci</t>
  </si>
  <si>
    <t>Hydroizolacní modifikovaný natavovací asfaltový pás SBS, tl. min.4mm</t>
  </si>
  <si>
    <t>Pás asfaltovaný tìžký se sklenenou vložkou</t>
  </si>
  <si>
    <t>2 vrstvy - materiál ve specifikaci</t>
  </si>
  <si>
    <t>Izolace proti vlhkosti svislá pásy pritavením</t>
  </si>
  <si>
    <t>Montáž nopové fólie svisle</t>
  </si>
  <si>
    <t>vcetne dodávky fólie, vc. ukonc. lišty</t>
  </si>
  <si>
    <t>Izolace proti zem.vlhkosti,ochran.textilie,svislá</t>
  </si>
  <si>
    <t>Drenážní rohož bentonitová</t>
  </si>
  <si>
    <t>Pojistný pás,trívrstvý membránový hydroizolacní systém</t>
  </si>
  <si>
    <t>Skládá se ze samotesnící bobtnající vrstvy granulovaného bentonitu laminované</t>
  </si>
  <si>
    <t>Položení nopové fólie vodorovne</t>
  </si>
  <si>
    <t>vcetne dodávky fólie</t>
  </si>
  <si>
    <t>Presun hmot pro izolace proti vode, výšky do 12 m</t>
  </si>
  <si>
    <t>Izolace strech (živicné krytiny)</t>
  </si>
  <si>
    <t>K16 - Atiková propust s møížkou a manžetou z PVC, komplet</t>
  </si>
  <si>
    <t>DN 75 mm</t>
  </si>
  <si>
    <t>K18 - Pojistný prepad, komplet</t>
  </si>
  <si>
    <t>vc. systémového krytu</t>
  </si>
  <si>
    <t>Krytina strech do 10° fólie, kotvy, na beton</t>
  </si>
  <si>
    <t>Samostatné vytažení izolace, fólií PVC</t>
  </si>
  <si>
    <t>1 vrstva-vc.dodávky folie 1,5 mm</t>
  </si>
  <si>
    <t>Povlaková krytina strech do 10°, ochran. textilie</t>
  </si>
  <si>
    <t>1 vrstva - vcetne dodávky textilie  PP 100g/m2</t>
  </si>
  <si>
    <t>Povlaková krytina strech do 10°, za studena ALP</t>
  </si>
  <si>
    <t>Povlaková krytina strech do 10°, NAIP pritavením</t>
  </si>
  <si>
    <t>Povlaková krytina strech do 10°</t>
  </si>
  <si>
    <t>Hydroakumul. vrstva pro zel.strechy z nopové folie</t>
  </si>
  <si>
    <t>Zelená strecha, extenzívní zelen</t>
  </si>
  <si>
    <t>vc. - Smes osiva a rozchodníkové rízky_x000D_
vc. delících a doplnujících prvku</t>
  </si>
  <si>
    <t>vc. dodávky textilie</t>
  </si>
  <si>
    <t>Ochranná, separacní a vodoakumulacní textilie 300g/m2</t>
  </si>
  <si>
    <t xml:space="preserve"> Filtracní textilie 105g/m2</t>
  </si>
  <si>
    <t>Presun hmot pro povlakové krytiny, výšky do 12 m</t>
  </si>
  <si>
    <t>Izolace tepelné</t>
  </si>
  <si>
    <t>Izolace tepelná podlah, dvouvrstvá</t>
  </si>
  <si>
    <t>Deska izolacní stabilizov. EPS 150  1000 x 500 mm</t>
  </si>
  <si>
    <t>Izolace tepelná podlah, jednovrstvá</t>
  </si>
  <si>
    <t>Položení separacní fólie</t>
  </si>
  <si>
    <t>vcetne dodávky PE fólie</t>
  </si>
  <si>
    <t>Montáž izolace na tmel a hmožd.6 ks/m2, beton</t>
  </si>
  <si>
    <t>Deska polystyrenová XPS  tl. 200 mm</t>
  </si>
  <si>
    <t>Izolace tepelná sten lepením</t>
  </si>
  <si>
    <t>Izolace tepelná strech plne lep.za studena</t>
  </si>
  <si>
    <t>Vysokopevnostní konstrukcní izolacní deska z PUR recyklátu tl. 30mm</t>
  </si>
  <si>
    <t>Deska izolacní polystyrenová s uzavrenou strukturou tl. 80 mm</t>
  </si>
  <si>
    <t>Presun hmot pro izolace tepelné, výšky do 12 m</t>
  </si>
  <si>
    <t>Izolace akustické a protiotresová opatrení</t>
  </si>
  <si>
    <t>Montáž akust.izol</t>
  </si>
  <si>
    <t>Deska antivibracní (ref. v. Sylomer)</t>
  </si>
  <si>
    <t>Presun hmot pro akustická opatrení, výšky do 12 m</t>
  </si>
  <si>
    <t>Vnitrní kanalizace</t>
  </si>
  <si>
    <t>Demontáž lapace strešních splavenin</t>
  </si>
  <si>
    <t>Odvetrávací potrubí 150 mm, délka 2x 10m, vc 2x odvetráv. hlavice nad strechu + ventilacní ukoncení, , a to vcetne napojení folie a zateplení 100mm</t>
  </si>
  <si>
    <t>Radon (pro 1.np)</t>
  </si>
  <si>
    <t>Odvetrávací potrubí 150 mm, délka 1x 25m, vc 1x odvetráv. hlavice nad strechu + ventilacní ukoncení, , a to vcetne napojení folie a zateplení 100mm</t>
  </si>
  <si>
    <t>Radon (pro 2.pp)</t>
  </si>
  <si>
    <t>Odvetrávací potrubí 150 mm, délka 1x 10m, vc 1x odvetráv. hlavice nad strechu + ventilacní ukoncení, , a to vcetne napojení folie a zateplení 100mm</t>
  </si>
  <si>
    <t>Sberné potrubí, plynotesné PVC potrubí, prum.100 mm, uchycené pod stropem a napojené dle detailu - viz posudek radon na folii</t>
  </si>
  <si>
    <t>Sberné potrubí, plynotesné PVC potrubí, prum. 125 mm uchycené pod stropem</t>
  </si>
  <si>
    <t>Presun hmot pro vnitrní kanalizaci, výšky do 12 m</t>
  </si>
  <si>
    <t>Zarizovací predmety</t>
  </si>
  <si>
    <t>Vešák na kabáty (viz tab. ost. v. - O01)</t>
  </si>
  <si>
    <t>Držák na toaletní papír chrom (viz tab. ost. v. - O05,O08,O09,O11)</t>
  </si>
  <si>
    <t>Zásobník na papírové rucníky nerez  (viz tab. ost. v. - O05+O06+O07+O10+O11+O12)</t>
  </si>
  <si>
    <t>WC kartác s držákem na stenu chrom (viz tab. ost. v. - O05+O08+O09+O11)</t>
  </si>
  <si>
    <t>Koš nerez - 5 litru (viz tab. ost. v. - O05+O06)</t>
  </si>
  <si>
    <t>Koš na odpadky a dámské vložky k montáži na stenu(viz tab. ost. v. - O05+O09)</t>
  </si>
  <si>
    <t>nerezová ocel, povrch jemný matový, povrchová úprava predního panelu minimalizující otisky prstu a usnadnující údržbu (easy to clean), tlouštka materiálu 1,5 mm, _x000D_
zaoblený prední kryt, objem cca 3,8 litru, sklápecí samozavírací víko s dverním závesem, vyjímatelná vnitrní plastová nádoba, vcetne vrutu z nerezové oceli a hmoždinek</t>
  </si>
  <si>
    <t>Vešák pro zavešení kabátu - 2 pozice (viz tab. ost. v. - O05+O08+O09+O11)</t>
  </si>
  <si>
    <t>Vešák na rucníky (viz tab. ost. v. - O12)</t>
  </si>
  <si>
    <t>Zásobník hygienických sácku, chrom (viz tab. ost. v. - O09+O11)</t>
  </si>
  <si>
    <t>Drátený chomový program pro hygienické prostredky - rohová 3 patrová policka, komplet (viz tab. ost. v. - O12)</t>
  </si>
  <si>
    <t>Dávkovac tekutého mýdla nerezový, 1 l (viz tab. ost. v. - O08)</t>
  </si>
  <si>
    <t>Sklopné zrcadlo s ovládacím táhlem, 600x450mm (viz tab. ost. v. - O11)</t>
  </si>
  <si>
    <t>Závesný koš na odpadky, 25 l (viz tab. ost. v. - O11)</t>
  </si>
  <si>
    <t>Odkládací police - 200x300mm, chrom (viz tab. ost. v. - O11)</t>
  </si>
  <si>
    <t>Koš odpadkový na použité papírové rucníky  30l (viz tab. ost. v. - O07+O10+O12)</t>
  </si>
  <si>
    <t>Sklopný sušák na stenu (viz tab. ost. v. - O13)</t>
  </si>
  <si>
    <t>Presun hmot pro zarizovací predmety, výšky do 12 m</t>
  </si>
  <si>
    <t>Rozvod potrubí</t>
  </si>
  <si>
    <t>Potrubí hladké bezešvé nízkotlaké 3/4</t>
  </si>
  <si>
    <t>Demontáž potrubí z hladkých trubek</t>
  </si>
  <si>
    <t>Presun hmot pro rozvody potrubí, výšky do 24 m</t>
  </si>
  <si>
    <t>Otopná telesa</t>
  </si>
  <si>
    <t>Demontáž otopných teles</t>
  </si>
  <si>
    <t>Montáž otopných teles</t>
  </si>
  <si>
    <t>Presun hmot pro otopná telesa, výšky do 12 m</t>
  </si>
  <si>
    <t>Konstrukce tesarské</t>
  </si>
  <si>
    <t>Pomocná kce atiky - OSB deska tl.18mm + drevený hranol pro vytvorení spádu, komplet</t>
  </si>
  <si>
    <t>Presun hmot pro tesarské konstrukce, výšky do 12 m</t>
  </si>
  <si>
    <t>Konstrukce klempírské</t>
  </si>
  <si>
    <t>K01 - M+D - Parapet hliníkový tažený vnejší, kompletní provedení vc. vsech kotev. a pom. kcí a prvku, detailu - dle popisu v pd</t>
  </si>
  <si>
    <t>(viz tab. klempír. výr.)</t>
  </si>
  <si>
    <t>K02 - M+D - Parapet hliníkový tažený vnejší, kompletní provedení vc. vsech kotev. a pom. kcí a prvku, detailu - dle popisu v pd</t>
  </si>
  <si>
    <t>K03 - M+D - Parapet hliníkový tažený vnejší, kompletní provedení vc. vsech kotev. a pom. kcí a prvku, detailu - dle popisu v pd</t>
  </si>
  <si>
    <t>K04 - M+D - Parapet hliníkový tažený vnejší, kompletní provedení vc. vsech kotev. a pom. kcí a prvku, detailu - dle popisu v pd</t>
  </si>
  <si>
    <t>K05 - M+D - Parapet hliníkový tažený vnejší, kompletní provedení vc. vsech kotev. a pom. kcí a prvku, detailu - dle popisu v pd</t>
  </si>
  <si>
    <t>K06 - M+D - Parapet hliníkový tažený vnejší, kompletní provedení vc. vsech kotev. a pom. kcí a prvku, detailu - dle popisu v pd</t>
  </si>
  <si>
    <t>K07 - M+D - Krycí hliníkový plech vnejší, kompletní provedení vc. vsech kotev. a pom. kcí a prvku, detailu - dle popisu v pd</t>
  </si>
  <si>
    <t>K08 - M+D - Parapet hliníkový tažený vnejší, kompletní provedení vc. vsech kotev. a pom. kcí a prvku, detailu - dle popisu v pd</t>
  </si>
  <si>
    <t>K09 - M+D - Oplechování atiky - vnitrní kout, kompletní provedení vc. vsech kotev. a pom. kcí a prvku, detailu - dle popisu v pd</t>
  </si>
  <si>
    <t>K10 - M+D - Oplechování atiky - vnejší kout, kompletní provedení vc. vsech kotev. a pom. kcí a prvku, detailu - dle popisu v pd</t>
  </si>
  <si>
    <t>K11 - M+D - Oplechování atiky - spojovací lávky - ukoncení atiky, kompletní provedení vc. vsech kotev. a pom. kcí a prvku, detailu - dle popisu v pd</t>
  </si>
  <si>
    <t>K12 - M+D - Oplechování atiky - spojovací lávky - ukoncení atiky, kompletní provedení vc. vsech kotev. a pom. kcí a prvku, detailu - dle popisu v pd</t>
  </si>
  <si>
    <t>K13 - M+D - Oplechování atiky - vnejší kout, kompletní provedení vc. vsech kotev. a pom. kcí a prvku, detailu - dle popisu v pd</t>
  </si>
  <si>
    <t>K14 - M+D - Oplechování okapu strechy spojovací lávky, kompletní provedení vc. vsech kotev. a pom. kcí a prvku, detailu - dle popisu v pd</t>
  </si>
  <si>
    <t>K15 - M+D - Svodová roura, kompletní provedení vc. vsech kotev. a pom. kcí a prvku, detailu - dle popisu v pd</t>
  </si>
  <si>
    <t>K16 - M+D - Atiková vpust, kompletní provedení vc. vsech kotev. a pom. kcí a prvku, detailu - dle popisu v pd</t>
  </si>
  <si>
    <t>K17 - M+D - Oplechování atiky - ukoncení atiky, kompletní provedení vc. vsech kotev. a pom. kcí a prvku, detailu - dle popisu v pd</t>
  </si>
  <si>
    <t>K18 - M+D - Pojistný prepad, kompletní provedení vc. vsech kotev. a pom. kcí a prvku, detailu - dle popisu v pd</t>
  </si>
  <si>
    <t>K20 - M+D - Oplechování - ochrana proti skapávání EPS, kompletní provedení vc. vsech kotev. a pom. kcí a prvku, detailu - dle popisu v pd</t>
  </si>
  <si>
    <t>Demontáž odpadních trub ctvercových o str.100 mm</t>
  </si>
  <si>
    <t>Presun hmot pro klempírské konstr., výšky do 12 m</t>
  </si>
  <si>
    <t>Krytina tvrdá</t>
  </si>
  <si>
    <t>Demontáž azbestocement.krytiny na bednení, do suti</t>
  </si>
  <si>
    <t>V cene zapocteny i náklady na ochranné pomucky ( respirátory, ochranné obleky, speciální obaly, pásky a nálepky urcené k likvidaci materiálu s obsahem azbestu, zvlhcující prípravek pro fixování a stabilizaci azbestových vláken ).</t>
  </si>
  <si>
    <t>Konstrukce truhlárské</t>
  </si>
  <si>
    <t>M+D - Obklad HPL deskami, komplet (podrobný popis viz tz)</t>
  </si>
  <si>
    <t>Montáž parapetních desek š.do 30 cm,dl.do 160 cm</t>
  </si>
  <si>
    <t>Parapet interiér PVC š. 200 mm bílý</t>
  </si>
  <si>
    <t xml:space="preserve">• Okenní parapety s komurkovým profilem jsou vyrobeny z tvrdého PVC a vybaveny ochrannou folií pro zvýšenou odolnost proti poškrábání._x000D_
• Pro zakoncení parapetu v interiéru budou použity umelohmotné PVC krytky v barvách príslušného odstínu - soucásti dodávky parapetu_x000D_
• Povrch je proti mechanickému poškození v prubehu stavby opatren ochrannou plastovou folií_x000D_
• Parapety s povrchovou fólií z PVC _x000D_
• Parapet bude tvarove stálý, snadno omyvatelný a recyklovatelný._x000D_
• dodávka vcetne všech kotvících prvku a doplnku_x000D_
</t>
  </si>
  <si>
    <t>Parapet interiér PVC š. 300 mm bílý</t>
  </si>
  <si>
    <t>Montáž parapetních desek š.do 30 cm,dl.do 260 cm</t>
  </si>
  <si>
    <t>Montáž parapetních desek š.nad 30 cm,dl.do 160 cm</t>
  </si>
  <si>
    <t>Parapet interiér PVC š. 450 mm bílý</t>
  </si>
  <si>
    <t>T04 - M+D - Kuchynská linka do družin, kompletní provedení vc. vsech detailu - dle popisu v pd (viz tab. truhl. v.)</t>
  </si>
  <si>
    <t>T05 - M+D - Kuchynská linka do denní místnosti zamìstnancù, kompletní provedení vc. vsech detailu - dle popisu v pd (viz tab. truhl. v.)</t>
  </si>
  <si>
    <t>T06 - M+D - Židle do denní místnosti, komplet - dle popisu v pd (viz tab. truhl. v.)</t>
  </si>
  <si>
    <t>T07 - M+D - Stul do denní místnosti, komplet - dle popisu v pd (viz tab. truhl. v.)</t>
  </si>
  <si>
    <t>T08 - M+D - Šatní skøínky 1875x600x 500/800mm - sestava 2+lavice, komplet - dle popisu v pd (viz tab. truhl. v.)</t>
  </si>
  <si>
    <t>T09 - M+D - Vestavná skrín do šatny, komplet - dle popisu v pd (viz tab. truhl. v.)</t>
  </si>
  <si>
    <t>T10 - M+D - Vestavná skrín do šatny, komplet - dle popisu v pd (viz tab. truhl. v.)</t>
  </si>
  <si>
    <t>T11 - M+D - Stul do varny, komplet - dle popisu v pd (viz tab. truhl. v.)</t>
  </si>
  <si>
    <t>T12 - M+D - Lavice do varny dl. 1350mm, komplet - dle popisu v pd (viz tab. truhl. v.)</t>
  </si>
  <si>
    <t>T12 - M+D - Lavice do varny dl. 1200mm, komplet - dle popisu v pd (viz tab. truhl. v.)</t>
  </si>
  <si>
    <t>T13 - M+D - Botník do šaten, komplet - dle popisu v pd (viz tab. truhl. v.)</t>
  </si>
  <si>
    <t>T14 - M+D - Lavice do šatny dl. 1000mm, komplet - dle popisu v pd (viz tab. truhl. v.)</t>
  </si>
  <si>
    <t>T14 - M+D - Lavice do šatny dl. 1500mm, komplet - dle popisu v pd (viz tab. truhl. v.)</t>
  </si>
  <si>
    <t>T14 - M+D - Lavice do šatny dl. 2000mm, komplet - dle popisu v pd (viz tab. truhl. v.)</t>
  </si>
  <si>
    <t>T15 - M+D - Otevrená skrín s policemi, komplet - dle popisu v pd (viz tab. truhl. v.)</t>
  </si>
  <si>
    <t>T16 - M+D - Skládací dvere pred elektro rozvadecem, komplet - dle popisu v pd (viz tab. truhl. v.)</t>
  </si>
  <si>
    <t>T17 - M+D - Drevená replika výpln plotu, komplet - dle popisu v pd (viz tab. truhl. v.)</t>
  </si>
  <si>
    <t>Presun hmot pro truhlárské konstr., výšky do 12 m</t>
  </si>
  <si>
    <t>Konstrukce doplnkové stavební (zámecnické)</t>
  </si>
  <si>
    <t>PH1 - kazetový podhled - jídelna,komplet</t>
  </si>
  <si>
    <t>- podrobne viz tz</t>
  </si>
  <si>
    <t>PH2 - kazetový podhled - družina,komplet</t>
  </si>
  <si>
    <t>PH3 - kazetový podhled - vlhký provoz</t>
  </si>
  <si>
    <t>PH4 - kazetový podhled - ostatní prostory</t>
  </si>
  <si>
    <t>Z01 - M+D - Èistící zña 1. stupne 1500x2400mm, kompletní provedení vc. vsech detailu - dle popisu v pd (viz tab. zám. výr.)</t>
  </si>
  <si>
    <t>Z01 - M+D - Èistící zña 1. stupne 2000x1500mm, kompletní provedení vc. vsech detailu - dle popisu v pd (viz tab. zám. výr.)</t>
  </si>
  <si>
    <t>Z02 - M+D - Èistící zña 2. stupne 2400x600mm, kompletní provedení vc. vsech detailu - dle popisu v pd (viz tab. zám. výr.)</t>
  </si>
  <si>
    <t>Z02 - M+D - Èistící zña 2. stupne 2440x2420mm, kompletní provedení vc. vsech detailu - dle popisu v pd (viz tab. zám. výr.)</t>
  </si>
  <si>
    <t>Z03 - M+D - Ochrana nároží interiér dl. 1200mm, kompletní provedení vc. vsech detailu - dle popisu v pd (viz tab. zám. výr.)</t>
  </si>
  <si>
    <t>Z04 - M+D - Výztuha na svešenou prícku, kompletní provedení vc.povrchu a vsech detailu - dle popisu v pd (viz tab. zám. výr.)</t>
  </si>
  <si>
    <t>Z05 - M+D - Plech delící podlahy ve výdeji jídel nerez, kompletní provedení vc. vsech detailu - dle popisu v pd (viz tab. zám. výr.)</t>
  </si>
  <si>
    <t>Z06 - M+D - Nerezová ukoncovací lišta v míste odsavace par, kompletní provedení vc. vsech detailu - dle popisu v pd (viz tab. zám. výr.)</t>
  </si>
  <si>
    <t>Z07 - M+D - Podlahová dilatacní nerezová lišta, vodotesná, kompletní provedení vc. vsech detailu - dle popisu v pd (viz tab. zám. výr.)</t>
  </si>
  <si>
    <t>Z08 - M+D - Podlahová dilatacní nerezová lišta, kompletní provedení vc. vsech detailu - dle popisu v pd (viz tab. zám. výr.)</t>
  </si>
  <si>
    <t>Z09 - M+D - Podlahová dilatacní nerezová lišta,na hranici dvou materiálu, kompletní provedení vc. vsech detailu - dle popisu v pd (viz tab. zám. výr.)</t>
  </si>
  <si>
    <t>Z10 - M+D - L profil 150 x 150 x 10 - lávka, kompletní provedení vc. povrchu a vsech detailu - dle popisu v pd (viz tab. zám. výr.)</t>
  </si>
  <si>
    <t>Z11 - M+D - 2x L profil 60 x 600 x 5 - lávka, kompletní provedení vc. povrchu a vsech detailu - dle popisu v pd (viz tab. zám. výr.)</t>
  </si>
  <si>
    <t>Z12 - M+D - 2x L profil 60 x 600 x 5 - lávka, kompletní provedení vc. povrchu a vsech detailu - dle popisu v pd (viz tab. zám. výr.)</t>
  </si>
  <si>
    <t>Z13 - M+D - L profil 60 x 60 x 5 - lávka, kompletní provedení vc. povrchu a vsech detailu - dle popisu v pd (viz tab. zám. výr.)</t>
  </si>
  <si>
    <t>Z14 - M+D - L profil 150 x 100 x 10 - lávka, kompletní provedení vc. povrchu a vsech detailu - dle popisu v pd (viz tab. zám. výr.)</t>
  </si>
  <si>
    <t>Z15 - M+D - L profil 120 x 120 x 8 - lávka, kompletní provedení vc. povrchu a vsech detailu - dle popisu v pd (viz tab. zám. výr.)</t>
  </si>
  <si>
    <t>Z16 - M+D - Dilatacní profil do sdk, kompletní provedení vc. povrchu a vsech detailu - dle popisu v pd (viz tab. zám. výr.)</t>
  </si>
  <si>
    <t>Z17 - M+D - Dilatacní profil do podlahy pro pvc krytinu, kompletní provedení vc. povrchu a vsech detailu - dle popisu v pd (viz tab. zám. výr.)</t>
  </si>
  <si>
    <t>Z19 - M+D - Vnitrní zábradlí vc. madla, kompletní provedení vc. povrchu a vsech detailu - dle popisu v pd (viz tab. zám. výr.)</t>
  </si>
  <si>
    <t>Z20 - M+D - Vnitrní zábradlí vc. madla, kompletní provedení vc. povrchu a vsech detailu - dle popisu v pd (viz tab. zám. výr.)</t>
  </si>
  <si>
    <t>Z21 - M+D - Vnitrní zábradlí vc. madla, kompletní provedení vc. povrchu a vsech detailu - dle popisu v pd (viz tab. zám. výr.)</t>
  </si>
  <si>
    <t>Z22 - M+D - Vnitrní zábradlí vc. madla, kompletní provedení vc. povrchu a vsech detailu - dle popisu v pd (viz tab. zám. výr.)</t>
  </si>
  <si>
    <t>Z23 - M+D - Vnitrní zábradlí vc. madla, kompletní provedení vc. povrchu a vsech detailu - dle popisu v pd (viz tab. zám. výr.)</t>
  </si>
  <si>
    <t>Z24 - M+D - Lemující profil otvoru schodište, kompletní provedení vc. povrchu a vsech detailu - dle popisu v pd (viz tab. zám. výr.)</t>
  </si>
  <si>
    <t>Z25 - M+D - Poklop rš šachty pochozí 600x600mm, kompletní provedení vc. povrchu a vsech detailu - dle popisu v pd (viz tab. zám. výr.)</t>
  </si>
  <si>
    <t>Z26 - M+D - Poklop rš šachty pochozí 800x1000mm, kompletní provedení vc. povrchu a vsech detailu - dle popisu v pd (viz tab. zám. výr.)</t>
  </si>
  <si>
    <t>Z27 - M+D - Lemující profil otvoru, kompletní provedení vc. povrchu a vsech detailu - dle popisu v pd (viz tab. zám. výr.)</t>
  </si>
  <si>
    <t>Z28 - M+D - Lemující profil otvoru, kompletní provedení vc. povrchu a vsech detailu - dle popisu v pd (viz tab. zám. výr.)</t>
  </si>
  <si>
    <t>Z29 - M+D - Lemující profil zíkladu zaøízení, kompletní provedení vc. povrchu a vsech detailu - dle popisu v pd (viz tab. zám. výr.)</t>
  </si>
  <si>
    <t>Z30 - M+D - Žebøík s ochranným košem dl. 6550mm, kompletní provedení vc. povrchu a vsech detailu - dle popisu v pd (viz tab. zám. výr.)</t>
  </si>
  <si>
    <t>Z31 - M+D - Žebøík na støechu, kompletní provedení vc. povrchu a vsech detailu - dle popisu v pd (viz tab. zám. výr.)</t>
  </si>
  <si>
    <t>Z32 - M+D - Záchytný systém na streše stavby, kompletní provedení vc. povrchu a vsech detailu - dle popisu v pd (viz tab. zám. výr.)</t>
  </si>
  <si>
    <t>Záchytný systém je tvoren kotvýcími body a lany - podrobný popis viz technická zpráva, výkres strechy._x000D_
Základní výpis:_x000D_
- Kotvící bod - délka 700mm, 9ks_x000D_
- Kotvící bod - délka 800mm, 8 ks_x000D_
- Kotvící bod - délka 700mm + ztužující trubka, KOTVENÍ DO OCELE 2ks_x000D_
- Permanentní nerezové lano tl. 6mm, 19m celkem_x000D_
Dodávka vcetne spojovacího materiálu a kotevních prvku.</t>
  </si>
  <si>
    <t>Z33 - M+D - Ochranné zábradlí strecha, kompletní provedení vc. povrchu a vsech detailu - dle popisu v pd (viz tab. zám. výr.)</t>
  </si>
  <si>
    <t>Z34 - M+D - Zastrešení nad vstupem 4000x1500mm, kompletní provedení vc. povrchu a vsech detailu - dle popisu v pd (viz tab. zám. výr.)</t>
  </si>
  <si>
    <t>Z35 - M+D - Zastrešení nad vstupem 7800x1500mm, kompletní provedení vc. povrchu a vsech detailu - dle popisu v pd (viz tab. zám. výr.)</t>
  </si>
  <si>
    <t>Z36 - M+D - Zábradlí - operná stena, kompletní provedení vc. povrchu a vsech detailu - dle popisu v pd (viz tab. zám. výr.)</t>
  </si>
  <si>
    <t>Z37 - M+D - Branka, kompletní provedení vc. povrchu a vsech detailu - dle popisu v pd (viz tab. zám. výr.)</t>
  </si>
  <si>
    <t>Z38 - M+D - Zábradlí - operná stena, kompletní provedení vc. povrchu a vsech detailu - dle popisu v pd (viz tab. zám. výr.)</t>
  </si>
  <si>
    <t>Z39 - M+D - Zábradlí - operná stena, kompletní provedení vc. povrchu a vsech detailu - dle popisu v pd (viz tab. zám. výr.)</t>
  </si>
  <si>
    <t>Z40 - M+D - Dvere a opláštení prostoru pro popelnice 1, kompletní provedení vc. povrchu a vsech detailu - dle popisu v pd (viz tab. zám. výr.)</t>
  </si>
  <si>
    <t>Z41 - M+D - Dvere a opláštení prostoru pro popelnice 2, kompletní provedení vc. povrchu a vsech detailu - dle popisu v pd (viz tab. zám. výr.)</t>
  </si>
  <si>
    <t>Z42 - M+D - Ocelové madlo na stenu, kompletní provedení vc. povrchu a vsech detailu - dle popisu v pd (viz tab. zám. výr.)</t>
  </si>
  <si>
    <t>Z43 - M+D - Dverní lišta nerez, kompletní provedení vc vsech detailu - dle popisu v pd (viz tab. zám. výr.)</t>
  </si>
  <si>
    <t>Z44 - M+D - Odvodnení cistících zón a zvedací plošiny, kompletní provedení vc povrchu a vsech detailu - dle popisu v pd (viz tab. zám. výr.)</t>
  </si>
  <si>
    <t>Z45 - M+D - Ocelový preklad, kompletní provedení vc povrchu a vsech detailu - dle popisu v pd (viz tab. zám. výr.)</t>
  </si>
  <si>
    <t>Z46 - M+D - Revizní dvírka systémová v SDK podhledu 300x300mm, kompletní provedení vc povrchu a vsech detailu - dle popisu v pd (viz tab. zám. výr.)</t>
  </si>
  <si>
    <t>Z47 - M+D - Revizní dvírka  525/1605, kompletní provedení vc povrchu a vsech detailu - dle popisu v pd (viz tab. zám. výr.)</t>
  </si>
  <si>
    <t>Z48 - M+D - Revizní dvírka systémová ve zdìné pøíèce, pro ZTI, kompletní provedení vc povrchu a vsech detailu - dle popisu v pd (viz tab. zám. výr.)</t>
  </si>
  <si>
    <t>Z49 - M+D - Revizní dvírka  525/1605, kompletní provedení vc povrchu a vsech detailu - dle popisu v pd (viz tab. zám. výr.)</t>
  </si>
  <si>
    <t>Z50 - M+D - L PROFIL 50 x 50 x 5, kompletní provedení vc. povrchu a vsech detailu - dle popisu v pd (viz tab. zám. výr.)</t>
  </si>
  <si>
    <t>Z51 - M+D - Protideštová žaluzie 315x315mm, kompletní provedení vc povrchu a vsech detailu - dle popisu v pd (viz tab. zám. výr.)</t>
  </si>
  <si>
    <t>Z52 - M+D - Ocelová konstrukce obložení lávky, kompletní provedení vc povrchu a vsech detailu - dle popisu v pd (viz tab. zám. výr.)</t>
  </si>
  <si>
    <t>M+D - Lemování rampy ocelovým profilem 50/50/3 vc. platlí po 0,5m , délka - 6,5m</t>
  </si>
  <si>
    <t xml:space="preserve"> , kompletní provedení vc povrchu a vsech detailu - dle popisu v pd</t>
  </si>
  <si>
    <t>M+D - UPE 180 - výtahová šachta, kompletní provedení vc. povrchu, kotvení a vsech detailu</t>
  </si>
  <si>
    <t>8 x dl. 2m + oc. príruby</t>
  </si>
  <si>
    <t>M+D - Jekl 80x80x6, výška cca 3,0m - 2ks + príruby 200x200 P5 - 4ks, pozin</t>
  </si>
  <si>
    <t>M+D - Požární obklad ocelových prvku - tl. desky 15mm</t>
  </si>
  <si>
    <t>Provetr.fasáda,uchyc.nevidi.,desky HPL,MV tl.20 cm</t>
  </si>
  <si>
    <t>Ostení a nadpraží,nevid.uchyc.,HPL,do hl. 300 mm</t>
  </si>
  <si>
    <t>z desek HPL tl. 6 mm</t>
  </si>
  <si>
    <t>Provetr.fasáda,plech.,MV tl.20cm</t>
  </si>
  <si>
    <t>Provetrávaná fasáda, konstrukce je z hliníkových profilu s plechovým obkladem, vc. uchycení desek . Položka obsahuje dodávku a montáž plechového obkladu, nosné Al konstrukce vcetne kotevních prvku - odsazení konstrukce do 250 mm, tepelné minerální izolace vcetne kotev a difuzní folie.</t>
  </si>
  <si>
    <t>Provetr.fasáda - podhled,aquapanel.,MV tl.30cm</t>
  </si>
  <si>
    <t>Provetrávaná fasáda, konstrukce je z hliníkových profilu s obkladem aquapanelem, vc. uchycení desek . Položka obsahuje dodávku a montáž obkladu, nosné Al konstrukce vcetne kotevních prvku - odsazení konstrukce do 250 mm, tepelné minerální izolace vcetne kotev a difuzní folie.</t>
  </si>
  <si>
    <t>Obklad ocelových sloupu pod lávkou - zateplení Fenolickou penou tl. 80mm + obklad cementovou deskou s požární odolností EI 30 DP1, tl. 24mm, komplet</t>
  </si>
  <si>
    <t>nosné kce</t>
  </si>
  <si>
    <t>Demontáž vrat k oplocení plochy do 6 m2, vc. sloupku</t>
  </si>
  <si>
    <t>Demontáž oplocení, vc. sloupku</t>
  </si>
  <si>
    <t>Presun hmot pro zámecnické konstr., výšky do 12 m</t>
  </si>
  <si>
    <t>Dvere</t>
  </si>
  <si>
    <t>D01 - M+D - Dvere 800/1970mm, komplet vc. zárubne, kování a vsech doplnku - dle popisu v pd (viz tab. dverí)</t>
  </si>
  <si>
    <t>D02 - M+D - Dvere 800/1970mm, komplet vc. zárubne, kování a vsech doplnku - dle popisu v pd (viz tab. dverí)</t>
  </si>
  <si>
    <t>D03 - M+D - Dvere 700/1970mm, komplet vc. zárubne, kování a vsech doplnku - dle popisu v pd (viz tab. dverí)</t>
  </si>
  <si>
    <t>D04 - M+D - Dvere 700/1970mm, komplet vc. zárubne, kování a vsech doplnku - dle popisu v pd (viz tab. dverí)</t>
  </si>
  <si>
    <t>D05 - M+D - Dvere 800/1970mm, komplet vc. zárubne, kování a vsech doplnku - dle popisu v pd (viz tab. dverí)</t>
  </si>
  <si>
    <t>D06 - M+D - Dvere automatické 2000/1970mm, komplet vc. zárubne, kování a vsech doplnku - dle popisu v pd (viz tab. dverí)</t>
  </si>
  <si>
    <t>D07 - M+D - Dvere 900/1970mm, komplet vc. zárubne, kování a vsech doplnku - dle popisu v pd (viz tab. dverí)</t>
  </si>
  <si>
    <t>D08 - M+D - Dvere 900/1970mm, komplet vc. zárubne, kování a vsech doplnku - dle popisu v pd (viz tab. dverí)</t>
  </si>
  <si>
    <t>D09 - M+D - Dvere 900/1970mm, komplet vc. zárubne, kování a vsech doplnku - dle popisu v pd (viz tab. dverí)</t>
  </si>
  <si>
    <t>D10 - M+D - Dvere 900/1970mm, komplet vc. zárubne, kování a vsech doplnku - dle popisu v pd (viz tab. dverí)</t>
  </si>
  <si>
    <t>D11 - M+D - Dvere 800/1970mm, komplet vc. zárubne, kování a vsech doplnku - dle popisu v pd (viz tab. dverí)</t>
  </si>
  <si>
    <t>D12 - M+D - Dvere 600/1970mm, komplet vc. zárubne, kování a vsech doplnku - dle popisu v pd (viz tab. dverí)</t>
  </si>
  <si>
    <t>D13 - M+D - Sanitární prícka vc. dverí, komplet vc. kování a vsech doplnku - dle popisu v pd (viz tab. dverí)</t>
  </si>
  <si>
    <t>D14 - M+D - Dvere 700/1970mm, komplet vc. zárubne, kování a vsech doplnku - dle popisu v pd (viz tab. dverí)</t>
  </si>
  <si>
    <t>D15 - M+D - Dvere 1000/1970mm, komplet vc. zárubne, kování a vsech doplnku - dle popisu v pd (viz tab. dverí)</t>
  </si>
  <si>
    <t>D16 - M+D - Dvere 800/1970mm, komplet vc. zárubne, kování a vsech doplnku - dle popisu v pd (viz tab. dverí)</t>
  </si>
  <si>
    <t>D17 - M+D - Dvere 800/2100+900mm, komplet vc. zárubne, kování a vsech doplnku - dle popisu v pd (viz tab. dverí)</t>
  </si>
  <si>
    <t>D18 - M+D - Dvere 1800/2100+900mm, komplet vc. zárubne, kování a vsech doplnku - dle popisu v pd (viz tab. dverí)</t>
  </si>
  <si>
    <t>D19 - M+D - Dvere 1800/2100+900mm, komplet vc. zárubne, kování a vsech doplnku - dle popisu v pd (viz tab. dverí)</t>
  </si>
  <si>
    <t>D20 - M+D - Dvere 700/1970mm, komplet vc. zárubne, kování a vsech doplnku - dle popisu v pd (viz tab. dverí)</t>
  </si>
  <si>
    <t>D21 - M+D - Dvere 800/1970mm, komplet vc. zárubne, kování a vsech doplnku - dle popisu v pd (viz tab. dverí)</t>
  </si>
  <si>
    <t>D22 - M+D - Dvere 900/1970mm, komplet vc. zárubne, kování a vsech doplnku - dle popisu v pd (viz tab. dverí)</t>
  </si>
  <si>
    <t>D23 - M+D - Dvere 1800/1970mm, komplet vc. zárubne, kování a vsech doplnku - dle popisu v pd (viz tab. dverí)</t>
  </si>
  <si>
    <t>D24 - M+D - Dvere 700/1970mm, komplet vc. zárubne, kování a vsech doplnku - dle popisu v pd (viz tab. dverí)</t>
  </si>
  <si>
    <t>D25 - M+D - Dvere 700/1970mm, komplet vc. zárubne, kování a vsech doplnku - dle popisu v pd (viz tab. dverí)</t>
  </si>
  <si>
    <t>D26 - M+D - Dvere 800/1970mm, komplet vc. zárubne, kování a vsech doplnku - dle popisu v pd (viz tab. dverí)</t>
  </si>
  <si>
    <t>D27 - M+D - Dvere 900/1970mm, komplet vc. zárubne, kování a vsech doplnku - dle popisu v pd (viz tab. dverí)</t>
  </si>
  <si>
    <t>D28 - M+D - Dvere 900/1970mm, komplet vc. zárubne, kování a vsech doplnku - dle popisu v pd (viz tab. dverí)</t>
  </si>
  <si>
    <t>D29 - M+D - Dvere 800/1970mm, komplet vc. zárubne, kování a vsech doplnku - dle popisu v pd (viz tab. dverí)</t>
  </si>
  <si>
    <t>D30 - M+D - Dvere 800/1970mm, komplet vc. zárubne, kování a vsech doplnku - dle popisu v pd (viz tab. dverí)</t>
  </si>
  <si>
    <t>D31 - M+D - Dvere 600/1970mm, komplet vc. zárubne, kování a vsech doplnku - dle popisu v pd (viz tab. dverí)</t>
  </si>
  <si>
    <t>D32 - M+D - Dvere 1000/1970mm, komplet vc. zárubne, kování a vsech doplnku - dle popisu v pd (viz tab. dverí)</t>
  </si>
  <si>
    <t>D33 - M+D - Dvere 1000/1970mm, komplet vc. zárubne, kování a vsech doplnku - dle popisu v pd (viz tab. dverí)</t>
  </si>
  <si>
    <t>D40 - M+D - Dvere 800/1970mm, komplet vc. zárubne, kování a vsech doplnku - dle popisu v pd (viz tab. dverí)</t>
  </si>
  <si>
    <t>D41 - M+D - Dvere 800/1970mm, komplet vc. zárubne, kování a vsech doplnku - dle popisu v pd (viz tab. dverí)</t>
  </si>
  <si>
    <t>D42 - M+D - Dvere 900/1970mm, komplet vc. zárubne, kování a vsech doplnku - dle popisu v pd (viz tab. dverí)</t>
  </si>
  <si>
    <t>D43 - M+D - Dvere 900/1970mm, komplet vc. zárubne, kování a vsech doplnku - dle popisu v pd (viz tab. dverí)</t>
  </si>
  <si>
    <t>D44 - M+D - Dvere 900/1970mm, komplet vc. zárubne, kování a vsech doplnku - dle popisu v pd (viz tab. dverí)</t>
  </si>
  <si>
    <t>D45 - M+D - Dvere 1250/1970mm, komplet vc. zárubne, kování a vsech doplnku - dle popisu v pd (viz tab. dverí)</t>
  </si>
  <si>
    <t>D46 - M+D - Dvere 1100/1970mm, komplet vc. zárubne, kování a vsech doplnku - dle popisu v pd (viz tab. dverí)</t>
  </si>
  <si>
    <t>D47 - M+D - Dvere 900/1970mm, komplet vc. zárubne, kování a vsech doplnku - dle popisu v pd (viz tab. dverí)</t>
  </si>
  <si>
    <t>D48 - M+D - Dvere 1100/1970mm, komplet vc. zárubne, kování a vsech doplnku - dle popisu v pd (viz tab. dverí)</t>
  </si>
  <si>
    <t>D49 - M+D - Dvere 800/1970mm, komplet vc. zárubne, kování a vsech doplnku - dle popisu v pd (viz tab. dverí)</t>
  </si>
  <si>
    <t>D50 - M+D - Dvere 800/1970mm, komplet vc. zárubne, kování a vsech doplnku - dle popisu v pd (viz tab. dverí)</t>
  </si>
  <si>
    <t>D51 - M+D - Dvere 700/1970mm, komplet vc. zárubne, kování a vsech doplnku - dle popisu v pd (viz tab. dverí)</t>
  </si>
  <si>
    <t>D52 - M+D - Dvere 600/1970mm, komplet vc. zárubne, kování a vsech doplnku - dle popisu v pd (viz tab. dverí)</t>
  </si>
  <si>
    <t>D53 - M+D - Dvere 1250/1970mm, komplet vc. zárubne, kování a vsech doplnku - dle popisu v pd (viz tab. dverí)</t>
  </si>
  <si>
    <t>D54 - M+D - Dvere 900/1970mm, komplet vc. zárubne, kování a vsech doplnku - dle popisu v pd (viz tab. dverí)</t>
  </si>
  <si>
    <t>D55 - M+D - Dvere 900/1970mm, komplet vc. zárubne, kování a vsech doplnku - dle popisu v pd (viz tab. dverí)</t>
  </si>
  <si>
    <t>D56 - M+D - Dvere 1250/1970mm, komplet vc. zárubne, kování a vsech doplnku - dle popisu v pd (viz tab. dverí)</t>
  </si>
  <si>
    <t>D57 - M+D - Dvere 800/1970mm, komplet vc. zárubne, kování a vsech doplnku - dle popisu v pd (viz tab. dverí)</t>
  </si>
  <si>
    <t>D58 - M+D - Dvere 800/1970mm, komplet vc. zárubne, kování a vsech doplnku - dle popisu v pd (viz tab. dverí)</t>
  </si>
  <si>
    <t>D59 - M+D - Dvere 900/1970mm, komplet vc. zárubne, kování a vsech doplnku - dle popisu v pd (viz tab. dverí)</t>
  </si>
  <si>
    <t>D60 - M+D - Dvere 800/1600mm, komplet vc. zárubne, kování a vsech doplnku - dle popisu v pd (viz tab. dverí)</t>
  </si>
  <si>
    <t>D70 - M+D - Prosklení stena, komplet vc. dverí, kování a vsech doplnku - dle popisu v pd (viz tab. dverí)</t>
  </si>
  <si>
    <t>Okna a prosklené steny</t>
  </si>
  <si>
    <t>W01 - M+D - Prosklený fasádná systém 4000x4050mm, kompletní provedení vc. vsech detailu, pripoj. lišt, fenolické peny, atd. - dle popisu v pd</t>
  </si>
  <si>
    <t>W02 - M+D - Prosklený fasádná systém 3850x4050mm, kompletní provedení vc. vsech detailu, pripoj. lišt, fenolické peny, atd. - dle popisu v pd</t>
  </si>
  <si>
    <t>W03 - M+D - Prosklený fasádná systém 3850x4050mm, kompletní provedení vc. vsech detailu, pripoj. lišt, fenolické peny, atd. - dle popisu v pd</t>
  </si>
  <si>
    <t>W04 - M+D - Prosklený fasádná systém 4000x2810mm, kompletní provedení vc. vsech detailu, pripoj. lišt, fenolické peny, atd. - dle popisu v pd</t>
  </si>
  <si>
    <t>W05 - M+D - Prosklený fasádná systém 4000x2810mm, kompletní provedení vc. vsech detailu, pripoj. lišt, fenolické peny, atd. - dle popisu v pd</t>
  </si>
  <si>
    <t>W06 - M+D - Prosklený fasádná systém 5800x2550mm, kompletní provedení vc. vsech detailu, pripoj. lišt, fenolické peny, atd. - dle popisu v pd</t>
  </si>
  <si>
    <t>W07 - M+D - Okno plastové 1500x1700mm, kompletní provedení vc. vsech detailu, pripoj. lišt, pur peny, atd. - dle popisu v pd</t>
  </si>
  <si>
    <t>W08 - M+D - Okno plastové 1500x1700mm, kompletní provedení vc. vsech detailu, pripoj. lišt, pur peny, atd. - dle popisu v pd</t>
  </si>
  <si>
    <t>W09 - M+D - Okno plastové 2000x1500mm, kompletní provedení vc. vsech detailu, pripoj. lišt, pur peny, atd. - dle popisu v pd</t>
  </si>
  <si>
    <t>W10 - M+D - Okno plastové 1500x1500mm, kompletní provedení vc. vsech detailu, pripoj. lišt, pur peny, atd. - dle popisu v pd</t>
  </si>
  <si>
    <t>W11 - M+D - Okno plastové 1400x1200mm, kompletní provedení vc. vsech detailu, pripoj. lišt, pur peny, atd. - dle popisu v pd</t>
  </si>
  <si>
    <t>W12 - M+D - Okno plastové 1100x2100mm, kompletní provedení vc. vsech detailu, pripoj. lišt, pur peny, atd. - dle popisu v pd</t>
  </si>
  <si>
    <t>W13 - M+D - Okno plastové 1400x1200mm, kompletní provedení vc. vsech detailu, pripoj. lišt, pur peny, atd. - dle popisu v pd</t>
  </si>
  <si>
    <t>W14 - M+D - Okno plastové 1400x1200mm, kompletní provedení vc. vsech detailu, pripoj. lišt, pur peny, atd. - dle popisu v pd</t>
  </si>
  <si>
    <t>W15 - M+D - Okno plastové 1400x1200mm, kompletní provedení vc. vsech detailu, pripoj. lišt, pur peny, atd. - dle popisu v pd</t>
  </si>
  <si>
    <t>W16 - M+D - Okno plastové 1000x3600mm, kompletní provedení vc. vsech detailu, pripoj. lišt, pur peny, atd. - dle popisu v pd</t>
  </si>
  <si>
    <t>W17 - M+D - Okno plastové 1000x2700mm, kompletní provedení vc. vsech detailu, pripoj. lišt, pur peny, atd. - dle popisu v pd</t>
  </si>
  <si>
    <t>W18 - M+D - Sestava plastových oken 6480x2740mm, kompletní provedení vc. vsech detailu, pripoj. lišt, pur peny, atd. - dle popisu v pd</t>
  </si>
  <si>
    <t>W19 - M+D - Sestava plastových oken 6480x2740mm, kompletní provedení vc. vsech detailu, pripoj. lišt, pur peny, atd. - dle popisu v pd</t>
  </si>
  <si>
    <t>W20+21 - M+D - Okno plastové 2500x1600mm, kompletní provedení vc. vsech detailu, pripoj. lišt, pur peny, atd. - dle popisu v pd</t>
  </si>
  <si>
    <t>W22+23+24 - M+D - Sestava oken a dverí plastových, kompletní provedení vc. vsech detailu, pripoj. lišt, pur peny, atd. - dle popisu v pd</t>
  </si>
  <si>
    <t>W25 - M+D - Hliníkové dvere 2400x2700mm, kompletní provedení vc. vsech detailu, pripoj. lišt, pur peny, atd. - dle popisu v pd</t>
  </si>
  <si>
    <t>W26 - M+D - Hliníkové dvere 900x1970mm, kompletní provedení vc. vsech detailu, pripoj. lišt, atd. - dle popisu v pd</t>
  </si>
  <si>
    <t>W27 - M+D - Hliníkové dvere 1600x1970mm, kompletní provedení vc. vsech detailu, pripoj. lišt, atd. - dle popisu v pd</t>
  </si>
  <si>
    <t>W28 - M+D - Hliníkové dvere 1000x2000mm, kompletní provedení vc. vsech detailu, pripoj. lišt, atd. - dle popisu v pd</t>
  </si>
  <si>
    <t>W30 - M+D - Vnitrní delící stena, kompletní provedení vc. vsech detailu - dle popisu v pd</t>
  </si>
  <si>
    <t>W31 - M+D - Vnitrní delící stena, kompletní provedení vc. vsech detailu - dle popisu v pd</t>
  </si>
  <si>
    <t>W32 - M+D - Vnitrní delící stena, kompletní provedení vc. vsech detailu - dle popisu v pd</t>
  </si>
  <si>
    <t>W33 - M+D - Výdejní okna - stravenky - 2okna, kompletní provedení vc. vsech detailu - dle popisu v pd</t>
  </si>
  <si>
    <t>W40 - M+D - Svetlík 1100x1100mm, kompletní provedení vc. vsech detailu - dle popisu v pd</t>
  </si>
  <si>
    <t>W41 - M+D - Svetlík 1000x2500mm, kompletní provedení vc. vsech detailu - dle popisu v pd</t>
  </si>
  <si>
    <t>W42 - M+D - Svetlovod, kompletní provedení vc. vsech detailu - dle popisu v pd</t>
  </si>
  <si>
    <t>W43 - M+D - Svetlovod, kompletní provedení vc. vsech detailu - dle popisu v pd</t>
  </si>
  <si>
    <t>Podlahy z dlaždic</t>
  </si>
  <si>
    <t>Penetrace podkladu pod dlažby</t>
  </si>
  <si>
    <t>Montáž podlah keram., komplet vc. pruniku, spárování, atd.</t>
  </si>
  <si>
    <t>KR1 - keramická dlažba - dle výberu investora (podrobná specifikace viz tz oddíl 1.1.4.1.1)</t>
  </si>
  <si>
    <t>KR2 - keramická dlažba - dle výberu investora (podrobná specifikace viz tz oddíl 1.1.4.1.1)</t>
  </si>
  <si>
    <t>KR3 - keramická dlažba - dle výberu investora (podrobná specifikace viz tz oddíl 1.1.4.1.1)</t>
  </si>
  <si>
    <t>KR4 - keramická dlažba - dle výberu investora (podrobná specifikace viz tz oddíl 1.1.4.1.1)</t>
  </si>
  <si>
    <t>Obklad soklíku keram.rovných, tmel,výška 10 cm</t>
  </si>
  <si>
    <t>Keramická dlažba - soklík - dle výberu investora</t>
  </si>
  <si>
    <t>Presun hmot pro podlahy z dlaždic, výšky do 12 m</t>
  </si>
  <si>
    <t>Podlahy povlakové</t>
  </si>
  <si>
    <t>Vyrovnání podkladu samonivelacní hmotou tl. 5-20mm</t>
  </si>
  <si>
    <t>Samonivelacní sterka  + penetrace, prebroušení sterky</t>
  </si>
  <si>
    <t>Provedení penetrace podkladu pod.povlak.podlahy</t>
  </si>
  <si>
    <t>Lepení podlahových soklíku z PVC a vinylu</t>
  </si>
  <si>
    <t>vcetne dodávky soklíku PVC</t>
  </si>
  <si>
    <t>Lepení povlak.podlah z pásu PVC</t>
  </si>
  <si>
    <t>Podlahovina PVC - dle výberu investora</t>
  </si>
  <si>
    <t>Presun hmot pro podlahy povlakové, výšky do 12 m</t>
  </si>
  <si>
    <t>Podlahy ze syntetických hmot</t>
  </si>
  <si>
    <t>Dvousložkový epoxidový náter pro venkovní prostredí a vysoké zatížení, vcetne vsypu protiskluzu R10</t>
  </si>
  <si>
    <t>Presun hmot pro podlahy syntetické, výšky do 12 m</t>
  </si>
  <si>
    <t>Obklady (keramické)</t>
  </si>
  <si>
    <t>Obklad vnitrní sten keramický, do tmele, komplet vc. pruniku a spárování a pvc lišt</t>
  </si>
  <si>
    <t>KO1 - keramický obklad pro bìžnou zátìž</t>
  </si>
  <si>
    <t>KO2 - keramický obklad pro vyšší zátež</t>
  </si>
  <si>
    <t>KO3 - keramický obklad - wc 1.np</t>
  </si>
  <si>
    <t>Penetrace podkladu pod obklady</t>
  </si>
  <si>
    <t>Hydroizolacní sterka dvouvrstvá pod obklady</t>
  </si>
  <si>
    <t>Hydroizolacní náter</t>
  </si>
  <si>
    <t xml:space="preserve">Elastická tekutá rychleschnoucí tesnící fólie pripravená k prímému zpracování.  Hydroizolace pro vnitrní použití na nosné minerální podklady (cementové a vápenocementové omítky, beton, anhydrit), sádrokarton, drevotøískové a cementotrískové desky apod. Ve vyschlém stavu vytvárí plošnou izolaci prostor zatížených prechodnou (oplachovou) vlhkostí (napr. WC, koupelny, sprchové kouty apod.) – bezešvá izolace bez jakýchkoliv spár. Vytvárí podklad pro lepení keramických obkladových prvku a prírodního, event. umelého kamene. Pri zvýšeném zatežování vlhkostí musí být obložené podlahové plochy (napr. sprchový kout) provedeny ve spádu minimálne 2 %. Vhodná na vytápené podlahy. Nevhodná pro bazény nebo prostory trvale zatížené tlakovou vodou a pro plochy zatežované smykovým napetím a vzlínající vlhkostí. Pri následném použití doporucených lepidel rady AD vytvárí systém vhodný pro vlhké a mokré prostory.  Bezrozpouštedlová hmota na bázi syntetické disperze a minerálních prísad. Spotreba: 1,2-1,6 kg/m2 Objemová hmotnost cca 1,5 kg/dm3 Balení: 8 kg					_x000D_
</t>
  </si>
  <si>
    <t>Obkládání sten vnìj. keram. do tmele, komplet - dle popisu v pd (viz tz)</t>
  </si>
  <si>
    <t>Keramická dlažba , provedena na stenu KR2, do 25kg/m2</t>
  </si>
  <si>
    <t>Presun hmot pro obklady keramické, výšky do 12 m</t>
  </si>
  <si>
    <t>Obklady z prírodního a konglomerovaného kamene</t>
  </si>
  <si>
    <t>Obklad sten kamenem,</t>
  </si>
  <si>
    <t>vcetne dodávky - lámaná skála</t>
  </si>
  <si>
    <t>Presun hmot pro obklady z kamene, výšky do 12 m</t>
  </si>
  <si>
    <t>Nátery</t>
  </si>
  <si>
    <t>Náter syntetický radiátoru a potrubí  2x + 1x email</t>
  </si>
  <si>
    <t>Malby</t>
  </si>
  <si>
    <t>Penetrace podkladu náterem</t>
  </si>
  <si>
    <t>MA1 - Malírský oteruvzdorný náter s vysokou belostí a kryvostí podkladu. na SDK/ omítku</t>
  </si>
  <si>
    <t>MA2 - Interiérová disperzní vysoce omyvatelná polomatná barva</t>
  </si>
  <si>
    <t xml:space="preserve">				_x000D_
</t>
  </si>
  <si>
    <t>MA3 - Dvousložkový epoxidový náter – syntetický, penetrace. na SDK/ omítku</t>
  </si>
  <si>
    <t xml:space="preserve">Pocty vrstev dle pokynu výrobce dle použitého náteru.  (šatna, chodby bez obkladu) – výška 1,5m, nebo dle popisu), Barva dle architektonického rešení					_x000D_
</t>
  </si>
  <si>
    <t>Calounické upravy</t>
  </si>
  <si>
    <t>M+D - Venkovní žaluzie, kompletní provedení vc. vsech souvisejících dodávek a prací (viz popis v pd)</t>
  </si>
  <si>
    <t>v jc zapoèteny i náklady na: elektromotory, boxy, ovladace, držáky, bocnice, krycí plechy, cidla, casovace, dopravu</t>
  </si>
  <si>
    <t>Zasklívání</t>
  </si>
  <si>
    <t>Montáž zrcadla na stenu, na lepidlo, pl. do 2 m2</t>
  </si>
  <si>
    <t>Zrcadlo tl. 4 mm</t>
  </si>
  <si>
    <t xml:space="preserve">O02 - Zrcadlo pro nalepení na stenu. Rozmer zasklení je 600 (šírka) x 1500 (výška) mm. Tl. 4mm, hrany budou zbroušeny pro vložení na stenu. Umístení zrcadla bude 40cm nad podlahou, presná poloha bude urcena na stavbe._x000D_
O03 - Zrcadlo pro nalepení mezi obklady. Rozmer zasklení je 600 (šírka) x 800 (výška) mm. Tl. 4mm, hrany budou zbroušeny pro vložení mezi obklady steny. _x000D_
Osa zrcadla bude 1,6m od podlahy. Druhá osa bude souhlasit s osou umyvadla. Dodávka vcetne všech kotvících prvku a doplnku._x000D_
O04 - Zrcadlo pro nalepení na stenu. Rozmer zasklení je 600 (šírka) x 800 (výška) mm. Tl. 4mm, hrany budou zbroušeny pro vložení na stenu. Umístení zrcadla bude nad umyvadlem, presná poloha bude urcena na stavbe._x000D_
</t>
  </si>
  <si>
    <t>Montáže</t>
  </si>
  <si>
    <t>Montáže dopravních zarízení a vah</t>
  </si>
  <si>
    <t>TZ1 - Výtah - odpadky 1.17, komplet - dle popisu v pd</t>
  </si>
  <si>
    <t>TZ2 - Výtah - provozní, gastro - 1.16, komplet - dle popisu v pd</t>
  </si>
  <si>
    <t>TZ3 - Zvedací plošina, komplet - dle popisu v pd</t>
  </si>
  <si>
    <t>Kotevní oko, komplet - dle popisu v pd</t>
  </si>
  <si>
    <t>Doba výstavby:</t>
  </si>
  <si>
    <t>Zacátek výstavby:</t>
  </si>
  <si>
    <t>Konec výstavby:</t>
  </si>
  <si>
    <t>Zpracováno dne:</t>
  </si>
  <si>
    <t>MJ</t>
  </si>
  <si>
    <t>soubor</t>
  </si>
  <si>
    <t>m</t>
  </si>
  <si>
    <t>m2</t>
  </si>
  <si>
    <t>m3</t>
  </si>
  <si>
    <t>t</t>
  </si>
  <si>
    <t>kus</t>
  </si>
  <si>
    <t>kg</t>
  </si>
  <si>
    <t>%</t>
  </si>
  <si>
    <t>Množství</t>
  </si>
  <si>
    <t>Cena/MJ</t>
  </si>
  <si>
    <t>Objednatel:</t>
  </si>
  <si>
    <t>Projektant:</t>
  </si>
  <si>
    <t>Zhotovitel:</t>
  </si>
  <si>
    <t>Zpracoval:</t>
  </si>
  <si>
    <t>Dodávka</t>
  </si>
  <si>
    <t>Celkem:</t>
  </si>
  <si>
    <t>Montáž</t>
  </si>
  <si>
    <t>Celkem</t>
  </si>
  <si>
    <t>Hmotnost (t)</t>
  </si>
  <si>
    <t>Jednot.</t>
  </si>
  <si>
    <t>Cenová</t>
  </si>
  <si>
    <t>soustava</t>
  </si>
  <si>
    <t>individuální</t>
  </si>
  <si>
    <t>RTS I / 2020</t>
  </si>
  <si>
    <t>inidviduální</t>
  </si>
  <si>
    <t>Pøesuny</t>
  </si>
  <si>
    <t>Typ skupiny</t>
  </si>
  <si>
    <t>HSV mat</t>
  </si>
  <si>
    <t>HSV prac</t>
  </si>
  <si>
    <t>PSV mat</t>
  </si>
  <si>
    <t>PSV prac</t>
  </si>
  <si>
    <t>Mont mat</t>
  </si>
  <si>
    <t>Mont prac</t>
  </si>
  <si>
    <t>Ostatní mat.</t>
  </si>
  <si>
    <t>10_11_</t>
  </si>
  <si>
    <t>10_12_</t>
  </si>
  <si>
    <t>10_13_</t>
  </si>
  <si>
    <t>10_15_</t>
  </si>
  <si>
    <t>10_16_</t>
  </si>
  <si>
    <t>10_17_</t>
  </si>
  <si>
    <t>10_21_</t>
  </si>
  <si>
    <t>10_22_</t>
  </si>
  <si>
    <t>10_26_</t>
  </si>
  <si>
    <t>10_27_</t>
  </si>
  <si>
    <t>10_28_</t>
  </si>
  <si>
    <t>10_31_</t>
  </si>
  <si>
    <t>10_32_</t>
  </si>
  <si>
    <t>10_33_</t>
  </si>
  <si>
    <t>10_34_</t>
  </si>
  <si>
    <t>10_38_</t>
  </si>
  <si>
    <t>10_41_</t>
  </si>
  <si>
    <t>10_43_</t>
  </si>
  <si>
    <t>10_45_</t>
  </si>
  <si>
    <t>10_59_</t>
  </si>
  <si>
    <t>10_60_</t>
  </si>
  <si>
    <t>10_61_</t>
  </si>
  <si>
    <t>10_62_</t>
  </si>
  <si>
    <t>10_63_</t>
  </si>
  <si>
    <t>10_87_</t>
  </si>
  <si>
    <t>10_93_</t>
  </si>
  <si>
    <t>10_94_</t>
  </si>
  <si>
    <t>10_95_</t>
  </si>
  <si>
    <t>10_96_</t>
  </si>
  <si>
    <t>10_97_</t>
  </si>
  <si>
    <t>10_98_</t>
  </si>
  <si>
    <t>10_99_</t>
  </si>
  <si>
    <t>10_S_</t>
  </si>
  <si>
    <t>50_711_</t>
  </si>
  <si>
    <t>50_712_</t>
  </si>
  <si>
    <t>50_713_</t>
  </si>
  <si>
    <t>50_714_</t>
  </si>
  <si>
    <t>50_721_</t>
  </si>
  <si>
    <t>50_725_</t>
  </si>
  <si>
    <t>50_733_</t>
  </si>
  <si>
    <t>50_735_</t>
  </si>
  <si>
    <t>50_762_</t>
  </si>
  <si>
    <t>50_764_</t>
  </si>
  <si>
    <t>50_765_</t>
  </si>
  <si>
    <t>50_766_</t>
  </si>
  <si>
    <t>50_767_</t>
  </si>
  <si>
    <t>50_766VD_</t>
  </si>
  <si>
    <t>50_768VD_</t>
  </si>
  <si>
    <t>50_771_</t>
  </si>
  <si>
    <t>50_776_</t>
  </si>
  <si>
    <t>50_777_</t>
  </si>
  <si>
    <t>50_781_</t>
  </si>
  <si>
    <t>50_782_</t>
  </si>
  <si>
    <t>50_783_</t>
  </si>
  <si>
    <t>50_784_</t>
  </si>
  <si>
    <t>50_786_</t>
  </si>
  <si>
    <t>50_787_</t>
  </si>
  <si>
    <t>M1_M33_</t>
  </si>
  <si>
    <t>10_1_</t>
  </si>
  <si>
    <t>10_2_</t>
  </si>
  <si>
    <t>10_3_</t>
  </si>
  <si>
    <t>10_4_</t>
  </si>
  <si>
    <t>10_5_</t>
  </si>
  <si>
    <t>10_6_</t>
  </si>
  <si>
    <t>10_8_</t>
  </si>
  <si>
    <t>10_9_</t>
  </si>
  <si>
    <t>50_71_</t>
  </si>
  <si>
    <t>50_72_</t>
  </si>
  <si>
    <t>50_73_</t>
  </si>
  <si>
    <t>50_76_</t>
  </si>
  <si>
    <t>50_77_</t>
  </si>
  <si>
    <t>50_78_</t>
  </si>
  <si>
    <t>M1_9_</t>
  </si>
  <si>
    <t>_</t>
  </si>
  <si>
    <t>MAT</t>
  </si>
  <si>
    <t>WORK</t>
  </si>
  <si>
    <t>CELK</t>
  </si>
  <si>
    <t>Zkrácený popis</t>
  </si>
  <si>
    <t>Zemní práce</t>
  </si>
  <si>
    <t>Svislé a kompletní konstrukce</t>
  </si>
  <si>
    <t>Vodorovné konstrukce</t>
  </si>
  <si>
    <t>Trubní vedení</t>
  </si>
  <si>
    <t>Izolace</t>
  </si>
  <si>
    <t>F</t>
  </si>
  <si>
    <t>T</t>
  </si>
  <si>
    <t>Stavební rozpocet - Jen podskupiny</t>
  </si>
  <si>
    <t>2*2   odstranìní potrubí v zemi od lapace</t>
  </si>
  <si>
    <t>403,8   dle v. výkopu a situace</t>
  </si>
  <si>
    <t>(661,7+85,8)*0,3   dle v. výkopu a situace - premístit na mezideponii a ponechat</t>
  </si>
  <si>
    <t>403,8*0,2   dle výkopu a situace - v míste stávajících zpevnených ploch</t>
  </si>
  <si>
    <t>2*2,0*0,8*1,0   pro demontáž potrubí od lapacu</t>
  </si>
  <si>
    <t>0,8*1,0*14,65   kolem stívající operné zdi- v. D11.34</t>
  </si>
  <si>
    <t>0,6*0,8*5,4+0,8*2,0*(5,5+2,32+2,1+2,6+5)   kolem stávajícího plotu cp 120- v. D11.34</t>
  </si>
  <si>
    <t>2685   dle v. výkopu</t>
  </si>
  <si>
    <t>2685   na deponii</t>
  </si>
  <si>
    <t>1748   zpet k zásypu, zbytek zustane na deponii</t>
  </si>
  <si>
    <t>80,76   odkopávky na deponii</t>
  </si>
  <si>
    <t>1748   na mezideponii zpet k zásypu</t>
  </si>
  <si>
    <t>820+582+182+164   zásypy, podsypy, terénní upravy - dle v. výkopu, rezu, pudorysu</t>
  </si>
  <si>
    <t>17   drenážní vrstva - SB - dle v. c. D11.34</t>
  </si>
  <si>
    <t>   dle návrhu protiradonových opatrení</t>
  </si>
  <si>
    <t>185   potrubí 80mm</t>
  </si>
  <si>
    <t>33   potrubí 100mm</t>
  </si>
  <si>
    <t>   dle v.c. D12.312</t>
  </si>
  <si>
    <t>0,675   P1</t>
  </si>
  <si>
    <t>1,056   P2</t>
  </si>
  <si>
    <t>1,43   P3</t>
  </si>
  <si>
    <t>1,88   P4</t>
  </si>
  <si>
    <t>2,939   P5</t>
  </si>
  <si>
    <t>   dle tab. na v.c. D12.101</t>
  </si>
  <si>
    <t>10,5*3   01-03</t>
  </si>
  <si>
    <t>6,0*8   04-11</t>
  </si>
  <si>
    <t>6,5*11   12-22</t>
  </si>
  <si>
    <t>9,0*10   31-40</t>
  </si>
  <si>
    <t>9,0*4   41-44</t>
  </si>
  <si>
    <t>3,14*0,6*0,6*10,5*3   01-03</t>
  </si>
  <si>
    <t>3,14*0,6*0,6*6,0*8   04-11</t>
  </si>
  <si>
    <t>3,14*0,45*0,45*6,5*11   12-22</t>
  </si>
  <si>
    <t>3,14*0,45*0,45*9,0*10   31-40</t>
  </si>
  <si>
    <t>3,14*0,6*0,6*9,0*4   41-44</t>
  </si>
  <si>
    <t>27159,1/1000   dle v.c. D12.301</t>
  </si>
  <si>
    <t>12061,9/1000   dle v.c. D12.311</t>
  </si>
  <si>
    <t>   dle v.c. D12.101</t>
  </si>
  <si>
    <t>   vc. sten</t>
  </si>
  <si>
    <t>2,54*1,54*0,3   deska</t>
  </si>
  <si>
    <t>312,561*0,3   deska</t>
  </si>
  <si>
    <t>1,6*0,2*(2,94+1,94)*2   steny</t>
  </si>
  <si>
    <t>0,65*0,3*4,0   steny</t>
  </si>
  <si>
    <t>(1,1*0,9+1,1*1,1+1,8*0,8*3+1,8*0,7+0,8*0,7+0,9*0,9+1,8*0,8*2+1,8*1,8*3)*0,3   ztluštení</t>
  </si>
  <si>
    <t>0,95*0,3*(1,4+1,6)*2+0,02*(1,4+1,6)*2   šachta</t>
  </si>
  <si>
    <t>0,135*(19,21+1,8+19,21)   kanál</t>
  </si>
  <si>
    <t>   dle  v.c. D12.101</t>
  </si>
  <si>
    <t>(2,54+1,54)*2*0,3   </t>
  </si>
  <si>
    <t>89,402*0,3   </t>
  </si>
  <si>
    <t>((1,1+0,9+1,1*2)+(1,8+0,8*2)*5+(0,8+0,7)+0,9*2+1,8*4*3)*0,3   </t>
  </si>
  <si>
    <t>(0,95+1,25)*(1,4+1,6)*2   </t>
  </si>
  <si>
    <t>0,3*(17,01+0,6+17,01)   </t>
  </si>
  <si>
    <t>(2,94+1,94)*(1,6+1,3)*2   </t>
  </si>
  <si>
    <t>0,65*4,0*2   </t>
  </si>
  <si>
    <t>100,1886*0,2   </t>
  </si>
  <si>
    <t>   dle v.c. D12.201</t>
  </si>
  <si>
    <t>1,0*1,0*0,8*4   </t>
  </si>
  <si>
    <t>1,0*1,0*0,85   </t>
  </si>
  <si>
    <t>1,0*0,8*4*4+1,0*0,85*4   dle v.c. D12.201</t>
  </si>
  <si>
    <t>   D12.201</t>
  </si>
  <si>
    <t>(3,37+3,525)*0,3*0,85   </t>
  </si>
  <si>
    <t>(45,641-30,335)*0,8   </t>
  </si>
  <si>
    <t>34,3*0,6   </t>
  </si>
  <si>
    <t>(3,37+3,525)*0,85*2   </t>
  </si>
  <si>
    <t>(5,9+7,31+7,42+0,7+6,115+0,1+4,7+6,64+4,72+6,27+0,245)*0,85   </t>
  </si>
  <si>
    <t>(1,6+1,0+0,3)*1,6   </t>
  </si>
  <si>
    <t>1,6*(1,6-0,85)   </t>
  </si>
  <si>
    <t>15,0*2*1,8   </t>
  </si>
  <si>
    <t>0,3*4*1,8   </t>
  </si>
  <si>
    <t>1,3*0,2   </t>
  </si>
  <si>
    <t>2,58*1,02*0,25-0,82*0,1*1,275   		   škrabka</t>
  </si>
  <si>
    <t>   dle v. venk. schodišt</t>
  </si>
  <si>
    <t>(1,89+1,825+1,6*3)*0,3*0,3   schodište u jídelny</t>
  </si>
  <si>
    <t>(8,003-4,08)*0,665   schodište - vstup do školy</t>
  </si>
  <si>
    <t>(2,415+2,2+1,79+2,255)*0,25   oplocení - dle v.c. D11.34</t>
  </si>
  <si>
    <t>2,415*0,85   oplocení - dle v.c. D11.34</t>
  </si>
  <si>
    <t>0,75*(1,89+1,825+1,6+1,6)+0,5*1,6   dle v. venk. schodišt - sch u jídelny</t>
  </si>
  <si>
    <t>(0,5+0,4*2+1,09+0,5)*0,25   základy sloupku - dle v.c. D11.34</t>
  </si>
  <si>
    <t>   základ oplocení - dle v.c. D11.34</t>
  </si>
  <si>
    <t>(2,415+7,895+0,6+0,8)*0,65   </t>
  </si>
  <si>
    <t>0,9*1,63   </t>
  </si>
  <si>
    <t>(1,0+0,575+0,815+0,45+0,9)*0,75   </t>
  </si>
  <si>
    <t>0,7*1,32   </t>
  </si>
  <si>
    <t>   operné steny - dle v.c. D11.34</t>
  </si>
  <si>
    <t>90   500g/m2</t>
  </si>
  <si>
    <t>50   300g/m2</t>
  </si>
  <si>
    <t>90   </t>
  </si>
  <si>
    <t>;ztratné 10%; 9   </t>
  </si>
  <si>
    <t>50   </t>
  </si>
  <si>
    <t>;ztratné 10%; 5   </t>
  </si>
  <si>
    <t>9856,9/1000   dle v.c. D12.502</t>
  </si>
  <si>
    <t>7183,9/1000   dle v.c. D12.512</t>
  </si>
  <si>
    <t>11910,6/1000   dle v.c. D12.522</t>
  </si>
  <si>
    <t>   dle pud. 2.pp</t>
  </si>
  <si>
    <t>3,2*3,45-0,9*1,97*2   </t>
  </si>
  <si>
    <t>   dle pud. 1.pp</t>
  </si>
  <si>
    <t>(5,6*4+5,45+2,86)*3,1-(1,8*1,7+4,0*2,7*4)   </t>
  </si>
  <si>
    <t>   dle pud. 1.np</t>
  </si>
  <si>
    <t>(1,25+5,1+5,45*2+5,6*4+5,45+5,45)*4,25   </t>
  </si>
  <si>
    <t>-(5,1*1,2+3,85*4,1*4+4,0*4,1*4)   </t>
  </si>
  <si>
    <t>(5,6+5,6+5,45+5,6+3,17+0,65+2,68)*3,1   </t>
  </si>
  <si>
    <t>-0,9*1,97*2   </t>
  </si>
  <si>
    <t>24,4*0,3*3,45+0,4*0,1*4*3,45   </t>
  </si>
  <si>
    <t>12,1*0,4*3,45   </t>
  </si>
  <si>
    <t>24,4*0,3*3,45+0,4*0,1*2*3,45-1,185*2,0*0,3   </t>
  </si>
  <si>
    <t>3,0*0,4*3,45   </t>
  </si>
  <si>
    <t>(5,135+2,707)*0,2*3,45   </t>
  </si>
  <si>
    <t>0,186*3,45   </t>
  </si>
  <si>
    <t>(5,778+5,675+3,56)*0,3*3,45   </t>
  </si>
  <si>
    <t>(3,6+2,2)*0,2*3,7-1,2*2,38*2*0,2   </t>
  </si>
  <si>
    <t>   dle v.c. D12.202</t>
  </si>
  <si>
    <t>3,0*0,4*3,1-1,5*1,75*0,4   </t>
  </si>
  <si>
    <t>(5,136+2,7)*3,1*0,2-(0,9*2,12+0,9*2,2)*0,2   </t>
  </si>
  <si>
    <t>22,51*0,3*3,1+0,4*0,1*3,1*2-(1,2*3,1+1,185*2,12+1,6*1,5)*0,3   </t>
  </si>
  <si>
    <t>(12,6+5,01)*0,4*3,1   </t>
  </si>
  <si>
    <t>(2,195+5,35+0,85)*0,3*3,1   </t>
  </si>
  <si>
    <t>(1,47+1,83)*0,3*3,1   </t>
  </si>
  <si>
    <t>(2,2+3,6)*3,35*0,2-1,2*2,38*0,2*2   </t>
  </si>
  <si>
    <t>0,186*3,1   </t>
  </si>
  <si>
    <t>(3,56+5,675+5,78)*0,3*3,1   </t>
  </si>
  <si>
    <t>(3,67+3,98)*0,3*0,85   </t>
  </si>
  <si>
    <t>(5,6+7,125+5,62+7,295)*0,3*0,85   </t>
  </si>
  <si>
    <t>0,4*0,1*0,85   </t>
  </si>
  <si>
    <t>(5,3+7,676)*0,3*1,05   </t>
  </si>
  <si>
    <t>(5,6+5,1+4,3)*2,25*0,3   </t>
  </si>
  <si>
    <t>   dle v.c. D12.203-205</t>
  </si>
  <si>
    <t>0,891*4,25   </t>
  </si>
  <si>
    <t>8,86*4,25*0,2-1,2*2,2*0,2   </t>
  </si>
  <si>
    <t>(5,645+1,7)*0,2*4,25-2,0*1,5*0,2   </t>
  </si>
  <si>
    <t>(4,096+2,4+3,8+2,4)*0,2*4,25   </t>
  </si>
  <si>
    <t>-1,2*2,38*0,2*2   </t>
  </si>
  <si>
    <t>(5,6+7,13+5,62+7,598)*0,3*8,89-(3,01*3,7+1,0*2,7+1,57*3,725*2+1,0*3,725+3,5*2,61)*0,3   </t>
  </si>
  <si>
    <t>24,4*2*3,45+2*0,1*4*3,45   </t>
  </si>
  <si>
    <t>12,1*2*3,45   </t>
  </si>
  <si>
    <t>24,4*2*3,45+2*0,1*2*3,45-1,185*2,0*2+0,3*(1,185+2,0*2)   </t>
  </si>
  <si>
    <t>3,0*2*3,45   </t>
  </si>
  <si>
    <t>(5,135+2,707)*2*3,45   </t>
  </si>
  <si>
    <t>1,857*3,45   </t>
  </si>
  <si>
    <t>(5,778+5,675+3,56)*2*3,45   </t>
  </si>
  <si>
    <t>(3,6+2,2)*2*3,7-1,2*2,38*2*2+0,2*(1,2+2,38*2)*2   </t>
  </si>
  <si>
    <t>3,0*2*3,1-1,5*1,75*2+0,4*(1,5+1,75)*2   </t>
  </si>
  <si>
    <t>(5,136+2,7)*3,1*2-(0,9*2,12+0,9*2,2)*2+0,2*(0,9+2,12*2+0,9+2,2*2)   </t>
  </si>
  <si>
    <t>22,51*2*3,1+2*0,1*3,1*2-(1,2*3,1+1,185*2,12+1,6*1,5)*2+0,3*(1,2+3,1*2+1,185+2,12*2)   </t>
  </si>
  <si>
    <t>(12,6+5,01)*2*3,1   </t>
  </si>
  <si>
    <t>(2,195+5,35+0,85)*2*3,1   </t>
  </si>
  <si>
    <t>(1,47+1,83)*2*3,1   </t>
  </si>
  <si>
    <t>(2,2+3,6)*3,35*2-1,2*2,38*2*2+0,2*(1,2+2,38*2)*2   </t>
  </si>
  <si>
    <t>1,857*3,1   </t>
  </si>
  <si>
    <t>(3,56+5,675+5,78)*2*3,1   </t>
  </si>
  <si>
    <t>(3,67+3,98)*2*0,85   </t>
  </si>
  <si>
    <t>(5,6+7,125+5,62+7,295)*2*0,85   </t>
  </si>
  <si>
    <t>0,4*2*0,85   </t>
  </si>
  <si>
    <t>(5,3+7,676)*2*1,05   </t>
  </si>
  <si>
    <t>(5,6+5,1+4,3)*2,25*2   </t>
  </si>
  <si>
    <t>6,49*4,25   </t>
  </si>
  <si>
    <t>8,86*4,25*2-1,2*2,2*2+0,2*(1,2+2,2*2)   </t>
  </si>
  <si>
    <t>(5,645+1,7)*2*4,25-2,0*1,5*2+0,2*(2,0+1,5)*2   </t>
  </si>
  <si>
    <t>(4,096+2,4+3,8+2,4)*2*4,25   </t>
  </si>
  <si>
    <t>-1,2*2,38*2*2+0,2*(1,2+2,38*2)*2   </t>
  </si>
  <si>
    <t>(5,6+7,13+5,62+7,598)*2*8,89-(3,01*3,7+1,0*2,7+1,57*3,725*2+1,0*3,725+3,5*2,61)*2   </t>
  </si>
  <si>
    <t>0,3*(3,01+3,7*2+1,0+2,7*2+1,57*2+3,725*4+1,0+3,725*2+3,5+2,61*2)   </t>
  </si>
  <si>
    <t>0,65*4,25   </t>
  </si>
  <si>
    <t>15   dle tab. prekladu - R02</t>
  </si>
  <si>
    <t>18   dle tab. prekladu - R01</t>
  </si>
  <si>
    <t>6   dle tab. prekladu - R03</t>
  </si>
  <si>
    <t>1   dle tabulky prekladu - R20</t>
  </si>
  <si>
    <t>   dle tab. prekladu - R14-R19</t>
  </si>
  <si>
    <t>(5,8+4,82+5,3+10,12+17,32+3,37*9)*1,1/1000   </t>
  </si>
  <si>
    <t>17,32*1,1/1000   </t>
  </si>
  <si>
    <t>(5,8+4,82+5,3+10,12+3,37*9)*1,1/1000   </t>
  </si>
  <si>
    <t>173,5*1,1/1000   dle tab. zám. výrobku - Z53</t>
  </si>
  <si>
    <t>6   dle tab. prekladu - R05</t>
  </si>
  <si>
    <t>6   R05</t>
  </si>
  <si>
    <t>   dle tab. prekladu</t>
  </si>
  <si>
    <t>2   R04</t>
  </si>
  <si>
    <t>1   R06</t>
  </si>
  <si>
    <t>2   R09</t>
  </si>
  <si>
    <t>3   R10</t>
  </si>
  <si>
    <t>2   R11</t>
  </si>
  <si>
    <t>1   R07</t>
  </si>
  <si>
    <t>1   R08</t>
  </si>
  <si>
    <t>1   R12</t>
  </si>
  <si>
    <t>2+1   R13</t>
  </si>
  <si>
    <t>1+3   R08+R13 (R13 - 2+1 ve 2.np stáv. obj.)</t>
  </si>
  <si>
    <t>   viz v.c. D11.34</t>
  </si>
  <si>
    <t>(2,255+1,79)*0,15*0,525+(2,2+2,415)*0,15*0,675   podezdívka</t>
  </si>
  <si>
    <t>0,45*0,45*1,79*2+0,6*0,45*3,13+1,075*0,45*2,68+0,45*0,45*2,73   sloupky</t>
  </si>
  <si>
    <t>0,25*(17,31+0,286)   dle v. základu - kanál</t>
  </si>
  <si>
    <t>   OS1</t>
  </si>
  <si>
    <t>13,7745*0,3   </t>
  </si>
  <si>
    <t>4,49*0,25*0,9   </t>
  </si>
  <si>
    <t>5,14*0,3*3,4   </t>
  </si>
  <si>
    <t>0,945*0,3*2,11   </t>
  </si>
  <si>
    <t>0,172*4,49   </t>
  </si>
  <si>
    <t>   OS2</t>
  </si>
  <si>
    <t>9,52*0,3   </t>
  </si>
  <si>
    <t>(2,23+3,43)*0,25*0,9   </t>
  </si>
  <si>
    <t>(0,7*0,2+4,7*0,25+0,52*0,18+0,83*0,2)*3,5   </t>
  </si>
  <si>
    <t>8,017*((0,15+0,2357)/2)   </t>
  </si>
  <si>
    <t>   OS3</t>
  </si>
  <si>
    <t>18,974*0,3   </t>
  </si>
  <si>
    <t>(1,98+3,426)*0,3*0,3   </t>
  </si>
  <si>
    <t>(3,7*2,9+5,0*3,85)*0,3   </t>
  </si>
  <si>
    <t>4146,6/1000   dle v.c. D12.701</t>
  </si>
  <si>
    <t>16,025*0,3   </t>
  </si>
  <si>
    <t>(4,49+0,25*2+4,49)*0,9   </t>
  </si>
  <si>
    <t>(5,14*2+0,3*2)*3,4   </t>
  </si>
  <si>
    <t>(0,945+0,3+0,945)*2,11   </t>
  </si>
  <si>
    <t>0,95*4,49+0,95*((0,2+0,162)/2)*2+4,49*0,2   </t>
  </si>
  <si>
    <t>16,86*0,3   </t>
  </si>
  <si>
    <t>(2,23+3,43+0,25)*2*0,9   </t>
  </si>
  <si>
    <t>3,8*(0,7+4,7+3,43+0,52+0,83+0,2)   </t>
  </si>
  <si>
    <t>3,25*(0,45+3,9+0,18+0,83+0,2)   </t>
  </si>
  <si>
    <t>8,017+(2,105+3,228)*0,15+3,225*0,25   </t>
  </si>
  <si>
    <t>(4,27+5,27+2,8+3,155+1,71+2,4)*0,3   </t>
  </si>
  <si>
    <t>(1,98+3,426+0,3)*2*0,3   </t>
  </si>
  <si>
    <t>(3,7*2,9+5,0*3,85+0,3*2,9)*2+0,3*3,85   </t>
  </si>
  <si>
    <t>434,2/1000   dle v.c. D12.501</t>
  </si>
  <si>
    <t>860,4/1000   dle v.c. D12.511</t>
  </si>
  <si>
    <t>2936,9/1000   dle v.c. D12.521</t>
  </si>
  <si>
    <t>0,4*4*2,9   dle v.c. D12.201</t>
  </si>
  <si>
    <t>0,4*4*(2,85*4+2,8*4)   dle v.c. D12.202</t>
  </si>
  <si>
    <t>   dle v.c. D12.203</t>
  </si>
  <si>
    <t>0,4*4*3*4,05   </t>
  </si>
  <si>
    <t>0,4*4*5*4,25   </t>
  </si>
  <si>
    <t>0,4*4*3,75   </t>
  </si>
  <si>
    <t>0,4*4*3,45   </t>
  </si>
  <si>
    <t>0,4*4*3,8   </t>
  </si>
  <si>
    <t>0,4*4*4*4,05   </t>
  </si>
  <si>
    <t>0,4*4*4,85*2   </t>
  </si>
  <si>
    <t>0,4*4*2*6,05   </t>
  </si>
  <si>
    <t>0,4*4*2*4,05   </t>
  </si>
  <si>
    <t>2*3,14*0,25*3,75   dle v.c. D12.203</t>
  </si>
  <si>
    <t>0,4*0,4*2,9*4   dle v.c. D12.201 - sloupy 2.pp - S01</t>
  </si>
  <si>
    <t>0,4*0,4*2,85*4+0,4*0,4*2,8*4   dle v.c. D12.202 - sloupy 1.pp - S01+S02</t>
  </si>
  <si>
    <t>   dle v.c. D12.203 - sloupy 1.np</t>
  </si>
  <si>
    <t>0,4*0,4*3*4,0   S01</t>
  </si>
  <si>
    <t>0,4*0,4*5*4,25   S02</t>
  </si>
  <si>
    <t>3,14*0,25*0,25*3,75   S03</t>
  </si>
  <si>
    <t>0,4*0,4*3,75   S04</t>
  </si>
  <si>
    <t>0,4*0,4*3,45   S05</t>
  </si>
  <si>
    <t>0,4*0,4*3,8   S06</t>
  </si>
  <si>
    <t>0,4*0,4*4,05*4   S07</t>
  </si>
  <si>
    <t>0,4*0,4*4,85   S08</t>
  </si>
  <si>
    <t>0,4*0,4*4,85   S09</t>
  </si>
  <si>
    <t>0,4*0,4*2*6,05   S10</t>
  </si>
  <si>
    <t>0,4*0,4*2*4,05   S11</t>
  </si>
  <si>
    <t>4+2   dle v. oprných sten</t>
  </si>
  <si>
    <t>(0,25+0,325+0,7+0,275+1,65+1,725+0,3+0,55)*3,45   </t>
  </si>
  <si>
    <t>(0,3*2+0,4)*3*3,1   </t>
  </si>
  <si>
    <t>((0,3*2+0,4)*6+2,0+1,85+0,1+0,65)*4,25   </t>
  </si>
  <si>
    <t>2,0*11,1   výtah</t>
  </si>
  <si>
    <t>(2,5+2,335+1,15+5,02+1,225+1,6+1,525+3,025+3,525+1,6+3,025+2,1)*3,45   </t>
  </si>
  <si>
    <t>-(0,8*1,6+0,8*1,97*5+(0,425+0,975)*2,0+0,7*1,97*2+0,6*1,97*2)   </t>
  </si>
  <si>
    <t>(3,0+17,24+3,375+0,325+0,2+2,2)*3,1   </t>
  </si>
  <si>
    <t>-(1,8*1,97+0,7*1,97*2+0,9*1,97*2+1,0*1,97)   </t>
  </si>
  <si>
    <t>(1,95+1,3+1,187+2,275+2,825+1,55+3,324+1,8+1,875+3,128+2,695)*4,25   </t>
  </si>
  <si>
    <t>-(0,6*1,97+0,7*1,97*4+0,8*1,97*2)   </t>
  </si>
  <si>
    <t>54   </t>
  </si>
  <si>
    <t>(2,85+4,5+1,6+5,7*2+0,575+16,2+3,8+3,65+3,65*2+5,6*2+2,21+5,55*4+2,245+3,25+0,91+1,15)*3,45   </t>
  </si>
  <si>
    <t>-(0,9*1,97*5+0,8*1,97*3+1,25*1,97*3+1,1*1,97*2)   </t>
  </si>
  <si>
    <t>(3,375+1,1*2+5,03+0,908)*3,1-0,8*1,97*2   </t>
  </si>
  <si>
    <t>(5,03+1,2+0,91+6,025+0,55+4,95+0,324+0,366+2,762+1,25+1,93+1,995+3,575+3,284+1,1+1,0)*4,25   </t>
  </si>
  <si>
    <t>-(0,8*1,97*3+2,76*1,0+0,9*1,97*3)   </t>
  </si>
  <si>
    <t>   dle pudorysu strechy</t>
  </si>
  <si>
    <t>3,1*1,25   </t>
  </si>
  <si>
    <t>(2,25+3,39)*3,45-0,9*1,97   </t>
  </si>
  <si>
    <t>(3,375+3,5)*3,1   </t>
  </si>
  <si>
    <t>(1,375+3,14+5,6+7,675+5,3+10,03+3,924+0,525+0,35+3,525)*4,25-1,5*1,5   </t>
  </si>
  <si>
    <t>4,1*1,5+2,65*0,25   </t>
  </si>
  <si>
    <t>0,25*(18,66+1,05+0,9+1,35+1,2)   kanál - dle v. základu</t>
  </si>
  <si>
    <t>7,2   </t>
  </si>
  <si>
    <t>0,6*3,45   </t>
  </si>
  <si>
    <t>4,15*4,25   </t>
  </si>
  <si>
    <t>0,8*3,45   </t>
  </si>
  <si>
    <t>   dle pudorysu 1.np</t>
  </si>
  <si>
    <t>1,875*4,25   </t>
  </si>
  <si>
    <t>1,1*3,0*2   dle pudorysu 2.np - škola</t>
  </si>
  <si>
    <t>   dle oud. 1.pp</t>
  </si>
  <si>
    <t>(1,925+2,035+1,35+1,065+1,962+2,695+1,795+1,22+1,065+1,92)*3,1   </t>
  </si>
  <si>
    <t>-(0,7*1,97*2+0,8*1,97*2)   </t>
  </si>
  <si>
    <t>(1,875+1,05+1,05+2,1+2,225)*3,1-0,7*1,97*4   </t>
  </si>
  <si>
    <t>   dle pud. 1.pp - SDK2</t>
  </si>
  <si>
    <t>(2,327+1,15)*3,1   </t>
  </si>
  <si>
    <t>2,95*3,45   </t>
  </si>
  <si>
    <t>(1,1+0,975+1,065+0,95+2,5)*3,1   </t>
  </si>
  <si>
    <t>1,85*4,25   </t>
  </si>
  <si>
    <t>1,0*3,45*2+(1,575+0,2+0,815)*3,45   </t>
  </si>
  <si>
    <t>(0,95+1,5)*3,1*2   </t>
  </si>
  <si>
    <t>(0,975+0,95+0,95)*4,25   </t>
  </si>
  <si>
    <t>(0,48*4+0,25*2+0,7*2)*2,6   dle pudorysu 2.np</t>
  </si>
  <si>
    <t>15   </t>
  </si>
  <si>
    <t>20,214*2+10,7787*2+38,469+43,24425   </t>
  </si>
  <si>
    <t>14,2811+27,36+2,681+4,151+50,01975+9,932+37,04   </t>
  </si>
  <si>
    <t>11,1*2   prícka ve výtahu</t>
  </si>
  <si>
    <t>0,5   dobetonávka na streše - dle pudorysu a rezu</t>
  </si>
  <si>
    <t>283,88*0,25+15,662*0,15   dle v.c. D12.201</t>
  </si>
  <si>
    <t>319,15*0,25   dle v.c. D12.202</t>
  </si>
  <si>
    <t>12,1*24,4*0,25+362,0*0,25   dle v.c. D12.203</t>
  </si>
  <si>
    <t>3,988*6,3*(0,06/2+0,1)   dle v.c. D12.204</t>
  </si>
  <si>
    <t>41,25*0,2   dle v.c. D12.205</t>
  </si>
  <si>
    <t>3,988*6,3*2   dle v.c. D12.204+205</t>
  </si>
  <si>
    <t>86,552*0,25+16,37*0,15+283,88+15,662   dle v.c. D12.201</t>
  </si>
  <si>
    <t>88,11*0,25+319,15   dle v.c. D12.202</t>
  </si>
  <si>
    <t>(12,1+24,4)*2*0,25+92,195*0,25+12,1*24,4+362,08   dle v.c. D12.203</t>
  </si>
  <si>
    <t>25,95*0,2+41,25   dle v.c. D12.205</t>
  </si>
  <si>
    <t>1409,87175*0,1   </t>
  </si>
  <si>
    <t>(6156+3692,7)/1000   dle v.c. D12.401+D12.402</t>
  </si>
  <si>
    <t>(5515,8+4310,4)/1000   dle v.c. D12.411+D12.412</t>
  </si>
  <si>
    <t>(13134,7+9051,5)/1000   dle v.c. D12.421+D12.422</t>
  </si>
  <si>
    <t>90,6/1000   dle v.c. D12.431</t>
  </si>
  <si>
    <t>1317,3/1000   dle v.c. D12.441</t>
  </si>
  <si>
    <t>140/1000   dle v.c. D12.431</t>
  </si>
  <si>
    <t>3,988*6,3*3,05*1,2/1000   dle v.c. D12.204</t>
  </si>
  <si>
    <t>   2.pp - dle  v.c. D12.201</t>
  </si>
  <si>
    <t>8,7*0,4*0,3   </t>
  </si>
  <si>
    <t>23,6*0,4*0,25   </t>
  </si>
  <si>
    <t>   1.pp - dle v.c. D12.202</t>
  </si>
  <si>
    <t>23,6*0,4*0,3   </t>
  </si>
  <si>
    <t>   1.np - dle v.c. D12.203</t>
  </si>
  <si>
    <t>20,429*0,4*0,5   </t>
  </si>
  <si>
    <t>16,287*0,4*0,25   </t>
  </si>
  <si>
    <t>13,776*0,4*0,25   </t>
  </si>
  <si>
    <t>13,681*0,4*0,25   </t>
  </si>
  <si>
    <t>17,104*0,4*0,25   </t>
  </si>
  <si>
    <t>18,936*0,4*0,25   </t>
  </si>
  <si>
    <t>4,675*0,4*0,25*2   </t>
  </si>
  <si>
    <t>5,3*0,4*0,25*2   </t>
  </si>
  <si>
    <t>5,1*0,4*0,25*2   </t>
  </si>
  <si>
    <t>1097,8/1000   dle v.c. D12.403</t>
  </si>
  <si>
    <t>1491,6/1000   dle v.c. D12.413</t>
  </si>
  <si>
    <t>10889,2/1000   dle v.c. D12.423</t>
  </si>
  <si>
    <t>(1,8*4+1,8*4*3+1,1*3)*0,3   dle v.c. D12.203</t>
  </si>
  <si>
    <t>1,8*1,8*3*0,3+1,8*1,1*2*0,3   dle v.c. D12.203</t>
  </si>
  <si>
    <t>8,7*(0,4+2*0,3)   </t>
  </si>
  <si>
    <t>23,6*(0,4+2*0,25)   </t>
  </si>
  <si>
    <t>23,6*(0,4+2*0,3)   </t>
  </si>
  <si>
    <t>20,429*(0,4+2*0,5)   </t>
  </si>
  <si>
    <t>16,287*(0,4+2*0,25)   </t>
  </si>
  <si>
    <t>13,776*(0,4+2*0,25)   </t>
  </si>
  <si>
    <t>13,681*(0,4+2*0,25)   </t>
  </si>
  <si>
    <t>17,104*(0,4+2*0,25)   </t>
  </si>
  <si>
    <t>18,936*(0,4+2*0,25)   </t>
  </si>
  <si>
    <t>4,675*(0,4+2*0,25)*2   </t>
  </si>
  <si>
    <t>5,3*(0,4+2*0,25)*2   </t>
  </si>
  <si>
    <t>5,1*(0,4+2*0,25)*2   </t>
  </si>
  <si>
    <t>   dle pud. 1.pp staveb. c.</t>
  </si>
  <si>
    <t>5,45*0,6+5,45*0,6+3,375*0,4   S1.03,06,17</t>
  </si>
  <si>
    <t>   dle pud. 2.pp staveb. c.</t>
  </si>
  <si>
    <t>3,65+3,53+18,62+8,7+9,92+1,93+1,82   </t>
  </si>
  <si>
    <t>   dle pud. 1.np stav. c.</t>
  </si>
  <si>
    <t>1,6*0,310   1.19</t>
  </si>
  <si>
    <t>   dle pud. 1.pp stav. c.</t>
  </si>
  <si>
    <t>2,295*0,6+4,75+1,54+1,82*0,6+4,46+1,45+7,38+1,24+1,08+3,66+3,08+1,16+2,17+1,2*2,43   S1.03,04,05,06,07,08,10,11,12,13,14,15,19,22</t>
  </si>
  <si>
    <t>   dle pud. 2.pp stav. c.</t>
  </si>
  <si>
    <t>15,13+2,92+2,92+1,37+8,0+1,82   S2.06,10,11,13,14,19,28</t>
  </si>
  <si>
    <t>   dle pud. 1.np staveb. c.</t>
  </si>
  <si>
    <t>10,62+0,5*0,25+10,865+3,82   1.09</t>
  </si>
  <si>
    <t>13,1+23,94   PH9 - 2.np - dle tab. m.</t>
  </si>
  <si>
    <t>0,6*2*2,4   </t>
  </si>
  <si>
    <t>5,45*0,5*2+3,375*0,5   </t>
  </si>
  <si>
    <t>3,021*0,6+4,085*0,6   </t>
  </si>
  <si>
    <t>(5,4+17,4)*2*0,6   </t>
  </si>
  <si>
    <t>1,63*0,2+0,7*2,75+0,2*2,15   </t>
  </si>
  <si>
    <t>1,185*0,15*2   </t>
  </si>
  <si>
    <t>2,295*0,5+1,82*0,7+(0,55+2,43)*0,3   </t>
  </si>
  <si>
    <t>1,6*0,3   </t>
  </si>
  <si>
    <t>0,9*1,45+(12,8+4,4+3,53+3,0)*0,9+2,075*1,35+(1,624+3,65+1,8)*0,9   </t>
  </si>
  <si>
    <t>(2,414+5,66+2,6+0,7+1,1)*1,35+0,9*(0,5+0,25)*2   </t>
  </si>
  <si>
    <t>0,89*0,3   strecha - dle pudorysu</t>
  </si>
  <si>
    <t>54   dle v. základu - zastropení kanálu</t>
  </si>
  <si>
    <t>673,5/1000   dle v.c. D12.602</t>
  </si>
  <si>
    <t>462,2/1000   dle v.c. D12.612</t>
  </si>
  <si>
    <t>1737,3/1000   dle v.c. D12.622</t>
  </si>
  <si>
    <t>(0,462+1,65+1,112+1,221)*1,1+0,3*0,18+1,4*1,409*0,25   SCH1 - dle v.c. D12.601</t>
  </si>
  <si>
    <t>2,402*1,5   SCH2 - dle v.c. D12.611</t>
  </si>
  <si>
    <t>0,7573*2,09+2,0*0,13*0,18+(0,8+0,878+0,271+0,79)*2,0   SCH3 - dle v.c. D12.621</t>
  </si>
  <si>
    <t>(2,15*2,175+2,205*1,725+0,25*0,275+10,2)*0,18   </t>
  </si>
  <si>
    <t>   SCH1 - dle v.c. D12.601</t>
  </si>
  <si>
    <t>1,112+1,221+1,1*(0,804+3,5+0,135+3,02+0,085+2,864+2,266)+2,5*(1,384+1,24+1,409)+0,3*0,18   </t>
  </si>
  <si>
    <t>1,1*(0,42+0,342+0,851+0,08+0,97+0,66+4,4)   </t>
  </si>
  <si>
    <t>34,9062*0,1   </t>
  </si>
  <si>
    <t>   SCH2 - dle v.c. D12.611</t>
  </si>
  <si>
    <t>(3,4+0,2+0,745+0,875+0,243+1,1+1,225+4,65+0,328)*1,5+0,532   </t>
  </si>
  <si>
    <t>19,681*0,1   </t>
  </si>
  <si>
    <t>   SCH3 - dle v.c. D12.621</t>
  </si>
  <si>
    <t>0,8+0,878+0,271+0,79+(2,15*2,175+2,205*1,725+0,25*0,275+10,2)+2,0*4,8+1,46*2,0+0,93*2,1   </t>
  </si>
  <si>
    <t>(0,09+0,11)*2,0+(0,315+0,94)*2,1+(3,14+3,172+1,05+2,6)*2,0+3,6   </t>
  </si>
  <si>
    <t>62,52*0,1   </t>
  </si>
  <si>
    <t>   dle výkresu venkovního schodište</t>
  </si>
  <si>
    <t>1,55*0,3*(1,89+1,825)   zídka - u jídelny</t>
  </si>
  <si>
    <t>0,25*5,53   deska - u jídelny</t>
  </si>
  <si>
    <t>   schody - u jídelny</t>
  </si>
  <si>
    <t>0,1*0,3*1,6/2   </t>
  </si>
  <si>
    <t>0,15*(3,51+1,1+0,4)*1,6   </t>
  </si>
  <si>
    <t>0,62*4,64   schodište u vstupu do školy - plocha v rezu x šírka</t>
  </si>
  <si>
    <t>0,334*0,334/2*1,164*2   </t>
  </si>
  <si>
    <t>1,6*0,32*0,155*17/2   </t>
  </si>
  <si>
    <t>2,615*0,2*0,115   dle pud. 2.np</t>
  </si>
  <si>
    <t>   venkovní schodište - dle výkresu venk. schodišt</t>
  </si>
  <si>
    <t>   vstup do školy</t>
  </si>
  <si>
    <t>   schody u jídelny</t>
  </si>
  <si>
    <t>0,1*0,3*(1,89+1,825+1,6*3)   </t>
  </si>
  <si>
    <t>0,15*5,53+0,15*(3,51+1,1+0,4)*1,6+0,282*0,585/2*1,6   </t>
  </si>
  <si>
    <t>10,5*0,5   operné steny - viz výkr. oper. sten</t>
  </si>
  <si>
    <t>((4,16+1,53)/2)*0,335   </t>
  </si>
  <si>
    <t>0,1*(8,003+4,08)   </t>
  </si>
  <si>
    <t>95   podsypy pod suterény (v maximální možné bude použita vykopaná hornina)</t>
  </si>
  <si>
    <t>17   dle pudorysu strechy - S1-C</t>
  </si>
  <si>
    <t>   podrobný výpocet viz jednotlivé položky omítek</t>
  </si>
  <si>
    <t>3651,08037+156,5708+12,548   </t>
  </si>
  <si>
    <t>   dle v. pohledu a pudorysu</t>
  </si>
  <si>
    <t>133+77,3+3,1+1,3+2,6*3,8+3,8*2*2+25   fasáda</t>
  </si>
  <si>
    <t>(1,5*14+2,4+1,1+1,2+2+1,5+4,9+2,65)*0,25   ostení a nadpraží</t>
  </si>
  <si>
    <t>4,5*6,0+4,5*1,2   OP1a - stáavjící konstrukce, OP1b - lávka</t>
  </si>
  <si>
    <t>   omítka - kde není podhled - dle tab. m.</t>
  </si>
  <si>
    <t>122.5   1.09</t>
  </si>
  <si>
    <t>12,52   1.18</t>
  </si>
  <si>
    <t>3,0   1.19</t>
  </si>
  <si>
    <t>11,85+1,65+18,1+15,49+17,36   S1.23,24,16,09,01</t>
  </si>
  <si>
    <t>4,96+2,54+8,4+2,7   S2.31,32,15,04</t>
  </si>
  <si>
    <t>   dle pudorysu staveb. cásti 2.pp-1.np</t>
  </si>
  <si>
    <t>136,4125*2+85,579*2+185,6+5,8875+74,27275*2+243,28875*2+476,37155*2+212,8845*2+19,705+2,76+7,96875   </t>
  </si>
  <si>
    <t>46,8892*2   </t>
  </si>
  <si>
    <t>24,4*3,45+2*0,1*4*3,45   </t>
  </si>
  <si>
    <t>12,1*3,45   </t>
  </si>
  <si>
    <t>24,4*3,45+2*0,1*2*3,45-1,185*2,0   </t>
  </si>
  <si>
    <t>3,0*3,45   </t>
  </si>
  <si>
    <t>(5,135+2,707)*3,45   </t>
  </si>
  <si>
    <t>3,123*3,45-1,185*2,3+0,3*(1,185+2,3*2)   </t>
  </si>
  <si>
    <t>3,0*3,1-1,5*1,75   </t>
  </si>
  <si>
    <t>(5,136+2,7)*3,1-(0,9*2,12+0,9*2,2)   </t>
  </si>
  <si>
    <t>22,51*3,1+2*0,1*3,1*2-(1,2*3,1+1,185*2,12+1,6*1,5)   </t>
  </si>
  <si>
    <t>(12,6+5,01)*3,1   </t>
  </si>
  <si>
    <t>(2,195+5,35+0,85)*3,1   </t>
  </si>
  <si>
    <t>(1,47+1,83)*3,1   </t>
  </si>
  <si>
    <t>(2,2+3,6)*3,35-1,2*2,38*2   </t>
  </si>
  <si>
    <t>0,5*3,1   </t>
  </si>
  <si>
    <t>(3,56+5,675+5,78)*3,1   </t>
  </si>
  <si>
    <t>(3,67+3,98)*0,85   </t>
  </si>
  <si>
    <t>(5,6+7,125+5,62+7,295)*0,85   </t>
  </si>
  <si>
    <t>2*0,1*0,85   </t>
  </si>
  <si>
    <t>(5,3+7,676)*1,05   </t>
  </si>
  <si>
    <t>(5,6+5,1+4,3)*2,25   </t>
  </si>
  <si>
    <t>6,53*3,1-(0,8*1,97+1,0*1,97)   </t>
  </si>
  <si>
    <t>(1,702+0,47+1,25+1,62+1,437)*3,1-1,2*2,0+0,3*(1,2+3,1)   </t>
  </si>
  <si>
    <t>2,0*4,25   </t>
  </si>
  <si>
    <t>8,86*4,25-1,2*2,2   </t>
  </si>
  <si>
    <t>(5,645+1,7)*4,25-2,0*1,5   </t>
  </si>
  <si>
    <t>(4,096+2,4+3,8+2,4)*4,25   </t>
  </si>
  <si>
    <t>-1,2*2,38*2   </t>
  </si>
  <si>
    <t>(5,6+7,13+5,62+7,598)*8,89-(3,01*3,7+1,0*2,7+1,57*3,725*2+1,0*3,725+3,5*2,61)   </t>
  </si>
  <si>
    <t>(1,5+0,25+5,332+0,535)*4,25-1,0*1,97   </t>
  </si>
  <si>
    <t>0,2*(1,2+2,2*2)*2*3   </t>
  </si>
  <si>
    <t>-(156,5708+12,548)   odpocet OM3+OM4</t>
  </si>
  <si>
    <t>5*3,45   </t>
  </si>
  <si>
    <t>14,4+108   </t>
  </si>
  <si>
    <t>(1,1+0,2)*2*3,0*2   dle pudorysu 2.np - škola</t>
  </si>
  <si>
    <t>(5,778+5,675+3,56)*3,45   </t>
  </si>
  <si>
    <t>(3,6+2,2)*3,7-1,2*2,38*2   </t>
  </si>
  <si>
    <t>2,0*11,1*2   výtah</t>
  </si>
  <si>
    <t>   OM3</t>
  </si>
  <si>
    <t>   dle pudorysu 1.pp ns</t>
  </si>
  <si>
    <t>1,5*3,1   S1.01</t>
  </si>
  <si>
    <t>(17,24+0,48*6)*3,1-0,9*1,97*2   S1.02</t>
  </si>
  <si>
    <t>(8,994+5,45)*3,1-0,9*1,97-((0,6+1,1)*1,6+(2,295+0,6*2)*0,6)   S1.03</t>
  </si>
  <si>
    <t>(0,65+8,994+5,45)*3,1-0,9*1,97-((0,6+1,1)*1,6+(0,6*2+1,88)*0,6)   S1.06</t>
  </si>
  <si>
    <t>(4,61+0,65)*3,1-(2,43+0,65)*0,6   S1.22</t>
  </si>
  <si>
    <t>   OM4</t>
  </si>
  <si>
    <t>   dle pud. 1.pp staveb. cásti</t>
  </si>
  <si>
    <t>(2,43+0,65)*0,6   S1.22</t>
  </si>
  <si>
    <t>(1,1+0,6)*1,6+(2,295+0,6*2)*0,8   S1.03</t>
  </si>
  <si>
    <t>(1,1+0,6)*1,6+(1,88+0,6*2)*0,8   S1.06</t>
  </si>
  <si>
    <t>-(156,5708)   odpocet OM3</t>
  </si>
  <si>
    <t>-952,908   odpocet obkladu</t>
  </si>
  <si>
    <t>-(947,468-((1,15+0,65+2,1+1,025*2+1,1*2+1,05*4)*2,6-0,7*1,97+(0,95*2+1,625)*2,6+(0,95*2+1,575)*2,6))   </t>
  </si>
  <si>
    <t>0,7*1,97   </t>
  </si>
  <si>
    <t>2,0*11,1*2   </t>
  </si>
  <si>
    <t>203,7   pod omítkou</t>
  </si>
  <si>
    <t>119,5   pod kamenný obklad</t>
  </si>
  <si>
    <t>4,5*6+4,5*1,2   OP1a - stáavjící konstrukce, OP1b - lávka</t>
  </si>
  <si>
    <t>(4*8+2,63*8+3*2+2,1*6+2,4+2+5+8*1,5+2*2+1,5*2+4,9*2+2,65*2+1,5*8)*0,2   dle v. pohledu a pudorysu</t>
  </si>
  <si>
    <t>(5,1+1,7+2,8+4,2*8+4,05*8+3+4*8*2)*0,35+8+25   dle v. pohledu a pudorysu</t>
  </si>
  <si>
    <t>(4*8+3,85*4)*0,13   dle v. pohledu a pudorysu</t>
  </si>
  <si>
    <t>(8*1,5+2,5*1,3+1*1,5+3,9*1,2+5*1,1+2,1*1,1+4*1,5+1)   dle v. pohledu a pudorysu</t>
  </si>
  <si>
    <t>(2,65+3,09+3,75)*1,4+2,7*3,9   dle v. pohledu - OP6b</t>
  </si>
  <si>
    <t>   dle v. pohledu - OP6A</t>
  </si>
  <si>
    <t>(0,75+1,85+2,1+0,6)*1,5   </t>
  </si>
  <si>
    <t>(2,65+3,09+3,75)+2,7   </t>
  </si>
  <si>
    <t>(0,75+1,85+2,1+0,6)   </t>
  </si>
  <si>
    <t>24,96+35,034+24,822+38,9   </t>
  </si>
  <si>
    <t>141,206/2*1,1   </t>
  </si>
  <si>
    <t>119,5   kamenný obklad</t>
  </si>
  <si>
    <t>(0,75+1,85+2,1+0,6)*1,5   keramický obklad</t>
  </si>
  <si>
    <t>   dle pud. 1.np stav. cásti</t>
  </si>
  <si>
    <t>   P02</t>
  </si>
  <si>
    <t>(13,9+1,75*1,375)*0,077   1.06,14</t>
  </si>
  <si>
    <t>   P03a</t>
  </si>
  <si>
    <t>(10,64+10,79)*0,075   1.01,02</t>
  </si>
  <si>
    <t>   P03b</t>
  </si>
  <si>
    <t>2,44*2,601*0,075   1.01</t>
  </si>
  <si>
    <t>   P04</t>
  </si>
  <si>
    <t>(1,58+1,66+1,07+3,0+6,23+4,05+1,71+5,13+1,28+2,71)*0,075   1.11,12,13,19,20,21,22,23,24,25</t>
  </si>
  <si>
    <t>   P05</t>
  </si>
  <si>
    <t>(11,07-(1,75*1,375)+(1,575*1,1))*0,075   1.14,15</t>
  </si>
  <si>
    <t>   P07</t>
  </si>
  <si>
    <t>44,37*0,075   1.04</t>
  </si>
  <si>
    <t>   P08</t>
  </si>
  <si>
    <t>276,73*0,07   1.07</t>
  </si>
  <si>
    <t>   P11</t>
  </si>
  <si>
    <t>(57,6+56,27)*0,05   S1.03,06</t>
  </si>
  <si>
    <t>   P12a</t>
  </si>
  <si>
    <t>(4,007*1,5+37,75)*0,06   S1.01,02</t>
  </si>
  <si>
    <t>   P12b</t>
  </si>
  <si>
    <t>15,41*0,06   S1.22</t>
  </si>
  <si>
    <t>   P13a</t>
  </si>
  <si>
    <t>(4,75+1,54+4,46+1,45+7,38+1,24+1,08+3,66+3,08+1,16)*0,062   S1.04,05,07,08,10,11,12,13,14,15</t>
  </si>
  <si>
    <t>   P13b</t>
  </si>
  <si>
    <t>2,17*0,062   S1.19</t>
  </si>
  <si>
    <t>   P15</t>
  </si>
  <si>
    <t>(6,24+7,67+1,982+1,65)*0,057   S1.17,18,23,24</t>
  </si>
  <si>
    <t>   P21c</t>
  </si>
  <si>
    <t>(13,1+2,2)*0,072   S2.02</t>
  </si>
  <si>
    <t>   P23a</t>
  </si>
  <si>
    <t>(2,7+3,99+12,93+17,6)*0,074   S2.04,05,07,27</t>
  </si>
  <si>
    <t>   P23b</t>
  </si>
  <si>
    <t>2,1*0,074   S2.27</t>
  </si>
  <si>
    <t>   2.np - dle pudorysu</t>
  </si>
  <si>
    <t>23,94*(0,066+0,074)/2   P28</t>
  </si>
  <si>
    <t>(5,96+13,1)*0,07   P29</t>
  </si>
  <si>
    <t>   DLE PUD. 1.NP STAV. C.</t>
  </si>
  <si>
    <t>   P01</t>
  </si>
  <si>
    <t>   P06</t>
  </si>
  <si>
    <t>(13,1+10,75)*0,085   1.18,05</t>
  </si>
  <si>
    <t>   P14a</t>
  </si>
  <si>
    <t>15,49*0,09   S1.09</t>
  </si>
  <si>
    <t>   P14b</t>
  </si>
  <si>
    <t>18,1*((0,07+0,09)/2)   S1.16</t>
  </si>
  <si>
    <t>   dle pud. 2.np staveb. c.</t>
  </si>
  <si>
    <t>   P21a</t>
  </si>
  <si>
    <t>(16,6+1,3+59,13-(16,6+1,3+2,6+2,5+2,8+13,1+2,2)+6,7+6,9+2,9+2,3+17,4+7,2+1,93+1,82+4,96)*0,087   S2.02,15,17,22,23,24,25,29,30,31</t>
  </si>
  <si>
    <t>   P21b</t>
  </si>
  <si>
    <t>(2,6+2,5+2,8+1,7+7,2-6,9+0,8+1,3+1,0+0,3+1,8)*0,087   S2.02,15,22,23,24,25</t>
  </si>
  <si>
    <t>   P22a</t>
  </si>
  <si>
    <t>(19,0+11,1+2,92+0,8+2,79+1,37+7,5+9,92+1,82+2,54)*0,082   S2.03,06,10,11,13,14,19,26,28,32</t>
  </si>
  <si>
    <t>   P22b</t>
  </si>
  <si>
    <t>(1,0+2,1+2,0+1,0+0,9)*0,082   S2.03.06.11.19</t>
  </si>
  <si>
    <t>   P24a</t>
  </si>
  <si>
    <t>(3,1+6,0+7,84)*0,09   S2.08,09,12</t>
  </si>
  <si>
    <t>   P24b</t>
  </si>
  <si>
    <t>(1,1+2,1)*0,09   S2.08,09</t>
  </si>
  <si>
    <t>   P25</t>
  </si>
  <si>
    <t>(5,26+4,73)*0,1   </t>
  </si>
  <si>
    <t>(44,37-13,9+24,97+122,55+3,19)*0,087   1.06,08,09,10</t>
  </si>
  <si>
    <t>   P09a+b - bez výztuže</t>
  </si>
  <si>
    <t>9,57*0,11+8,83*0,095   </t>
  </si>
  <si>
    <t>14,5*0,1   P30 - S2.1</t>
  </si>
  <si>
    <t>366,6*0,15   podlahová deska 1.pp - dle v. c. D12.202</t>
  </si>
  <si>
    <t>48,19592+8,36   podlahové mazaniny + podkladní beton</t>
  </si>
  <si>
    <t>41,23266+14,5*0,09+71,56   podlahové mazaniny+podkladní beton</t>
  </si>
  <si>
    <t>54,99*2   DVE VRSTVY KARI SÍTE</t>
  </si>
  <si>
    <t>(16,6+1,3+59,13-(16,6+1,3+2,6+2,5+2,8+13,1+2,2)+6,7+6,9+2,9+2,3+17,4+7,2+1,93+1,82+4,96)*0,15   S2.02,15,17,22,23,24,25,29,30,31</t>
  </si>
  <si>
    <t>(19,0+11,1+2,92+0,8+2,79+1,37+7,5+9,92+1,82+2,54)*0,15   S2.03,06,10,11,13,14,19,26,28,32</t>
  </si>
  <si>
    <t>(2,7+3,99+12,93+17,6)*0,15   S2.04,05,07,27</t>
  </si>
  <si>
    <t>(3,1+6,0+7,84)*0,15   S2.08,09,12</t>
  </si>
  <si>
    <t>84,63*0,15   dle v.c. D12.202</t>
  </si>
  <si>
    <t>2430/1000   dle v.c. D12.411</t>
  </si>
  <si>
    <t>2430/1000   dle v.c. D12.412</t>
  </si>
  <si>
    <t>   DLE PUD. 1.NP STAV.CÁSTI</t>
  </si>
  <si>
    <t>(44,37-13,9+24,97+122,55+3,19)*5,4*1,2/1000   1.06,08,09,10</t>
  </si>
  <si>
    <t>(13,9+1,75*1,375)*3,03*1,2/1000   1.06,14</t>
  </si>
  <si>
    <t>(10,64+10,79)*3,03*1,2/1000   1.01,02</t>
  </si>
  <si>
    <t>2,44*2,601*3,03*1,2/1000   1.01</t>
  </si>
  <si>
    <t>(1,58+1,66+1,07+3,0+6,23+4,05+1,71+5,13+1,28+2,71)*3,03*1,2/1000   1.11,12,13,19,20,21,22,23,24,25</t>
  </si>
  <si>
    <t>(11,07-(1,75*1,375)+(1,575*1,1))*3,03*1,2/1000   1.14,15</t>
  </si>
  <si>
    <t>(13,1+10,75)*3,03*1,2/1000   1.18,05</t>
  </si>
  <si>
    <t>(57,6+56,27)*3,03*1,2/1000   S1.03,06</t>
  </si>
  <si>
    <t>(4,007*1,5+37,75)*3,03*1,2/1000   S1.01,02</t>
  </si>
  <si>
    <t>15,41*3,03*1,2/1000   S1.22</t>
  </si>
  <si>
    <t>(4,75+1,54+4,46+1,45+7,38+1,24+1,08+3,66+3,08+1,16)*3,03*1,2/1000   S1.04,05,07,08,10,11,12,13,14,15</t>
  </si>
  <si>
    <t>2,17*3,03*1,2/1000   S1.19</t>
  </si>
  <si>
    <t>(6,24+7,67+1,982+1,65)*3,03*1,2/1000   S1.17,18,23,24</t>
  </si>
  <si>
    <t>(16,6+1,3+59,13-(16,6+1,3+2,6+2,5+2,8+13,1+2,2)+6,7+6,9+2,9+2,3+17,4+7,2+1,93+1,82+4,96)*0,00303*1,2   S2.02,15,17,22,23,24,25,29,30,31</t>
  </si>
  <si>
    <t>(2,6+2,5+2,8+1,7+7,2-6,9+0,8+1,3+1,0+0,3+1,8)*3,03*1,2/1000   S2.02,15,22,23,24,25</t>
  </si>
  <si>
    <t>(19,0+11,1+2,92+0,8+2,79+1,37+7,5+9,92+1,82+2,54)*3,03*1,2/1000   S2.03,06,10,11,13,14,19,26,28,32</t>
  </si>
  <si>
    <t>(1,0+2,1+2,0+1,0+0,9)*3,03*1,2/1000   S2.03.06.11.19</t>
  </si>
  <si>
    <t>(3,1+6,0+7,84)*3,03*1,2/1000   S2.08,09,12</t>
  </si>
  <si>
    <t>(1,1+2,1)*3,03*1,2/1000   S2.08,09</t>
  </si>
  <si>
    <t>(13,1+2,2)*3,03*1,2/1000   S2.02</t>
  </si>
  <si>
    <t>(2,7+3,99+12,93+17,6)*3,03*1,2/1000   S2.04,05,07,27</t>
  </si>
  <si>
    <t>2,1*3,03*1,2/1000   S2.27</t>
  </si>
  <si>
    <t>(5,26+4,73)*3,03*1,2/1000   </t>
  </si>
  <si>
    <t>44,37*3,03*1,2/1000   1.04</t>
  </si>
  <si>
    <t>276,73*3,03*1,2/1000   1.07</t>
  </si>
  <si>
    <t>23,94*3,03*1,2/1000   P28</t>
  </si>
  <si>
    <t>(5,96+13,1)*3,03*1,2/1000   P29</t>
  </si>
  <si>
    <t>   podkladní betony</t>
  </si>
  <si>
    <t>(334,6+4,0+16,5+15,5+310,3+34,7+15,4+11,4+53,2+39,6+2,6+4+21,0+20,0)*5,4*1,2/1000   dle pudorysu 2.pp-1.np</t>
  </si>
  <si>
    <t>14,5*(4,44+7,9)*1,2/1000   P30 - S2.1 - 8/100 a 6/100</t>
  </si>
  <si>
    <t>0,2*(73+35,8+13,6+25,95)   vyrovnávací poter na atice - dle pud. strechy a detailu - tl. 15mm a š. 200mm</t>
  </si>
  <si>
    <t>185,3*0,07   S1-B</t>
  </si>
  <si>
    <t>17,0*0,04   S1-C</t>
  </si>
  <si>
    <t>12,73+1,6*0,155*17   sch u jídelny</t>
  </si>
  <si>
    <t>9,7+4,64*0,15   sch u vstupu do školy</t>
  </si>
  <si>
    <t>3*3,5*0,05   dle v. operných sten</t>
  </si>
  <si>
    <t>(17,5+13,5)*0,1   dle v. operných sten</t>
  </si>
  <si>
    <t>3*3,5*0,15   dle v. operných sten</t>
  </si>
  <si>
    <t>(15,4+11,4+53,2+39,6+2,6+4+21,0+20,0)*0,05   podkladní beton - dle v. 2.pp-1.np</t>
  </si>
  <si>
    <t>(334,6+4,0)*0,1   dle pud. 2.pp</t>
  </si>
  <si>
    <t>(16,5+15,5)*0,1   dle pud. 1.pp</t>
  </si>
  <si>
    <t>(310,3+34,7)*0,1   dle pud. 1.np</t>
  </si>
  <si>
    <t>14,5*0,09   P30 - S2.1 - rampa</t>
  </si>
  <si>
    <t>48,19592+0,525+8,36   </t>
  </si>
  <si>
    <t>41,23266+3,1+72,865   </t>
  </si>
  <si>
    <t>54,99+1,575   </t>
  </si>
  <si>
    <t>13,825   dle v. drenáží</t>
  </si>
  <si>
    <t>   dle v. drenáží</t>
  </si>
  <si>
    <t>6,64+1,7+6,61+5,825+12,655+5,08+2,5+3,96+5,0+2,0+23,95+0,61+5,741+2,19+0,831+6,56+4,015+2,9+2,6+2,77   </t>
  </si>
  <si>
    <t>6,775+3,315+1,2+13,75   </t>
  </si>
  <si>
    <t>23   dle návrhu odvetrání radonu - prum. 100</t>
  </si>
  <si>
    <t>1,183*(0,126*2+4,64)   dilatace mezi stáv. kcí a kcí nového schodište vstupu - viz výkres venk,. sch</t>
  </si>
  <si>
    <t>   2.pp</t>
  </si>
  <si>
    <t>17,78+59,13+19,81+2,7+3,99+15,13+12,93+4,11+7,98+2,92+2,92+7,84+2,79+1,37+8,4+5,26+7,2+4,73+8,0+1,92   </t>
  </si>
  <si>
    <t>1,76+3,65+3,53+18,62+8,7+9,92+19,6+1,82+1,93+1,82+4,96+2,54   </t>
  </si>
  <si>
    <t>   1.pp</t>
  </si>
  <si>
    <t>17,36+37,75+57,6+4,75+1,54+56,27+4,46+1,45+15,49+7,38+1,24+1,08+3,66+3,08+1,16+18,1+6,24+7,67+2,17   </t>
  </si>
  <si>
    <t>1,92+1,76+15,41+11,85+1,6+5   </t>
  </si>
  <si>
    <t>   1.np</t>
  </si>
  <si>
    <t>10,64+10,79+8,28+44,37+10,75+44,37+276,73+24,97+122,55+3,19+1,58+1,66+1,07+11,07+5,73+1,92+1,76   </t>
  </si>
  <si>
    <t>12,52+3,0+6,23+4,05+1,71+5,13+1,28+2,71   </t>
  </si>
  <si>
    <t>1253,2*6   </t>
  </si>
  <si>
    <t>232,92+368,54+278,7+269,74+9,8*8,5+20   dle v. pohledu</t>
  </si>
  <si>
    <t>1253,2*180   </t>
  </si>
  <si>
    <t>   dle pudorysu</t>
  </si>
  <si>
    <t>342,371   2.pp</t>
  </si>
  <si>
    <t>362,1   1.pp</t>
  </si>
  <si>
    <t>724,75   1.np</t>
  </si>
  <si>
    <t>4*6,5   2.np</t>
  </si>
  <si>
    <t>3   2.pp - N1.01 - 34A</t>
  </si>
  <si>
    <t>3   1.pp - N2.01 - 34A</t>
  </si>
  <si>
    <t>2   1.pp - N2.02+N2.04 - 55B</t>
  </si>
  <si>
    <t>5   1.np - N2.05/N3 +N3.01 - 34A</t>
  </si>
  <si>
    <t>1   1.np - 55B</t>
  </si>
  <si>
    <t>13,1*0,085   dle v. bourání - zimní zahrada</t>
  </si>
  <si>
    <t>13,1   dle v. bourání - zimní zahrada</t>
  </si>
  <si>
    <t>14,56   dle pud. bourání</t>
  </si>
  <si>
    <t>2,1*2,25   dle pud. bourání - 2.np</t>
  </si>
  <si>
    <t>5,85*1,0   odbourání parapetu - 2.np</t>
  </si>
  <si>
    <t>1+1   dle pud. bourání 2.np - krídlo+nadsvetlík</t>
  </si>
  <si>
    <t>0,9*2,5   dle pud. bourání 2.bp - dvere s nadsvetlíkem</t>
  </si>
  <si>
    <t>   dle pud. bourání 2.np</t>
  </si>
  <si>
    <t>2,7*1,6+2,6*1,6*2   </t>
  </si>
  <si>
    <t>3*3   dle pud. bourání - 2.np</t>
  </si>
  <si>
    <t>5,85*1,0   odstranení obkladu parapetu z sdk - 2.np - dle pud. bourání</t>
  </si>
  <si>
    <t>   vybourání stávající kamenné operné steny vc. základu- v. D11.34</t>
  </si>
  <si>
    <t>14,65*((0,45+0,6)/2*2,5   </t>
  </si>
  <si>
    <t>   vybourání stáv. kcí - plot cp 120 - v. D11.34</t>
  </si>
  <si>
    <t>5,5*3,0*0,2+2,32*2,5*0,32+2,1*2,5*0,3+2,6*2,5*0,2   </t>
  </si>
  <si>
    <t>34,1*0,6*0,2   dle situace stáv. stavu - podezdívka plotu</t>
  </si>
  <si>
    <t>0,6*0,8*5,4   oplocení cp. 120 - v. D11.34</t>
  </si>
  <si>
    <t>2*0,1+8*0,1+2,0*1,0*0,4*2+0,15*35   patky a pasy- branky a oplocení, zábradlí , schodište - viz situace stáv. stavu</t>
  </si>
  <si>
    <t>0,45*0,45*1,65*3   pilíre plotu - v. D11.34</t>
  </si>
  <si>
    <t>(2255+1790)*0,15*0,45   podezdívka plotu - v. D11.34</t>
  </si>
  <si>
    <t>10*2,5   dle situace stáv. stavu</t>
  </si>
  <si>
    <t>4,5*6   dle pud. 2.np</t>
  </si>
  <si>
    <t>5*2   dle situace stáv. stavu</t>
  </si>
  <si>
    <t>35*0,25   </t>
  </si>
  <si>
    <t>   dle v. demolice</t>
  </si>
  <si>
    <t>4,27*5,285*3,5   </t>
  </si>
  <si>
    <t>12,5*20,2*6,27   </t>
  </si>
  <si>
    <t>14,07*13,775*3,465/2*1,1   </t>
  </si>
  <si>
    <t>7,45*7,72*2,03/2*1,1   </t>
  </si>
  <si>
    <t>   kulna - na pozemku c. 73</t>
  </si>
  <si>
    <t>3*7*2,5   </t>
  </si>
  <si>
    <t>10+(12,37*2+20,22*2+19,59+5,656)*0,3*1,3   </t>
  </si>
  <si>
    <t>1964,73707*19   </t>
  </si>
  <si>
    <t>6,43*7,7*0,00254   </t>
  </si>
  <si>
    <t>3*7*0,006+1   </t>
  </si>
  <si>
    <t>109,1507+2,4497+19,2862   </t>
  </si>
  <si>
    <t>1964,73707-(3,91002+0,12576+5,184+0,35883+1,126+20+130,8866)   </t>
  </si>
  <si>
    <t>(44,37-13,9+24,97+122,55+3,19)   1.06,08,09,10</t>
  </si>
  <si>
    <t>   dle pud. 2.pp staveb. cásti</t>
  </si>
  <si>
    <t>(2,7+3,99+12,93+17,6)   S2.04,05,07,27</t>
  </si>
  <si>
    <t>2,1   S2.27</t>
  </si>
  <si>
    <t>220,5   </t>
  </si>
  <si>
    <t>;ztratné 15%; 33,075   </t>
  </si>
  <si>
    <t>14,5   P30 - S2.1</t>
  </si>
  <si>
    <t>235   </t>
  </si>
  <si>
    <t>;ztratné 15%; 35,25   </t>
  </si>
  <si>
    <t>(1,58+1,66+1,07+3,0+6,23+4,05+1,71+5,13+1,28+2,71)   1.11,12,13,19,20,21,22,23,24,25</t>
  </si>
  <si>
    <t>(4,75+1,54+4,46+1,45+7,38+1,24+1,08+3,66+3,08+1,16)   S1.04,05,07,08,10,11,12,13,14,15</t>
  </si>
  <si>
    <t>2,17   S1.19</t>
  </si>
  <si>
    <t>15,49   S1.09</t>
  </si>
  <si>
    <t>18,1   S1.16</t>
  </si>
  <si>
    <t>(19,0+11,1+2,92+0,8+2,79+1,37+7,5+9,92+1,82+2,54)   S2.03,06,10,11,13,14,19,26,28,32</t>
  </si>
  <si>
    <t>(1,0+2,1+2,0+1,0+0,9)   S2.03.06.11.19</t>
  </si>
  <si>
    <t>   dle pudorysu a rezu</t>
  </si>
  <si>
    <t>16,3+676,4   </t>
  </si>
  <si>
    <t>14,5   Dvousložkový epoxidový nát?r pro venkovní prost?edí a vysoké zatížení, v?etn? vsypu protiskluzu- R10</t>
  </si>
  <si>
    <t>707,2*0,3   </t>
  </si>
  <si>
    <t>103,8+12,5*0,9+2,9*0,33+1,45*0,33+1,1*2,4+3,6*4,5+6*5,7+6*7,05+2*7,05+(2,7+2,4)*3,75+3,4*(1,8+1,6)   </t>
  </si>
  <si>
    <t>10,1*7,05+(0,65+5,4+2,3+5,1)*3,3+2,4*3,75   </t>
  </si>
  <si>
    <t>20   operné steny - dle v.c. D11.34</t>
  </si>
  <si>
    <t>61,1*0,4   </t>
  </si>
  <si>
    <t>40*3,0   družina - keram. prícka</t>
  </si>
  <si>
    <t>545,6405*0,35   </t>
  </si>
  <si>
    <t>12,6+3,7   dle pudorysu a rezu</t>
  </si>
  <si>
    <t>14,5   P30 - S.2.01 - rampa</t>
  </si>
  <si>
    <t>16,3   </t>
  </si>
  <si>
    <t>;ztratné 15%; 2,445   </t>
  </si>
  <si>
    <t>14,5   </t>
  </si>
  <si>
    <t>;ztratné 15%; 2,175   </t>
  </si>
  <si>
    <t>676,4   </t>
  </si>
  <si>
    <t>1352,8   </t>
  </si>
  <si>
    <t>;ztratné 15%; 202,92   </t>
  </si>
  <si>
    <t>61,1*0,4   objekt</t>
  </si>
  <si>
    <t>20   operné steny -m dle v.c. D11.34</t>
  </si>
  <si>
    <t>40*3,0   keram. stena - družina</t>
  </si>
  <si>
    <t>24,44   </t>
  </si>
  <si>
    <t>;ztratné 20%; 4,888   </t>
  </si>
  <si>
    <t>(20+40*3)*1,2   </t>
  </si>
  <si>
    <t>762,401   </t>
  </si>
  <si>
    <t>;ztratné 20%; 152,4802   </t>
  </si>
  <si>
    <t>432   dle pudorysu, rezu a pohledu - objekt</t>
  </si>
  <si>
    <t>40   operné steny - dle v.c. D11.34</t>
  </si>
  <si>
    <t>397,4+532,5   ochrana xps - dle pudoryu a rezu</t>
  </si>
  <si>
    <t>929,9   </t>
  </si>
  <si>
    <t>;ztratné 10%; 92,99   </t>
  </si>
  <si>
    <t>334,6   dle pudorysu</t>
  </si>
  <si>
    <t>91,3*0,4   dle pudorysu a rezu</t>
  </si>
  <si>
    <t>52,81   Nopová folie 50mm umístena do podlahy místností S2.03, S2.07 a S2.27</t>
  </si>
  <si>
    <t>273,7+332,8+33,8+27,9   dle pudorysu strechy</t>
  </si>
  <si>
    <t>   dle pudorysu strechy a detailu</t>
  </si>
  <si>
    <t>71,1*0,68+21,5*0,55+23,8*1,2+13,2*0,6+8,3*0,78+13,315*0,78+23,64*0,4   svislá</t>
  </si>
  <si>
    <t>0,6*(73+35,8+13,6+25,95+6,2)   vodorovná</t>
  </si>
  <si>
    <t>668,2   dle pudorysu strechy</t>
  </si>
  <si>
    <t>36,3+24,4*0,5+7,8*0,4-2,5+341,5+80,5*0,5+3,1*1+4,4*0,4+280,3+71,9*0,5   dle pudorysu strechy</t>
  </si>
  <si>
    <t>751,98*0,3   </t>
  </si>
  <si>
    <t>23,94   spojovací - lávka - podlaha P28</t>
  </si>
  <si>
    <t>775,92   </t>
  </si>
  <si>
    <t>;ztratné 15%; 116,388   </t>
  </si>
  <si>
    <t>30,4   dle pud. strechy</t>
  </si>
  <si>
    <t>432,1   S1-A</t>
  </si>
  <si>
    <t>185,3   S1-B</t>
  </si>
  <si>
    <t>17   S1-C</t>
  </si>
  <si>
    <t>432,1   dle pudorysu strechy - S1-A</t>
  </si>
  <si>
    <t>   80+100</t>
  </si>
  <si>
    <t>44,34   1.04</t>
  </si>
  <si>
    <t>(16,6+1,3+59,13-(16,6+1,3+2,6+2,5+2,8+13,1+2,2)+6,7+6,9+2,9+2,3+17,4+7,2+1,93+1,82+4,96)   S2.02,15,17,22,23,24,25,29,30,31</t>
  </si>
  <si>
    <t>(3,1+6,0+7,84)   S2.08,09,12</t>
  </si>
  <si>
    <t>(5,26+4,73)   S2.16,18</t>
  </si>
  <si>
    <t>28,42   </t>
  </si>
  <si>
    <t>   100+100</t>
  </si>
  <si>
    <t>(13,9+1,75*1,375)   1.06,14</t>
  </si>
  <si>
    <t>(10,64+10,79)   1.01,02</t>
  </si>
  <si>
    <t>2,44*2,601   1.01</t>
  </si>
  <si>
    <t>(13,1+10,75)   1.18,05</t>
  </si>
  <si>
    <t>225,52*(0,1+0,08)*1,02   80+100</t>
  </si>
  <si>
    <t>(321,87269-225,52)*0,2*1,02   100+100</t>
  </si>
  <si>
    <t>(88,04+59,76+37,22+16,94+9,99)*0,2*1,02   </t>
  </si>
  <si>
    <t>28,42*0,2*1,02   </t>
  </si>
  <si>
    <t>   60mm</t>
  </si>
  <si>
    <t>(11,07-(1,75*1,375)+(1,575*1,1))   1.14,15</t>
  </si>
  <si>
    <t>   krocej 40mm</t>
  </si>
  <si>
    <t>276,73   1.07</t>
  </si>
  <si>
    <t>   dle pud. 1. np ns</t>
  </si>
  <si>
    <t>   krocej 20mm</t>
  </si>
  <si>
    <t>(57,6+56,27)   S1.03,06</t>
  </si>
  <si>
    <t>(4,007*1,5+37,75)   S1.01,02</t>
  </si>
  <si>
    <t>   krocej 30mm</t>
  </si>
  <si>
    <t>15,41   S1.22</t>
  </si>
  <si>
    <t>   EPS 150S 40mm</t>
  </si>
  <si>
    <t>   EPS 150S 30mm</t>
  </si>
  <si>
    <t>(6,24+7,67+1,982+1,65)   S1.17,18,23,24</t>
  </si>
  <si>
    <t>   EPS 150S 50mm</t>
  </si>
  <si>
    <t>(1,1+2,1)   S2.08,09</t>
  </si>
  <si>
    <t>(2,6+2,5+2,8+1,7+7,2-6,9+0,8+1,3+1,0+0,3+1,8)   S2.02,15,22,23,24,25</t>
  </si>
  <si>
    <t>(13,1+2,2)   S2.02</t>
  </si>
  <si>
    <t>13,1+5,96+23,94   2.NP - p28+29</t>
  </si>
  <si>
    <t>(11,07-(1,75*1,375)+(1,575*1,1))*0,06*1,02   1.14,15</t>
  </si>
  <si>
    <t>(4,75+1,54+4,46+1,45+7,38+1,24+1,08+3,66+3,08+1,16)*0,04*1,02   S1.04,05,07,08,10,11,12,13,14,15</t>
  </si>
  <si>
    <t>2,17*0,03*1,02   S1.19</t>
  </si>
  <si>
    <t>(6,24+7,67+1,982+1,65)*0,03*1,02   S1.17,18,23,24</t>
  </si>
  <si>
    <t>(2,6+2,5+2,8+1,7+7,2-6,9+0,8+1,3+1,0+0,3+1,8)*0,05*1,02   S2.02,15,22,23,24,25</t>
  </si>
  <si>
    <t>(13,1+2,2)*0,05*1,02   S2.02</t>
  </si>
  <si>
    <t>2,1*0,05*1,02   S2.27</t>
  </si>
  <si>
    <t>(1,1+2,1)*0,05*1,02   S2.08,09</t>
  </si>
  <si>
    <t>(13,1+5,96+23,94)*0,05*1,02   P28,29 - 2.np</t>
  </si>
  <si>
    <t>113,87   </t>
  </si>
  <si>
    <t>;ztratné 2%; 2,2774   </t>
  </si>
  <si>
    <t>15,41   </t>
  </si>
  <si>
    <t>;ztratné 2%; 0,3082   </t>
  </si>
  <si>
    <t>276,73+43,7605   </t>
  </si>
  <si>
    <t>;ztratné 2%; 6,40981   </t>
  </si>
  <si>
    <t>17*2   dle pudorysu strechy - S1-C - 2vrstvy</t>
  </si>
  <si>
    <t>5,96+13,1+23,94   P28,P29 - 2.np</t>
  </si>
  <si>
    <t>103,8+12,5*0,9+2,9*0,33+1,45*0,33+1,1*2,4+3,6*4,5+6*5,7+6*7,05+2*7,05+(2,7+2,4)*3,75+3,4*(1,8+1,6)+1   xps pod terénem</t>
  </si>
  <si>
    <t>25   </t>
  </si>
  <si>
    <t>-36,25   odpocet soklu nad terénem</t>
  </si>
  <si>
    <t>246,3605   </t>
  </si>
  <si>
    <t>;ztratné 2%; 4,92721   </t>
  </si>
  <si>
    <t>   zateplení atik - dle pudorysu strechy a rezu</t>
  </si>
  <si>
    <t>71,9*1,2+(21,43+13,4+13,36)*1,3+23,95*1,3+4,3*1,35+1,15+12,2*0,5   100mm</t>
  </si>
  <si>
    <t>24*1,5+8,7*0,2+4,3+1,65*1,75+(1,65+3,1)*1   200mm</t>
  </si>
  <si>
    <t>(71,9*1,2+(21,43+13,4+13,36)*1,3+23,95*1,3+4,3*1,35+1,15+12,2*0,5)*1,02*0,1   100mm</t>
  </si>
  <si>
    <t>(24*1,5+8,7*0,2+4,3+1,65*1,75+(1,65+3,1)*1)*1,02*0,2   200mm</t>
  </si>
  <si>
    <t>   dle pud. strechy</t>
  </si>
  <si>
    <t>273,7   objekt A: tl. desky 140mm,</t>
  </si>
  <si>
    <t>   spádové vrstvy - min. 20mm - predpoklad cca 3 vrstvy</t>
  </si>
  <si>
    <t>273,7 *0,102+4*19*0,17*0,5   - objekt A: max. spád 20-184mm</t>
  </si>
  <si>
    <t>332,8*0,173+37,05*0,5*0,16   - objekt B: max. spád 20-325mm</t>
  </si>
  <si>
    <t>33,8*0,095   - objekt C: max. spád 20-170mm</t>
  </si>
  <si>
    <t>27,9*0,103   - Lávka: max. spád 20-186mm</t>
  </si>
  <si>
    <t>(0,165+0,345+0,260)*(6,5+4,5)+6,5*3*0,2   PUR recykl. - lávka - tl. 30mm</t>
  </si>
  <si>
    <t>668,2   EPS s uzavr. strukturou 80mm</t>
  </si>
  <si>
    <t>388,6   objekt B, LÁVKA: tl. desky 120mm,</t>
  </si>
  <si>
    <t>31,3   objekt C: tl. desky 200mm,</t>
  </si>
  <si>
    <t>273,7*1,02*0,14   objekt A: tl. desky 140mm,</t>
  </si>
  <si>
    <t>388,6*1,02*0,12   objekt B, LÁVKA: tl. desky 120mm,</t>
  </si>
  <si>
    <t>31,3*1,02*0,2   objekt C: tl. desky 200mm,</t>
  </si>
  <si>
    <t>(273,7 *0,102+4*19*0,17*0,5)*1,02*((0,02+0,184)/2)   - objekt A: max. spád 20-184mm</t>
  </si>
  <si>
    <t>(332,8*0,173+37,05*0,5*0,16)*1,02*((0,02+0,325)/2)   - objekt B: max. spád 20-325mm</t>
  </si>
  <si>
    <t>33,8*0,095*1,02*((0,02+0,17)/2)   - objekt C: max. spád 20-170mm</t>
  </si>
  <si>
    <t>27,9*0,103*1,02*((0,02+0,186)/2)   - Lávka: max. spád 20-186mm</t>
  </si>
  <si>
    <t>12,4   </t>
  </si>
  <si>
    <t>;ztratné 2%; 0,248   </t>
  </si>
  <si>
    <t>668,2   </t>
  </si>
  <si>
    <t>;ztratné 2%; 13,364   </t>
  </si>
  <si>
    <t>   dle tab. m - 1.pp - podl. P14a+P14b</t>
  </si>
  <si>
    <t>15,49+0,13*(4,6+3,375)*2   25mm</t>
  </si>
  <si>
    <t>18,1+0,12*(4,47+3,375)*2   12mm</t>
  </si>
  <si>
    <t>(15,49+0,13*(4,6+3,375)*2)*0,025   </t>
  </si>
  <si>
    <t>(18,1+0,12*(4,47+3,375))*0,012   </t>
  </si>
  <si>
    <t>2   dle pudorysu 2.np - v míste nové lávky</t>
  </si>
  <si>
    <t>2*5   uprava rozvodu na schodišti - škola</t>
  </si>
  <si>
    <t>2*5   stávající potrubí na schodišti - škola</t>
  </si>
  <si>
    <t>1   v m.c. 2.03</t>
  </si>
  <si>
    <t>1   schodište školy</t>
  </si>
  <si>
    <t>   opetovná montáž stávajících teles</t>
  </si>
  <si>
    <t>0,65*(73+35,8+13,6+25,95)   dle pudorysu strechy a detailu</t>
  </si>
  <si>
    <t>15,4+32   </t>
  </si>
  <si>
    <t>2,0+1,5+4,9+2,2   </t>
  </si>
  <si>
    <t>71,4+125+24,5+15,5   </t>
  </si>
  <si>
    <t>71,4+12,5+24,5   </t>
  </si>
  <si>
    <t>56+49+30   </t>
  </si>
  <si>
    <t>18   dle pud. 1.np a 2.np</t>
  </si>
  <si>
    <t>253,12/0,9063078   pou. plocha / cos uhl. 25 stup.</t>
  </si>
  <si>
    <t>(2,157+1,852+0,45*4+0,5*2+2,759+0,351)*3,0   1.01-1.03</t>
  </si>
  <si>
    <t>(2,584+0,552+0,5*4)*2,9   1.04</t>
  </si>
  <si>
    <t>(0,725+2,6+5,5+2,4)*0,9+(0,48+0,41+1,3+1,24+0,49)*3,0+(1,43+3,111+5,032+11,3+23,6+11,3+2,6)*3,98   1.06-1.07</t>
  </si>
  <si>
    <t>2,76*0,9-(3,85*4,1*4+4,0*4.1*4)+0.32*(3.85*4+4.1*8+4.0*4+4.1*8)   </t>
  </si>
  <si>
    <t>60   </t>
  </si>
  <si>
    <t>   dle tab. truhl. v.</t>
  </si>
  <si>
    <t>2+1+1   T01,03</t>
  </si>
  <si>
    <t>1,4*2+1,5   </t>
  </si>
  <si>
    <t>1,0   </t>
  </si>
  <si>
    <t>3   T01</t>
  </si>
  <si>
    <t>1,7+2,0+2,2   </t>
  </si>
  <si>
    <t>2   T02</t>
  </si>
  <si>
    <t>1,5*2   </t>
  </si>
  <si>
    <t>2,255+2,2+1,95+1,79   dle tab. prekladu</t>
  </si>
  <si>
    <t>   dle pud. 1.np staveb. cásti</t>
  </si>
  <si>
    <t>57,6-(5,45*0,6+2,295*0,6)   S1.03</t>
  </si>
  <si>
    <t>56,27-(5,45*0,6+1,82*0,6)   S1.06</t>
  </si>
  <si>
    <t>44,37-16,003   1.06</t>
  </si>
  <si>
    <t>24,97   1.08</t>
  </si>
  <si>
    <t>19,6   S2.27</t>
  </si>
  <si>
    <t>10,64+10,79+8,28+44,37+10,75+16,003+1,58+1,66+1,07+11,07+45,73+6,23+4,05+1,71+5,13+1,28+2,71   1.01,02,03,04,05,06,11,12,13,14,15,20,21,22,23,24,25</t>
  </si>
  <si>
    <t>37,75+6,24-(3,375*0,4)+7,67+15,41-(2,43*1,2)+11,85   S1.02,17,18,22,23</t>
  </si>
  <si>
    <t>59,13+19,81+4,11+7,98+7,84   S2.02,03,08,09,12</t>
  </si>
  <si>
    <t>34,87   dle pudorysu 2.np staveb. c. - schodište</t>
  </si>
  <si>
    <t>61,75+19,32+117,12   </t>
  </si>
  <si>
    <t>8*2,0*19,7*1,15   </t>
  </si>
  <si>
    <t>12,811*3*1,15   </t>
  </si>
  <si>
    <t>(2,2*5+1,6*6+3,95)*4,3 +9,45*4,45+19,2*9-0,9*2,6-0,9*3,5-4,2*3,7-0,9*2,0   dle v. pohledu</t>
  </si>
  <si>
    <t>(4,03*16+0,9*6+2,7*4+3,5*2)   dle pudorysu</t>
  </si>
  <si>
    <t>(12,9+25+12,9+4,5+1)*1,02+1,9*13,3   dle v. pohledu</t>
  </si>
  <si>
    <t>4,7*6,9   dle v. pohledu - OP7</t>
  </si>
  <si>
    <t>4,6*2,4*2   dle v. pohledu a pudorysu 1.-2.np</t>
  </si>
  <si>
    <t>4*1,5+19,665+8,38+3,585+5,535+20,03+14,07+5,0+3   dle situace stáv. stavu (dílcové oplocení uschovat)</t>
  </si>
  <si>
    <t>(0,115+0,2)*2,615   dle pudorysu 2.np - dlažba skrytého nového stupne</t>
  </si>
  <si>
    <t>   dle tabulek místností na pudorysech staveb. cásti</t>
  </si>
  <si>
    <t>(24,97+122,55)*1,1   1.np</t>
  </si>
  <si>
    <t>(2,7+12,93/3*2+19,6)*1,1   2.pp</t>
  </si>
  <si>
    <t>(59,13+19,81+3,99+15,13+12,93/3+8,4+7,2+8,0+3,65+3,53+18,62+8,7+9,92+1,82+1,93+1,82+4,96+2,54)*1,1   2.pp</t>
  </si>
  <si>
    <t>(15,49+18,1+6,24+7,67+2,17+11,85+1,65)*1,1   1.pp</t>
  </si>
  <si>
    <t>(10,64+10,79+8,28+3,19+1,58+1,58+1,66+1,07+11,07+5,73+3,0)*1,1   1.np</t>
  </si>
  <si>
    <t>0,523725*1,1   2.np</t>
  </si>
  <si>
    <t>(6,23+4,05+1,71+5,13+1,28+2,71)*1,1   </t>
  </si>
  <si>
    <t>(2,92*2+2,79+1,37)*1,1   2.pp</t>
  </si>
  <si>
    <t>(4,75+1,54+4,46+1,45+7,38+1,24+1,08+3,66+3,08+1,16)*1,1   1.pp</t>
  </si>
  <si>
    <t>3,05+15,2+0,125+2,38+1,1+4,5+1,75+2,7+1,185+1,17+3,8+14,45+0,25*3*2   </t>
  </si>
  <si>
    <t>-(0,9+0,8+0,8+1,25+0,9+1,25+1,1+1,185+0,9+1,6+0,9+1,25+0,9+0,8+0,9)   </t>
  </si>
  <si>
    <t>0,3*2+1,68+4,979+4,457+1,601+4,972   </t>
  </si>
  <si>
    <t>-(0,8*2+0,9+1,2*2)   </t>
  </si>
  <si>
    <t>(1,99+3,3+0,3+2,238)-0,9*2   </t>
  </si>
  <si>
    <t>(1,901*2+2,55)   </t>
  </si>
  <si>
    <t>(3,375+1,795)*2-(1,0*2+0,9)+0,2*2   </t>
  </si>
  <si>
    <t>(1,71+1,626+4,458+4,98)-(0,9*2+0,8+0,6+1,0)+0,2*4   </t>
  </si>
  <si>
    <t>(1,51+1,19+0,2*2)-(0,8+0,9)   </t>
  </si>
  <si>
    <t>0,4*3+1,1+0,555*2   </t>
  </si>
  <si>
    <t>1,93*2+2,075   </t>
  </si>
  <si>
    <t>0,383+1,15   </t>
  </si>
  <si>
    <t>1,75*2+1,375-(0,6+0,7+0,9)   </t>
  </si>
  <si>
    <t>0,4*3*2   </t>
  </si>
  <si>
    <t>2,61   </t>
  </si>
  <si>
    <t>(4,981+1,71+0,2*2+4,658+0,25)-(0,8+1,0+0,9*2)+0,2*4   </t>
  </si>
  <si>
    <t>(1,757+1,757+1,1)-(0,8+0,85*2)   </t>
  </si>
  <si>
    <t>16,4-(2,0+0,8+2,1)   </t>
  </si>
  <si>
    <t>(3,05+3,524)*2-(0,9+2,445)+0,2*2   </t>
  </si>
  <si>
    <t>133,437   </t>
  </si>
  <si>
    <t>;ztratné 10%; 13,3437   </t>
  </si>
  <si>
    <t>633,5005   výpocet viz lepení podlah</t>
  </si>
  <si>
    <t>16,4-(2,0+0,8+2,1)+(3,05+3,524)*2-(0,9+2,475)+0,2*2   1.18,05</t>
  </si>
  <si>
    <t>2,53+0,5+0,4+0,301+0,301+9,42+0,4-(1,1+2,475+0,8*2)   1.04</t>
  </si>
  <si>
    <t>(11,3+23,589+0,32*8+0,4*4+1,0*4)*2-(2,97+4,085+1,0+3,85*2+4,0*4+3,85*2)   1.07</t>
  </si>
  <si>
    <t>(5,45+8,995*2+2,68+1,82+1,795+2,695+1,22+0,25*4)-(4,0*2+0,8+0,9)   </t>
  </si>
  <si>
    <t>1.5+4.007*2-1.8+(17.24+2.2+0.45*3)*2-(1,0+0,9*3+0,7*2+1,8)   S1.01,02</t>
  </si>
  <si>
    <t>(3,65+4,61)*2-0,8   S1.22</t>
  </si>
  <si>
    <t>   dle pud. 2,pp staveb. c.</t>
  </si>
  <si>
    <t>   P24a,b</t>
  </si>
  <si>
    <t>(1,9+2,1)*2-(0,8*3+0,6*2)+(3,525+2,725+0,1)*2-(0,8+0,7)+(3,525+2,65)*2-(0,7+0,8)   S2.08,09,12</t>
  </si>
  <si>
    <t>(5,45+8,995+2,68+2,295+1,925+2,035+1,35+8,995)-(0,9+4,0*2+0,8)+0,25*4   S1.03,06</t>
  </si>
  <si>
    <t>   2.np</t>
  </si>
  <si>
    <t>5,02+5,0+6,97+6,554+3,5+0,58*2+0,845*2+2,37*2+0,965+0,91+0,785*2+1,012*2+4,614+1,08*2-2,1   </t>
  </si>
  <si>
    <t>44,37   1.04</t>
  </si>
  <si>
    <t>5,96+13,1   P29 - 2.np</t>
  </si>
  <si>
    <t>34,87+3,5*5,0   P09,P09a+P09b</t>
  </si>
  <si>
    <t>23,94   P28 - 2.np</t>
  </si>
  <si>
    <t>633,5005   </t>
  </si>
  <si>
    <t>;ztratné 10%; 63,35005   </t>
  </si>
  <si>
    <t>14,5   P30 - dle tab. m S.2.01 - rampa</t>
  </si>
  <si>
    <t>   KO1</t>
  </si>
  <si>
    <t>(2,295+0,6*2)*0,8+(1,1+0,6)*1,6   S1.03</t>
  </si>
  <si>
    <t>(0,8+1,254+1,625+1,5+1,625+0,115)*3,0-(0,8+0,7)*1,97+(0,94*2+0,95)*3,0+0,125*3,0   S1.04</t>
  </si>
  <si>
    <t>(1,625+0,95)*2*3,0-0,7*1,97   S1.05</t>
  </si>
  <si>
    <t>(0,6*2+1,82)*0,8+(1,1+0,6)*1,6   S1.06</t>
  </si>
  <si>
    <t>(0,6+1,124+1,845+1,5+1,69)*3,0-(0,8+0,7)*1,97+(1,034+0,95+1,034)*3,0   S1.07</t>
  </si>
  <si>
    <t>(1,575+0,95)*2*3,0-0,7*1,97   S1.08</t>
  </si>
  <si>
    <t>(2,43+0,6*2)*0,8   S1.22</t>
  </si>
  <si>
    <t>   KO2</t>
  </si>
  <si>
    <t>(2,662+5,55+1,6+2,248+1,111)*2,0-0,9*1,97   S2.03</t>
  </si>
  <si>
    <t>(0,45+1,35+0,1)*2,0   S2.04</t>
  </si>
  <si>
    <t>(2,7+5,55+0,1)*2*2,0-(1,1*1,97+1,25*1,97)   S2.06</t>
  </si>
  <si>
    <t>(5,5+2,276)*2*2,0-0,9*1,97+(0,7+1,2)*2,0   S2.07</t>
  </si>
  <si>
    <t>(1,8+1,6)*2*2,6-0,7*1,97   S2.10</t>
  </si>
  <si>
    <t>(1,375+1,0)*2*2,6-0,6*1,97   S2.11</t>
  </si>
  <si>
    <t>(1,8+1,525)*2*2,6-(0,7*1,97+1,0*2*2,6)+1,0*2*2,6   S2.13</t>
  </si>
  <si>
    <t>(2,2+1,6)*2*2,0-0,8*1,97   S2.22</t>
  </si>
  <si>
    <t>(2,15+1,6)*2*2,0-0,8*1,97   S2.23</t>
  </si>
  <si>
    <t>(5,05+3,65)*2*2,0-1,25*1,97   S2.24</t>
  </si>
  <si>
    <t>(3,65+2,4+0,1)*2*2,0-0,9*1,97   S2.25</t>
  </si>
  <si>
    <t>(3,65+2,7)*2*2,0-1,25*1,97   S2.26</t>
  </si>
  <si>
    <t>(3,65+5,45+1,575+1,1)*2-(1,1*1,97+(0,3+0,95)*2)+0,1*2,0*2   S2.27</t>
  </si>
  <si>
    <t>(1,755+1,15)*2*2,0-0,9*1,97   S2.28</t>
  </si>
  <si>
    <t>(1,59+1,15)*2*2,0-0,8*1,97   S2.29</t>
  </si>
  <si>
    <t>(1,5+1,15)*2*2,0-0,8*1,97   S2.30</t>
  </si>
  <si>
    <t>(4,6+3,375+0,1)*2*3,0-0,9*1,97   S1.09</t>
  </si>
  <si>
    <t>(3,375+2,5)*2*2,6-0,7*1,97*3   S1.10</t>
  </si>
  <si>
    <t>(1,1+1,05)*2*2,6-0,7*1,97   S1.11</t>
  </si>
  <si>
    <t>(1,05+1,025)*2*2,6-0,7*1,97   S1.12</t>
  </si>
  <si>
    <t>(2,475+1,715)*2*2,6-0,7*1,97*3   S1.13</t>
  </si>
  <si>
    <t>(1,66+1,9)*2*2,6-0,7*1,97   S1.14</t>
  </si>
  <si>
    <t>(1,1+1,05)*2*2,6-0,7*1,97   S1.15</t>
  </si>
  <si>
    <t>(4,47+3,375)*2*3,0+(1,702+0,465+1,436+1,62+1,25)*3,0-(1,2*2,0*2+0,9*1,97)+0,3*3,0*2   S1.19</t>
  </si>
  <si>
    <t>(1,5+1,1)*2*2,0-0,6*1,97   S1.24</t>
  </si>
  <si>
    <t>(6,08+0,32+3,05*4+0,25+7,255+1,725+0,125+0,425*2+5,35)*2,0-(1,0*2,0+0,9*1,97+2,76*1,1)+0,15*2,0*2   1.08</t>
  </si>
  <si>
    <t>(2,75+0,129+0,3*2+7,93+0,2*2+1,682*2+3,05*2+12,8+0,35*2+0,2+10,051+1,925*2+0,2*2+1,0*2+7,825)*2,0   1.09</t>
  </si>
  <si>
    <t>-(1,5*0,9+4,9*0,6+2,65*0,5+1,45*2,0*2+0,9*1,97*3)   </t>
  </si>
  <si>
    <t>(1,15+1,375)*2*2,6-0,7*1,97   1.11</t>
  </si>
  <si>
    <t>(1,275+1,3)*2*2,6-0,6*1,97*2   1.12</t>
  </si>
  <si>
    <t>(1,1+0,975)*2*2,6-0,6*1,97   1.13</t>
  </si>
  <si>
    <t>(1,675+1,875)*2*2,825-0,8*1,97   1.19</t>
  </si>
  <si>
    <t>   KO3</t>
  </si>
  <si>
    <t>(3,45+1,85)*2*2,6-(0,7+0,8*2)*1,97   1.20</t>
  </si>
  <si>
    <t>(1,8+2,25)*2*2,6-0,8*1,97   1.21</t>
  </si>
  <si>
    <t>(1,575+0,95)*2*2,6-0,8*1,97   1.22</t>
  </si>
  <si>
    <t>(2,825+1,9)*2*2,6-(0,7*1,97+0,8*1,97)   1.23</t>
  </si>
  <si>
    <t>(0,95+1,35)*2*2,6-0,7*1,97   1.24</t>
  </si>
  <si>
    <t>(1,75+1,55)*2*2,6-0,7*1,97   1.25</t>
  </si>
  <si>
    <t>(1,3+1,0)*2*2,6-0,6*1,97   S2.14</t>
  </si>
  <si>
    <t>(3,0*2+2,75)*2,0-0,9*1,97   S2.15</t>
  </si>
  <si>
    <t>(2,725+3,05)*2*2,0-0,9*1,97   S2.19</t>
  </si>
  <si>
    <t>94,441   </t>
  </si>
  <si>
    <t>;ztratné 10%; 9,4441   </t>
  </si>
  <si>
    <t>756,423   </t>
  </si>
  <si>
    <t>;ztratné 10%; 75,6423   </t>
  </si>
  <si>
    <t>102,044   </t>
  </si>
  <si>
    <t>;ztratné 10%; 10,2044   </t>
  </si>
  <si>
    <t>952,908   vnitrní</t>
  </si>
  <si>
    <t>7,95   vnejší</t>
  </si>
  <si>
    <t>   dle tz - ozn. skladby N2</t>
  </si>
  <si>
    <t>(0,7+1,2)*2,0   S2.07</t>
  </si>
  <si>
    <t>1,0*2*2,6   S2.13</t>
  </si>
  <si>
    <t>(0,94*2+0,95)*3,0+0,125*3,0   S1.04</t>
  </si>
  <si>
    <t>(1,034+0,95+1,034)*3,0   S1.07</t>
  </si>
  <si>
    <t>49,2005*1,5*2   </t>
  </si>
  <si>
    <t>(0,75+1,85+2,1+0,6)*1,5   dle v. pohledu - OP6a</t>
  </si>
  <si>
    <t>7,95   </t>
  </si>
  <si>
    <t>;ztratné 10%; 0,795   </t>
  </si>
  <si>
    <t>   dle v. pohledu</t>
  </si>
  <si>
    <t>41,3+14,3*1,1+48,2+10,7+4   fasáda</t>
  </si>
  <si>
    <t>(2,6*8+2,75*2+1,5*4)*0,25   ostení a nadpraží</t>
  </si>
  <si>
    <t>20   dle pud. 2.np</t>
  </si>
  <si>
    <t>46,8892*2+50   </t>
  </si>
  <si>
    <t>24,4*3,45+2*0,1*2*3,45   </t>
  </si>
  <si>
    <t>(3,6+2,2)*3,7   </t>
  </si>
  <si>
    <t>3,123*3,45+0,3*(1,185+2,3*2)   </t>
  </si>
  <si>
    <t>3,0*3,1   </t>
  </si>
  <si>
    <t>(5,136+2,7)*3,1   </t>
  </si>
  <si>
    <t>22,51*3,1+2*0,1*3,1*2   </t>
  </si>
  <si>
    <t>(2,2+3,6)*3,35   </t>
  </si>
  <si>
    <t>6,53*3,1   </t>
  </si>
  <si>
    <t>(1,702+0,47+1,25+1,62+1,437)*3,1+0,3*(1,2+3,1)   </t>
  </si>
  <si>
    <t>8,86*4,25   </t>
  </si>
  <si>
    <t>(5,645+1,7)*4,25   </t>
  </si>
  <si>
    <t>   odpocet obkladu</t>
  </si>
  <si>
    <t>-947,468   </t>
  </si>
  <si>
    <t>   SDK</t>
  </si>
  <si>
    <t>14,2811+27,36+2,681+4,151+50,01975   cela podhledu</t>
  </si>
  <si>
    <t>56,06+70,011+25,43   sdk podhledy</t>
  </si>
  <si>
    <t>2,7+4,96+11,85+2,54   strop - S2.04,2,23,31,32 - pud. 2.pp</t>
  </si>
  <si>
    <t>17,36   strop S1.01 - pud. 1.pp</t>
  </si>
  <si>
    <t>122,5+12,52   strop 1.09,18 - pud. 1.np</t>
  </si>
  <si>
    <t>3,0+1,65+18,16+15,49+8,4   stropy - omítky</t>
  </si>
  <si>
    <t>(1,875+1,05+1,05+2,1+2,225)*3,1*2   </t>
  </si>
  <si>
    <t>(2,327+1,15)*3,1*2   </t>
  </si>
  <si>
    <t>13,1+23,94+40   PH9+steny-2.np</t>
  </si>
  <si>
    <t>14,4+108+15   </t>
  </si>
  <si>
    <t>3597,54837-(978,9955+126,8625)+2,0*(11,1-1,5+11,1)   </t>
  </si>
  <si>
    <t>   steny</t>
  </si>
  <si>
    <t>(2,725+3,525+2,65+3,525+2,1+1,9)*2*3,0   </t>
  </si>
  <si>
    <t>((8,3+18,56)*2+0,25*6+1,68+4,457+4,972+1,601)*1,5   </t>
  </si>
  <si>
    <t>(1,2+2,1+1,2)*1,0   </t>
  </si>
  <si>
    <t>(2,5+3,545)*2*3,0   </t>
  </si>
  <si>
    <t>(2,5+0,975)*2*1,8   </t>
  </si>
  <si>
    <t>   dle pudorysu 1.pp</t>
  </si>
  <si>
    <t>(6,565+4,77+1,5+5,0+6,8+(2,2+17,24)*2+0,45*6+(1,795+3,375+0,41)*2)*3,0   </t>
  </si>
  <si>
    <t>(1,71+4,972+4,5+1,625+(2,799+4,53)*2+1,129+1,31+0,17+1,1+(4,61+3,65)*2)*3,0-(2,43+0,6*2)*0,6   </t>
  </si>
  <si>
    <t>8,218*3,0   </t>
  </si>
  <si>
    <t>(6,93+1,68+6,41+1,625)*1,5   </t>
  </si>
  <si>
    <t>(5,33+4,98+1,1+1,115+5,7+4,97+3,0+2,83*2+3,075+1,2+6,6)*3,0   </t>
  </si>
  <si>
    <t>13,1+23,94+40   PH9+steny - 2.np</t>
  </si>
  <si>
    <t>((8,3+18,56)*2+0,25*6+1,68+4,457+4,972+1,601)*1,5   dle pud. 2.pp</t>
  </si>
  <si>
    <t>(6,93+1,68+6,41+1,625)*1,5   dle pud. 1.np</t>
  </si>
  <si>
    <t>6   ve zdvižné plošine</t>
  </si>
  <si>
    <t>2,0*1,5   výtah</t>
  </si>
  <si>
    <t>   dle tab. ost. výr.</t>
  </si>
  <si>
    <t>0,6*1,5*2   O02</t>
  </si>
  <si>
    <t>0,8*0,6*15   O03</t>
  </si>
  <si>
    <t>0,6*0,8*2   O04</t>
  </si>
  <si>
    <t>A</t>
  </si>
  <si>
    <t>"M"</t>
  </si>
  <si>
    <t>Ostatní materiál</t>
  </si>
  <si>
    <t>ZRN celkem</t>
  </si>
  <si>
    <t>Základ 0%</t>
  </si>
  <si>
    <t>Základ 15%</t>
  </si>
  <si>
    <t>Základ 21%</t>
  </si>
  <si>
    <t>Projektant</t>
  </si>
  <si>
    <t>Datum, razítko a podpis</t>
  </si>
  <si>
    <t>Dodávky</t>
  </si>
  <si>
    <t>Krycí list rozpoctu</t>
  </si>
  <si>
    <t>B</t>
  </si>
  <si>
    <t>Bez pevné podl.</t>
  </si>
  <si>
    <t>Kulturní památka</t>
  </si>
  <si>
    <t>DN celkem</t>
  </si>
  <si>
    <t>DN celkem z obj.</t>
  </si>
  <si>
    <t>DPH 15%</t>
  </si>
  <si>
    <t>DPH 21%</t>
  </si>
  <si>
    <t>Objednatel</t>
  </si>
  <si>
    <t>C</t>
  </si>
  <si>
    <t>Mimostav. doprava</t>
  </si>
  <si>
    <t>Územní vlivy</t>
  </si>
  <si>
    <t>Provozní vlivy</t>
  </si>
  <si>
    <t>Ostatní</t>
  </si>
  <si>
    <t>NUS celkem</t>
  </si>
  <si>
    <t>NUS celkem z obj.</t>
  </si>
  <si>
    <t>ORN celkem</t>
  </si>
  <si>
    <t>ORN celkem z obj.</t>
  </si>
  <si>
    <t>Celkem bez DPH</t>
  </si>
  <si>
    <t>Celkem vèetnì DPH</t>
  </si>
  <si>
    <t>Zhotovitel</t>
  </si>
  <si>
    <t>IC/DIC:</t>
  </si>
  <si>
    <t>Položek:</t>
  </si>
  <si>
    <t>Datum:</t>
  </si>
  <si>
    <t>Náklady na umístìní stavby (NUS)</t>
  </si>
  <si>
    <t>Celkem DN</t>
  </si>
  <si>
    <t>Celkem NUS</t>
  </si>
  <si>
    <t>Celkem VRN</t>
  </si>
  <si>
    <t>Celkem ORN</t>
  </si>
  <si>
    <t>Vedlejší a ostatní rozpoctové náklady</t>
  </si>
  <si>
    <t>Základna</t>
  </si>
  <si>
    <t xml:space="preserve"> Dostavba ZŠ Mnichovice, 3. etapa, školní jídelna a kuchyň</t>
  </si>
  <si>
    <t> ing. Tomáš Řičař</t>
  </si>
  <si>
    <t xml:space="preserve"> parc.č. 385/2, 1749, 68/3, 74/5, 74/3 a 3854/1, k.ú. Mnichovice</t>
  </si>
  <si>
    <t>Město Mnichovice, Masarykovo náměstí 83, 251 64 Mnichovice</t>
  </si>
  <si>
    <t>Č</t>
  </si>
  <si>
    <t>(Kč)</t>
  </si>
  <si>
    <t>Náklady (Kč)</t>
  </si>
  <si>
    <t>D1.1.+D1.2 - Stavební + konstrukční řešení</t>
  </si>
  <si>
    <t>Rozpočtové náklady v Kč</t>
  </si>
  <si>
    <t>Náklady na umístění stavby (NUS)</t>
  </si>
  <si>
    <t>Zařízení staveniště</t>
  </si>
  <si>
    <t>NUS z rozpočtu</t>
  </si>
  <si>
    <t>Základní rozpočtové náklady</t>
  </si>
  <si>
    <t>Potřebné množství</t>
  </si>
  <si>
    <t>D1.1+D1.2 - Výkaz výměr</t>
  </si>
  <si>
    <t>Vedlejší rozpočtové náklady VRN</t>
  </si>
  <si>
    <t>Kč</t>
  </si>
  <si>
    <t>Příprava staveniště</t>
  </si>
  <si>
    <t>Ostatní rozpočtové náklady ORN</t>
  </si>
  <si>
    <t>Ostatní rozpočtové náklady (ORN)</t>
  </si>
  <si>
    <t>Inženýrská činnost</t>
  </si>
  <si>
    <t>Přesun hmot a sutí</t>
  </si>
  <si>
    <t>Práce přesčas</t>
  </si>
  <si>
    <t>Doplňkové náklady</t>
  </si>
  <si>
    <t>Doplňkové náklady DN</t>
  </si>
  <si>
    <t>03</t>
  </si>
  <si>
    <t>02</t>
  </si>
  <si>
    <t>Celková rekapitulace</t>
  </si>
  <si>
    <t>D1.1+D1.2</t>
  </si>
  <si>
    <t>TZB</t>
  </si>
  <si>
    <t>Technické zařízení budov</t>
  </si>
  <si>
    <t>Stavební + konstrukční část</t>
  </si>
  <si>
    <t>Zpevněné plochy a komunikace</t>
  </si>
  <si>
    <t>Pozn</t>
  </si>
  <si>
    <t>Název položky</t>
  </si>
  <si>
    <t>Cena m.j.</t>
  </si>
  <si>
    <t>Cena</t>
  </si>
  <si>
    <t>Skladba 1 - areálová vozovka</t>
  </si>
  <si>
    <t>582602</t>
  </si>
  <si>
    <t>dlažba betonová, typ a barevnost dle specifikací investora – 80 mm (pojížděné plochy)</t>
  </si>
  <si>
    <t>582605</t>
  </si>
  <si>
    <t>dlažba betonová, typ a barevnost dle specifikací investora – 80 mm (pojížděné chodníky, odlišná barevnost)</t>
  </si>
  <si>
    <t>kladecí lože DDK fr 4/8 – 40 mm</t>
  </si>
  <si>
    <t>56333; 56334</t>
  </si>
  <si>
    <r>
      <t>štěrkodrť ŠD</t>
    </r>
    <r>
      <rPr>
        <vertAlign val="subscript"/>
        <sz val="8"/>
        <color indexed="8"/>
        <rFont val="Arial"/>
        <family val="2"/>
        <charset val="238"/>
      </rPr>
      <t>A</t>
    </r>
    <r>
      <rPr>
        <sz val="8"/>
        <color indexed="8"/>
        <rFont val="Arial"/>
        <family val="2"/>
        <charset val="238"/>
      </rPr>
      <t xml:space="preserve"> fr 0/32 – 350 mm (150+200)</t>
    </r>
  </si>
  <si>
    <t>Skladba 1 - areálová vozovka, opravovaná část (rozsah bude stanoven po dohodě a odsouhlasení TDI)</t>
  </si>
  <si>
    <t>dlažba betonová, typ a barevnost dle specifikací investora – 80 mm</t>
  </si>
  <si>
    <t>Skladba 2 - vozovka v ul. Jánská</t>
  </si>
  <si>
    <t>574A03</t>
  </si>
  <si>
    <t>asfaltový beton obrusný ACO 11 – 40-80 mm</t>
  </si>
  <si>
    <t>572222</t>
  </si>
  <si>
    <t>spojovací postřik 0,7 kg/m2</t>
  </si>
  <si>
    <t>11372</t>
  </si>
  <si>
    <t xml:space="preserve">odfrézování asf vrtev – 40mm (rozsah a tloušťka bude stanovan na místě dle skutečného stavu po odsouhlasení TDI) </t>
  </si>
  <si>
    <t>Skladba 3 - chodníky (nepojížděné)</t>
  </si>
  <si>
    <t>582601</t>
  </si>
  <si>
    <t>dlažba betonová, typ a barevnost dle specifikací investora – 60 mm</t>
  </si>
  <si>
    <t>58260A</t>
  </si>
  <si>
    <t>dlažba betonová s hmatovou úpravou a kontrastním barevným provedením, typ a barevnost dle specifikací investora – 60 mm</t>
  </si>
  <si>
    <t>kladecí lože DDK fr 4/8 – 30 mm</t>
  </si>
  <si>
    <t>56333</t>
  </si>
  <si>
    <r>
      <t>štěrkodrť ŠD</t>
    </r>
    <r>
      <rPr>
        <vertAlign val="subscript"/>
        <sz val="8"/>
        <rFont val="Arial"/>
        <family val="2"/>
        <charset val="238"/>
      </rPr>
      <t>A</t>
    </r>
    <r>
      <rPr>
        <sz val="8"/>
        <rFont val="Arial"/>
        <family val="2"/>
        <charset val="238"/>
      </rPr>
      <t xml:space="preserve"> fr 0/32 – 150 mm</t>
    </r>
  </si>
  <si>
    <t>Obruby</t>
  </si>
  <si>
    <t>917224</t>
  </si>
  <si>
    <t>silniční betonový obubník (150/250/1000) do betonového lože C20/25nXF3 - dodávka + montáž</t>
  </si>
  <si>
    <t>bm</t>
  </si>
  <si>
    <t>917224-1</t>
  </si>
  <si>
    <t>silniční betonový obubník, přejízdný (150/150/1000) do betonového lože C20/25nXF3 - dodávka + montáž</t>
  </si>
  <si>
    <t>917223</t>
  </si>
  <si>
    <t>silniční betonový obubník, zapuštěný (100/250/1000) do betonového lože C20/25nXF3 - dodávka + montáž</t>
  </si>
  <si>
    <t>917212</t>
  </si>
  <si>
    <t>silniční betonový obubník (80/250/1000) do betonového lože C20/25nXF3 - dodávka + montáž</t>
  </si>
  <si>
    <t>917212-1</t>
  </si>
  <si>
    <t>silniční betonový obubník, zapuštěný (80/250/1000) do betonového lože C20/25nXF3 - dodávka + montáž</t>
  </si>
  <si>
    <t>Dopravní značení a vybavení
(přesný rozsah dopravního značení bude stanoven před vlastní instalací a odsouhlasen PČR DI a OD)</t>
  </si>
  <si>
    <t>914111</t>
  </si>
  <si>
    <t>svislé dopravní značení, včetně sloupku, dodávka + montáž
(1x B28)</t>
  </si>
  <si>
    <t>ks</t>
  </si>
  <si>
    <t>91297</t>
  </si>
  <si>
    <t>svislé dopravní značení, včetně sloupku, dodávka + montáž
(1x dopravní zrcadlo 40x60cm)</t>
  </si>
  <si>
    <t>914111-1</t>
  </si>
  <si>
    <t>svislé dopravní značení, bez sloupku, dodávka + montáž
(1x E 13)</t>
  </si>
  <si>
    <t>Schody</t>
  </si>
  <si>
    <t>schodiště s kam stupni dl 2x4,30m, vč bet. C25/30 základu - specifikace dle investora</t>
  </si>
  <si>
    <t>kpl</t>
  </si>
  <si>
    <t>Odvodnění</t>
  </si>
  <si>
    <t>212625</t>
  </si>
  <si>
    <t>drenáž - DN 100, vč napojení, výkopů, vysypání štěrkodrtí, obalení separační geotextílií, odvozu a poplatku za skládku</t>
  </si>
  <si>
    <t>Zemní práce 
(rozsah zemních prací je stanoven odorným odhadem a bude upřesněn dle skutečného stavu a odsouhlasen před zahájením prací TDI,
součástí položek je doprava na skládku a veškeré poplatky)</t>
  </si>
  <si>
    <t>113136; 015130</t>
  </si>
  <si>
    <t>odstranění stávajících asf vozovkových konstrukcí v tl 0,50m, vč obrub, odvozu (předpoklad do 12km) a poplatku za skládku</t>
  </si>
  <si>
    <t>113176; 015120</t>
  </si>
  <si>
    <t>odstranění stávajících dlážděných vozovkových konstrukcí v tl 0,50m, vč obrub, odvozu (předpoklad do 12km) a poplatku za skládku</t>
  </si>
  <si>
    <t>18110</t>
  </si>
  <si>
    <t>úprava zemní pláně rovnáním a přehutněním</t>
  </si>
  <si>
    <t>21452</t>
  </si>
  <si>
    <t>úprava aktivní zóny a zemní pláně
výměna nevhodné zeminy a nahrazení za vhodnou z nakupovaných materiálů, tl. 0,50m - předpoklad do 50%</t>
  </si>
  <si>
    <t>215663; 215669</t>
  </si>
  <si>
    <t>úprava aktivní zóny a zemní pláně
úprava vápněním, předpoklad 2-3% hm., do 0,50m  - předpoklad do 50%</t>
  </si>
  <si>
    <t>odstranění vozovkových vrstev z asfaltovým krytem tl. do 50cm (areálová vozovka, opravovaná část)
vč odvozu (předpoklad do 12km) a poplatku za skládku</t>
  </si>
  <si>
    <t>122736; 015111</t>
  </si>
  <si>
    <t>výkopy
odtěžení zemin a hornin třídy těžitelnosti v poměru I. - 80%  : II. - 20%
včetně odvozu (předpoklad do 12km) a poplatku za skládku</t>
  </si>
  <si>
    <t>17180</t>
  </si>
  <si>
    <t>násypy
vybudování hutněného násypu z nakoupovaných materiálů, vrstva á 0,25m, dle ČSN 73 6133</t>
  </si>
  <si>
    <t>18232; 18241; 18247</t>
  </si>
  <si>
    <t>rozprostření ornice v rovině
rozprostření humózních vrstev v tl 0,15m a osetí travním semenem, vč zálivky a prvního sečení</t>
  </si>
  <si>
    <t>21461-a</t>
  </si>
  <si>
    <t>separační a roznášení geotextílie
použita na základě rozhodnutí geologa stavby a TDI pro sanaci podloží</t>
  </si>
  <si>
    <t>Ostatní položky
(přesný rozsah jednotlivcýh položek bude stanoven na místě dle skutečného stavu a po dohodě s TDI)</t>
  </si>
  <si>
    <t>89923</t>
  </si>
  <si>
    <t>vyrovnání povrchových znaků IS a UV - přesný počet bude snanoven na místě</t>
  </si>
  <si>
    <t>919112</t>
  </si>
  <si>
    <t>zaříznutí a začištění pracovní spáry, do 100mm
(ul Jánská 6,50m; plocha v severní části školního dvoru 15,0m)</t>
  </si>
  <si>
    <t>58910</t>
  </si>
  <si>
    <t>ošetření pracovní spáry asfaltovou zálivkou dle TP</t>
  </si>
  <si>
    <t>!! Veškeré specifikace typů, tvarů a barevnosti dlažby a prvků budou upřesněny investorem !!</t>
  </si>
  <si>
    <t>&gt;&gt;  skryté sloupce  &lt;&lt;</t>
  </si>
  <si>
    <t>{e4110510-c627-4121-975d-42f5302e9ec3}</t>
  </si>
  <si>
    <t>f0</t>
  </si>
  <si>
    <t/>
  </si>
  <si>
    <t>5,04</t>
  </si>
  <si>
    <t>f3</t>
  </si>
  <si>
    <t>3,42</t>
  </si>
  <si>
    <t>KRYCÍ LIST SOUPISU PRACÍ</t>
  </si>
  <si>
    <t>v ---  níže se nacházejí doplnkové a pomocné údaje k sestavám  --- v</t>
  </si>
  <si>
    <t>False</t>
  </si>
  <si>
    <t>f4</t>
  </si>
  <si>
    <t>1,62</t>
  </si>
  <si>
    <t>f1</t>
  </si>
  <si>
    <t>0,36</t>
  </si>
  <si>
    <t>Stavba:</t>
  </si>
  <si>
    <t>f2</t>
  </si>
  <si>
    <t>1,26</t>
  </si>
  <si>
    <t>Objekt:</t>
  </si>
  <si>
    <t>D.2.5 - Přípojka plynovodu</t>
  </si>
  <si>
    <t>KSO:</t>
  </si>
  <si>
    <t>CC-CZ:</t>
  </si>
  <si>
    <t>Místo:</t>
  </si>
  <si>
    <t>Zadavatel:</t>
  </si>
  <si>
    <t>IČ:</t>
  </si>
  <si>
    <t>DIČ:</t>
  </si>
  <si>
    <t>Zpracovatel:</t>
  </si>
  <si>
    <t>Cena bez DPH</t>
  </si>
  <si>
    <t>Základ daně</t>
  </si>
  <si>
    <t>Sazba daně</t>
  </si>
  <si>
    <t>Výše daně</t>
  </si>
  <si>
    <t>DPH</t>
  </si>
  <si>
    <t>základní</t>
  </si>
  <si>
    <t>snížená</t>
  </si>
  <si>
    <t>zákl. přenesená</t>
  </si>
  <si>
    <t>sníž. přenesená</t>
  </si>
  <si>
    <t>nulová</t>
  </si>
  <si>
    <t>Cena s DPH</t>
  </si>
  <si>
    <t>v</t>
  </si>
  <si>
    <t>CZK</t>
  </si>
  <si>
    <t>Zpracovatel</t>
  </si>
  <si>
    <t>Datum a podpis:</t>
  </si>
  <si>
    <t>Razítko</t>
  </si>
  <si>
    <t>Objednavatel</t>
  </si>
  <si>
    <t>REKAPITULACE ČLENĚNÍ SOUPISU PRACÍ</t>
  </si>
  <si>
    <t>Kód dílu - Popis</t>
  </si>
  <si>
    <t>Cena celkem [CZK]</t>
  </si>
  <si>
    <t>Náklady ze soupisu prací</t>
  </si>
  <si>
    <t>-1</t>
  </si>
  <si>
    <t>HSV - Práce a dodávky HSV</t>
  </si>
  <si>
    <t xml:space="preserve">    1 - Zemní práce</t>
  </si>
  <si>
    <t xml:space="preserve">    4 - Vodorovné konstrukce</t>
  </si>
  <si>
    <t xml:space="preserve">    8 - Trubní vedení</t>
  </si>
  <si>
    <t xml:space="preserve">    998 - Přesun hmot</t>
  </si>
  <si>
    <t>VRN - Vedlejší rozpočtové náklady</t>
  </si>
  <si>
    <t xml:space="preserve">    VRN1 - Průzkumné, geodetické a projektové práce</t>
  </si>
  <si>
    <t xml:space="preserve">    VRN4 - Inženýrská činnost</t>
  </si>
  <si>
    <t>SOUPIS PRACÍ</t>
  </si>
  <si>
    <t>PČ</t>
  </si>
  <si>
    <t>Typ</t>
  </si>
  <si>
    <t>Popis</t>
  </si>
  <si>
    <t>J.cena [CZK]</t>
  </si>
  <si>
    <t>Cenová soustava</t>
  </si>
  <si>
    <t>J. Nh [h]</t>
  </si>
  <si>
    <t>Nh celkem [h]</t>
  </si>
  <si>
    <t>J. hmotnost [t]</t>
  </si>
  <si>
    <t>Hmotnost celkem [t]</t>
  </si>
  <si>
    <t>J. suť [t]</t>
  </si>
  <si>
    <t>Suť Celkem [t]</t>
  </si>
  <si>
    <t>Náklady soupisu celkem</t>
  </si>
  <si>
    <t>D</t>
  </si>
  <si>
    <t>Práce a dodávky HSV</t>
  </si>
  <si>
    <t>0</t>
  </si>
  <si>
    <t>ROZPOCET</t>
  </si>
  <si>
    <t>K</t>
  </si>
  <si>
    <t>132251102</t>
  </si>
  <si>
    <t>Hloubení rýh nezapažených  š do 800 mm v hornině třídy těžitelnosti I, skupiny 3 objem do 50 m3 strojně</t>
  </si>
  <si>
    <t>CS ÚRS 2020 01</t>
  </si>
  <si>
    <t>-821015188</t>
  </si>
  <si>
    <t>PP</t>
  </si>
  <si>
    <t>Hloubení nezapažených rýh šířky do 800 mm strojně s urovnáním dna do předepsaného profilu a spádu v hornině třídy těžitelnosti I skupiny 3 přes 20 do 50 m3</t>
  </si>
  <si>
    <t>VV</t>
  </si>
  <si>
    <t>6*0,6*1,4</t>
  </si>
  <si>
    <t>True</t>
  </si>
  <si>
    <t>162351103</t>
  </si>
  <si>
    <t>Vodorovné přemístění do 500 m výkopku/sypaniny z horniny třídy těžitelnosti I, skupiny 1 až 3</t>
  </si>
  <si>
    <t>-545986012</t>
  </si>
  <si>
    <t>Vodorovné přemístění výkopku nebo sypaniny po suchu na obvyklém dopravním prostředku, bez naložení výkopku, avšak se složením bez rozhrnutí z horniny třídy těžitelnosti I skupiny 1 až 3 na vzdálenost přes 50 do 500 m</t>
  </si>
  <si>
    <t>zemina ponechaná na zásyp</t>
  </si>
  <si>
    <t>zpět na zásyp</t>
  </si>
  <si>
    <t>Součet</t>
  </si>
  <si>
    <t>162751117</t>
  </si>
  <si>
    <t>Vodorovné přemístění do 10000 m výkopku/sypaniny z horniny třídy těžitelnosti I, skupiny 1 až 3</t>
  </si>
  <si>
    <t>639823794</t>
  </si>
  <si>
    <t>Vodorovné přemístění výkopku nebo sypaniny po suchu na obvyklém dopravním prostředku, bez naložení výkopku, avšak se složením bez rozhrnutí z horniny třídy těžitelnosti I skupiny 1 až 3 na vzdálenost přes 9 000 do 10 000 m</t>
  </si>
  <si>
    <t>na skládku</t>
  </si>
  <si>
    <t>f0-f3</t>
  </si>
  <si>
    <t>167151101</t>
  </si>
  <si>
    <t>Nakládání výkopku z hornin třídy těžitelnosti I, skupiny 1 až 3 do 100 m3</t>
  </si>
  <si>
    <t>560275509</t>
  </si>
  <si>
    <t>Nakládání, skládání a překládání neulehlého výkopku nebo sypaniny strojně nakládání, množství do 100 m3, z horniny třídy těžitelnosti I, skupiny 1 až 3</t>
  </si>
  <si>
    <t>na zpětný zásyp</t>
  </si>
  <si>
    <t>171201231</t>
  </si>
  <si>
    <t>Poplatek za uložení zeminy a kamení na recyklační skládce (skládkovné) kód odpadu 17 05 04</t>
  </si>
  <si>
    <t>1941068439</t>
  </si>
  <si>
    <t>Poplatek za uložení stavebního odpadu na recyklační skládce (skládkovné) zeminy a kamení zatříděného do Katalogu odpadů pod kódem 17 05 04</t>
  </si>
  <si>
    <t>1,62*2 'Přepočtené koeficientem množství</t>
  </si>
  <si>
    <t>171251201</t>
  </si>
  <si>
    <t>Uložení sypaniny na skládky nebo meziskládky</t>
  </si>
  <si>
    <t>1815966403</t>
  </si>
  <si>
    <t>Uložení sypaniny na skládky nebo meziskládky bez hutnění s upravením uložené sypaniny do předepsaného tvaru</t>
  </si>
  <si>
    <t>174151101</t>
  </si>
  <si>
    <t>Zásyp jam, šachet rýh nebo kolem objektů sypaninou se zhutněním</t>
  </si>
  <si>
    <t>1392099339</t>
  </si>
  <si>
    <t>Zásyp sypaninou z jakékoliv horniny strojně s uložením výkopku ve vrstvách se zhutněním jam, šachet, rýh nebo kolem objektů v těchto vykopávkách</t>
  </si>
  <si>
    <t>f0-f1-f2</t>
  </si>
  <si>
    <t>175151101</t>
  </si>
  <si>
    <t>Obsypání potrubí strojně sypaninou bez prohození, uloženou do 3 m</t>
  </si>
  <si>
    <t>475170996</t>
  </si>
  <si>
    <t>Obsypání potrubí strojně sypaninou z vhodných třídy těžitelnosti I a II, skupiny 1 až 4 nebo materiálem připraveným podél výkopu ve vzdálenosti do 3 m od jeho kraje, pro jakoukoliv hloubku výkopu a míru zhutnění bez prohození sypaniny</t>
  </si>
  <si>
    <t>6*0,6*0,35</t>
  </si>
  <si>
    <t>M</t>
  </si>
  <si>
    <t>58337302</t>
  </si>
  <si>
    <t>štěrkopísek frakce 0/16</t>
  </si>
  <si>
    <t>910132208</t>
  </si>
  <si>
    <t>1,26*2 'Přepočtené koeficientem množství</t>
  </si>
  <si>
    <t>451573111</t>
  </si>
  <si>
    <t>Lože pod potrubí otevřený výkop ze štěrkopísku</t>
  </si>
  <si>
    <t>-1494901307</t>
  </si>
  <si>
    <t>Lože pod potrubí, stoky a drobné objekty v otevřeném výkopu z písku a štěrkopísku do 63 mm</t>
  </si>
  <si>
    <t>6*0,6*0,1</t>
  </si>
  <si>
    <t>723234351</t>
  </si>
  <si>
    <t>Skříňka pro regulátor plynu</t>
  </si>
  <si>
    <t>1437057362</t>
  </si>
  <si>
    <t>Armatury se dvěma závity středotlaké regulátory tlaku plynu zařízení pro regulátory plynu skříňka</t>
  </si>
  <si>
    <t>723234352</t>
  </si>
  <si>
    <t>Sokl pod skříňku regulátoru plynu</t>
  </si>
  <si>
    <t>-1382146739</t>
  </si>
  <si>
    <t>Armatury se dvěma závity středotlaké regulátory tlaku plynu zařízení pro regulátory plynu sokl pod skříňku</t>
  </si>
  <si>
    <t>723231164</t>
  </si>
  <si>
    <t>Kohout kulový přímý G 1 PN 42 do 185°C plnoprůtokový vnitřní závit těžká řada</t>
  </si>
  <si>
    <t>1380276111</t>
  </si>
  <si>
    <t>Armatury se dvěma závity kohouty kulové PN 42 do 185°C plnoprůtokové vnitřní závit těžká řada G 1</t>
  </si>
  <si>
    <t>723231167</t>
  </si>
  <si>
    <t>Kohout kulový přímý G 2 PN 42 do 185°C plnoprůtokový vnitřní závit těžká řada</t>
  </si>
  <si>
    <t>88362933</t>
  </si>
  <si>
    <t>Armatury se dvěma závity kohouty kulové PN 42 do 185°C plnoprůtokové vnitřní závit těžká řada G 2</t>
  </si>
  <si>
    <t>723234313</t>
  </si>
  <si>
    <t>Regulátor tlaku plynu středotlaký jednostupňový výkon do 50 m3/hod pro zemní plyn</t>
  </si>
  <si>
    <t>1126713869</t>
  </si>
  <si>
    <t>Armatury se dvěma závity středotlaké regulátory tlaku plynu jednostupňové pro zemní plyn, výkon do 50 m3/hod</t>
  </si>
  <si>
    <t>723160204</t>
  </si>
  <si>
    <t>Přípojka k plynoměru spojované na závit bez ochozu G 1</t>
  </si>
  <si>
    <t>1987734042</t>
  </si>
  <si>
    <t>Přípojky k plynoměrům  spojované na závit bez ochozu G 1</t>
  </si>
  <si>
    <t>723160334</t>
  </si>
  <si>
    <t>Rozpěrka přípojek plynoměru G 1</t>
  </si>
  <si>
    <t>-1995552964</t>
  </si>
  <si>
    <t>Přípojky k plynoměrům  rozpěrky přípojek G 1</t>
  </si>
  <si>
    <t>871161211</t>
  </si>
  <si>
    <t>Montáž potrubí z PE100 SDR 11 otevřený výkop svařovaných elektrotvarovkou D 32 x 3,0 mm</t>
  </si>
  <si>
    <t>-206296637</t>
  </si>
  <si>
    <t>Montáž potrubí z plastů v otevřeném výkopu z polyetylenu PE 100 svařovaných elektrotvarovkou SDR 11/PN16 D 32 x 3,0 mm</t>
  </si>
  <si>
    <t>28613911</t>
  </si>
  <si>
    <t>potrubí plynovodní PE 100RC SDR 11 PN 0,4MPa D 32x3,0mm</t>
  </si>
  <si>
    <t>301116392</t>
  </si>
  <si>
    <t>877161112</t>
  </si>
  <si>
    <t>Montáž elektrokolen 90° na potrubí z PE trub d 32</t>
  </si>
  <si>
    <t>-1332123863</t>
  </si>
  <si>
    <t>Montáž tvarovek na plastovém potrubí z polyetylenu PE 100 elektrotvarovek SDR 11/PN16 kolen 90° d 32</t>
  </si>
  <si>
    <t>28653052</t>
  </si>
  <si>
    <t>elektrokoleno 90° PE 100 D 32mm</t>
  </si>
  <si>
    <t>-1514895547</t>
  </si>
  <si>
    <t>877181113</t>
  </si>
  <si>
    <t>Montáž elektro T-kusů na potrubí z PE trub d 50</t>
  </si>
  <si>
    <t>-1709072008</t>
  </si>
  <si>
    <t>Montáž tvarovek na plastovém potrubí z polyetylenu PE 100 elektrotvarovek SDR 11/PN16 T-kusů d 50</t>
  </si>
  <si>
    <t>286149R1</t>
  </si>
  <si>
    <t>elektrotvarovka T-kus redukovaný PE 100 PN16 D 50-32mm</t>
  </si>
  <si>
    <t>-342930082</t>
  </si>
  <si>
    <t>899721111</t>
  </si>
  <si>
    <t>Signalizační vodič DN do 150 mm na potrubí</t>
  </si>
  <si>
    <t>-1537206842</t>
  </si>
  <si>
    <t>Signalizační vodič na potrubí DN do 150 mm</t>
  </si>
  <si>
    <t>899722113</t>
  </si>
  <si>
    <t>Krytí potrubí z plastů výstražnou fólií z PVC 34cm</t>
  </si>
  <si>
    <t>-1148242952</t>
  </si>
  <si>
    <t>Krytí potrubí z plastů výstražnou fólií z PVC šířky 34 cm</t>
  </si>
  <si>
    <t>998</t>
  </si>
  <si>
    <t>Přesun hmot</t>
  </si>
  <si>
    <t>998276101</t>
  </si>
  <si>
    <t>Přesun hmot pro trubní vedení z trub z plastických hmot otevřený výkop</t>
  </si>
  <si>
    <t>-941552718</t>
  </si>
  <si>
    <t>Přesun hmot pro trubní vedení hloubené z trub z plastických hmot nebo sklolaminátových pro vodovody nebo kanalizace v otevřeném výkopu dopravní vzdálenost do 15 m</t>
  </si>
  <si>
    <t>998276124</t>
  </si>
  <si>
    <t>Příplatek k přesunu hmot pro trubní vedení z trub z plastických hmot za zvětšený přesun do 500 m</t>
  </si>
  <si>
    <t>-413955520</t>
  </si>
  <si>
    <t>Přesun hmot pro trubní vedení hloubené z trub z plastických hmot nebo sklolaminátových Příplatek k cenám za zvětšený přesun přes vymezenou největší dopravní vzdálenost do 500 m</t>
  </si>
  <si>
    <t>VRN</t>
  </si>
  <si>
    <t>Vedlejší rozpočtové náklady</t>
  </si>
  <si>
    <t>VRN1</t>
  </si>
  <si>
    <t>Průzkumné, geodetické a projektové práce</t>
  </si>
  <si>
    <t>012103000</t>
  </si>
  <si>
    <t>Geodetické práce před výstavbou</t>
  </si>
  <si>
    <t>1024</t>
  </si>
  <si>
    <t>-1926256660</t>
  </si>
  <si>
    <t>013254000</t>
  </si>
  <si>
    <t>Dokumentace skutečného provedení stavby</t>
  </si>
  <si>
    <t>-1710091280</t>
  </si>
  <si>
    <t>VRN4</t>
  </si>
  <si>
    <t>043114R04</t>
  </si>
  <si>
    <t>Zkoušky tlakové, revize plynovodu</t>
  </si>
  <si>
    <t>-1244273373</t>
  </si>
  <si>
    <t>{e0461cc5-9169-4f66-bbbf-7f001a5edf4e}</t>
  </si>
  <si>
    <t>10,8</t>
  </si>
  <si>
    <t>7,56</t>
  </si>
  <si>
    <t>3,24</t>
  </si>
  <si>
    <t>0,72</t>
  </si>
  <si>
    <t>2,52</t>
  </si>
  <si>
    <t>D.2.4 - Přípojka vodovodu</t>
  </si>
  <si>
    <t>-1315927395</t>
  </si>
  <si>
    <t>12*0,6*1,5</t>
  </si>
  <si>
    <t>-937735846</t>
  </si>
  <si>
    <t>-194245183</t>
  </si>
  <si>
    <t>-429607183</t>
  </si>
  <si>
    <t>-1926502367</t>
  </si>
  <si>
    <t>3,24*2 'Přepočtené koeficientem množství</t>
  </si>
  <si>
    <t>1667312496</t>
  </si>
  <si>
    <t>1951436142</t>
  </si>
  <si>
    <t>857419214</t>
  </si>
  <si>
    <t>12*0,6*0,35</t>
  </si>
  <si>
    <t>925437422</t>
  </si>
  <si>
    <t>2,52*2 'Přepočtené koeficientem množství</t>
  </si>
  <si>
    <t>1610764089</t>
  </si>
  <si>
    <t>12*0,6*0,1</t>
  </si>
  <si>
    <t>722270104</t>
  </si>
  <si>
    <t>Sestava vodoměrová závitová G 6/4</t>
  </si>
  <si>
    <t>-1076887975</t>
  </si>
  <si>
    <t>Vodoměrové sestavy  závitové G 6/4</t>
  </si>
  <si>
    <t>871181211</t>
  </si>
  <si>
    <t>Montáž potrubí z PE100 SDR 11 otevřený výkop svařovaných elektrotvarovkou D 50 x 4,6 mm</t>
  </si>
  <si>
    <t>2060592127</t>
  </si>
  <si>
    <t>Montáž vodovodního potrubí z plastů v otevřeném výkopu z polyetylenu PE 100 svařovaných elektrotvarovkou SDR 11/PN16 D 50 x 4,6 mm</t>
  </si>
  <si>
    <t>28613112</t>
  </si>
  <si>
    <t>potrubí vodovodní PE100 PN 16 SDR11 6m 100m 50x4,6mm</t>
  </si>
  <si>
    <t>2088557877</t>
  </si>
  <si>
    <t>891181112</t>
  </si>
  <si>
    <t>Montáž vodovodních šoupátek otevřený výkop do DN 40</t>
  </si>
  <si>
    <t>-3004447</t>
  </si>
  <si>
    <t>Montáž vodovodních armatur na potrubí šoupátek nebo klapek uzavíracích v otevřeném výkopu nebo v šachtách s osazením zemní soupravy (bez poklopů) do DN 40</t>
  </si>
  <si>
    <t>42221146</t>
  </si>
  <si>
    <t>šoupátko s PE vevařovacími konci voda PN10 DN 40/50 PE 100</t>
  </si>
  <si>
    <t>-1027128149</t>
  </si>
  <si>
    <t>42291057</t>
  </si>
  <si>
    <t>souprava zemní pro navrtávací pas s kohoutem Rd 1,5m</t>
  </si>
  <si>
    <t>997843211</t>
  </si>
  <si>
    <t>891249111</t>
  </si>
  <si>
    <t>Montáž navrtávacích pasů na potrubí z jakýchkoli trub DN 80</t>
  </si>
  <si>
    <t>1035394373</t>
  </si>
  <si>
    <t>Montáž vodovodních armatur na potrubí navrtávacích pasů s ventilem Jt 1 MPa, na potrubí z trub litinových, ocelových nebo plastických hmot DN 80</t>
  </si>
  <si>
    <t>42273548</t>
  </si>
  <si>
    <t>pás navrtávací se závitovým výstupem z tvárné litiny pro vodovodní PE a PVC potrubí 90-6/4”</t>
  </si>
  <si>
    <t>-158564981</t>
  </si>
  <si>
    <t>899401112</t>
  </si>
  <si>
    <t>Osazení poklopů litinových šoupátkových</t>
  </si>
  <si>
    <t>923191181</t>
  </si>
  <si>
    <t>42291352</t>
  </si>
  <si>
    <t>poklop litinový šoupátkový pro zemní soupravy osazení do terénu a do vozovky</t>
  </si>
  <si>
    <t>-869069801</t>
  </si>
  <si>
    <t>-1928000109</t>
  </si>
  <si>
    <t>898262510</t>
  </si>
  <si>
    <t>-17293169</t>
  </si>
  <si>
    <t>307323851</t>
  </si>
  <si>
    <t>291311834</t>
  </si>
  <si>
    <t>1486268899</t>
  </si>
  <si>
    <t>043114R01</t>
  </si>
  <si>
    <t>Zkoušky tlakové, proplach a desinfekce vodovodního potrubí</t>
  </si>
  <si>
    <t>-1558403592</t>
  </si>
  <si>
    <t>{77627bce-66fc-4a30-8491-41ae892d5715}</t>
  </si>
  <si>
    <t>f20</t>
  </si>
  <si>
    <t>18,75</t>
  </si>
  <si>
    <t>14,104</t>
  </si>
  <si>
    <t>32,854</t>
  </si>
  <si>
    <t>0,338</t>
  </si>
  <si>
    <t>D.2.3 - Odlučovač tuků</t>
  </si>
  <si>
    <t xml:space="preserve">    3 - Svislé a kompletní konstrukce</t>
  </si>
  <si>
    <t>131251102</t>
  </si>
  <si>
    <t>Hloubení jam nezapažených v hornině třídy těžitelnosti I, skupiny 3 objem do 50 m3 strojně</t>
  </si>
  <si>
    <t>736927691</t>
  </si>
  <si>
    <t>Hloubení nezapažených jam a zářezů strojně s urovnáním dna do předepsaného profilu a spádu v hornině třídy těžitelnosti I skupiny 3 přes 20 do 50 m3</t>
  </si>
  <si>
    <t>2,5*2,5*3</t>
  </si>
  <si>
    <t>1261386787</t>
  </si>
  <si>
    <t>570019506</t>
  </si>
  <si>
    <t>f20+f3</t>
  </si>
  <si>
    <t>820569250</t>
  </si>
  <si>
    <t>895390483</t>
  </si>
  <si>
    <t>32,854*2 'Přepočtené koeficientem množství</t>
  </si>
  <si>
    <t>1639435421</t>
  </si>
  <si>
    <t>791155547</t>
  </si>
  <si>
    <t>f20-f1-3,14*0,7*0,7*2,8</t>
  </si>
  <si>
    <t>386411R01</t>
  </si>
  <si>
    <t>Odlučovač tuku a olejů (NS 10) 10 l/s</t>
  </si>
  <si>
    <t>-1888619829</t>
  </si>
  <si>
    <t>-821252502</t>
  </si>
  <si>
    <t>1,5*1,5*0,15</t>
  </si>
  <si>
    <t>565175156</t>
  </si>
  <si>
    <t>{b9ac901d-06c5-4d3e-9273-62cc4da39635}</t>
  </si>
  <si>
    <t>4,56</t>
  </si>
  <si>
    <t>1,32</t>
  </si>
  <si>
    <t>0,24</t>
  </si>
  <si>
    <t>1,08</t>
  </si>
  <si>
    <t>D.2.2 - Přípojka kanalizace</t>
  </si>
  <si>
    <t>2107411948</t>
  </si>
  <si>
    <t>3*0,8*1,9</t>
  </si>
  <si>
    <t>1881654184</t>
  </si>
  <si>
    <t>630504006</t>
  </si>
  <si>
    <t>715633792</t>
  </si>
  <si>
    <t>1959449663</t>
  </si>
  <si>
    <t>1,32*2 'Přepočtené koeficientem množství</t>
  </si>
  <si>
    <t>2114216522</t>
  </si>
  <si>
    <t>-1617909636</t>
  </si>
  <si>
    <t>-99111189</t>
  </si>
  <si>
    <t>3*0,8*0,45</t>
  </si>
  <si>
    <t>-855535889</t>
  </si>
  <si>
    <t>1,08*2 'Přepočtené koeficientem množství</t>
  </si>
  <si>
    <t>-96917672</t>
  </si>
  <si>
    <t>3*0,8*0,1</t>
  </si>
  <si>
    <t>721173403</t>
  </si>
  <si>
    <t>Potrubí kanalizační z PVC SN 4 svodné DN 160</t>
  </si>
  <si>
    <t>1042003222</t>
  </si>
  <si>
    <t>Potrubí z trub PVC SN4 svodné (ležaté) DN 160</t>
  </si>
  <si>
    <t>877355122</t>
  </si>
  <si>
    <t>Montáž nalepovací odbočné tvarovky na potrubí z kanalizačních trub z PVC DN 200</t>
  </si>
  <si>
    <t>101009141</t>
  </si>
  <si>
    <t>Montáž nalepovací odbočné tvarovky na potrubí z kanalizačních trub z PVC  DN 200</t>
  </si>
  <si>
    <t>28617R01</t>
  </si>
  <si>
    <t>vložka sedlová kanalizace DN 160</t>
  </si>
  <si>
    <t>-491395430</t>
  </si>
  <si>
    <t>894812201</t>
  </si>
  <si>
    <t>Revizní a čistící šachta z PP šachtové dno DN 425/150 průtočné</t>
  </si>
  <si>
    <t>-1227052888</t>
  </si>
  <si>
    <t>Revizní a čistící šachta z polypropylenu PP pro hladké trouby DN 425 šachtové dno (DN šachty / DN trubního vedení) DN 425/150 průtočné</t>
  </si>
  <si>
    <t>894812232</t>
  </si>
  <si>
    <t>Revizní a čistící šachta z PP DN 425 šachtová roura korugovaná bez hrdla světlé hloubky 2000 mm</t>
  </si>
  <si>
    <t>506894200</t>
  </si>
  <si>
    <t>Revizní a čistící šachta z polypropylenu PP pro hladké trouby DN 425 roura šachtová korugovaná bez hrdla, světlé hloubky 2000 mm</t>
  </si>
  <si>
    <t>894812249</t>
  </si>
  <si>
    <t>Příplatek k rourám revizní a čistící šachty z PP DN 425 za uříznutí šachtové roury</t>
  </si>
  <si>
    <t>-1971724615</t>
  </si>
  <si>
    <t>Revizní a čistící šachta z polypropylenu PP pro hladké trouby DN 425 roura šachtová korugovaná Příplatek k cenám 2231 - 2242 za uříznutí šachtové roury</t>
  </si>
  <si>
    <t>894812261</t>
  </si>
  <si>
    <t>Revizní a čistící šachta z PP DN 425 poklop litinový s teleskopickou rourou pro zatížení 3 t</t>
  </si>
  <si>
    <t>1709446855</t>
  </si>
  <si>
    <t>Revizní a čistící šachta z polypropylenu PP pro hladké trouby DN 425 poklop litinový (pro třídu zatížení) s teleskopickou rourou (3 t)</t>
  </si>
  <si>
    <t>-1136759630</t>
  </si>
  <si>
    <t>583999750</t>
  </si>
  <si>
    <t>705258639</t>
  </si>
  <si>
    <t>-1464896380</t>
  </si>
  <si>
    <t>043114R02</t>
  </si>
  <si>
    <t>Zkoušky těsnosti kanalizačního potrubí</t>
  </si>
  <si>
    <t>915385041</t>
  </si>
  <si>
    <t>Č. poz.</t>
  </si>
  <si>
    <t>Ks / Kpl</t>
  </si>
  <si>
    <t>Rozměry (Š × H × V) [mm]</t>
  </si>
  <si>
    <t>230 V [kW]</t>
  </si>
  <si>
    <t>400 V [kW]</t>
  </si>
  <si>
    <t>Příkon celkový [kW]</t>
  </si>
  <si>
    <t>Plyn [kW]</t>
  </si>
  <si>
    <t>Plyn celk. [kW]</t>
  </si>
  <si>
    <t>Plyn dim.</t>
  </si>
  <si>
    <t>Voda st.</t>
  </si>
  <si>
    <t>Voda tep.</t>
  </si>
  <si>
    <t>Voda st. změkčená</t>
  </si>
  <si>
    <t>Odpad</t>
  </si>
  <si>
    <t>Poznámka</t>
  </si>
  <si>
    <t>Rozpočtovaná cena za ks/kpl v Kč bez DPH vč. dopravy a montáže</t>
  </si>
  <si>
    <t>Rozpočtovaná celková cena v Kč bez DPH vč. dopravy a montáže</t>
  </si>
  <si>
    <t>2. PP</t>
  </si>
  <si>
    <t>S2.02 – Chodba, příjem zboží</t>
  </si>
  <si>
    <t>Dvoukolový ruční vozík (rudl)</t>
  </si>
  <si>
    <t>400 × 250 × 1100</t>
  </si>
  <si>
    <t>Ruční paletový vozík</t>
  </si>
  <si>
    <t>540 × 1150 × 1237</t>
  </si>
  <si>
    <t xml:space="preserve">Příjmová váha můstková, váživost 150 kg, vážní indikátor na stativu, ES ověření váhy, na podlahu </t>
  </si>
  <si>
    <t>600 × 600 × 180</t>
  </si>
  <si>
    <t>S2.03 – Výdej jídel – jednotlivci</t>
  </si>
  <si>
    <t>Chladicí skříň 0 °C / +12 °C – 635 l, 4 police 535 × 670 mm (2× GN 1/1), pracovní teplota okolí do +40°C, klimatická třída 5, energetická třída: C</t>
  </si>
  <si>
    <t>695 × 810 × 2020</t>
  </si>
  <si>
    <t>Pracovní mycí otevřený stůl s dřezem vpravo s policí se zadním límcem, nerez vč. stojánkové pákové dřezové baterie</t>
  </si>
  <si>
    <t>1800 × 700 × 900</t>
  </si>
  <si>
    <t>DN15</t>
  </si>
  <si>
    <t>DN50</t>
  </si>
  <si>
    <t>Umyvadlo nerez se stojánkovou směšovací baterií a sifonem</t>
  </si>
  <si>
    <t>470 × 370 × 225</t>
  </si>
  <si>
    <t>Skladový regál čtyřpolicový, nerez</t>
  </si>
  <si>
    <t>1000 × 300 × 1800</t>
  </si>
  <si>
    <t>Neobsazeno</t>
  </si>
  <si>
    <t>Sklopná pracovní stolová deska nerez vč. ukotvení, sklopná část š. 800 mm</t>
  </si>
  <si>
    <t>850 × 800 × 40</t>
  </si>
  <si>
    <t>Ohřívací stůl s vyhřívanou vodní lázní pro 3 GN 1/1 a s otevřeným spodním prostorem, nerezové provedení, s čelním soklem</t>
  </si>
  <si>
    <t>1200 × 700 × 900</t>
  </si>
  <si>
    <t>Výdejní hygienická nástavba jednoduchá, celonerezová konstrukce s tvarovaným sklem sahajícím až ke stolu</t>
  </si>
  <si>
    <t>1200 × 400 × 400</t>
  </si>
  <si>
    <t>Výdejní stůl skříňkový otevřený, spodní police, nerez, s čelním soklem</t>
  </si>
  <si>
    <t>1150 × 700 × 900</t>
  </si>
  <si>
    <t>Před výrobou ověřit rozměr šířky dle skutečného provedení stavebních konstrukcí.</t>
  </si>
  <si>
    <t>Pojezdová dráha plná – odkládací plocha, se 45° zkosením vpravo</t>
  </si>
  <si>
    <t>2350 × 300 × 40</t>
  </si>
  <si>
    <t>Před výrobou ověřit rozměr šířky dle součtu skutečných rozměrů šířek položek č. 9 a 12.</t>
  </si>
  <si>
    <t>S2.04 – Chlazený odpad a mytí nádob</t>
  </si>
  <si>
    <t>Chladicí místnost bez podlahy, posuvné dveře na pravou stranu, bez regálů, 0 °C / +8 °C, vč. oddělené kondenzační chladicí jednotky – umístěna na střeše objektu; chladící technologie SIL - tiché provedení : hlučnost 29 dB(A) / v 10 m</t>
  </si>
  <si>
    <t>2000 × 1850 × 2275</t>
  </si>
  <si>
    <t>700 × 700 × 200</t>
  </si>
  <si>
    <t>DN100</t>
  </si>
  <si>
    <t>Plastová nádoba s uchy a víkem, objem 60 l</t>
  </si>
  <si>
    <t>Ø 450 × 570</t>
  </si>
  <si>
    <t>Sanitační hadice 10 m, samonavíjecí na bubnu; vodovodní baterie dodávkou ZTI</t>
  </si>
  <si>
    <t>Vodovod. baterie dodávkou ZTI</t>
  </si>
  <si>
    <t>S2.06 – Sklad zeleniny</t>
  </si>
  <si>
    <t>Europaleta</t>
  </si>
  <si>
    <t>1200 × 800 × 144</t>
  </si>
  <si>
    <t>Není dodávkou gastrotechnologie</t>
  </si>
  <si>
    <t>1000 × 500 × 1800</t>
  </si>
  <si>
    <t>S2.07 – Hrubá přípravna zeleniny</t>
  </si>
  <si>
    <t>Pracovní stůl s policí se zadním límcem, nerez</t>
  </si>
  <si>
    <t>1700 × 700 × 900</t>
  </si>
  <si>
    <t>Police nástěnná dvoudílná, nerez</t>
  </si>
  <si>
    <t>1700 × 300 × 450</t>
  </si>
  <si>
    <t>Stůl mycí nerezový otevřený s dvoudřezem 600x500 mm se spodní policí se zadním límcem, nerez vč. stojánkové tlakové sprchové baterie s raménkem</t>
  </si>
  <si>
    <t>1400 × 700 × 900</t>
  </si>
  <si>
    <t>1200 × 400 × 200</t>
  </si>
  <si>
    <t>Vozík na mytí brambor a zeleniny vanový GN 2/1, nerez</t>
  </si>
  <si>
    <t>735 × 610 × 600</t>
  </si>
  <si>
    <t>300 × 300 × 200</t>
  </si>
  <si>
    <t xml:space="preserve">Škrabka el. – nerez, na brambory, náplň 20 kg, vč. beton. bloku s odpadem, vč. lapače slupek a škrobu (v: 380 mm, Ø 320 mm), výkonnost 300 kg/hod, hmotnost stroje 72 kg </t>
  </si>
  <si>
    <t>800 × 750 × 950</t>
  </si>
  <si>
    <t>DN20</t>
  </si>
  <si>
    <t>Betonový sokl 1200 × 700 × 100 mm je dodávkou stavby</t>
  </si>
  <si>
    <t>S2.15, S2.16 – Chlazený sklad</t>
  </si>
  <si>
    <t>Mrazicí místnost, vč. regálů hl. 400 mm; provozní teplota: −18 °C / −25 °C, vč. oddělené kondenzační chladicí jednotky – umístěna na střeše objektu; mrazírenská technologie -18°C SIL - tiché provedení : hlučnost 33 dB(A) / v 10 m</t>
  </si>
  <si>
    <t>2650 × 2400 × 2325</t>
  </si>
  <si>
    <t>Mrazicí truhla, provozní teplota -15 až -25 °C - 325 l</t>
  </si>
  <si>
    <t>1504 × 700 × 895</t>
  </si>
  <si>
    <t>S2.17, S2.18 – Chlazený a mrazený sklad masa</t>
  </si>
  <si>
    <t>Chladicí místnost bez podlahy, vč. regálů hl. 400 mm; provozní teplota: 0 °C / +8 °C, vč. oddělené kondenzační chladicí jednotky – umístěna na střeše objektu; chladící technologie SIL - tiché provedení : hlučnost 31 dB(A) / v 10 m</t>
  </si>
  <si>
    <t>1850 × 3350 × 2275</t>
  </si>
  <si>
    <t>Mrazicí místnost, vč. regálů hl. 400 mm; provozní teplota: −18 °C / −25 °C, vč. oddělené kondenzační chladicí jednotky – umístěna na střeše objektu; mrazírenská technologie -29°C SIL - tiché provedení : hlučnost 33 dB(A) / v 10 m</t>
  </si>
  <si>
    <t>1800 × 2300 × 2325</t>
  </si>
  <si>
    <t>S2.22 – Sklad čistého prádla</t>
  </si>
  <si>
    <t>Skladový regál čtyřpolicový, kovový, lakovaný</t>
  </si>
  <si>
    <t>1500 × 500 × 1800</t>
  </si>
  <si>
    <t>S2.24 – Suchý sklad</t>
  </si>
  <si>
    <t>1200 × 500 × 1800</t>
  </si>
  <si>
    <t>1100 × 500 × 1800</t>
  </si>
  <si>
    <t>S2.25 – Sklad konzerv a nápojů</t>
  </si>
  <si>
    <t>S2.26 – Sklad DKP</t>
  </si>
  <si>
    <t>1400 × 500 × 1800</t>
  </si>
  <si>
    <t>1200 × 400 × 1800</t>
  </si>
  <si>
    <t>S2.27 – Mytí termoportů</t>
  </si>
  <si>
    <t>Stůl mycí otevřený s dvoudřezem 500 × 500 a 700 × 500 mm vpravo se spodní policí se zadním límcem, nerez vč. stojánkové tlakové sprchové baterie s raménkem</t>
  </si>
  <si>
    <t>1900 × 700 × 900</t>
  </si>
  <si>
    <t>1300 × 400 × 200</t>
  </si>
  <si>
    <t>Pracovní stůl s policí se zadním límcem, nerez – výstupní</t>
  </si>
  <si>
    <t>Přepravní plošinový vozík na 2 thermoporty, celonerezové provedení</t>
  </si>
  <si>
    <t>1000 × 470 × 840</t>
  </si>
  <si>
    <t>Skladový regál roštový čtyřpolicový, nerez</t>
  </si>
  <si>
    <t>S2.29 – Sklad čisticích prostředků</t>
  </si>
  <si>
    <t>S2.30 – Sklad obalů</t>
  </si>
  <si>
    <t>1000 × 400 × 1800</t>
  </si>
  <si>
    <t>1. NP</t>
  </si>
  <si>
    <t>1.09 – Varna, mytí provozího nádobí</t>
  </si>
  <si>
    <t>El. konvektomat bojlerový 20x GN 1/1 vč. zavážecího vozíku</t>
  </si>
  <si>
    <t>948 × 834 × 1804</t>
  </si>
  <si>
    <t>Napojení změkčené vody ze změkčovače provede gastro.</t>
  </si>
  <si>
    <t>500 × 300 × 200</t>
  </si>
  <si>
    <t>Změkčovač vody elektrický vč. filtru pro zachycení mechanických nečistot, pro pozice č. 1, 4, 5, 36, 38, 40</t>
  </si>
  <si>
    <t>250 × 480 × 540</t>
  </si>
  <si>
    <t>933 × 821 × 1206</t>
  </si>
  <si>
    <t>El. konvektomat bojlerový 7× GN 1/1 (6 GN 1/1 + 1 zásuv)</t>
  </si>
  <si>
    <t>933 × 821 × 786</t>
  </si>
  <si>
    <t>Vaření: Horký vzduch 30 – 300 °C; Kombinovaný režim 30 – 300 °C; Vaření v páře 30 – 130 °C; Bio vaření 30 – 98 °C; Vaření/pečení přes noc – šetří čas i peníze; Časování zásuvů – možnost nastavit různý čas pro každý zásuv; AHC (Active Humidity Control) – automatická regulace vlhkosti pro vynikající výsledky vaření; Pokročilý systém vývinu páry – skvělé výsledky vaření v páře díky dvoustupňovému předehřevu vody v integrovaném tepelném výměníku; Zásuvy napříč – bezpečnější a pohodlnější práce s gastronádobami. Lepší vizuální kontrola vložených gastronádob se surovinami; Regenerace/banketing – podávejte více pokrmů v kratším čase; Delta T vaření – preciznost při přípravě velkých kusů potravin;</t>
  </si>
  <si>
    <t xml:space="preserve"> Nízkoteplotní vaření – nižší váhové ztráty; Cook &amp; Hold – po skončení vaření automaticky přejde do fáze udržování; Golden Touch – perfektní barva a křupavost stiskem jednoho tlačítka; Automat. předehřev/zchlazení varné komory s možností zadat požadovanou teplotu; Sous-vide, Sušení, Sterilizace, Konfitovaní, Uzení – speciální programy pro moderní gastronomii; Vision Touch Controls; Ovládání: 8“ displej – perfektní přehled, jednoduché a intuitivní ovládání; MyVision – max. přizpůsobení menu, vše potřebné na hlavní obrazovce; Dotykový panel – panel funguje perfektně za všech podmínek a má rychlou odezvu, žádné mechanické prvky, tlačítka či kolečka; Easy Cooking – konvektomat doporučí vhodnou technologii dle požadovaného výsledku; 6-bodová teplotní sonda – šest měřících bodů pro perfektní kontrolu teploty v jádře pokrmu; 1000 programů s 20 kroky; Piktogramy – možnost přiřazení vlastních piktogramů ke každému programu; Funkce Learn – uložení programu se všemi změnami, které byly provedeny v průběhu vaření; Posledních 10 – automatické zobrazení posledních 10 varných procesů; Multitasking – unikátní možnost pracovat s displejem v průběhu vaření; Automatický start – možnost naplánovat odložený start; EcoLogic – údaje o spotřebě elektrické energie pro každý varný proces přímo na displeji; Nekonečný čas vaření - uspoří čas při vaření v provozní špičce; Konektivita: USB rozhraní – snadné přehrávání dat z a do konvektomatu; Ethernet/LAN – možnost připojení do sítě, komunikace přes internetový prohlížeč; VisionCombi software – správa programů a piktogramů ve vašem PC, prohlížení dat HACCP; Provozní záznamy: HACCP záznamy – snadná a okamžitá analýza kritických bodů vaření; Kompletní záznamy provozních událostí.</t>
  </si>
  <si>
    <t>Odsávací zákryt nad konvektomaty, napojit na VZT</t>
  </si>
  <si>
    <t>3300 × 1100 × 450</t>
  </si>
  <si>
    <t>Napojit na VZT</t>
  </si>
  <si>
    <t>Šok. zmrazovač 12 GN 1/1, zavážecí; 0 °C / +55 °C; −10 °C / +55 °C</t>
  </si>
  <si>
    <t>790 × 800 × 1800</t>
  </si>
  <si>
    <t>Stůl mycí otevřený s dřezem 500x500 vpravo se spodní policí s zadním a pravým lemem, nerez vč. stojánkové pákové dřezové baterie</t>
  </si>
  <si>
    <t>1600 × 700 × 900</t>
  </si>
  <si>
    <t>Chladicí místnost bez podlahy, vč. regálů hl. 400 mm; provozní teplota: 0 °C / +8 °C, vč. oddělené kondenzační chladicí jednotky – umístěna na střeše objektu; chladící technologie SIL - tiché provedení : hlučnost 29 dB(A) / v 10 m</t>
  </si>
  <si>
    <t>2000 × 1900 × 2275</t>
  </si>
  <si>
    <t>Pracovní stůl otevřený se spodní policí bez lemu, nerez</t>
  </si>
  <si>
    <t>1950 × 700 × 750 (900)</t>
  </si>
  <si>
    <t>900 × 920 × 750 (900)</t>
  </si>
  <si>
    <t>Pracovní neutrální nerez plocha ve var. bloku vč. podestavby neutrální plochy se zásuvy pro GN s bezesparým zámkovým spojením s technologií ve varném bloku. Úložný bezesparý prostor pro GN s radiusy rohů H3.</t>
  </si>
  <si>
    <t>600 × 920 × 750 (900)</t>
  </si>
  <si>
    <t>1500 × 920 × 750 (900)</t>
  </si>
  <si>
    <t>Napojení změkčené vody ze změkčovače provede stavba/ZTI.</t>
  </si>
  <si>
    <t>1300 × 600 × 200</t>
  </si>
  <si>
    <t>Varný kotel elektrický sklopný s kruhovou vložkou, s elektronickou regulací, elektronické dotykové ovládání – LCD panel, nepřímý ohřev s automatickým sklápěním a automatickým dopouštěním vody do duplikátoru, užitný objem 96 l</t>
  </si>
  <si>
    <t>1200 × 920 × 750 (900)</t>
  </si>
  <si>
    <r>
      <rPr>
        <u/>
        <sz val="10"/>
        <color indexed="8"/>
        <rFont val="Arial Unicode MS"/>
        <family val="2"/>
        <charset val="238"/>
      </rPr>
      <t>Na nerezovém soklu s hygienickým vodotěsným bezespárovým zámkovým systémem propojitelným s ostatními sousedními spotřebiči varného bloku</t>
    </r>
    <r>
      <rPr>
        <sz val="10"/>
        <rFont val="Arial"/>
      </rPr>
      <t>; Stupeň zabezpečení: IPX5; Nominální objem: 100 litrů;</t>
    </r>
  </si>
  <si>
    <r>
      <t xml:space="preserve">Boční obklady z nerezové oceli (AISI 304); Povrch „Scotch-Brite“; Sloučenina dna kotle z chromniklové oceli obohacená molybdenem svařovaná bez viditelných spojů se všemi stěnami z nerezové oceli (AISI 304) s nepřilnavým vyhlazeným povrchem; Uzavřený systém vytápění s tepelnou izolací parním pláštěm (pracovní tlak max. 0,5 bar (50 kPa)); Dvojitá stěna víka, vysokozdvižné s pomocnou pružinou, vyrobené z nerezové oceli (AISI 304) a svařované bez viditelného spoje; Víko lze otevřít do 75°; Všechny vnější šrouby z nerezové oceli (AISI 304); </t>
    </r>
    <r>
      <rPr>
        <u/>
        <sz val="10"/>
        <color indexed="8"/>
        <rFont val="Arial Unicode MS"/>
        <family val="2"/>
        <charset val="238"/>
      </rPr>
      <t>Hygienicky vodotěsný a nečistotám odolný bezespárový zámkový systém propojitelný s ostatními sousedními spotřebiči ve varném bloku</t>
    </r>
    <r>
      <rPr>
        <sz val="10"/>
        <rFont val="Arial"/>
      </rPr>
      <t xml:space="preserve">; Vyklápěcí hřídel kotle umístěna na přední straně pro lepší naklonění a použití vyšších kontejnerů; Sklápění ovládané elektromotorem; Funkce: Mikroprocesor s podporou automatického vaření s automatickým nastavením tepelného výkonu pro ohřev a fázi mírného varu; Termostatický režim s volitelným teplotním rozsahem od 30 °C do 100 °C; Automatická výhřevná energie na fázi mírného varu; Kontrolka intenzity vaření z čistého varu (bez víření, vaření materiálu) k silnému vaření (velmi silné víření-bublání/varu potravin); Kontrola funkcí přes digitální displej; Nastavení požadované teploty a zobrazení skutečné teploty, nastavení času vaření a zobrazení od 0 minut do 99 hodin nebo do režimu nepřetržitého vaření; Automatický proces vaření Start / Stop s optickou a akustickou indikací. Digitální zobrazení chybových kódů pro snadnou údržbu; Řízení úrovně vody pro parní generátory; Motorizované elektrické vyklápění; Longlife“ topné prvky INCOLOY 800; </t>
    </r>
  </si>
  <si>
    <t>Bezpečnostní zařízení-vakuový jistič a automat. odvzdušňovač; Automatické omezení vnitřního tlaku parního obalu pomocí presostatu; 1½“ vypouštěcí kohout s tepelně izolovanou rukojetí; Možnost el. připojení k optimalizaci spotřeby energie; Regulace vodní náplně pánve pomocí odnímatelného kohoutu; Odpadní filtr; Kontrolní dotykový panel umístěný čelně, ergonomický, snadno přístupné ovládací a regulační prvky na bočních sloupcích; Manometr pro indikaci skutečného tlaku v plášti; Membrána klávesnice panelu s digitálním displejem; Indikace při plnění bubnu; Hlavní vypínač pro spotřebič ON / OFF; Nouzové tlačítko pro rychlé přepnutí spotřebiče do stavu OFF – vypnuto; Nosná konstrukce: Rám z profilů z nerezavějící oceli AISI 430; Rozhraní - možnost připojení k externímu PC software s HACCP.</t>
  </si>
  <si>
    <t>1200 × 600 × 200</t>
  </si>
  <si>
    <t>900 × 600 × 200</t>
  </si>
  <si>
    <t>Zakrývací lišta s bezesparým zámkovým spojením mezi zády a boky varných aparátů, nerez</t>
  </si>
  <si>
    <t>3000 × 100</t>
  </si>
  <si>
    <t>Odsávací zákryt nad varnými aparáty s osvětlením, napojit na VZT</t>
  </si>
  <si>
    <t>3200 × 2400 × 500</t>
  </si>
  <si>
    <t>Pracovní stůl s policí bez zadního límce, nerez</t>
  </si>
  <si>
    <t>3100 × 2400 × 500</t>
  </si>
  <si>
    <t>1650 × 920 × 750 (900)</t>
  </si>
  <si>
    <r>
      <rPr>
        <u/>
        <sz val="10"/>
        <color indexed="8"/>
        <rFont val="Arial Unicode MS"/>
        <family val="2"/>
        <charset val="238"/>
      </rPr>
      <t>Na nerezovém soklu s hygienickým vodotěsným bezespárovým zámkovým systémem propojitelným s ostatními sousedními spotřebiči varného bloku</t>
    </r>
    <r>
      <rPr>
        <sz val="10"/>
        <rFont val="Arial"/>
      </rPr>
      <t xml:space="preserve">; </t>
    </r>
  </si>
  <si>
    <t>Pracovní neutrální nerez plocha ve varném bloku s bezesparým zámkovým spojením s technologií ve varném bloku</t>
  </si>
  <si>
    <t>350 × 920 × 750 (900)</t>
  </si>
  <si>
    <t>Zakrývací lišta s bezesparým zámkovým spojením mezi zády a boky varných aparátů</t>
  </si>
  <si>
    <t>2900 × 100</t>
  </si>
  <si>
    <t>1250 × 900 × 750 (900)</t>
  </si>
  <si>
    <t>Sanitační hadice 15 m, samonavíjecí</t>
  </si>
  <si>
    <t>Porcování</t>
  </si>
  <si>
    <t>1300 × 700 × 900</t>
  </si>
  <si>
    <t>1300 × 300 × 450</t>
  </si>
  <si>
    <t>Čistá přípravna těsta</t>
  </si>
  <si>
    <t>El. spirálový hnětač těsta 120 l, se 2 motory, dvourychlostní, elektronický ovládací panel</t>
  </si>
  <si>
    <t>710 × 1140 × 1200</t>
  </si>
  <si>
    <t>Stůl mycí otevřený s dřezem 500x500 vlevo s policí se zadním límcem, nerez vč. stojánkové pákové dřezové baterie</t>
  </si>
  <si>
    <t>1500 × 700 × 900</t>
  </si>
  <si>
    <t>Pracovní nerez stůl s granitovou deskou se spodní policí a zadním lemem na přípravu těsta</t>
  </si>
  <si>
    <t>Čistá přípravna masa a vajec</t>
  </si>
  <si>
    <t>El. mlýnek na maso, šnekový převod</t>
  </si>
  <si>
    <t>350 × 500 × 500</t>
  </si>
  <si>
    <t>Kutr na maso stolní, horizontální, objem 12 l, otáčky nožů 1400 ot. / min., bez regulace otáček</t>
  </si>
  <si>
    <t>902 × 587 × 508</t>
  </si>
  <si>
    <t>Stůl mycí otevřený s dřezem 500x500 vpravo s policí se zadním límcem, nerez vč. stojánkové pákové dřezové baterie</t>
  </si>
  <si>
    <t>Univerzální kuchyňský stroj, objem 60 l</t>
  </si>
  <si>
    <t>638 × 778 × 1316</t>
  </si>
  <si>
    <t>Nástěnná skříňka uzavírací s nerezovými dvířky</t>
  </si>
  <si>
    <t>1300 × 350 × 600</t>
  </si>
  <si>
    <t>Studená kuchyň + čistá přípravna zeleniny</t>
  </si>
  <si>
    <t>Chladicí nerez stůl dvousekcový, 1x prostor pro GN s dvířky, 2x zásuvka 1/2, agregát vpravo, zadní lem</t>
  </si>
  <si>
    <t>1330 × 700 × 900</t>
  </si>
  <si>
    <t>Váha voděodolná stolní, max. váživost 15 kg, rozměr vážní plochy 230 × 190 mm, provedení: nerez</t>
  </si>
  <si>
    <t>230 × 300 × 130</t>
  </si>
  <si>
    <t>1400 × 300 × 450</t>
  </si>
  <si>
    <t>Nářezový stroj, prům. nože 300 mm, šnekový převod</t>
  </si>
  <si>
    <t>420 × 575 × 395</t>
  </si>
  <si>
    <t>Mytí provozního nádobí</t>
  </si>
  <si>
    <t>Umyvadlo v kombinaci s výlevkou</t>
  </si>
  <si>
    <t>500 × 700 × 900</t>
  </si>
  <si>
    <t>Změkčovač vody elektrický, vč. filtru pro zachycení mechanických nečistot, pro pozici č. 15</t>
  </si>
  <si>
    <t>Stůl mycí otevřený s dřezem 1000 × 600 mm vpravo s policí se zadním límcem, nerez vč. stojánkové tlakové sprchové baterie s raménkem</t>
  </si>
  <si>
    <t>1600 × 800 × 900</t>
  </si>
  <si>
    <t>14A</t>
  </si>
  <si>
    <t>Regál nerezový pro uložení provozního nádobí</t>
  </si>
  <si>
    <t>14B</t>
  </si>
  <si>
    <t>2000 × 500 × 1800</t>
  </si>
  <si>
    <t>14C</t>
  </si>
  <si>
    <t>Mycí stroj provozního nádobí, granulový s rekuperací</t>
  </si>
  <si>
    <t>1095 × 910 × 2100</t>
  </si>
  <si>
    <t>DN70</t>
  </si>
  <si>
    <t>15A</t>
  </si>
  <si>
    <t>Odsávací zákryt nad mycí stroj, napojit na VZT</t>
  </si>
  <si>
    <t>1300 × 1000 × 400</t>
  </si>
  <si>
    <t>Kout pro krátkodobý odpočinek</t>
  </si>
  <si>
    <t>Skladový regál čtyřpolicový pro dočasné skladování suchých potravin, nerez</t>
  </si>
  <si>
    <t>1100 × 400 × 1800</t>
  </si>
  <si>
    <t>1.08 – Mytí stolního nádobí</t>
  </si>
  <si>
    <t>Odkládací stůl na použité podnosy s nádobím s přesahem části desky stolu do okénka pro odevzdávání použitého nádobí, nerez</t>
  </si>
  <si>
    <t>Atyp. tvar. Nutno vyrobit na míru. Výška 900 mm, hloubka hlavní části stolu 800 mm.</t>
  </si>
  <si>
    <t>Vstupní nerez stůl se dřezem 450 × 450 mm vpravo se zadním lemem vč. stojánkové tlakové sprchové baterie s raménkem</t>
  </si>
  <si>
    <t xml:space="preserve">Mycí stroj košový, s rekuperací tepla, průchozí, vč. odpadního čerpadla a dávkovačů mycího a oplach. prostředku </t>
  </si>
  <si>
    <t>720 × 735 × 2095</t>
  </si>
  <si>
    <t>Výstupní nerez stůl se zadním lemem</t>
  </si>
  <si>
    <t>Regál na ukládání nádobí, nerez</t>
  </si>
  <si>
    <t>800 × 400 × 200</t>
  </si>
  <si>
    <t>Vstupní nerez válečkový stůl s předmáčením vč. stojánkové tlakové sprchové baterie s raménkem</t>
  </si>
  <si>
    <t>2100 × 805 × 1830–2120</t>
  </si>
  <si>
    <t>Výstupní nerez válečkový stůl</t>
  </si>
  <si>
    <t>Změkčovač vody elektrický, vč. filtru pro zachycení mechanických nečistot, pro pozice č. 3 a 8</t>
  </si>
  <si>
    <t>1300 × 800 × 500</t>
  </si>
  <si>
    <t>3000 × 900 × 500</t>
  </si>
  <si>
    <t>1000 × 400 × 200</t>
  </si>
  <si>
    <t>Sanitační hadice 10 m, samonavíjecí</t>
  </si>
  <si>
    <t>1.06 – Výdej jídel</t>
  </si>
  <si>
    <t>800 × 300 × 1800</t>
  </si>
  <si>
    <t>Výdejní stůl nerez s přípravou pro osazení chladicí vitríny, stolu s chlazenou vanou a pro umístění chladicího agregátu, s čelním a levým soklem</t>
  </si>
  <si>
    <t>Atyp. tvar. Nutno vyrobit na míru. Výška 900 mm.</t>
  </si>
  <si>
    <t>Výdejní maska, nerez; osazena el. zásuvkou 230 V, čelní sokl</t>
  </si>
  <si>
    <t>600 × 150 × 900</t>
  </si>
  <si>
    <t>Pojízdný vyhřívaný talířový zásobník dvoutubusový, nerez</t>
  </si>
  <si>
    <t>985 × 480 × 900</t>
  </si>
  <si>
    <t>Výdejní nerez stůl, 2x police, čelní sokl</t>
  </si>
  <si>
    <t>Výdejní hygienická nástavba jednoduchá, celonerezová konstrukce s tvarovaným sklem</t>
  </si>
  <si>
    <t>1100 × 400 × 400</t>
  </si>
  <si>
    <t>Ohřívací nerez stůl s vyhřívanou vodní lázní pro 4 GN 1/1 a s otevřeným spodním prostorem, čelní sokl</t>
  </si>
  <si>
    <t>Výdejní hygienická nástavba jednoduchá, celonerezová konstrukce s tvarovaným sklem sahajícím až ke stolu, čelní sokl</t>
  </si>
  <si>
    <t>1500 × 400 × 400</t>
  </si>
  <si>
    <t>Pojízdný vyhřívaný miskový zásobník dvoutubusový, nerez</t>
  </si>
  <si>
    <t>Výdejní nerez stůl otevřený, čelní sokl</t>
  </si>
  <si>
    <t>400 × 700 × 900</t>
  </si>
  <si>
    <t>Ohřívací nerez stůl s vyhřívanou vodní lázní pro 2 GN 1/1 a s otevřeným spodním prostorem</t>
  </si>
  <si>
    <t>800 × 700 × 900</t>
  </si>
  <si>
    <t>800 × 400 × 400</t>
  </si>
  <si>
    <t>Výdejní nerez stůl otevřený, 2x police, čelní a levý sokl</t>
  </si>
  <si>
    <t>Třípatrová chlazená vitrína s vanou pro 3x GN 1/1-150, otevřená samoobslužná bez vlastního agregátu</t>
  </si>
  <si>
    <t>1133 × 622 × 720</t>
  </si>
  <si>
    <t>Chladicí agregát pro pozice č. 15 a 22</t>
  </si>
  <si>
    <t>–</t>
  </si>
  <si>
    <t>Pojízdný stojan na příbory a podnosy</t>
  </si>
  <si>
    <t>752 × 630 × 1277</t>
  </si>
  <si>
    <t>Pojezdová dráha pro podnosy celonerezová, 2× zalomená</t>
  </si>
  <si>
    <t>11150 × 300</t>
  </si>
  <si>
    <t>Výdejní nerez stůl pro nápoje s pákovou vodovodní baterií a dřezem na levé straně, sokl ze všech stran</t>
  </si>
  <si>
    <t>Výrobník teplých nápojů 2× 20 l, hodinová kapacita 90 l/h</t>
  </si>
  <si>
    <t>1095 × 500 × 895</t>
  </si>
  <si>
    <t>Nevyhřívaný pojízdný zásobník na koše 500 × 500 mm, nerez</t>
  </si>
  <si>
    <t>775 × 670 × 900</t>
  </si>
  <si>
    <t>Stůl nerez s chlazenou vanou pro 3 GN, spodní prostor uzavíratelný dvířky, tep. rozsah: 0–10 °C, bez vrchní desky, zabudovaný do výdejního stolu č. 3</t>
  </si>
  <si>
    <t>1200 × 700 × 850</t>
  </si>
  <si>
    <t>Nástavba jednoduchá bufetová, celonerezová konstrukce ve tvaru T se souměrně tvarovanými skly</t>
  </si>
  <si>
    <t>Pojezdová dráha pro podnosy celonerezová, rovná</t>
  </si>
  <si>
    <t>5000 × 300</t>
  </si>
  <si>
    <t>Výdejní deska – doměrek, nerez</t>
  </si>
  <si>
    <t>atyp tvar, dle zaměření při realizaci</t>
  </si>
  <si>
    <t>Pojezdová dráha pro podnosy celonerezová, rovná, připevněná ke stolu – pol. č. 18</t>
  </si>
  <si>
    <t>1800 × 300</t>
  </si>
  <si>
    <t>Celková cena bez DPH</t>
  </si>
  <si>
    <t>Položka</t>
  </si>
  <si>
    <t>Nabízený výrobek</t>
  </si>
  <si>
    <t>Nabízený výrobce</t>
  </si>
  <si>
    <t>ks / hod</t>
  </si>
  <si>
    <t>Cena celkem</t>
  </si>
  <si>
    <t>(doplní uchazeč)</t>
  </si>
  <si>
    <t>PERIFÉRIE</t>
  </si>
  <si>
    <t>PLYNOVÁ KOTELNA</t>
  </si>
  <si>
    <t xml:space="preserve">UT.1, UT.2 </t>
  </si>
  <si>
    <r>
      <t xml:space="preserve">Plynový kondenzační kotel
včetně modulu pro řízení signálem 0-10V
2 ks
</t>
    </r>
    <r>
      <rPr>
        <b/>
        <sz val="10"/>
        <rFont val="Arial CE"/>
        <family val="2"/>
        <charset val="238"/>
      </rPr>
      <t>DODÁVKA ÚT</t>
    </r>
  </si>
  <si>
    <t>-</t>
  </si>
  <si>
    <t xml:space="preserve">UT.3, UT.7, UT.10 </t>
  </si>
  <si>
    <t>Snímač teploty Ni1000, 5000ppm
   příložné provedení s hlavicí</t>
  </si>
  <si>
    <t>UT.4</t>
  </si>
  <si>
    <r>
      <t xml:space="preserve">Havarijní uzavírací ventil
cívka: 230V/50Hz, NC
1 ks
</t>
    </r>
    <r>
      <rPr>
        <b/>
        <sz val="10"/>
        <rFont val="Arial CE"/>
        <family val="2"/>
        <charset val="238"/>
      </rPr>
      <t>DODÁVKA ZTI</t>
    </r>
  </si>
  <si>
    <t xml:space="preserve">UT.5, UT.8 </t>
  </si>
  <si>
    <r>
      <t xml:space="preserve">Trojcestný regulační ventil
   servopohon 24V AC/ 0-10V
2 ks
</t>
    </r>
    <r>
      <rPr>
        <b/>
        <sz val="10"/>
        <rFont val="Arial CE"/>
        <family val="2"/>
        <charset val="238"/>
      </rPr>
      <t>DODÁVKA ÚT</t>
    </r>
  </si>
  <si>
    <t xml:space="preserve">UT.6, UT.9, UT.12, UT.13, UT.20, UT.31 </t>
  </si>
  <si>
    <r>
      <t xml:space="preserve">Oběhové čerpadlo
6 ks
</t>
    </r>
    <r>
      <rPr>
        <b/>
        <sz val="10"/>
        <rFont val="Arial CE"/>
        <family val="2"/>
        <charset val="238"/>
      </rPr>
      <t>DODÁVKA ÚT</t>
    </r>
  </si>
  <si>
    <t>UT.16</t>
  </si>
  <si>
    <r>
      <t xml:space="preserve">Oběhové čerpadlo
1 ks
</t>
    </r>
    <r>
      <rPr>
        <b/>
        <sz val="10"/>
        <rFont val="Arial CE"/>
        <family val="2"/>
        <charset val="238"/>
      </rPr>
      <t>DODÁVKA ZTI</t>
    </r>
  </si>
  <si>
    <t>UT.11</t>
  </si>
  <si>
    <t>Příložný termostat, 
skrytá stupnice
rozsah: 5až+90°C</t>
  </si>
  <si>
    <t>UT.14, UT.15</t>
  </si>
  <si>
    <t>Snímač teploty
základní (kabelové) provedení
délka kabelu: 5m
včetně jímky 300mm</t>
  </si>
  <si>
    <t>UT.17</t>
  </si>
  <si>
    <t>Snímač tlaku, 
napájení: 24V/50Hz, 
výstupní signál: 0..10Vss, 
rozsah 0..400kPa
včetně montážního příslušenství</t>
  </si>
  <si>
    <t>UT.18</t>
  </si>
  <si>
    <r>
      <rPr>
        <sz val="10"/>
        <rFont val="Arial"/>
      </rPr>
      <t>Automatické doplňovací zařízení
230V/50Hz
1ks</t>
    </r>
    <r>
      <rPr>
        <b/>
        <sz val="10"/>
        <rFont val="Arial CE"/>
        <family val="2"/>
        <charset val="238"/>
      </rPr>
      <t xml:space="preserve">
dodávka ÚT</t>
    </r>
  </si>
  <si>
    <t>UT.19, UT.20</t>
  </si>
  <si>
    <t>Snímač teploty, venkovní provedení
   Ni1000, TK 5000 ppm, IP65</t>
  </si>
  <si>
    <t>UT.21</t>
  </si>
  <si>
    <t>Detektor plynu pro hořlavé plyny
   výstražný signál: světelný + zvukový, 
   napájení: 90...265 VAC, 
   rozsah měření: 0-100%LEL.
   2x relé</t>
  </si>
  <si>
    <t>UT.22</t>
  </si>
  <si>
    <t>Detektor plynu pro oxid uhelnatý
   výstražný signál: světelný + zvukový, 
   napájení: 90...265 VAC, 
   rozsah měření: 0...200 ppm.</t>
  </si>
  <si>
    <t>UT.23</t>
  </si>
  <si>
    <t>Sonda zaplavení, 
komplet</t>
  </si>
  <si>
    <t>UT.24</t>
  </si>
  <si>
    <t>Tlačítko havarijního odstavení</t>
  </si>
  <si>
    <t>UT.25</t>
  </si>
  <si>
    <t>GSM komunikátor</t>
  </si>
  <si>
    <t>Zálohovaný zdroj</t>
  </si>
  <si>
    <t>UT.26-29</t>
  </si>
  <si>
    <r>
      <rPr>
        <sz val="10"/>
        <rFont val="Arial"/>
      </rPr>
      <t>Kalorimetr
4ks</t>
    </r>
    <r>
      <rPr>
        <b/>
        <sz val="10"/>
        <rFont val="Arial CE"/>
        <family val="2"/>
        <charset val="238"/>
      </rPr>
      <t xml:space="preserve">
dodávka ÚT</t>
    </r>
  </si>
  <si>
    <t>UT.32</t>
  </si>
  <si>
    <r>
      <rPr>
        <sz val="10"/>
        <rFont val="Arial"/>
      </rPr>
      <t>Vodoměr
1ks</t>
    </r>
    <r>
      <rPr>
        <b/>
        <sz val="10"/>
        <rFont val="Arial CE"/>
        <family val="2"/>
        <charset val="238"/>
      </rPr>
      <t xml:space="preserve">
dodávka ZTI</t>
    </r>
  </si>
  <si>
    <t>VZT 1 - JÍDELNA</t>
  </si>
  <si>
    <t>1.1</t>
  </si>
  <si>
    <r>
      <t xml:space="preserve">VZT jednotka
1 ks
</t>
    </r>
    <r>
      <rPr>
        <b/>
        <sz val="10"/>
        <rFont val="Arial CE"/>
        <family val="2"/>
        <charset val="238"/>
      </rPr>
      <t>DODÁVKA VZT</t>
    </r>
  </si>
  <si>
    <t>1.2, 1.3</t>
  </si>
  <si>
    <r>
      <t xml:space="preserve">Chladící jednotka
2 ks
</t>
    </r>
    <r>
      <rPr>
        <b/>
        <sz val="10"/>
        <rFont val="Arial CE"/>
        <family val="2"/>
        <charset val="238"/>
      </rPr>
      <t>DODÁVKA VZT</t>
    </r>
  </si>
  <si>
    <t>1.4</t>
  </si>
  <si>
    <r>
      <t xml:space="preserve">Ovladač VZT jednotky
1 ks
</t>
    </r>
    <r>
      <rPr>
        <b/>
        <sz val="10"/>
        <rFont val="Arial CE"/>
        <family val="2"/>
        <charset val="238"/>
      </rPr>
      <t>DODÁVKA VZT</t>
    </r>
  </si>
  <si>
    <t>VZT 2A - KUCHYNĚ</t>
  </si>
  <si>
    <t>2A.1</t>
  </si>
  <si>
    <t>2A.2</t>
  </si>
  <si>
    <r>
      <t xml:space="preserve">Oběhové čerpadlo
1 ks
</t>
    </r>
    <r>
      <rPr>
        <b/>
        <sz val="10"/>
        <rFont val="Arial CE"/>
        <family val="2"/>
        <charset val="238"/>
      </rPr>
      <t>DODÁVKA VZT</t>
    </r>
  </si>
  <si>
    <t>2A.3</t>
  </si>
  <si>
    <r>
      <t xml:space="preserve">Trojcestný regulační ventil
   servopohon 24V AC/ 0-10V
1 ks
</t>
    </r>
    <r>
      <rPr>
        <b/>
        <sz val="10"/>
        <rFont val="Arial CE"/>
        <family val="2"/>
        <charset val="238"/>
      </rPr>
      <t>DODÁVKA ÚT</t>
    </r>
  </si>
  <si>
    <t>2A.4, 2A.5</t>
  </si>
  <si>
    <t>2A.6</t>
  </si>
  <si>
    <t>VZT 2B - KUCHYNĚ</t>
  </si>
  <si>
    <t>2B.1</t>
  </si>
  <si>
    <t>2B.2</t>
  </si>
  <si>
    <t>2B.3</t>
  </si>
  <si>
    <t>2B.4, 2B.5</t>
  </si>
  <si>
    <t>2B.6</t>
  </si>
  <si>
    <t>VZT 3 - DRUŽINY</t>
  </si>
  <si>
    <t>3.1</t>
  </si>
  <si>
    <t>1.2</t>
  </si>
  <si>
    <r>
      <t xml:space="preserve">Chladící jednotka
1 ks
</t>
    </r>
    <r>
      <rPr>
        <b/>
        <sz val="10"/>
        <rFont val="Arial CE"/>
        <family val="2"/>
        <charset val="238"/>
      </rPr>
      <t>DODÁVKA VZT</t>
    </r>
  </si>
  <si>
    <t>1.3</t>
  </si>
  <si>
    <t>SB.1-4</t>
  </si>
  <si>
    <r>
      <t xml:space="preserve">SMARTBOX
4 ks
</t>
    </r>
    <r>
      <rPr>
        <b/>
        <sz val="10"/>
        <rFont val="Arial CE"/>
        <family val="2"/>
        <charset val="238"/>
      </rPr>
      <t>DODÁVKA VZT</t>
    </r>
  </si>
  <si>
    <t>RP3.1-8</t>
  </si>
  <si>
    <r>
      <t xml:space="preserve">Regulátor variabilního průtoku vzduchu
8 ks
</t>
    </r>
    <r>
      <rPr>
        <b/>
        <sz val="10"/>
        <rFont val="Arial CE"/>
        <family val="2"/>
        <charset val="238"/>
      </rPr>
      <t>DODÁVKA VZT</t>
    </r>
  </si>
  <si>
    <t>CO.1-4</t>
  </si>
  <si>
    <r>
      <t xml:space="preserve">Čidlo CO2
4 ks
</t>
    </r>
    <r>
      <rPr>
        <b/>
        <sz val="10"/>
        <rFont val="Arial CE"/>
        <family val="2"/>
        <charset val="238"/>
      </rPr>
      <t>DODÁVKA VZT</t>
    </r>
  </si>
  <si>
    <t>VZT 4 - ZÁZEMÍ KUCHYNĚ</t>
  </si>
  <si>
    <t>4.1</t>
  </si>
  <si>
    <t>4.2</t>
  </si>
  <si>
    <t>VZT 5 - KOTELNA</t>
  </si>
  <si>
    <t>5.1, 5.2</t>
  </si>
  <si>
    <t>Diferenční tlakový spínač, 
vzduch 40 až 400Pa
včetně montážního příslušenství</t>
  </si>
  <si>
    <t>5.3</t>
  </si>
  <si>
    <r>
      <t xml:space="preserve">Ventilátor
1 ks
</t>
    </r>
    <r>
      <rPr>
        <b/>
        <sz val="10"/>
        <rFont val="Arial CE"/>
        <family val="2"/>
        <charset val="238"/>
      </rPr>
      <t>DODÁVKA VZT</t>
    </r>
  </si>
  <si>
    <t>5.4+5.5+5.6</t>
  </si>
  <si>
    <r>
      <t xml:space="preserve">Elekrtrický ohřívač 
s integrovaným regulátorem a čidlem výstupní teploty
1 ks
</t>
    </r>
    <r>
      <rPr>
        <b/>
        <sz val="10"/>
        <rFont val="Arial CE"/>
        <family val="2"/>
        <charset val="238"/>
      </rPr>
      <t>DODÁVKA VZT</t>
    </r>
  </si>
  <si>
    <t>VZT 6 - SKLAD ODPADKŮ</t>
  </si>
  <si>
    <t>6.1</t>
  </si>
  <si>
    <r>
      <t xml:space="preserve">Odtahový ventilátor
1 ks
</t>
    </r>
    <r>
      <rPr>
        <b/>
        <sz val="10"/>
        <rFont val="Arial CE"/>
        <family val="2"/>
        <charset val="238"/>
      </rPr>
      <t>DODÁVKA ÚT</t>
    </r>
  </si>
  <si>
    <t>PROSTOROVÁ REGULACE - 2.PP</t>
  </si>
  <si>
    <t>VR.S2x, VZ.S2x</t>
  </si>
  <si>
    <r>
      <t xml:space="preserve">Radiátorvý ventil + pohon 24V, NC
11 ks
</t>
    </r>
    <r>
      <rPr>
        <b/>
        <sz val="10"/>
        <rFont val="Arial CE"/>
        <family val="2"/>
        <charset val="238"/>
      </rPr>
      <t>DODÁVKA ÚT</t>
    </r>
  </si>
  <si>
    <t>T.S224, T.S212, T.S213, T.S209, T.S210, T.S207, T.S203, T.S202, T.S227</t>
  </si>
  <si>
    <t>Interierový teploměr s komunikací ModbusRTU</t>
  </si>
  <si>
    <t>RHT.S219</t>
  </si>
  <si>
    <t>Pokojový ovladač, komunikativní, 
displej 60 x 60 mm, 
teplota, vlhkost
otočný knoflík s tlačítkem, 
Modbus / RS485</t>
  </si>
  <si>
    <t>SM.S2x</t>
  </si>
  <si>
    <t>Modul vzdáleného řízení, 
   2xDI, 2xDO, 
   komunikace RS-485, ModBus-RTU
   2x výstupní relé 230V/4A</t>
  </si>
  <si>
    <t>Hluboká instalační krabice
   přístrojovvé víčko
   včetně WAGO svorek</t>
  </si>
  <si>
    <t>PROSTOROVÁ REGULACE - 1.PP</t>
  </si>
  <si>
    <t xml:space="preserve">VR.S1x, VZ.S1x </t>
  </si>
  <si>
    <r>
      <t xml:space="preserve">Radiátorvý ventil + pohon 24V, NC
10 ks
</t>
    </r>
    <r>
      <rPr>
        <b/>
        <sz val="10"/>
        <rFont val="Arial CE"/>
        <family val="2"/>
        <charset val="238"/>
      </rPr>
      <t>DODÁVKA ÚT</t>
    </r>
  </si>
  <si>
    <t>VP.S1x</t>
  </si>
  <si>
    <r>
      <t xml:space="preserve">Radiátorvý ventil + pohon 230V, NC
4 ks
</t>
    </r>
    <r>
      <rPr>
        <b/>
        <sz val="10"/>
        <rFont val="Arial CE"/>
        <family val="2"/>
        <charset val="238"/>
      </rPr>
      <t>DODÁVKA ÚT</t>
    </r>
  </si>
  <si>
    <t>O.S103, O.S106, O.S122</t>
  </si>
  <si>
    <t>Pokojový ovladač, komunikativní, displej 60 x 60 mm, 
teplota
otočný knoflík s tlačítkem, 
Modbus / RS485</t>
  </si>
  <si>
    <t>T.S102, T.S104, T.S107, T.S114, T.S123</t>
  </si>
  <si>
    <t>SM.S1x</t>
  </si>
  <si>
    <t>PROSTOROVÁ REGULACE - 1.NP</t>
  </si>
  <si>
    <t>VR.1x</t>
  </si>
  <si>
    <r>
      <t xml:space="preserve">Radiátorvý ventil + pohon 24V, NC
7 ks
</t>
    </r>
    <r>
      <rPr>
        <b/>
        <sz val="10"/>
        <rFont val="Arial CE"/>
        <family val="2"/>
        <charset val="238"/>
      </rPr>
      <t>DODÁVKA ÚT</t>
    </r>
  </si>
  <si>
    <t>VP.1x</t>
  </si>
  <si>
    <r>
      <t xml:space="preserve">Radiátorvý ventil + pohon 230V, NC
15 ks
</t>
    </r>
    <r>
      <rPr>
        <b/>
        <sz val="10"/>
        <rFont val="Arial CE"/>
        <family val="2"/>
        <charset val="238"/>
      </rPr>
      <t>DODÁVKA ÚT</t>
    </r>
  </si>
  <si>
    <t>O.109, O.105, O.106, O.107</t>
  </si>
  <si>
    <t>T.115, T.122, T.118</t>
  </si>
  <si>
    <t>AKUMULACE DEŠŤOVÉ VODY</t>
  </si>
  <si>
    <r>
      <t xml:space="preserve">Ponorné čerpadlo
1 ks
</t>
    </r>
    <r>
      <rPr>
        <b/>
        <sz val="10"/>
        <rFont val="Arial CE"/>
        <family val="2"/>
        <charset val="238"/>
      </rPr>
      <t>DODÁVKA ZTI</t>
    </r>
  </si>
  <si>
    <t>L.1</t>
  </si>
  <si>
    <t>Plovákový spínač
 kabel 5m
 přepínací kontakt
  včetně protizávaží</t>
  </si>
  <si>
    <t>OS</t>
  </si>
  <si>
    <t>Ovládací skříňka
   200x200x80mm
   přepínač ZAP/VYP
    signálkaMIN HLADINA</t>
  </si>
  <si>
    <t>Řídící jednotka</t>
  </si>
  <si>
    <t>ROZVODNICE RA-01</t>
  </si>
  <si>
    <t xml:space="preserve">Kombinovaný I/O modul s řídící deskou
   88 I/O, bez displeje, 
   2x RS232, 2x RS485,  </t>
  </si>
  <si>
    <t>7 “  LCD TFT barevný display,
   dotyková obrazovka, 
   rozlišení obrazovky 800 x 480, 2x sériový port
   1xEthernet, 1xUSB 2.0</t>
  </si>
  <si>
    <t>Kabeláž</t>
  </si>
  <si>
    <t>Kabel pro řídící a automatizační systémy. 
Pro pevné uložení, stínění, měděné jádro, vnější plášť PVC, jmenovité napětí 250V.</t>
  </si>
  <si>
    <t>Sdělovací kabel</t>
  </si>
  <si>
    <t>Komunikační kabel</t>
  </si>
  <si>
    <t xml:space="preserve">Silový kabel pro pevné uložení.Měděné jádro, vnější plášť PVC, jmenovité napětí 450/750V, odolnost vůči šíření plamene dle ČSN EN 50265–1;–2–1 (IEC 60332-1). </t>
  </si>
  <si>
    <t>Plastová výstražná folie pro krytí kabelu ve výkopu</t>
  </si>
  <si>
    <t>Nosný a ostatní montážní materiál</t>
  </si>
  <si>
    <t>Rozvodnice</t>
  </si>
  <si>
    <t>Rozvodnice  RA1 - materiál celkem
Oceloplechový skříňový rozvaděč nn , min krytí IP55, rozvodná soustava 3NPE, 50Hz, 230/400V/TN-S,  Povrchová úprava práškovou technologií. Dveře s těsněním, 3-bodový rozpěrný uzávěr s možností zamykání.Přívody a vývody kabelů – horem, přes kabelové ucpávkové vývodky. Na vnitřní straně dveří schránka pro uložení dokumentace.  Přístroje upevněny na DIN liště, regulátor podle montážního předpisu regulátoru. Označení žil vodičů strojovým popisem na návlečné štítky. Rozměr:  1800x800x350, včetně přístrojové náplně: jistící a spínací prvky, přepínače, trafa a napájecí zdroje, ...
Včetně instalačního příslušenství: DIN lišty, žlaby, dráty,..předjištění: 100A/3f
silové vývody: viz. tabulka připojených spotřebičů</t>
  </si>
  <si>
    <t>PRÁCE</t>
  </si>
  <si>
    <t>Výroba rozvodnice</t>
  </si>
  <si>
    <t>Zpracování uživatelských programů</t>
  </si>
  <si>
    <t>Montážní práce</t>
  </si>
  <si>
    <t>Oživení regulace a provedení zkoušek</t>
  </si>
  <si>
    <t>Revizní zprávy</t>
  </si>
  <si>
    <t xml:space="preserve">Engineering </t>
  </si>
  <si>
    <t>CELKOVÁ CENA</t>
  </si>
  <si>
    <t>ČÍSLO 
POLOŽKY</t>
  </si>
  <si>
    <t>POLOŽKA</t>
  </si>
  <si>
    <t>POPIS POLOŽKY</t>
  </si>
  <si>
    <t>ČÍSLO VÝKRESU</t>
  </si>
  <si>
    <t>jednotka</t>
  </si>
  <si>
    <t>množství</t>
  </si>
  <si>
    <t>CENA CELKEM 
(BEZ DPH)</t>
  </si>
  <si>
    <t>Evakuační rozhlas - ERO</t>
  </si>
  <si>
    <t>Digitální ústředna evakuačního rozhlasu dle EN54-16 v kompaktním nástěnném provedení All-In-One bez instalace do 19" rozváděče. Pracovní výkon 200W + 200W záložní zesilovače, 2 zóny s možností rozšíření přídavnými zónovými moduly až na 12 zón. 2 audio kanály s digitálním zpracováním signálu, nezávislé nastavení úrovně a ekvalizace pro každý audio kanál. Interní paměť pro 16 audio zpráv o celkové kapacitě až 16 minut, možnost současné reprodukce různých zpráv do různých zón. 3 digitální sběrnice L-Net pro připojení celkem až 16 mikrofonních stanic a dalších periferních zařízení s možností redundantní kruhové topologie, 2 digitální sběrnice G-Net pro sesíťování ústředen s kruhovou topologií, garantovaná délka trasy každé sběrnice L-Net i G-Net až 250m při použití metalického stíněného kabelu Cat5e nebo vyšší resp. 2km při použití MM optického vedení, 6+2 evakuačních řídicích vstupů s dohledem, 2 stavové řídicí výstupy, 8+8 univerzálních řídicích vstupů/výstupů, 2 audio vstupy pro připojení evakuačního mikrofonu a/nebo zdroje hudby. Ovládací panel s ručním evakuačním mikrofonem a veškerými povinnými indikacemi dle EN54-16 na předním krytu. Kompletní dohledové funkce dle EN54-16 i EN50849 včetně dohledu a dobíjení interních záložních akumulátorů, certifikace dle EN54-16 číslo 0560-CPR-152190001-00 včetně fázované evakuace (čl. 7.5) a manuálního umlčení / nulování stavu Hlasový poplach (čl. 7.6.2 a 7.7.2). Kryt ocel + ABS, IP30, rozměry (ŠxVxH) 520x800x280mm, hmotnost bez akumulátorů 23,6kg, prostor pro 2ks akumulátorů 10-55Ah á max. 230x138x207, celková max. hmotnost akumulátorů 32,6kg., dodávka a montáž</t>
  </si>
  <si>
    <t>Výchozí SW konfigurace pro komponenty ústředny ve výše uvedené sestavě - vše se rozumí u dodavatele, nikoliv na místě instalace, dodávka a montáž</t>
  </si>
  <si>
    <t>Bezúdržbový ventilem řízený olověný akumulátor 12V / 26Ah, dodávka a montáž</t>
  </si>
  <si>
    <t>Modul zakončení reproduktorové linky, 2vodičové připojení, nastavitelné zatížení linky ve 4 stupních, dodávka a montáž</t>
  </si>
  <si>
    <t>Povinná náležitost dle ČSN EN 50849: Provozní kniha ER, drátěná kroužková vazba, číslované listy</t>
  </si>
  <si>
    <t>Nástěnný reproduktor dle EN54-24 pro přisazenou instalaci na zeď nebo strop. Technická data dle EN54-24: jmenovitý šumový výkon a napětí 6W @ 100V, výkonové odbočky až do 0,8W, citlivost 80dB @ 1W/4m, max. úroveň akustického tlaku 86dB @ 4m, frekvenční charakteristika 150Hz-18kHz, úhel pokrytí horizontálně 360°/135°/130°/70°, vertikálně 330°/160°/135°/70° @ 0,5/1/2/4kHz. Certifikace dle EN54-24 číslo 0359-CPD-0103, typ A - vnitřní aplikace. Tělo lisované dřevo, povrch PVC, rámeček HIPS plast, mřížka kov, barva bílá. Keramická svorkovnice s tepelnou pojistkou dle BS-5839-8. Rozměry (ŠxVxH) 250x190x110mm, hmotnost 1,7kg., dodávka a montáž</t>
  </si>
  <si>
    <t>Stropní reproduktor dle EN54-24 s úzkým rámečkem o šířce jen 6mm. Technická data dle EN54-24: jmenovitý šumový výkon a napětí 6W @ 100V, výkonové odbočky až do 0,8W, citlivost 80dB @ 1W/4m, max. úroveň akustického tlaku 87dB @ 4m, frekvenční charakteristika 60Hz-20kHz, úhel pokrytí H+V 160°/170°/160°/60° @ 0,5/1/2/4kHz. Certifikace dle EN54-24 číslo 1438-CPR-0656, typ A - vnitřní aplikace, certifikován pro použití bez požárního krytu. Tělo i mřížka kov, barva bílá. Zadní kryt proti prachu a vodě. Pružinová svorkovnice pro rychlé připojení vodiče bez šroubování, zdvojené svorky pro možnost průběžného zapojení (daisy-chain), průřez pevného vodiče 0,5-3mm2 / AWG 20-12. Rozměry (OxV) 230x76mm, hmotnost 740g., dodávka a montáž</t>
  </si>
  <si>
    <t>Povinná náležitost dle ČSN EN 50849: Odborné měření srozumitelnosti vč. měřicího protokolu s přepočtem hodnot na stupnici CIS. Měření bude provedeno metodou indexu přenosu řeči, tzv. STI. Měření jinou metodou lze použít pouze tehdy, pokud zvolená metoda poskytuje výsledky stejně nebo více relevantní jako metoda STI. Měření zjednodušenými metodami, které mohou dávat zkreslené výsledky (RASTI aj.), není přípustné. Výsledkem měření bude protokol obsahující přesnou specifikaci použitého měřicího vybavení a metody, a pro každý prostor přesnou specifikaci měřicích bodů, naměřených hodnot STI, jejich přepočet na CIS a následně výpočet výsledné hodnoty pro daný prostor jako rozdílu průměrné naměřené hodnoty STI a směrodatné odchylky - viz ČSN EN 50849, B.3.</t>
  </si>
  <si>
    <t>Povinná náležitost dle ČSN EN 50849: Odborné měření skutečné impedance 100V linek vč. měřicího protokolu s přepočtem hodnot na výkon repro @ 100V. Měření musí být provedeno specializovaným měřicím přístrojem určeným pro tento účel a používajícím střídavý sinusový testovací signál o frekvenci na spodním okraji řečového pásma - např. cca 300Hz. Měření univerzálními multimetry určenými pro měření činného odporu nebo impedance na frekvenci 50/60Hz poskytuje irelevantní hodnoty a proto není přípustné.</t>
  </si>
  <si>
    <t>CSKH-V180 2x1,5, včetně příchytek s požární odolností, zkouška kabelové trasy dle ZP-27/2008, dodávka a montáž</t>
  </si>
  <si>
    <t>Strukturovaná kabeláž - SK</t>
  </si>
  <si>
    <t>Nástěnný rozvaděč 21U, 600x600mm, dodávka a montáž</t>
  </si>
  <si>
    <t>přepojovací panel 24 portů RJ45, výška 1U, včetně plného osazení konektory, nestíněné konektory třída E, dodávka a montáž</t>
  </si>
  <si>
    <t>19" vyvazovací panel, 5x kovové oko 60mm, výška 1U, dodávka a montáž</t>
  </si>
  <si>
    <t>Napájecí panel 19", 8xČSN, 1xC14,10A,1U, kabel 2m, vypínač, přěpěťová ochrana, tepelná pojistka, dodávka a montáž</t>
  </si>
  <si>
    <t>Uzamykatelný nástěnný optický rozvaděč, včetně nosné masky LC konektorů, včetně pigtailů pro zakončení 8 vláken SM s LC konektory, včetně vaření všech optických vláken, včetně kazety optického kabelu, dodávka a montáž</t>
  </si>
  <si>
    <t>19" optická vana komplet, 8xLC 9/125, pigtail a kazeta,1U, včetně vaření všech vláken, dodávka a montáž</t>
  </si>
  <si>
    <t>19" optická vana komplet, 16xLC 9/125, pigtail a kazeta,1U, včetně vaření všech vláken, dodávka a montáž</t>
  </si>
  <si>
    <t>ISDN panel s 25 porty RJ45 CAT3, dodávka a montáž</t>
  </si>
  <si>
    <t>telefonní rozvaděč pod omítku, pro zakončení 10 párů, 185 × 103 × 93 mm, včetně LSA svorkovnice a nosníku, dodávka a montáž</t>
  </si>
  <si>
    <t>Datová zásuvka pro 2x RJ45, včetně rámečku a krabice, včetně modul 2xRJ45 nestíněný, 1 Gb, třída E, dodávka a montáž</t>
  </si>
  <si>
    <t>Datová zásuvka pro 1x RJ45, včetně rámečku a krabice, včetně modul 1xRJ45 nestíněný, 1 Gb, třída E, dodávka a montáž</t>
  </si>
  <si>
    <t>Datová zásuvka 2xRJ45 na DIN lištu, včetně modulu 2x RJ45 a veškerého příslušenství</t>
  </si>
  <si>
    <t>datový vývod s keystone modulem RJ45 nestíněný, 1 Gb, třída E, zakončení v elektroinstalančí krabici,, včetně krabice s víčkem, dodávka a montáž</t>
  </si>
  <si>
    <t>datový vývod s konektorem RJ45 nestíněný, 1 Gb, třída E, zakončení v elektroinstalančí krabici,, včetně krabice s víčkem, dodávka a montáž</t>
  </si>
  <si>
    <t>měření metalických datových kabelů, včetně vypracování měřícího protokolu</t>
  </si>
  <si>
    <t>propojovací patch kabel RJ45 cat. 6, 1 metr, dodávka a montáž</t>
  </si>
  <si>
    <t>propojovací patch kabel RJ45 cat. 6, 2 metr, dodávka a montáž</t>
  </si>
  <si>
    <t>nestíněný kabel CAT6, LSOH, dodávka a montáž</t>
  </si>
  <si>
    <t>CYKY-O 4x1,5, dodávka a montáž</t>
  </si>
  <si>
    <t>Univerzální kabel 8vl 9/125 LSOH</t>
  </si>
  <si>
    <t>JYSTY 10x2x0,8</t>
  </si>
  <si>
    <t>Elektroinstalační trubka 25mm - pevná nebo ohebná, včetně příchytek, dodávka a montáž</t>
  </si>
  <si>
    <t>Elektroinstalační trubka 40mm - pevná nebo ohebná, včetně příchytek, dodávka a montáž</t>
  </si>
  <si>
    <t>Ethernetový přepínač 24 portů 10/100/1000Base-T, PoE+, řízený switch, 24x RJ-45 port, 2x combo mini-GBIC slot, 10/100/1000, PoE+, dodávka a montáž</t>
  </si>
  <si>
    <t>Ethernetový přepínač 48 portů 10/100/1000Base-T, řízený switch, 48x RJ-45 port, 2x combo mini-GBIC slot 10/100/1000, dodávka a montáž</t>
  </si>
  <si>
    <t>AP/Hotspot 2,4/5 GHz, 802.11ac, MIMO 3×3 - vnitřní, Přenosová rychlost až (Mbps) 1317, LAN port 1 x RJ45 10/100/1000, včetně zdroje PoE 24V/0.5A GigE, dodávka a montáž</t>
  </si>
  <si>
    <t>Kontrolér pro centrální správu Accesspointů, dodávka a montáž</t>
  </si>
  <si>
    <t>Poplachový zabezpečovací a tísňový systém - PZTS</t>
  </si>
  <si>
    <t>Ústředna minimálně 50 zón a 8 podsystémy v krytu s komunikátorem a zdrojem, ČSN EN 50131-1 Stupeň 2, dodávka a montáž</t>
  </si>
  <si>
    <t>rozšiřujícíc modul v kovovém krytu pro 8 zón, dodávka a montáž</t>
  </si>
  <si>
    <t>Akumulátor 12V/17 Ah, dodávka a montáž</t>
  </si>
  <si>
    <t>LCD klávesnice pro ústředny,  dvouřádkový LCD, 32 znaků, programovatelné podsvícení, dodávka a montáž</t>
  </si>
  <si>
    <t>Systémový GSM modul v kovovém krytu pro posílání SMS a volání uživateli nebo na PCO, dodávka a montáž</t>
  </si>
  <si>
    <t>Systémový Ethernet (TCP/IP) komunikátor v kovovém krytu, dodávka a montáž</t>
  </si>
  <si>
    <t>Venkovní zálohovaná siréna se stroboskopem, dodávka a montáž</t>
  </si>
  <si>
    <t>pohybový detektor se zrcadlovou optikou, nízkou spotřebou, charakteristika vějíř, s dosahem 15m,  ČSN EN 50131-1 Stupeň 2, dodávka a montáž</t>
  </si>
  <si>
    <t>magnetický kontakt kontakt závrtný šestidrátový polarizovaný, ČSN EN 50131-1 Stupeň 2, dodávka a montáž</t>
  </si>
  <si>
    <t>zapojovací krabice se sabotážním kontaktem, montáž na povrch, dodávka a montáž</t>
  </si>
  <si>
    <t>volací tahové tlačítko nouzové signalizace, dodávka a montáž</t>
  </si>
  <si>
    <t>vybavovací tlačítko nouzové signalizace, dodávka a montáž</t>
  </si>
  <si>
    <t>signální lampa LED nouzové signalizace, dodávka a montáž</t>
  </si>
  <si>
    <t>Kabel F/UTP Cat.5e, dodávka a montáž</t>
  </si>
  <si>
    <t>CYKY-O 2x1,5, dodávka a montáž</t>
  </si>
  <si>
    <t>SYKFY 2x2x0,5, dodávka a montáž</t>
  </si>
  <si>
    <t>SYKFY 3x2x0,5, dodávka a montáž</t>
  </si>
  <si>
    <t>Kamerový systém - CCTV</t>
  </si>
  <si>
    <t>Venkovní IP bullet kamera, 2MP, 3.2-10mm, WDR 120dB, VF objektiv se záběrem 101.6° až 31.3°, IR do 30m, záznam na microSD kartu aj. Napájení PoE (802.3af), provedení kamery IP66, dodávka a montáž</t>
  </si>
  <si>
    <t>Vnitřní IP dome kamera, 2MP, 3mm, WDR 120dB, objektiv se záběrem 102°, IR do 20m, záznam na microSD kartu aj. Napájení PoE (802.3af), dodávka a montáž</t>
  </si>
  <si>
    <t xml:space="preserve">
záznamové zařízení NVR pro 16 IP kamer až 12MP, 16xPoE, HDMI, H.245/265, až 4 HDD, bez HDD, dodávka a montáž</t>
  </si>
  <si>
    <t>pevný disk o kapacitě 6TB, dodávka a montáž</t>
  </si>
  <si>
    <t>zobrazovací monitor pro záznamové zařízení, dodávka a montáž</t>
  </si>
  <si>
    <t>On-line UPS 1/1fáze, 1500VA/13500W, IEC zásuvky, Rack provedení, on-line dvojitou konverzí v Rack provedení, účinnost až 95%, doba zálohy minimálně 10 minut při zatížení 900W, včetně karty pro TCP/IP komunikaci pro dálkový dohled, včetně montážního příslu, dodávka a montáž</t>
  </si>
  <si>
    <t>dvoustupňová přepěťová ochrana Ethernetu v kombinaci s ochranou napájení po této lince, instalace na vstupu do objektu v blízkosti chráněného zařízení, na rozhraní zón LPZ 0 a LPZ 1 a vyšších, k ochraně linky Ethernet Cat. 6 s PoE, dodávka a montáž</t>
  </si>
  <si>
    <t>krabice pro přepěťovou ochranu s DIN lištou, dodávka a montáž</t>
  </si>
  <si>
    <t>Interkom IP - VoIP</t>
  </si>
  <si>
    <t>Venkovní dveřní komunikátor, základní jednotka 1 tl., s kamerou, včetně bezpečnostního relé, Napájení: PoE: 802.3af, 48 V / 380 mA DC, Tlačítka rychlé volby: průhledná tlačítka s bílým podsvícením a lehce vyměnitelnou jmenovkou,  Mikrofon, dodávka a montáž</t>
  </si>
  <si>
    <t>rozšitující modul 5 tlačítek, dodávka a montáž</t>
  </si>
  <si>
    <t>Rám pro instalaci do zdi, 2 moduly, dodávka a montáž</t>
  </si>
  <si>
    <t>krabice pro instalaci do zdi, 2 moduly, dodávka a montáž</t>
  </si>
  <si>
    <t>VoIP telefon s LCD displejem, dodávka a montáž</t>
  </si>
  <si>
    <t>zálohovaný napájecí zdroj pro elektromechanické zámky 200W, dodávka a montáž</t>
  </si>
  <si>
    <t>akumulátor 12V/24Ah, dodávka a montáž</t>
  </si>
  <si>
    <t>připojení elektromechanického zámku, zámek je součástí dodávky dveří</t>
  </si>
  <si>
    <t>Jednotný čas - JČ</t>
  </si>
  <si>
    <t>Podružné hodiny pro připojení do sítě LAN
- napájení z PoE
- v módu unicast získávají hodiny IP adresu, adresu(y) NTP serveru
a adresu SNMP manažeru z DHCP serveru
- pro manuální nastavení parametrů je nutný SW
- plastové kulaté hodiny, průměr číselníku 28 cm
- vypouklé akrylátové krycí sklo
- samostavitelný hodinový strojek
- číselník C2, dodávka a montáž</t>
  </si>
  <si>
    <t>Podružné hodiny pro připojení do sítě LAN
- napájení z PoE
- v módu unicast získávají hodiny IP adresu, adresu(y) NTP serveru
a adresu SNMP manažeru z DHCP serveru
- pro manuální nastavení parametrů je nutný SW
- plastové kulaté hodiny, průměr číselníku 40 cm
- vypouklé akrylátové krycí sklo
- samostavitelný hodinový strojek
- číselník C2
- v módu unicast se hodiny získávají z DHCP serveru IP adresu,
adresu(y) NTP serveru a adresu SNMP manažeru.
Pro manuální nastavení (byť jen některého z parametrů) je potřeba SW, dodávka a montáž</t>
  </si>
  <si>
    <t>konfigurační software pro NTP podružné hodiny a další koncová zařízení
- podpora unicast nebo multicast
- pro max. 50 podružných hodin (strojků)
- pro max. 2 hlavních hodin, dodávka a montáž</t>
  </si>
  <si>
    <t>Stravovací systém</t>
  </si>
  <si>
    <t>dodávka potřebného materiálu stravovacího systému pro nový provoz dle dílenské dokumentace dodavatele stavby, software stávající, doplnění zdroje a hlasového modulu, doplnění modulu výdeje</t>
  </si>
  <si>
    <t>Lokální detekce požáru</t>
  </si>
  <si>
    <t>Jednosmyčková ústředna LDP, včetně akumulátorů a příslušenství
1 kruhová linka s možností odboček
192 adresných prvků
Certifikováno dle EN54
Certifikováno PAVUS
Programování z PC přes USB</t>
  </si>
  <si>
    <t>Skříň s požární odolností pro zachování funkce 30 min pro ústřednu LDP</t>
  </si>
  <si>
    <t>Optickokouřový detektor LDP</t>
  </si>
  <si>
    <t>Univerzální patice pro hlásič LDP</t>
  </si>
  <si>
    <t>popisný štítek</t>
  </si>
  <si>
    <t>Tlačítkový hlásič LDP pod omítku</t>
  </si>
  <si>
    <t>Krabička pro montáž na omítku</t>
  </si>
  <si>
    <t>Vstupně výstupní modul 2xIN a 2x OUT na DIN lištu, relé 230V/4A</t>
  </si>
  <si>
    <t>Montážní krabice pro I/O moduly</t>
  </si>
  <si>
    <t>připojení návazných zařízení na LDP</t>
  </si>
  <si>
    <t>SSKFH-V180 P60-R 1x2x0,8, včetně příchytek s požární odolností, zkouška kabelové trasy dle ZP-27/2008</t>
  </si>
  <si>
    <t>SSKFH-V180 P60-R 2x2x0,8, včetně příchytek s požární odolností, zkouška kabelové trasy dle ZP-27/2008</t>
  </si>
  <si>
    <t>Trubka ohebná průměr 20mm, včetně příchytek</t>
  </si>
  <si>
    <t>protipožární ucpávka pro kabelové rozvody, pro tloušťku zdiva do 700mm, průměr prostupu do 50mm</t>
  </si>
  <si>
    <t>protipožární ucpávka pro kabelové rozvody, pro tloušťku zdiva do 700mm, průměr prostupu do 150mm</t>
  </si>
  <si>
    <t>označení kabelů</t>
  </si>
  <si>
    <t>progamování ústředen, řídících jednotek</t>
  </si>
  <si>
    <t>hod</t>
  </si>
  <si>
    <t>Výchozí revize, zkoušky, certifikáty</t>
  </si>
  <si>
    <t>Zpracování projektu skutečného provedení (3xtištěné+DIGI)</t>
  </si>
  <si>
    <t>Koordinace s ostatními profesemi</t>
  </si>
  <si>
    <t>Provozní zkoušky</t>
  </si>
  <si>
    <t>kamerové zkoušky</t>
  </si>
  <si>
    <t>Frézování drážky 5x5cm  ve zdivu</t>
  </si>
  <si>
    <t>Frézování drážky 10x5cm  ve zdivu</t>
  </si>
  <si>
    <t>Vrtání otvoru do průměru 50mm zdivem tloušťky do 300mm, začitění včetně odvozu odpadu</t>
  </si>
  <si>
    <t>Vrtání otvoru do průměru 50mm zdivem tloušťky do 700mm, začitění včetně odvozu odpadu</t>
  </si>
  <si>
    <t>Vrtání otvoru do průměru 150mm zdivem tloušťky do 300mm, začitění včetně odvozu odpadu</t>
  </si>
  <si>
    <t>Začištění po drážkování</t>
  </si>
  <si>
    <t xml:space="preserve">CELKEM </t>
  </si>
  <si>
    <t>NÁZEV POLOŽKY</t>
  </si>
  <si>
    <t>M. J.</t>
  </si>
  <si>
    <t>POČET M. J.</t>
  </si>
  <si>
    <t>CENA CELKEM</t>
  </si>
  <si>
    <t>ODKAZ NA PD</t>
  </si>
  <si>
    <t>SVÍTIDLA</t>
  </si>
  <si>
    <t>A1 - Svítidlo, 230V, LED, 35W, 4200lm, Ra80, 4000K, UGR&lt;19, IP40, specifikace viz. kniha svítidel</t>
  </si>
  <si>
    <t>102 až 105</t>
  </si>
  <si>
    <t>A2 - Svítidlo, 230V, LED, 24W, 3000lm, Ra80, 4000K, UGR&lt;19, IP40, specifikace viz. kniha svítidel</t>
  </si>
  <si>
    <t>A4 - Svítidlo, 230V, LED, 23W, 3000lm, Ra80, 4000K, IP40, specifikace viz. kniha svítidel</t>
  </si>
  <si>
    <t>B - Svítidlo, 230V, LED, 53W, 7700lm, Ra80, 4000K, IP65, specifikace viz. kniha svítidel</t>
  </si>
  <si>
    <t>C1 - Svítidlo, 230V, LED, 8W, Ra80, IP20, specifikace viz. kniha svítidel</t>
  </si>
  <si>
    <t>C2 - Svítidlo, 230V, LED, 15W, 1500lm, Ra80, 4000K, IP43, specifikace viz. kniha svítidel</t>
  </si>
  <si>
    <t>C3 - Svítidlo, 230V, LED, 40W, 5500lm, Ra80, 4000K, IP65, specifikace viz. kniha svítidel</t>
  </si>
  <si>
    <t>C4 - Svítidlo, 230V, LED, 35W, 350lm, IP44, specifikace viz. kniha svítidel</t>
  </si>
  <si>
    <t>D1 - Svítidlo, 230V, LED, 20W, 2700lm, Ra80, 4000K, IP44, specifikace viz. kniha svítidel</t>
  </si>
  <si>
    <t>D2 - Svítidlo, 230V, LED, 14W, 1400lm, Ra80, 4000K, IP44, specifikace viz. kniha svítidel</t>
  </si>
  <si>
    <t>E - Svítidlo, 230V, LED, 70W, 8500lm, Ra80, 3800K, IP40, specifikace viz. kniha svítidel</t>
  </si>
  <si>
    <t>F - Svítidlo, 230V, LED, 10W, 1000lm, Ra80, 4000K, IP43, specifikace viz. kniha svítidel</t>
  </si>
  <si>
    <t>I - Svítidlo, 230V, LED, 32W, 4100lm, Ra80, 4000K, IP54, specifikace viz. kniha svítidel</t>
  </si>
  <si>
    <t>L - Svítidlo, 230V, LED, 30W, 2520lm, Ra80, IP65, specifikace viz. kniha svítidel</t>
  </si>
  <si>
    <t>NOUZOVÁ SVÍTIDLA</t>
  </si>
  <si>
    <t>NZ1 - Svítidlo nouzové, LED, 3W, 320lm, Ra80, 4000K, IP65, Přisazené/Vestavné, Piktogram, specifikace viz. kniha svítidel</t>
  </si>
  <si>
    <t>NZ1O - Svítidlo nouzové, LED, 3W, 320lm, Ra80, 4000K, IP65, Přisazené/Vestavné, Piktogram, OHŘÍVAČ (-25°C AŽ +40°C), specifikace viz. kniha svítidel</t>
  </si>
  <si>
    <t>NZ2 - Svítidlo nouzové, LED, 3W, 325lm, Ra80, 4000K, IP20, Vestavné, specifikace viz. kniha svítidel</t>
  </si>
  <si>
    <t>NZ3 - Svítidlo nouzové, LED, 3W, 350lm, Ra80, 4000K, IP41, Přisazené, specifikace viz. kniha svítidel</t>
  </si>
  <si>
    <t>NZ4 - Svítidlo nouzové, LED, 3W, 360lm, Ra80, 4000K, IP65, Přisazené, specifikace viz. kniha svítidel</t>
  </si>
  <si>
    <t>SV1 - Svítidlo nouzové, LED, 1W, 125lm, Ra80, 4000K, IP65, Přisazené/Vestavné, Piktogram, specifikace viz. kniha svítidel</t>
  </si>
  <si>
    <t>PŘÍSTROJE</t>
  </si>
  <si>
    <t>Zásuvka jednoduchá 16A/230V, pod omítku, IP44</t>
  </si>
  <si>
    <t>Přepínač střídavý 10A/250V, pod omítku, IP44</t>
  </si>
  <si>
    <t>Přepínač střídavý 10A/250V, pod omítku, IP20</t>
  </si>
  <si>
    <t>Přepínač křížový 10A/250V, pod omítku, IP20</t>
  </si>
  <si>
    <t>Vypínač jednopólový 10A/250V, pod omítku, IP44</t>
  </si>
  <si>
    <t>Vypínač jednopólový 10A/250V, pod omítku, IP20</t>
  </si>
  <si>
    <t>Zásuvka jednoduchá 16A/230V, pod omítku, IP20</t>
  </si>
  <si>
    <t>Zásuvka jednoduchá 16A/230V, na povrch, IP44</t>
  </si>
  <si>
    <t>Zásuvková skříň uzamykatelná, IP44, 2x zásuvka 16A/230V, 1x zásuvka 16A/400V včetně proudového chrániče 25A/4/30mA a jističů 2x B-16/1 a 1x B-16/3</t>
  </si>
  <si>
    <t>Spínač průmyslový 25A/250V, IP44</t>
  </si>
  <si>
    <t>Spínač průmyslový 25A/400V, IP44</t>
  </si>
  <si>
    <t>Pohybové čidlo stropní, na povrch, IP55</t>
  </si>
  <si>
    <t>Zásuvka 16A/400V, na povrch, IP44</t>
  </si>
  <si>
    <t>Zásuvka 16A/400V, pod omítku, IP44</t>
  </si>
  <si>
    <t>Spínač průmyslový 40A/400V, IP44</t>
  </si>
  <si>
    <t>Spínač průmyslový 63A/400V, IP44</t>
  </si>
  <si>
    <t>Samoregulační topný kabel, 30W/m, L=5m, včetně regulace</t>
  </si>
  <si>
    <t xml:space="preserve">Meteostanice KNX (vítr, soumrak, teplota) </t>
  </si>
  <si>
    <t>KNX ovladač tlačítkový, 2 násobný, pod omítku, IP20</t>
  </si>
  <si>
    <t>KNX ovladač tlačítkový, 3 násobný, pod omítku, IP20</t>
  </si>
  <si>
    <t>KNX ovladač tlačítkový, 4 násobný, pod omítku, IP20</t>
  </si>
  <si>
    <t>KNX ovladač tlačítkový, 8 násobný, pod omítku, IP20</t>
  </si>
  <si>
    <t>Požární/havarijní tlačítko na povrch, pod sklem</t>
  </si>
  <si>
    <t>Žaluziové tlačítko, pod omítku, IP20</t>
  </si>
  <si>
    <t>Zásuvka podlahová 4x 16A/230V, 2x RJ45, svodič T3</t>
  </si>
  <si>
    <t>Zásuvka jednoduchá 16A/230V, svodič přepětí, pod omítku, IP20</t>
  </si>
  <si>
    <t>Zásuvka jednoduchá 16A/230V, pro PC, pod omítku, IP20</t>
  </si>
  <si>
    <t>INSTALAČNÍ  MATERIÁL</t>
  </si>
  <si>
    <t>Krabice přístrojová</t>
  </si>
  <si>
    <t>Krabice odbočná</t>
  </si>
  <si>
    <t>Krabice univerzální</t>
  </si>
  <si>
    <t>Trubka pr. 200</t>
  </si>
  <si>
    <t>Kabelová lávka 100x100, včetně příchytek, odboček, oblouků a kotvení</t>
  </si>
  <si>
    <t>Kabelová lávka 200x100, včetně příchytek, odboček, oblouků a kotvení</t>
  </si>
  <si>
    <t>Kabelový žlab  100x100, včetně příchytek, odboček, oblouků a kotvení</t>
  </si>
  <si>
    <t>Kabelový žlab  200x100, včetně příchytek, odboček, oblouků a kotvení</t>
  </si>
  <si>
    <t>Kabelový žlab  300x100, včetně příchytek, odboček, oblouků a kotvení</t>
  </si>
  <si>
    <t>Kabelový žlab  400x100, včetně příchytek, odboček, oblouků a kotvení</t>
  </si>
  <si>
    <t>Kabelový žlab  600x100, včetně příchytek, odboček, oblouků a kotvení</t>
  </si>
  <si>
    <t>Svorka WAGO</t>
  </si>
  <si>
    <t>Ekvipotenciální přípojnice</t>
  </si>
  <si>
    <t>KABELY</t>
  </si>
  <si>
    <t>1-CXKH-V (B2cas1d0) 1x25</t>
  </si>
  <si>
    <t>1-CXKH-V (B2cas1d0) 2x1,5</t>
  </si>
  <si>
    <t>1-CXKH-V (B2cas1d0) 3x1,5</t>
  </si>
  <si>
    <t>1-CXKH-V (B2cas1d0) 3x2,5</t>
  </si>
  <si>
    <t>1-CXKH-V (B2cas1d0) 5x1,5</t>
  </si>
  <si>
    <t>1-CXKH-V (B2cas1d0) 5x10</t>
  </si>
  <si>
    <t>1-CYKY 3x1,5</t>
  </si>
  <si>
    <t>1-CYKY 3x2,5</t>
  </si>
  <si>
    <t>1-CYKY 5x1,5</t>
  </si>
  <si>
    <t>1-CYKY 5x2,5</t>
  </si>
  <si>
    <t>1-YY 1x25</t>
  </si>
  <si>
    <t>1-YY 1x4</t>
  </si>
  <si>
    <t>1-YY 1x6</t>
  </si>
  <si>
    <t>1-CYKY 4x240</t>
  </si>
  <si>
    <t>102, 201</t>
  </si>
  <si>
    <t>1-CYKY 5x240</t>
  </si>
  <si>
    <t>1-CYKY 5x10</t>
  </si>
  <si>
    <t>1-CYKY 5x16</t>
  </si>
  <si>
    <t>1-CYKY 5x35</t>
  </si>
  <si>
    <t>1-CYKY 5x4</t>
  </si>
  <si>
    <t>1-CYKY 5x6</t>
  </si>
  <si>
    <t>1-CYSY 3x2,5</t>
  </si>
  <si>
    <t>1-CYSY 5x10</t>
  </si>
  <si>
    <t>1-CYSY 5x16</t>
  </si>
  <si>
    <t>1-CYSY 5x2,5</t>
  </si>
  <si>
    <t>JY(st)Y 2x2x0,8</t>
  </si>
  <si>
    <t>ROZVADĚČE</t>
  </si>
  <si>
    <t>RE - Samostatný kompaktní pilíř, rozměry ŠxVxH 1x [1000x1900x250mm], krytí IP44, 3+PEN 230/400V, TN-C, Ik" = 20 kA, In = 400A, přístrojová výzbroj dle výkresové dokumentace</t>
  </si>
  <si>
    <t>201, 401</t>
  </si>
  <si>
    <t>RH - Skříňový oceloplechový rozváděč, rozměry ŠxVxH 2x [800x2000x400mm], krytí IP44, 3+PE+N 230/400V, TN-C-S, Ik" = 10 kA, In = 400A, přístrojová výzbroj dle výkresové dokumentace</t>
  </si>
  <si>
    <t>102, 402</t>
  </si>
  <si>
    <t>RP - Nástěnný oceloplechový rozváděč, rozměry ŠxVxH 1x [600x800x200mm], krytí IP44, 3+PE+N 230/400V, TN-S, Ik" = 10 kA, In = 32A, požární odolnost EI30DP1S, přístrojová výzbroj dle výkresové dokumentace</t>
  </si>
  <si>
    <t>102, 403</t>
  </si>
  <si>
    <t>R01 - Skříňový oceloplechový rozváděč, rozměry ŠxVxH 1x [800x2000x400mm], krytí IP44, 3+PE+N 230/400V, TN-S, Ik" = 10 kA, In = 125A, přístrojová výzbroj dle výkresové dokumentace</t>
  </si>
  <si>
    <t>103, 404</t>
  </si>
  <si>
    <t>R10 - Skříňový oceloplechový rozváděč, rozměry ŠxVxH 3x [800x2000x400mm], krytí IP44, 3+PE+N 230/400V, TN-S, Ik" = 10 kA, In = 315A, přístrojová výzbroj dle výkresové dokumentace</t>
  </si>
  <si>
    <t>104, 405</t>
  </si>
  <si>
    <t>ZÁLOŽNÍ ZDROJE</t>
  </si>
  <si>
    <t>ZBZ - Záložní bateriový zdroj, 400V, 4 kVA / 1 cyklus, rozměry ŠxVxH 1x [600x1000x250mm], požární odolnost EI30DP1S</t>
  </si>
  <si>
    <t>BLESKOSVOD A UZEMNĚNÍ</t>
  </si>
  <si>
    <t>JS.01 - Jímací stožár izolovaný ( stojan, podpůrná trubka 3,2m, připojovací sada pro vodiče, jímací tyč 2,5m, včetně PA svorky a ukotvení</t>
  </si>
  <si>
    <t>VO.01 - Vysokonapěťový izolovaný vodič (vysokonapěťová izolace pro s = 0,75 m), včetně podpěr a kotvení</t>
  </si>
  <si>
    <t>VO.02 - Vodič FeZn pr. 10 včetně kotvení a podpěr</t>
  </si>
  <si>
    <t>101, 106</t>
  </si>
  <si>
    <t>VO.03 - Základový zemnící pásek FeZn 30/4 včetně betonového krytí 5 cm</t>
  </si>
  <si>
    <t>SZ.01 - Svorka zkušební včetně litinové chodníkové krabice</t>
  </si>
  <si>
    <t>SV.01 - Spoj provedený svárem</t>
  </si>
  <si>
    <t>Vodič 1-YY 1x6 pro pospojení PA svorek, včetně podpěr a kotvení</t>
  </si>
  <si>
    <t>VEŘEJNÉ OSVĚTLENÍ</t>
  </si>
  <si>
    <t>Demontáž a následná montáž stávajícího stožáru veřejného osvětlení, výkop pro základ, betonový základ pro stožár, ochrana stávajícího kabelu veřejného osvětlení během výstavby.</t>
  </si>
  <si>
    <t>ZEMNÍ PRÁCE</t>
  </si>
  <si>
    <t>Výkop kabelové rýhy (ŠxH) 60x45 cm, pískové lože 2x8 cm, pásek FeZn 30/4, ochranná fólie, betonová deska, zához, zaměření trasy</t>
  </si>
  <si>
    <t>201, 501</t>
  </si>
  <si>
    <t>Výkop kabelové rýhy (ŠxH) 60x80 cm, pískové lože 2x8 cm, pásek FeZn 30/4, ochranná fólie, zához, zaměření trasy</t>
  </si>
  <si>
    <t>Výkop kabelové rýhy (ŠxH) 60x120 cm, betonové lože 2x8 cm, kabelová chránička, pásek FeZn 30/4, ochranná fólie, zához, zaměření trasy</t>
  </si>
  <si>
    <t>Dokumentace skutečného provedení</t>
  </si>
  <si>
    <t>OSTATNÍ</t>
  </si>
  <si>
    <t>Drobný montážní materiál</t>
  </si>
  <si>
    <t>Prostupy a požární ucpávky</t>
  </si>
  <si>
    <t>Naprogramování a oživení řídícího systému žaluzií a oken</t>
  </si>
  <si>
    <t>CELKEM</t>
  </si>
  <si>
    <t>Poznámka:
Ceny uvedené v rozpočtu jsou včetně dodávky a montáže. Nedílnou součástí rozpočtu je výkresová dokumentace.</t>
  </si>
  <si>
    <t>číslo položky</t>
  </si>
  <si>
    <t>Zatřídění</t>
  </si>
  <si>
    <t>název položky</t>
  </si>
  <si>
    <t>mn.</t>
  </si>
  <si>
    <t>poznámka</t>
  </si>
  <si>
    <t>cena celkem</t>
  </si>
  <si>
    <t>ZAŘÍZENÍ č.1 - Větrání jídelny</t>
  </si>
  <si>
    <t>.</t>
  </si>
  <si>
    <t>Dplx6500</t>
  </si>
  <si>
    <t>429-R01</t>
  </si>
  <si>
    <t>Nástřešní větrací jednotka 6500 s protiproudým rekuperačním výměníkem (detaily viz tech. Specifikace), Qp=5000 m3/h, Qo=4500 m3/h (400 Pa),
-Elektrický ohřívač, přímý chladič (2okruhy), filtrace G4, EC motory
- vč. autonomní regulace s možnéstí ovládání přes webové rozhraní, rozhranní modbus a nástěnného regulátoru. Regulace systému VZT i chlazení je komplet součástí dodávky včetně oživení zařízení.</t>
  </si>
  <si>
    <t>1.1-1.2</t>
  </si>
  <si>
    <t>KJ1</t>
  </si>
  <si>
    <t>429-R02</t>
  </si>
  <si>
    <t>Kondenzační jednotka  pro přímý výpar Qchl=14 kW, Qtop=16kW
Včetně příslušentsví pro napojení na VZT jednotku, potrubí, chladiva,
komunikačního kabelu a regulace</t>
  </si>
  <si>
    <t>Cu1016</t>
  </si>
  <si>
    <t>429-R03</t>
  </si>
  <si>
    <t>Cu izolovaná dvojtrubka 9,52/15,88 mm</t>
  </si>
  <si>
    <t>OdvKond</t>
  </si>
  <si>
    <t>429-R04</t>
  </si>
  <si>
    <t>Odvod kondenzátu VZT jednotky do kanalizace (vzdálenost do 2m)</t>
  </si>
  <si>
    <t>1.5</t>
  </si>
  <si>
    <t>429-R05</t>
  </si>
  <si>
    <t>Vyhřívaný odvod kondenzátu kondenzační jednotky na střechu</t>
  </si>
  <si>
    <t>Tlumiče hluku</t>
  </si>
  <si>
    <t>1.6</t>
  </si>
  <si>
    <t>TH7045200</t>
  </si>
  <si>
    <t>429-R06</t>
  </si>
  <si>
    <t>THKU 700.450.2000, 3xKTH 100.450.2000, (vč. náběhových a odtokových hran)</t>
  </si>
  <si>
    <t>1.7</t>
  </si>
  <si>
    <t>TH6350200</t>
  </si>
  <si>
    <t>429-R07</t>
  </si>
  <si>
    <t>THKU 630.500.2000, 3xKTH 100.500.2000, (vč. náběhových a odtokových hran)</t>
  </si>
  <si>
    <t>1.8</t>
  </si>
  <si>
    <t>TH7050300</t>
  </si>
  <si>
    <t>429-R08</t>
  </si>
  <si>
    <t>THKU 700.500.3000, 3xKTH 100.500.3000, (vč. náběhových a odtokových hran)</t>
  </si>
  <si>
    <t>Potrubí kruhové</t>
  </si>
  <si>
    <t>1.9</t>
  </si>
  <si>
    <t>SPIRO315</t>
  </si>
  <si>
    <t>42981170R</t>
  </si>
  <si>
    <t>Potrubí spiro DN 315 vč. těsných tvarovek (25%)</t>
  </si>
  <si>
    <t>1.10</t>
  </si>
  <si>
    <t>SPIRO250</t>
  </si>
  <si>
    <t>42981168R</t>
  </si>
  <si>
    <t>Potrubí spiro DN 250 vč. těsných tvarovek (25%)</t>
  </si>
  <si>
    <t>1.11</t>
  </si>
  <si>
    <t>SPIRO200</t>
  </si>
  <si>
    <t>42981166R</t>
  </si>
  <si>
    <t>Potrubí spiro DN 200 vč. těsných tvarovek (25%)</t>
  </si>
  <si>
    <t>1.12</t>
  </si>
  <si>
    <t>SPIRO125</t>
  </si>
  <si>
    <t>42981162R</t>
  </si>
  <si>
    <t>Potrubí spiro DN 125 vč. těsných tvarovek (25%)</t>
  </si>
  <si>
    <t>1.13</t>
  </si>
  <si>
    <t>SPIRO100</t>
  </si>
  <si>
    <t>42981161R</t>
  </si>
  <si>
    <t>Potrubí spiro DN 100 vč. těsných tvarovek (25%)</t>
  </si>
  <si>
    <t>1.14</t>
  </si>
  <si>
    <t>SONO250</t>
  </si>
  <si>
    <t>Flexibilní hadice se zvuk. Izolací (25 mm) typu Sono DN 250</t>
  </si>
  <si>
    <t>1.15</t>
  </si>
  <si>
    <t>SONO200</t>
  </si>
  <si>
    <t>Flexibilní hadice se zvuk. Izolací (25 mm) typu Sono DN 200</t>
  </si>
  <si>
    <t>1.16</t>
  </si>
  <si>
    <t>SONO125</t>
  </si>
  <si>
    <t>Flexibilní hadice se zvuk. Izolací (25 mm) typu Sono DN 125</t>
  </si>
  <si>
    <t>1.17</t>
  </si>
  <si>
    <t>SONO100</t>
  </si>
  <si>
    <t>Flexibilní hadice se zvuk. Izolací (25 mm) typu Sono DN 100</t>
  </si>
  <si>
    <t>Potrubí čtyřhranné</t>
  </si>
  <si>
    <t>1.18</t>
  </si>
  <si>
    <t>4hrskIB06</t>
  </si>
  <si>
    <t>429-R09</t>
  </si>
  <si>
    <t>Čtyřhranné potrubí (sk. I z pozinkovaného ocelového plechu tl. 0,6 mm s třídou vzduchotěsnosti B) do rozměru hrany 500 mm vč. tvarovek 30%</t>
  </si>
  <si>
    <t>1.19</t>
  </si>
  <si>
    <t>4hrskIB08</t>
  </si>
  <si>
    <t>429-R10</t>
  </si>
  <si>
    <t>Čtyřhranné potrubí (sk. I z pozinkovaného ocelového plechu tl. 0,8 mm s třídou vzduchotěsnosti B) do rozměru hrany 710 mm vč. tvarovek 30%</t>
  </si>
  <si>
    <t>1.20</t>
  </si>
  <si>
    <t>429-R12</t>
  </si>
  <si>
    <t>Čtyřhranné potrubí (sk. I z pozinkovaného ocelového plechu tl. 0,6 mm, vodotěsné provedení) do rozměru hrany 500 mm vč. tvarovek 30%</t>
  </si>
  <si>
    <t>1.21</t>
  </si>
  <si>
    <t>429-R13</t>
  </si>
  <si>
    <t>Čtyřhranné potrubí (sk. I z pozinkovaného ocelového plechu tl. 0,8 mm, vodotěsné provedení) do rozměru hrany 710 mm vč. tvarovek 30%</t>
  </si>
  <si>
    <t>Požární klapky</t>
  </si>
  <si>
    <t>1.22</t>
  </si>
  <si>
    <t>PK09</t>
  </si>
  <si>
    <t>429-R15</t>
  </si>
  <si>
    <t>Požární klapka kruhové DN250, ruční, teplotní, koncový spínač "zavřeno", EIS 30</t>
  </si>
  <si>
    <t>1.23</t>
  </si>
  <si>
    <t>PK10</t>
  </si>
  <si>
    <t>429-R16</t>
  </si>
  <si>
    <t>Požární stěnový uzáveř 200x300 se servopohonem 230 V a s termoelektrickým aktivačním zařízením</t>
  </si>
  <si>
    <t>1.24</t>
  </si>
  <si>
    <t>PK11</t>
  </si>
  <si>
    <t>429-R17</t>
  </si>
  <si>
    <t>1.25</t>
  </si>
  <si>
    <t>TI100</t>
  </si>
  <si>
    <t>429-R18</t>
  </si>
  <si>
    <t>Tepelná izolace z kamenné vlny s hliníkovou folií na trny, tl. 100 mm, λ=0,04W/mK</t>
  </si>
  <si>
    <t>1.26</t>
  </si>
  <si>
    <t>TI25</t>
  </si>
  <si>
    <t>429-R19</t>
  </si>
  <si>
    <t>Samolepící kaučuková izolace s hliníkovou folií, tl. 25 mm, λ=0,038W/mK</t>
  </si>
  <si>
    <t>Koncové prvky</t>
  </si>
  <si>
    <t>1.27</t>
  </si>
  <si>
    <t>VKS630500</t>
  </si>
  <si>
    <t>429-R22</t>
  </si>
  <si>
    <t>Výfukový kus 630x500 mm vč. sítě proti ptákům</t>
  </si>
  <si>
    <t>1.28</t>
  </si>
  <si>
    <t>V2Ř400320</t>
  </si>
  <si>
    <t>429-R57</t>
  </si>
  <si>
    <t>Vyústka nastavitelná 2 řadá 400x320 mm, Sef=0,072m2, barva dle arch., vč. regulace a vč. přechodového boxu na potrubí DN 250 mm</t>
  </si>
  <si>
    <t>1.29</t>
  </si>
  <si>
    <t>R230001</t>
  </si>
  <si>
    <t>429-R23</t>
  </si>
  <si>
    <t>Talířový ventil odtah vzduchu KO 100 - včetně rámečku</t>
  </si>
  <si>
    <t>1.30</t>
  </si>
  <si>
    <t>R230002</t>
  </si>
  <si>
    <t>Talířový ventil odtah vzduchu KO 125 - včetně rámečku</t>
  </si>
  <si>
    <t>1.31</t>
  </si>
  <si>
    <t>R230004</t>
  </si>
  <si>
    <t>Talířový ventil odtah vzduchu KO 200 - včetně rámečku</t>
  </si>
  <si>
    <t>1.32</t>
  </si>
  <si>
    <t>DIG05</t>
  </si>
  <si>
    <t>429-R27</t>
  </si>
  <si>
    <t>Nerezová digestoř 2000x900x440 mm, vč. osvětlení a tukových filtrů
nákres viz specifikace zařízení</t>
  </si>
  <si>
    <t>1.33</t>
  </si>
  <si>
    <t>DIG06</t>
  </si>
  <si>
    <t>429-R28</t>
  </si>
  <si>
    <t>Nerezová digestoř 1300x800x440 mm, vč. osvětlení a tukových filtrů
nákres viz specifikace zařízení</t>
  </si>
  <si>
    <t>1.34</t>
  </si>
  <si>
    <t>DIG07</t>
  </si>
  <si>
    <t>429-R29</t>
  </si>
  <si>
    <t>Nerezová digestoř 2200x800x440 mm, vč. osvětlení a tukových filtrů
nákres viz specifikace zařízení</t>
  </si>
  <si>
    <t>1.35</t>
  </si>
  <si>
    <t>DIG08</t>
  </si>
  <si>
    <t>429-R30</t>
  </si>
  <si>
    <t>1.36</t>
  </si>
  <si>
    <t>DIG09</t>
  </si>
  <si>
    <t>429-R31</t>
  </si>
  <si>
    <t>Nerezová digestoř 1000x800x440 mm, vč. osvětlení a tukových filtrů
nákres viz specifikace zařízení</t>
  </si>
  <si>
    <t>1.37</t>
  </si>
  <si>
    <t>SM400100</t>
  </si>
  <si>
    <t>429-R65</t>
  </si>
  <si>
    <t>Stěnová mřížka s roztečí lamel 12,5mm,  400x100 mm, barva dle arch.</t>
  </si>
  <si>
    <t>1.38</t>
  </si>
  <si>
    <t>SM800100</t>
  </si>
  <si>
    <t>Stěnová mřížka s roztečí lamel 12,5mm,  800x100 mm, barva dle arch.</t>
  </si>
  <si>
    <t>Regulační prvky</t>
  </si>
  <si>
    <t>1.39</t>
  </si>
  <si>
    <t>ŠKR250</t>
  </si>
  <si>
    <t>429-R32</t>
  </si>
  <si>
    <t>Škrtící klapka ruční DN 250</t>
  </si>
  <si>
    <t>1.40</t>
  </si>
  <si>
    <t>ŠKR200</t>
  </si>
  <si>
    <t>429-R33</t>
  </si>
  <si>
    <t>Škrtící klapka ruční DN 200</t>
  </si>
  <si>
    <t>1.41</t>
  </si>
  <si>
    <t>OPLECHiZ</t>
  </si>
  <si>
    <t>429-R34</t>
  </si>
  <si>
    <t>Oplechování izolace v exteriéru budovy</t>
  </si>
  <si>
    <t>1.42</t>
  </si>
  <si>
    <t>Požucp</t>
  </si>
  <si>
    <t>429-R35</t>
  </si>
  <si>
    <t>Požární ucpávky</t>
  </si>
  <si>
    <t>sou</t>
  </si>
  <si>
    <t>1.43</t>
  </si>
  <si>
    <t>OSTMAT</t>
  </si>
  <si>
    <t>429-R36</t>
  </si>
  <si>
    <t>Montážní, upevňovací, těsnící a  pomocný materiál, příruby, šrouby, konzoly, závitové tyče, objímky, antivibrační vložky, podložky a závěsy, těsnící tmely, lepící pásky, regulační vložky, lapače kondenzátu</t>
  </si>
  <si>
    <t>ZAŘÍZENÍ č.2 - Větrání kuchyně</t>
  </si>
  <si>
    <t>2a</t>
  </si>
  <si>
    <t>Dplx10100</t>
  </si>
  <si>
    <t>429-R68</t>
  </si>
  <si>
    <t>Nástřešní větrací jednotka 10100 s křížovým výměníkem (detaily viz tech. Specifikace), Qp=8000 m3/h, Qo=8300 m3/h (300 Pa)
- Vodní ohřívač, přímý chladič (2 okruhy), filtrace G4, EC motory
- vč. autonomní regulace s možnéstí ovládání přes webové rozhraní, rozhranní modbus a nástěnného regulátoru. Regulace systému VZT i chlazení je komplet součástí dodávky včetně oživení zařízení.</t>
  </si>
  <si>
    <t>2a.1-2a.2</t>
  </si>
  <si>
    <t>KJ2</t>
  </si>
  <si>
    <t>429-R69</t>
  </si>
  <si>
    <t>Kondenzační jednotka  pro přímý výpar Qchl=18 kW, Qtop=20kW
Včetně příslušentsví pro napojení na VZT jednotku, chladiva,
komunikačního kabelu a regulace</t>
  </si>
  <si>
    <t>2b</t>
  </si>
  <si>
    <t>429-R70</t>
  </si>
  <si>
    <t>Nástřešní větrací jednotka 10100 s křížovým výměníkem (detaily viz tech. Specifikace), Qp=8000 m3/h, Qo=8500 m3/h (300 Pa)
- Vodní ohřívač, přímý chladič (2 okruhy), filtrace G4, EC motory
- vč. autonomní regulace s možnéstí ovládání přes webové rozhraní, rozhranní modbus a nástěnného regulátoru. Regulace systému VZT i chlazení je komplet součástí dodávky včetně oživení zařízení.</t>
  </si>
  <si>
    <t>2b.1-2b.2</t>
  </si>
  <si>
    <t>429-R71</t>
  </si>
  <si>
    <t>2.3</t>
  </si>
  <si>
    <t>429-R72</t>
  </si>
  <si>
    <t>2.4</t>
  </si>
  <si>
    <t>429-R73</t>
  </si>
  <si>
    <t>2.5</t>
  </si>
  <si>
    <t>Cu1225</t>
  </si>
  <si>
    <t>429-R74</t>
  </si>
  <si>
    <t>Cu izolovaná dvojtrubka 12,7/25,4 mm</t>
  </si>
  <si>
    <t>2.6</t>
  </si>
  <si>
    <t>THKU9063100</t>
  </si>
  <si>
    <t>429-R75</t>
  </si>
  <si>
    <t>THKU 900.630.1000, 4xKTH 100.630.1000</t>
  </si>
  <si>
    <t>2.7</t>
  </si>
  <si>
    <t>THKU10063200</t>
  </si>
  <si>
    <t>429-R76</t>
  </si>
  <si>
    <t>THKU 1000.630.2000, 5xKTH 100.630.2000</t>
  </si>
  <si>
    <t>2.8</t>
  </si>
  <si>
    <t>THKU9063300</t>
  </si>
  <si>
    <t>THKU 900.630.3000, 4xKTH 100.630.3000</t>
  </si>
  <si>
    <t>2.9</t>
  </si>
  <si>
    <t>Potrubí spiro DN 315 vč. těsných tvarovek (15%)</t>
  </si>
  <si>
    <t>2.10</t>
  </si>
  <si>
    <t>Potrubí spiro DN 250 vč. těsných tvarovek (20%)</t>
  </si>
  <si>
    <t>2.11</t>
  </si>
  <si>
    <t>Potrubí spiro DN 200 vč. těsných tvarovek (15%)</t>
  </si>
  <si>
    <t>2.12</t>
  </si>
  <si>
    <t>SPIRO160</t>
  </si>
  <si>
    <t>42981164R</t>
  </si>
  <si>
    <t>Potrubí spiro DN 160 vč. těsných tvarovek (25%)</t>
  </si>
  <si>
    <t>2.13</t>
  </si>
  <si>
    <t>2.14</t>
  </si>
  <si>
    <t>2.15</t>
  </si>
  <si>
    <t>2.16</t>
  </si>
  <si>
    <t>429-R77</t>
  </si>
  <si>
    <t>2.17</t>
  </si>
  <si>
    <t>4hrskIB09</t>
  </si>
  <si>
    <t>429-R78</t>
  </si>
  <si>
    <t>Čtyřhranné potrubí (sk. I z pozinkovaného ocelového plechu tl. 0,9 mm s třídou vzduchotěsnosti B) do rozměru hrany 1600 mm vč. tvarovek 30%</t>
  </si>
  <si>
    <t>2.18</t>
  </si>
  <si>
    <t>429-R79</t>
  </si>
  <si>
    <t>2.19</t>
  </si>
  <si>
    <t>429-R80</t>
  </si>
  <si>
    <t>2.20</t>
  </si>
  <si>
    <t>429-R81</t>
  </si>
  <si>
    <t>Čtyřhranné potrubí (sk. I z pozinkovaného ocelového plechu tl. 0,9 mm, vodotěsné provedení) do rozměru hrany 1600 mm vč. tvarovek 30%</t>
  </si>
  <si>
    <t>2.21</t>
  </si>
  <si>
    <t>2.22</t>
  </si>
  <si>
    <t>TV01</t>
  </si>
  <si>
    <t>429-R87</t>
  </si>
  <si>
    <t>Textilní vyústka DN 630, nákres viz specifikace zařízení</t>
  </si>
  <si>
    <t>2.23</t>
  </si>
  <si>
    <t>TV02</t>
  </si>
  <si>
    <t>2.24</t>
  </si>
  <si>
    <t>DIG01</t>
  </si>
  <si>
    <t>429-R88</t>
  </si>
  <si>
    <t>Nerezová digestoř 3600x2500x550 mm, vč. osvětlení a tukových filtrů
nákres viz specifikace zařízení</t>
  </si>
  <si>
    <t>2.25</t>
  </si>
  <si>
    <t>DIG02</t>
  </si>
  <si>
    <t>429-R89</t>
  </si>
  <si>
    <t>Nerezová digestoř 3450x2500x550 mm, vč. osvětlení a tukových filtrů
nákres viz specifikace zařízení</t>
  </si>
  <si>
    <t>2.26</t>
  </si>
  <si>
    <t>DIG03</t>
  </si>
  <si>
    <t>Nerezová digestoř 3000x1550x550 mm, vč. osvětlení a tukových filtrů
nákres viz specifikace zařízení</t>
  </si>
  <si>
    <t>2.27</t>
  </si>
  <si>
    <t>DIG04</t>
  </si>
  <si>
    <t>Nerezová digestoř 1300x1000x440 mm, vč. osvětlení a tukových filtrů
nákres viz specifikace zařízení</t>
  </si>
  <si>
    <t>2.28</t>
  </si>
  <si>
    <t>2.29</t>
  </si>
  <si>
    <t>V2Ř320200</t>
  </si>
  <si>
    <t>Vyústka nastavitelná 2 řadá 320x200 mm, Sef=0,036m2, barva dle arch., vč. regulace a vč. přechodového boxu na potrubí DN 160 mm</t>
  </si>
  <si>
    <t>2.30</t>
  </si>
  <si>
    <t>2.31</t>
  </si>
  <si>
    <t>2.32</t>
  </si>
  <si>
    <t>R230103</t>
  </si>
  <si>
    <t>Talířový ventil přívod vzduchu KI 160 - včetně rámečku</t>
  </si>
  <si>
    <t>2.33</t>
  </si>
  <si>
    <t>VK1Ř1025125</t>
  </si>
  <si>
    <t>Vyústka na kruhové potrubí jednořadá 1025x125 mm, Sef=0,077m2, barva dle arch. vč. regulace</t>
  </si>
  <si>
    <t>2.34</t>
  </si>
  <si>
    <t>2.35</t>
  </si>
  <si>
    <t>VKS1000630</t>
  </si>
  <si>
    <t>Výfukový kus 1000x630 mm vč. sítě proti ptákům</t>
  </si>
  <si>
    <t>2.36</t>
  </si>
  <si>
    <t>ŠKR400355</t>
  </si>
  <si>
    <t>429-R90</t>
  </si>
  <si>
    <t>Škrtící klapka ruční 400x355</t>
  </si>
  <si>
    <t>2.37</t>
  </si>
  <si>
    <t>ŠKR500355</t>
  </si>
  <si>
    <t>429-R91</t>
  </si>
  <si>
    <t>Škrtící klapka ruční 500x355</t>
  </si>
  <si>
    <t>2.38</t>
  </si>
  <si>
    <t>ŠKR315</t>
  </si>
  <si>
    <t>Škrtící klapka ruční DN 315</t>
  </si>
  <si>
    <t>2.39</t>
  </si>
  <si>
    <t>2.40</t>
  </si>
  <si>
    <t>2.41</t>
  </si>
  <si>
    <t>ŠKR160</t>
  </si>
  <si>
    <t>Škrtící klapka ruční DN 160</t>
  </si>
  <si>
    <t>2.42</t>
  </si>
  <si>
    <t>429-R92</t>
  </si>
  <si>
    <t>2.43</t>
  </si>
  <si>
    <t>429-R93</t>
  </si>
  <si>
    <t>ZAŘÍZENÍ č. 3 - Větrání družin a sociálního zařízení</t>
  </si>
  <si>
    <t>Dplx4500</t>
  </si>
  <si>
    <t>429-R37</t>
  </si>
  <si>
    <t>Větrací jednotka 3500 s protiproudým výměníkem (detaily viz tech. Specifikace),
Qp=2425 m3/h, Qo=2425 m3/h (400 Pa)
- Elektrický ohřívač, přímý chladič, filtrace G4, EC motory
- vč. autonomní regulace s možnéstí ovládání přes webové rozhraní, rozhranní modbus a nástěnného regulátoru. Regulace systému VZT i chlazení je komplet součástí dodávky včetně oživení zařízení.</t>
  </si>
  <si>
    <t>Router</t>
  </si>
  <si>
    <t>429-R38</t>
  </si>
  <si>
    <t>Router+switch pro ovládání VAV boxů</t>
  </si>
  <si>
    <t>3.1-3.2</t>
  </si>
  <si>
    <t>VAV250</t>
  </si>
  <si>
    <t>429-R40</t>
  </si>
  <si>
    <t>VAV box DN 250 dělený, vč. regulační skříně</t>
  </si>
  <si>
    <t>3.3-3.4</t>
  </si>
  <si>
    <t>VAV200</t>
  </si>
  <si>
    <t>429-R39</t>
  </si>
  <si>
    <t>VAV box DN 200 dělený, vč. regulační skříně</t>
  </si>
  <si>
    <t>3.5</t>
  </si>
  <si>
    <t>KJ3</t>
  </si>
  <si>
    <t>429-R41</t>
  </si>
  <si>
    <t>Kondenzační jednotka  pro přímý výpar Qchl=12 kW, Qtop=14kW
Včetně příslušentsví pro napojení na VZT jednotku, chladiva,
komunikačního kabelu a regulace</t>
  </si>
  <si>
    <t>3.6</t>
  </si>
  <si>
    <t>429-R42</t>
  </si>
  <si>
    <t>3.7</t>
  </si>
  <si>
    <t>ChladR410</t>
  </si>
  <si>
    <t>429-R43</t>
  </si>
  <si>
    <t>Doplnění chladiva R410A</t>
  </si>
  <si>
    <t>3.8</t>
  </si>
  <si>
    <t>429-R44</t>
  </si>
  <si>
    <t>3.9</t>
  </si>
  <si>
    <t>429-R45</t>
  </si>
  <si>
    <t>3.10</t>
  </si>
  <si>
    <t>CO2</t>
  </si>
  <si>
    <t>429-R46</t>
  </si>
  <si>
    <t>ADS CO2 24 - čidlo CO2, prostorové</t>
  </si>
  <si>
    <t>3.11</t>
  </si>
  <si>
    <t>THKU3525150</t>
  </si>
  <si>
    <t>429-R47</t>
  </si>
  <si>
    <t>THKU 355.250.1500, 2xKTH 100.250.1500, (vč. náběhových a odtokových hran)</t>
  </si>
  <si>
    <t>3.12</t>
  </si>
  <si>
    <t>THKU4025150</t>
  </si>
  <si>
    <t>429-R48</t>
  </si>
  <si>
    <t>THKU 400.250.1500, 2xKTH 100.250.1500, (vč. náběhových a odtokových hran)</t>
  </si>
  <si>
    <t>3.13</t>
  </si>
  <si>
    <t>THKU6325300</t>
  </si>
  <si>
    <t>THKU 630.250.3000, 3xKTH 100.250.3000, (vč. náběhových a odtokových hran)</t>
  </si>
  <si>
    <t>3.14</t>
  </si>
  <si>
    <t>3.15</t>
  </si>
  <si>
    <t>Potrubí spiro DN 200 vč. těsných tvarovek (35%)</t>
  </si>
  <si>
    <t>3.16</t>
  </si>
  <si>
    <t>3.17</t>
  </si>
  <si>
    <t>3.18</t>
  </si>
  <si>
    <t>3.19</t>
  </si>
  <si>
    <t>3.20</t>
  </si>
  <si>
    <t>3.21</t>
  </si>
  <si>
    <t>3.22</t>
  </si>
  <si>
    <t>429-R50</t>
  </si>
  <si>
    <t>3.23</t>
  </si>
  <si>
    <t>429-R51</t>
  </si>
  <si>
    <t>3.24</t>
  </si>
  <si>
    <t>PK03</t>
  </si>
  <si>
    <t>429-R52</t>
  </si>
  <si>
    <t>Požární klapka čtyřhranná 400x250, ruční, teplotní, koncový spínač "zavřeno", EIS 30</t>
  </si>
  <si>
    <t>3.25</t>
  </si>
  <si>
    <t>PK04</t>
  </si>
  <si>
    <t>429-R53</t>
  </si>
  <si>
    <t>Požární klapka čtyřhranná 630x250, ruční, teplotní, koncový spínač "zavřeno", EIS 30</t>
  </si>
  <si>
    <t>3.26</t>
  </si>
  <si>
    <t>PK05</t>
  </si>
  <si>
    <t>Požární klapka čtyřhranná 355x250, ruční, teplotní, koncový spínač "zavřeno", EIS 30 + upevňovací rám pro instalaci mimo konstrukci</t>
  </si>
  <si>
    <t>3.27</t>
  </si>
  <si>
    <t>3.28</t>
  </si>
  <si>
    <t>V2Ř280150</t>
  </si>
  <si>
    <t>Vyústka nastavitelná 2 řadá 280x150 mm, Sef=0,033m2, barva dle arch., vč. regulace</t>
  </si>
  <si>
    <t>3.29</t>
  </si>
  <si>
    <t>SV1Ř400280</t>
  </si>
  <si>
    <t>429-R58</t>
  </si>
  <si>
    <t>Stěnová vyústka jednořadá°,  400x280 mm, Sef=0,072m2, barva dle arch., vč. regulace</t>
  </si>
  <si>
    <t>3.30</t>
  </si>
  <si>
    <t>VVM600p</t>
  </si>
  <si>
    <t>429-R59</t>
  </si>
  <si>
    <t>Anemostat přívodní vč. plenum boxu a regulační klapky, velikost 600, počet lamel 24,  čelní deska čvercová, vstup do boxu vodorovný DN 200, V=410m3/h</t>
  </si>
  <si>
    <t>3.31</t>
  </si>
  <si>
    <t>429-R62</t>
  </si>
  <si>
    <t>3.32</t>
  </si>
  <si>
    <t>429-R63</t>
  </si>
  <si>
    <t>3.33</t>
  </si>
  <si>
    <t>429-R64</t>
  </si>
  <si>
    <t>3.34</t>
  </si>
  <si>
    <t>R230104</t>
  </si>
  <si>
    <t>Talířový ventil přívod vzduchu KI 200 - včetně rámečku</t>
  </si>
  <si>
    <t>3.35</t>
  </si>
  <si>
    <t>R230102</t>
  </si>
  <si>
    <t>Talířový ventil přívod vzduchu KI 125 - včetně rámečku</t>
  </si>
  <si>
    <t>3.36</t>
  </si>
  <si>
    <t>3.37</t>
  </si>
  <si>
    <t>429-R66</t>
  </si>
  <si>
    <t>3.38</t>
  </si>
  <si>
    <t>429-R67</t>
  </si>
  <si>
    <t>ZAŘÍZENÍ č.4 - Větrání zázemí kuchyně ve 2.PP</t>
  </si>
  <si>
    <t>Dplx5500</t>
  </si>
  <si>
    <t>429-R94</t>
  </si>
  <si>
    <t>Větrací jednotka 2500 s protiproudým výměníkem (detaily viz tech. Specifikace),
Qp=1930 m3/h, Qo=1930 m3/h (300 Pa)
- Elektrický ohřívač, filtrace G4, EC motory
- vč. autonomní regulace s možnéstí ovládání přes webové rozhraní, rozhranní modbus a nástěnného regulátoru. Regulace systému VZT i chlazení je komplet součástí dodávky včetně oživení zařízení.</t>
  </si>
  <si>
    <t>429-R98</t>
  </si>
  <si>
    <t>TH4040150</t>
  </si>
  <si>
    <t>429-R100</t>
  </si>
  <si>
    <t>THKU 400.400.1500, 2xKTH 100.400.1500, (vč. náběhových a odtokových hran)</t>
  </si>
  <si>
    <t>4.3</t>
  </si>
  <si>
    <t>4.4</t>
  </si>
  <si>
    <t>4.5</t>
  </si>
  <si>
    <t>4.6</t>
  </si>
  <si>
    <t>4.7</t>
  </si>
  <si>
    <t>Potrubí spiro DN 100 vč. těsných tvarovek (15%)</t>
  </si>
  <si>
    <t>4.8</t>
  </si>
  <si>
    <t>4.9</t>
  </si>
  <si>
    <t>SONO160</t>
  </si>
  <si>
    <t>Flexibilní hadice se zvuk. Izolací (25 mm) typu Sono DN 160</t>
  </si>
  <si>
    <t>4.10</t>
  </si>
  <si>
    <t>4.11</t>
  </si>
  <si>
    <t>4.12</t>
  </si>
  <si>
    <t>429-R102</t>
  </si>
  <si>
    <t>4.13</t>
  </si>
  <si>
    <t>PK01</t>
  </si>
  <si>
    <t>429-R108</t>
  </si>
  <si>
    <t>Požární klapka čtyřhranná 400x400, ruční, teplotní, koncový spínač "zavřeno", EIS 30</t>
  </si>
  <si>
    <t>4.14</t>
  </si>
  <si>
    <t>PK02</t>
  </si>
  <si>
    <t>429-R109</t>
  </si>
  <si>
    <t>4.15</t>
  </si>
  <si>
    <t>429-R114</t>
  </si>
  <si>
    <t>4.16</t>
  </si>
  <si>
    <t>4.17</t>
  </si>
  <si>
    <t>429-R116</t>
  </si>
  <si>
    <t>4.18</t>
  </si>
  <si>
    <t>R230003</t>
  </si>
  <si>
    <t>429-R117</t>
  </si>
  <si>
    <t>Talířový ventil odtah vzduchu KO 160 - včetně rámečku</t>
  </si>
  <si>
    <t>4.19</t>
  </si>
  <si>
    <t>429-R118</t>
  </si>
  <si>
    <t>4.20</t>
  </si>
  <si>
    <t>429-R119</t>
  </si>
  <si>
    <t>4.21</t>
  </si>
  <si>
    <t>429-R120</t>
  </si>
  <si>
    <t>Anemostat přívodní vč. plenum boxu a regulační klapky, velikost 600, počet lamel 24,  čelní deska čvercová, vstup do boxu vodorovný DN 200, V=350m3/h</t>
  </si>
  <si>
    <t>4.22</t>
  </si>
  <si>
    <t>V1Ř280200</t>
  </si>
  <si>
    <t>Vyústka nastavitelná 1 řadá 280x200 mm, Sef=0,039m2, barva dle arch., vč. regulace</t>
  </si>
  <si>
    <t>4.23</t>
  </si>
  <si>
    <t>V1Ř280100</t>
  </si>
  <si>
    <t>Vyústka nastavitelná 1 řadá 280x100 mm, Sef=0,019m2, barva dle arch., vč. regulace</t>
  </si>
  <si>
    <t>4.24</t>
  </si>
  <si>
    <t>V1Ř20075</t>
  </si>
  <si>
    <t>Vyústka nastavitelná 1 řadá 200x75 mm, Sef=0,009m2, barva dle arch., vč. regulace</t>
  </si>
  <si>
    <t>4.25</t>
  </si>
  <si>
    <t>DIG10</t>
  </si>
  <si>
    <t>429-R123</t>
  </si>
  <si>
    <t>4.26</t>
  </si>
  <si>
    <t>429-R126</t>
  </si>
  <si>
    <t>4.27</t>
  </si>
  <si>
    <t>429-R127</t>
  </si>
  <si>
    <t>4.28</t>
  </si>
  <si>
    <t>429-R130</t>
  </si>
  <si>
    <t>4.29</t>
  </si>
  <si>
    <t>429-R131</t>
  </si>
  <si>
    <t>4.30</t>
  </si>
  <si>
    <t>429-R132</t>
  </si>
  <si>
    <t>Montážní, upevňovací, těsnící a  pomocný materiál, příruby, šrouby, konzoly, závitové tyče, objímky, antivibrační vložky, podložky a závěsy, těsnící tmely, lepící pásky, regulační vložky</t>
  </si>
  <si>
    <t>Společné sání a výfuk pro zařízení 3, 4 a 5</t>
  </si>
  <si>
    <t>4.33</t>
  </si>
  <si>
    <t>429-R133</t>
  </si>
  <si>
    <t>4.34</t>
  </si>
  <si>
    <t>4.35</t>
  </si>
  <si>
    <t>429-R103</t>
  </si>
  <si>
    <t>4.36</t>
  </si>
  <si>
    <t>PŽ8001400</t>
  </si>
  <si>
    <t>429-R135</t>
  </si>
  <si>
    <t>Protidešťová žaluzie 800x1400mm, Sef=0,375 m2, síť proti ptákům (barva dle arch.)</t>
  </si>
  <si>
    <t>4.37</t>
  </si>
  <si>
    <t>4.38</t>
  </si>
  <si>
    <t>TI50</t>
  </si>
  <si>
    <t>Samolepící kaučuková izolace s hliníkovou folií, tl. 25 mm, lepená ve dvou vrstvách pro dosažení tloušťky 50 mm, λ=0,038W/mK</t>
  </si>
  <si>
    <t>4.39</t>
  </si>
  <si>
    <t>PI60</t>
  </si>
  <si>
    <t>429-R21</t>
  </si>
  <si>
    <t>Požární izolace pro potrubí typu B, EI 30, (o-i)S z kamenné vlny na pletivu s hliníkovou folií, tl.60 mm</t>
  </si>
  <si>
    <t>4.40</t>
  </si>
  <si>
    <t>TI30</t>
  </si>
  <si>
    <t>Desky z tvrzeného polyuretanu tl. 30 mm, λ=0,025W/mK</t>
  </si>
  <si>
    <t>4.41</t>
  </si>
  <si>
    <t>PK06</t>
  </si>
  <si>
    <t>Požární klapka čtyřhranná 630x400, ruční, teplotní, koncový spínač "zavřeno", EIS 30 + upevňovací rám pro instalaci mimo konstrukci</t>
  </si>
  <si>
    <t>4.42</t>
  </si>
  <si>
    <t>PK07</t>
  </si>
  <si>
    <t>Požární klapka čtyřhranná 630x400, ruční, teplotní, koncový spínač "zavřeno", EIS 30</t>
  </si>
  <si>
    <t>4.43</t>
  </si>
  <si>
    <t>PK08</t>
  </si>
  <si>
    <t>4.44</t>
  </si>
  <si>
    <t>4.45</t>
  </si>
  <si>
    <t>LapKon</t>
  </si>
  <si>
    <t>Lapač kondenzátu napojený na kanalizaci (vzdálenost do 2 m)</t>
  </si>
  <si>
    <t>4.46</t>
  </si>
  <si>
    <t>429-R138</t>
  </si>
  <si>
    <t>ZAŘÍZENÍ č.5 - Větrání kotelny</t>
  </si>
  <si>
    <t>VEN160</t>
  </si>
  <si>
    <t>429-R145</t>
  </si>
  <si>
    <t>Tichý axiální ventilátor DN 160, 225 m3/h (170 Pa)</t>
  </si>
  <si>
    <t>5.1</t>
  </si>
  <si>
    <t>KEL160</t>
  </si>
  <si>
    <t>Klapka škrtící DN 160 se servopohonem 230 V</t>
  </si>
  <si>
    <t>5.2</t>
  </si>
  <si>
    <t>FILKAZ</t>
  </si>
  <si>
    <t>Filtrační kazeta DN 160 s filtry třídy G4</t>
  </si>
  <si>
    <t>ELOHR160</t>
  </si>
  <si>
    <t>Elektrický ohřívač s regulací výkonu DN 160, P=2,1 kW</t>
  </si>
  <si>
    <t>5.4</t>
  </si>
  <si>
    <t>REGVN</t>
  </si>
  <si>
    <t>Regulace přívodní sady</t>
  </si>
  <si>
    <t>5.5</t>
  </si>
  <si>
    <t>5.6</t>
  </si>
  <si>
    <t>5.7</t>
  </si>
  <si>
    <t>5.8</t>
  </si>
  <si>
    <t>5.9</t>
  </si>
  <si>
    <t>5.10</t>
  </si>
  <si>
    <t>VKS200</t>
  </si>
  <si>
    <t>429-R129</t>
  </si>
  <si>
    <t>Výfukový kus DN 200</t>
  </si>
  <si>
    <t>5.11</t>
  </si>
  <si>
    <t>ZK200</t>
  </si>
  <si>
    <t>429-R128</t>
  </si>
  <si>
    <t>Zpětná klapka DN 200</t>
  </si>
  <si>
    <t>5.12</t>
  </si>
  <si>
    <t>5.13</t>
  </si>
  <si>
    <t>5.14</t>
  </si>
  <si>
    <t>ZAŘÍZENÍ č.6 - Odvětrání skladu odpadků</t>
  </si>
  <si>
    <t>VEN125</t>
  </si>
  <si>
    <t>429-R139</t>
  </si>
  <si>
    <t>Úsporný axiální ventilátor DN 125, 180 m3/h (80 Pa)</t>
  </si>
  <si>
    <t>6.2</t>
  </si>
  <si>
    <t>6.3</t>
  </si>
  <si>
    <t>TI13</t>
  </si>
  <si>
    <t>Samolepící kaučuková izolace s hliníkovou folií, tl. 13 mm, λ=0,038W/mK</t>
  </si>
  <si>
    <t>6.4</t>
  </si>
  <si>
    <t>429-R142</t>
  </si>
  <si>
    <t>6.5</t>
  </si>
  <si>
    <t>429-R143</t>
  </si>
  <si>
    <t>6.6</t>
  </si>
  <si>
    <t>6.7</t>
  </si>
  <si>
    <t>429-R144</t>
  </si>
  <si>
    <t>Ostatní položky</t>
  </si>
  <si>
    <t>7.1</t>
  </si>
  <si>
    <t>PKZR</t>
  </si>
  <si>
    <t>728-R04</t>
  </si>
  <si>
    <t>Provozní a komplexní zkoušky, revize</t>
  </si>
  <si>
    <t>7.2</t>
  </si>
  <si>
    <t>DSS</t>
  </si>
  <si>
    <t>728-R05</t>
  </si>
  <si>
    <t>Vypracování dokumentace skutečného provedení</t>
  </si>
  <si>
    <t>7.3</t>
  </si>
  <si>
    <t>ZS</t>
  </si>
  <si>
    <t>728-R06</t>
  </si>
  <si>
    <t>Zaregulování systému</t>
  </si>
  <si>
    <t>7.4</t>
  </si>
  <si>
    <t>ZBB</t>
  </si>
  <si>
    <t>728-R07</t>
  </si>
  <si>
    <t>Zaregulování VAV boxů</t>
  </si>
  <si>
    <t>7.5</t>
  </si>
  <si>
    <t>ZJ</t>
  </si>
  <si>
    <t>728-R08</t>
  </si>
  <si>
    <t>Zaregulování VZT jednotek</t>
  </si>
  <si>
    <t>7.6</t>
  </si>
  <si>
    <t>ZV</t>
  </si>
  <si>
    <t>728-R09</t>
  </si>
  <si>
    <t>Zaregulování systémů s odtahovými ventilátory</t>
  </si>
  <si>
    <t>7.7</t>
  </si>
  <si>
    <t>ZBPE</t>
  </si>
  <si>
    <t>728-R10</t>
  </si>
  <si>
    <t>zapojení VAV boxů na připravenou elektronstalaci</t>
  </si>
  <si>
    <t>7.8</t>
  </si>
  <si>
    <t>ZO</t>
  </si>
  <si>
    <t>728-R11</t>
  </si>
  <si>
    <t>Zaškolení obsluhy</t>
  </si>
  <si>
    <t>7.9</t>
  </si>
  <si>
    <t>PPR</t>
  </si>
  <si>
    <t>728-R12</t>
  </si>
  <si>
    <t>Provozní předpisy a řády</t>
  </si>
  <si>
    <t>7.10</t>
  </si>
  <si>
    <t>MZ</t>
  </si>
  <si>
    <t>728-R13</t>
  </si>
  <si>
    <t>Montáž zařízení</t>
  </si>
  <si>
    <t>7.11</t>
  </si>
  <si>
    <t>SOP</t>
  </si>
  <si>
    <t>728-R14</t>
  </si>
  <si>
    <t>Štítky a označení potrubí</t>
  </si>
  <si>
    <t>7.12</t>
  </si>
  <si>
    <t>728-R15</t>
  </si>
  <si>
    <t>7.13</t>
  </si>
  <si>
    <t>JER</t>
  </si>
  <si>
    <t>728-R16</t>
  </si>
  <si>
    <t>Jeřábnické práce</t>
  </si>
  <si>
    <t>7.14</t>
  </si>
  <si>
    <t>PHM</t>
  </si>
  <si>
    <t>728-R17</t>
  </si>
  <si>
    <t>7.15</t>
  </si>
  <si>
    <t>DP</t>
  </si>
  <si>
    <t>728-R18</t>
  </si>
  <si>
    <t>CELKEM BEZ DPH</t>
  </si>
  <si>
    <t>CELKEM VČ. DPH 21%</t>
  </si>
  <si>
    <t>D1.4b - Zařízení pro vytápění staveb</t>
  </si>
  <si>
    <t>M.J.</t>
  </si>
  <si>
    <t>[-]</t>
  </si>
  <si>
    <t>Zdroj tepla</t>
  </si>
  <si>
    <t>1.01</t>
  </si>
  <si>
    <t>Kaskáda 2 plynových kondenzačních kotlů s modulovaným válcovým hořákem na zemní a zkapalněný plyn, výkon 2x 18,2 - 74,1 kW při teplotním spádu 80/60°C. Celkový výkon zdroje tepla 144,2 kW. Max. spotřeba zemního plynu 8,0 m3/h. Topné plochy z nerezové ušlechtilé oceli poskytují vysoký výkon na minimálním prostoru. Z hlediska hodnoty tvorby emisí budou kotle spadat do 5 emisní třídy Nox s normovaným stupněm využití až 98 % (Hs) /109 % (Hi).vč. o	 Připojovací sada topného okruhu,Boční kryt pro připojovací sadu, držák na stěnu 2-kotl. zař.2 x kaskádový modul, stěn. konzole ,TD přip. sada topného okruhu, 2 x plynový ventil Rp1"</t>
  </si>
  <si>
    <t>1.02</t>
  </si>
  <si>
    <t xml:space="preserve">Hydraulická výhybka DN 80 </t>
  </si>
  <si>
    <t>1.03</t>
  </si>
  <si>
    <r>
      <t xml:space="preserve">Spalinová kaskáda 2x 80 kW, řadová sestava
(sběrač spalin </t>
    </r>
    <r>
      <rPr>
        <sz val="10"/>
        <rFont val="Symbol"/>
        <family val="1"/>
        <charset val="2"/>
      </rPr>
      <t>Æ</t>
    </r>
    <r>
      <rPr>
        <sz val="9"/>
        <rFont val="Arial Narrow"/>
        <family val="2"/>
        <charset val="238"/>
      </rPr>
      <t xml:space="preserve">  200</t>
    </r>
    <r>
      <rPr>
        <sz val="10"/>
        <rFont val="Arial Narrow"/>
        <family val="2"/>
        <charset val="238"/>
      </rPr>
      <t xml:space="preserve">, pojistka proti zpětnému proudění, koncový kus s odtokem kondenzátu, sifon s hadicí, revizní kus D200 základní sada šachty, kouřovod </t>
    </r>
    <r>
      <rPr>
        <sz val="10"/>
        <rFont val="Symbol"/>
        <family val="1"/>
        <charset val="2"/>
      </rPr>
      <t xml:space="preserve">Æ  </t>
    </r>
    <r>
      <rPr>
        <sz val="9"/>
        <rFont val="Arial Narrow"/>
        <family val="2"/>
        <charset val="238"/>
      </rPr>
      <t>200</t>
    </r>
    <r>
      <rPr>
        <sz val="10"/>
        <rFont val="Arial Narrow"/>
        <family val="2"/>
        <charset val="238"/>
      </rPr>
      <t xml:space="preserve"> , distanční rozpěrka, víko šachty)</t>
    </r>
  </si>
  <si>
    <t>1.04</t>
  </si>
  <si>
    <t xml:space="preserve">Kompaktní automatické doplňovací zařízení pro soustavy s membránovou tlakovou expanzní nádobou pro přímé doplňování z rozvodů pitné vody. rozvod; pitné vody  </t>
  </si>
  <si>
    <t>1.05</t>
  </si>
  <si>
    <t>Membránová tlaková expanzní nádoba NG 200 litrů pro topné soustavy a soustavy chladicí vody.</t>
  </si>
  <si>
    <t>1.06</t>
  </si>
  <si>
    <t>Uzavírací kulový kohout MK 1 se zajištěním v otevřené poloze s integrovaným vypouštěním, DN připojení: Rp 1;</t>
  </si>
  <si>
    <t>1.07</t>
  </si>
  <si>
    <t xml:space="preserve">Katexová patrona pro změkčovací zařízení. Nelze použít s kotli s Al výměníky. Kapacita cca 6000 l/°dH, tedy cca 600 l při 10°dH. </t>
  </si>
  <si>
    <t>1.08</t>
  </si>
  <si>
    <t>Elektronický vodoměr pro kontrolu zbývající kapacity změkčovací armatury a kontrolu doplňovaného množství</t>
  </si>
  <si>
    <t>1.09</t>
  </si>
  <si>
    <t>Neutralizačná zařizení (granulát)</t>
  </si>
  <si>
    <t>Externí tlakové čidlo je nutné při kombinaci fillsoftu s automatickým doplňovacím zařízením.</t>
  </si>
  <si>
    <t>Odlučovač mikrobublin pro soustavy topení a chlazení, mosaz, 110°C, 10 bar, DN 65</t>
  </si>
  <si>
    <t>Měřící sada pro stanovení celkové tvrdosti vody</t>
  </si>
  <si>
    <t xml:space="preserve">Oběhové čerpadlo mokroběžné 3.01 elektronicky řízené, Q=3,2 m3/hod, Dp=40 kPa, medium voda, min. PN 6, 230V, včetně izolačního pouzdra. </t>
  </si>
  <si>
    <t xml:space="preserve">Oběhové čerpadlo mokroběžné 3.02 elektronicky řízené, Q=3,2 m3/hod, Dp=40 kPa, medium voda, min. PN 6, 230V, včetně izolačního pouzdra. </t>
  </si>
  <si>
    <t xml:space="preserve">Oběhové čerpadlo mokroběžné 3.03 elektronicky řízené, Q=1,3 m3/hod, Dp=50 kPa, medium voda, min. PN 6, 230V, včetně izolačního pouzdra. </t>
  </si>
  <si>
    <t xml:space="preserve">Oběhové čerpadlo mokroběžné 3.04 elektronicky řízené, Q=1,6 m3/hod, Dp=50 kPa, medium voda, min. PN 6, 230V, včetně izolačního pouzdra. </t>
  </si>
  <si>
    <t xml:space="preserve">Oběhové čerpadlo mokroběžné 3.05 elektronicky řízené, Q=2,5 m3/hod, Dp=50 kPa, medium voda, min. PN 6, 230V, včetně izolačního pouzdra. </t>
  </si>
  <si>
    <t xml:space="preserve">Oběhové čerpadlo mokroběžné 3.06 elektronicky řízené, Q=2,0 m3/hod, Dp=50 kPa, medium voda, min. PN 6, 230V, včetně izolačního pouzdra. </t>
  </si>
  <si>
    <t>Měřič tepla pro průtok 1,5 m3/h, DN 20, kabeláž a příslušenství pro MBUS komunikaci  do systému MaR vč. kabeláže 3m, vč. montáže</t>
  </si>
  <si>
    <t>Měřič tepla pro průtok 2,5 m3/h, DN 25, kabeláž a příslušenství pro MBUS komunikaci  do systému MaR vč. kabeláže 3m, vč. montáže</t>
  </si>
  <si>
    <t>Závitový kulový kouhout DN 32</t>
  </si>
  <si>
    <t>Závitový kulový kouhout DN 40</t>
  </si>
  <si>
    <t>Závitový kulový kouhout DN 50</t>
  </si>
  <si>
    <t>Mezipřírubová uzavírací klapka DN 65</t>
  </si>
  <si>
    <t>Závitový zpětný ventil DN 40</t>
  </si>
  <si>
    <t>Závitový zpětný ventil DN 50</t>
  </si>
  <si>
    <t>Filtr závitový DN 40</t>
  </si>
  <si>
    <t>Filtr závitový DN 50</t>
  </si>
  <si>
    <t>Třícestný regulační ventil vč. servopohonu 24V, řízení 0-10V, DN 20, Kv=4,0 vč. těsnění</t>
  </si>
  <si>
    <t>Třícestný regulační ventil vč. servopohonu 24V, řízení 0-10V, DN 25, Kv=6,3 vč. těsnění</t>
  </si>
  <si>
    <t>Ruční vyvažovací ventil s vnitřním závitem a měřícími koncovkami, DN 32</t>
  </si>
  <si>
    <t>Ruční vyvažovací ventil s vnitřním závitem a měřícími koncovkami, DN 40</t>
  </si>
  <si>
    <t>Teploměr 0-120°C</t>
  </si>
  <si>
    <t>Manometr 0-1 Mpa</t>
  </si>
  <si>
    <t>Kulový vypouštěcí kohout DN 20 s hadicovou vývodkou a zátkou</t>
  </si>
  <si>
    <t>Pojistný ventil ot. přetlak 300 kPa</t>
  </si>
  <si>
    <t>Směšovaci uzel u VZT jednotku</t>
  </si>
  <si>
    <t>VZT 2a (ohřívač)</t>
  </si>
  <si>
    <t>2.01</t>
  </si>
  <si>
    <t>2.02</t>
  </si>
  <si>
    <t>Filtr závitový DN 32</t>
  </si>
  <si>
    <t>2.03</t>
  </si>
  <si>
    <t>Závitový zpětný ventil DN 32</t>
  </si>
  <si>
    <t>2.04</t>
  </si>
  <si>
    <t>Ruční vyvažovací ventil s vnitřním závitem a měřícími koncovkami, DN 25</t>
  </si>
  <si>
    <t>2.05</t>
  </si>
  <si>
    <t>Automatický regulátor průtoku komb. s reg. ventilem DN 25 vč. servopohonu 24V, řízení 0-10V</t>
  </si>
  <si>
    <t>2.06</t>
  </si>
  <si>
    <t>Oběhové čerpadlo s elektronicky řízenými otáčkami 4.01; Q=1,3 m3/h; H=3 m</t>
  </si>
  <si>
    <t>2.07</t>
  </si>
  <si>
    <t>Teploměry, manometry, vypušteci ventil , ovzdušneni ventil</t>
  </si>
  <si>
    <t>VZT 2b (ohřívač)</t>
  </si>
  <si>
    <t>2.08</t>
  </si>
  <si>
    <t>2.09</t>
  </si>
  <si>
    <t>Závitový zpětný ventil DN 15</t>
  </si>
  <si>
    <t>Ruční vyvažovací ventil s vnitřním závitem a měřícími koncovkami, DN 15</t>
  </si>
  <si>
    <t>Oběhové čerpadlo s elektronicky řízenými otáčkami 4.02; Q=1,3 m3/h; H=3 m</t>
  </si>
  <si>
    <t>Podlahové vytápění</t>
  </si>
  <si>
    <t>3.01</t>
  </si>
  <si>
    <t>Rozdělovač, 4 okruhy, varianta 1, komplet bez kulových ventilů</t>
  </si>
  <si>
    <t>3.02</t>
  </si>
  <si>
    <t>Rozdělovač, 10 okruhů, varianta 1, komplet bez kulových ventilů</t>
  </si>
  <si>
    <t>3.03</t>
  </si>
  <si>
    <t>Kulový ventil 1" pro připojení rozdělovačů</t>
  </si>
  <si>
    <t>3.04</t>
  </si>
  <si>
    <t>Skříňka na stěnu, typ 2 do 4 okruhů, délka 420 mm</t>
  </si>
  <si>
    <t>3.05</t>
  </si>
  <si>
    <t>Skříňka na stěnu, typ 5 do 10 okruhů, délka 950 mm</t>
  </si>
  <si>
    <t>3.06</t>
  </si>
  <si>
    <t>4-vrstvá trubka PE-RT s protikyslíkovou bariérou 16x2,2 mm</t>
  </si>
  <si>
    <t>3.07</t>
  </si>
  <si>
    <t>PVC příchytky, délka 70 mm pro připevnění lišt a trubek</t>
  </si>
  <si>
    <t>3.08</t>
  </si>
  <si>
    <t>Šroubení PB 16x2,2 mm pro připojení trubek</t>
  </si>
  <si>
    <t>3.09</t>
  </si>
  <si>
    <t>Zesílená fólie s rastrem</t>
  </si>
  <si>
    <r>
      <t xml:space="preserve">Průchodka </t>
    </r>
    <r>
      <rPr>
        <sz val="10"/>
        <rFont val="Symbol"/>
        <family val="1"/>
        <charset val="2"/>
      </rPr>
      <t>Æ</t>
    </r>
    <r>
      <rPr>
        <sz val="10"/>
        <rFont val="Arial Narrow"/>
        <family val="2"/>
        <charset val="238"/>
      </rPr>
      <t xml:space="preserve">  23 mm pro ochranu trubek v dilatacích</t>
    </r>
  </si>
  <si>
    <t>Dilatační páska 8 mm s fólií a samolepem, tl. 8 mm</t>
  </si>
  <si>
    <t>Termopohon pro ovládání ventilu na rozdělovači 230 V / 3W</t>
  </si>
  <si>
    <t>Prostorový termostat pro ovládání termopohonů (dodávka MaR)</t>
  </si>
  <si>
    <t>Sběrnice ZR-6 kanálový modul zónové regulace pro pohony 230 V</t>
  </si>
  <si>
    <t>Otopná tělesa, armatury</t>
  </si>
  <si>
    <t>4.01</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</si>
  <si>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0,38 kW při teplotním spádu 75/65/20°C, typ 11, výška 600 mm, délka 400 mm</t>
  </si>
  <si>
    <t>4.02</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</si>
  <si>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0,48 kW při teplotním spádu 75/65/20°C, typ 11, výška 600 mm, délka 500 mm</t>
  </si>
  <si>
    <t>4.03</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</si>
  <si>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0,57 kW při teplotním spádu 75/65/20°C, typ 11, výška 600 mm, délka 600 mm</t>
  </si>
  <si>
    <t>4.04</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</si>
  <si>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0,76 kW při teplotním spádu 75/65/20°C, typ 11, výška 600 mm, délka 800 mm</t>
  </si>
  <si>
    <t>4.05</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</si>
  <si>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1,14 kW při teplotním spádu 75/65/20°C, typ 11, výška 600 mm, délka 1200 mm</t>
  </si>
  <si>
    <t>4.06</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</si>
  <si>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1,79 kW při teplotním spádu 75/65/20°C, typ 22, výška 600 mm, délka 1100 mm</t>
  </si>
  <si>
    <t>4.07</t>
  </si>
  <si>
    <t>Ocelové deskové těleso s integrovaným termostatickým ventilem, spodní připojení na rozvod topné vody, vývody s vnitřním závitem G 1/2 vč. navrtávacích konzol, odvzdušňovací zátky a zaslepovacích zátek. Základní barevný odstín RAL 9016, nom. topný výkon 3,72 kW při teplotním spádu 75/65/20°C, typ 33, výška 900 mm, délka 1200 mm</t>
  </si>
  <si>
    <t>4.08</t>
  </si>
  <si>
    <t>Ocelové trubkové těleso, spodní připojení na rozvod topné vody, vývody s vnitřním závitem G 1/2 vč. navrtávacích konzol, odvzdušňovací zátky a zaslepovacích zátek. Základní barevný odstín RAL 9016, nom. topný výkon 0,69 kW při teplotním spádu 75/65/20°C, výška 1500 mm, délka 500 mm</t>
  </si>
  <si>
    <t>4.09</t>
  </si>
  <si>
    <t>Radiátorové H šroubení rohové s možností uzavření a vypuštění tělesa, DN 15</t>
  </si>
  <si>
    <t>Radiátorové H-šroubení s integrovaným termostatickým ventilem, DN 15</t>
  </si>
  <si>
    <t>Termostatická hlavice s převlečnou maticí se západkou proti odcizení pro veřejné budovy</t>
  </si>
  <si>
    <t>Termopohon pro termostatický ventil na otopném tělese, on/off, 24V</t>
  </si>
  <si>
    <t>Potrubí</t>
  </si>
  <si>
    <t>5.01</t>
  </si>
  <si>
    <t>Potrubí z trubek měděných 15x1</t>
  </si>
  <si>
    <t>5.02</t>
  </si>
  <si>
    <t>Potrubí z trubek měděných 18x1</t>
  </si>
  <si>
    <t>5.03</t>
  </si>
  <si>
    <t>Potrubí z trubek měděných 22x1</t>
  </si>
  <si>
    <t>5.04</t>
  </si>
  <si>
    <t>Potrubí z trubek měděných 28x1,5</t>
  </si>
  <si>
    <t>5.05</t>
  </si>
  <si>
    <t>Potrubí z trubek měděných 35x1,5</t>
  </si>
  <si>
    <t>5.06</t>
  </si>
  <si>
    <t>Potrubí z trubek měděných 42x1,5</t>
  </si>
  <si>
    <t>5.07</t>
  </si>
  <si>
    <t>Potrubí z trubek měděných 54x1,5</t>
  </si>
  <si>
    <t>5.08</t>
  </si>
  <si>
    <t>Kolena, oblouky, přechody, T-kusy</t>
  </si>
  <si>
    <t>5.09</t>
  </si>
  <si>
    <t>Rozdělovač - DN 150, délka 1400 mm, 5 okruhů; 1x DN65, 3x DN50, 1x DN40, 1x DN15, 2x manometr vč. příslušenství, rozsah 0-600 kPa, 2x teploměr rozsah 0 - 120°C, 2x vypouštění DN20</t>
  </si>
  <si>
    <t>Sběrač - DN 150, délka 1400 mm, 5 okruhů; 1x DN65, 3x DN50, 1x DN40, 1x DN15, 2x manometr vč. příslušenství, rozsah 0-600 kPa, 2x teploměr rozsah 0 - 120°C, 2x vypouštění DN20</t>
  </si>
  <si>
    <t>Požární ucpávky prostupu</t>
  </si>
  <si>
    <t>Samoregulační topný kabel pro rozvody na střeše objektu 25 W/m</t>
  </si>
  <si>
    <t>Izolace potrubí</t>
  </si>
  <si>
    <t>6.01</t>
  </si>
  <si>
    <t>Izolace potrubí pro trubku 15x1, λ ≤ 0.04 W/(mK) při 0 °C, tl. 20 mm</t>
  </si>
  <si>
    <t>6.02</t>
  </si>
  <si>
    <t>Izolace potrubí pro trubku 18x1, λ ≤ 0.04 W/(mK) při 0 °C, tl. 20 mm</t>
  </si>
  <si>
    <t>6.03</t>
  </si>
  <si>
    <t>Izolace potrubí pro trubku 22x1, λ ≤ 0.04 W/(mK) při 0 °C, tl. 30 mm</t>
  </si>
  <si>
    <t>6.04</t>
  </si>
  <si>
    <t>Izolace potrubí pro trubku 28x1,5, λ ≤ 0.04 W/(mK) při 0 °C, tl. 30 mm</t>
  </si>
  <si>
    <t>6.05</t>
  </si>
  <si>
    <t>Izolace potrubí pro trubku 35x1,5, λ ≤ 0.04 W/(mK) při 0 °C, tl. 30 mm</t>
  </si>
  <si>
    <t>6.06</t>
  </si>
  <si>
    <t>Izolace potrubí pro trubku 42x1,5, λ ≤ 0.04 W/(mK) při 0 °C, tl. 40 mm</t>
  </si>
  <si>
    <t>6.07</t>
  </si>
  <si>
    <t>Izolace potrubí pro trubku 54x1,5, λ ≤ 0.04 W/(mK) při 0 °C, tl. 40 mm</t>
  </si>
  <si>
    <t>6.08</t>
  </si>
  <si>
    <t>Tepelná izolace rozdělovače a sběrače tepla, λ ≤ 0.04 W/(mK) při 0 °C, tl. 40 mm</t>
  </si>
  <si>
    <t>Společné položky</t>
  </si>
  <si>
    <t>7.01</t>
  </si>
  <si>
    <t>Montáž vytápění</t>
  </si>
  <si>
    <t>7.02</t>
  </si>
  <si>
    <t>Doprava materiálu</t>
  </si>
  <si>
    <t>7.03</t>
  </si>
  <si>
    <t>Pomocné ocelové konstrukce</t>
  </si>
  <si>
    <t>7.04</t>
  </si>
  <si>
    <t>Provedení komplexních zkoušek (včetně tlakové a topné zkoušky)</t>
  </si>
  <si>
    <t>7.05</t>
  </si>
  <si>
    <t>Jemné zaregulování systému</t>
  </si>
  <si>
    <t>7.06</t>
  </si>
  <si>
    <t>Vyvážení dle vyhl. 193/2007 sb.včetně protokolu</t>
  </si>
  <si>
    <t>7.07</t>
  </si>
  <si>
    <t>Dvojnásobný proplach systému a náplň upravenou vodou</t>
  </si>
  <si>
    <t>7.08</t>
  </si>
  <si>
    <t>Revize odvodu spalin</t>
  </si>
  <si>
    <t>7.09</t>
  </si>
  <si>
    <t>Štítky a popisy potrubí a zařízení</t>
  </si>
  <si>
    <t>Předávací a provozní dokumentace</t>
  </si>
  <si>
    <t>Výrobně dodavatelská dokumentace</t>
  </si>
  <si>
    <t>Montážní, spojovací a těsnící materiál</t>
  </si>
  <si>
    <t>Celková cena</t>
  </si>
  <si>
    <t>{f0ab403d-d1b5-4831-af59-70470a721571}</t>
  </si>
  <si>
    <t>354,294</t>
  </si>
  <si>
    <t>203,346</t>
  </si>
  <si>
    <t>33,906</t>
  </si>
  <si>
    <t>138,24</t>
  </si>
  <si>
    <t>f10</t>
  </si>
  <si>
    <t>368,64</t>
  </si>
  <si>
    <t>f11</t>
  </si>
  <si>
    <t>D.1.4.a - Zdravotně technické instalace</t>
  </si>
  <si>
    <t>PSV - Práce a dodávky PSV</t>
  </si>
  <si>
    <t xml:space="preserve">    713 - Izolace tepelné</t>
  </si>
  <si>
    <t xml:space="preserve">    721 - Zdravotechnika - vnitřní kanalizace</t>
  </si>
  <si>
    <t xml:space="preserve">    722 - Zdravotechnika - vnitřní vodovod</t>
  </si>
  <si>
    <t xml:space="preserve">    723 - Zdravotechnika - vnitřní plynovod</t>
  </si>
  <si>
    <t xml:space="preserve">    724 - Zdravotechnika - strojní vybavení</t>
  </si>
  <si>
    <t xml:space="preserve">    725 - Zdravotechnika - zařizovací předměty</t>
  </si>
  <si>
    <t xml:space="preserve">    726 - Zdravotechnika - předstěnové instalace</t>
  </si>
  <si>
    <t xml:space="preserve">    783 - Dokončovací práce - nátěry</t>
  </si>
  <si>
    <t>HZS - Hodinové zúčtovací sazby</t>
  </si>
  <si>
    <t xml:space="preserve">    VRN9 - Ostatní náklady</t>
  </si>
  <si>
    <t>131251104</t>
  </si>
  <si>
    <t>Hloubení jam nezapažených v hornině třídy těžitelnosti I, skupiny 3 objem do 500 m3 strojně</t>
  </si>
  <si>
    <t>1134342481</t>
  </si>
  <si>
    <t>Hloubení nezapažených jam a zářezů strojně s urovnáním dna do předepsaného profilu a spádu v hornině třídy těžitelnosti I skupiny 3 přes 100 do 500 m3</t>
  </si>
  <si>
    <t>7*5*3+7*4*3</t>
  </si>
  <si>
    <t>132251104</t>
  </si>
  <si>
    <t>Hloubení rýh nezapažených  š do 800 mm v hornině třídy těžitelnosti I, skupiny 3 objem přes 100 m3 strojně</t>
  </si>
  <si>
    <t>430766076</t>
  </si>
  <si>
    <t>Hloubení nezapažených rýh šířky do 800 mm strojně s urovnáním dna do předepsaného profilu a spádu v hornině třídy těžitelnosti I skupiny 3 přes 100 m3</t>
  </si>
  <si>
    <t>384*0,8*1,2</t>
  </si>
  <si>
    <t>1690650965</t>
  </si>
  <si>
    <t>222090346</t>
  </si>
  <si>
    <t>f10+f11-f3</t>
  </si>
  <si>
    <t>95599592</t>
  </si>
  <si>
    <t>-596761770</t>
  </si>
  <si>
    <t>203,346*2 'Přepočtené koeficientem množství</t>
  </si>
  <si>
    <t>1138849918</t>
  </si>
  <si>
    <t>-1799553599</t>
  </si>
  <si>
    <t>f10+f11-f1-f2-15-6*3*0,9</t>
  </si>
  <si>
    <t>-363125938</t>
  </si>
  <si>
    <t>384*0,8*0,45</t>
  </si>
  <si>
    <t>1568183136</t>
  </si>
  <si>
    <t>138,24*2 'Přepočtené koeficientem množství</t>
  </si>
  <si>
    <t>382411R01</t>
  </si>
  <si>
    <t>Zemní nádrž objemu 15000 l betonová, litinový poklop</t>
  </si>
  <si>
    <t>-1751248362</t>
  </si>
  <si>
    <t>56241618</t>
  </si>
  <si>
    <t>podzemní filtrační šachta DN 400 s košem, poklop pojízdný</t>
  </si>
  <si>
    <t>1477929299</t>
  </si>
  <si>
    <t>94622836</t>
  </si>
  <si>
    <t>384*0,8*0,1+4,2*2,2*0,15+6*3*0,1</t>
  </si>
  <si>
    <t>1024516636</t>
  </si>
  <si>
    <t>Montáž vodovodního potrubí z plastů v otevřeném výkopu z polyetylenu PE 100 svařovaných elektrotvarovkou SDR 11/PN16 D 32 x 3,0 mm</t>
  </si>
  <si>
    <t>28613110</t>
  </si>
  <si>
    <t>potrubí vodovodní PE100 PN 16 SDR11 6m 100m 32x3,0mm</t>
  </si>
  <si>
    <t>-33808808</t>
  </si>
  <si>
    <t>871211211</t>
  </si>
  <si>
    <t>Montáž potrubí z PE100 SDR 11 otevřený výkop svařovaných elektrotvarovkou D 63 x 5,8 mm</t>
  </si>
  <si>
    <t>-1158534007</t>
  </si>
  <si>
    <t>Montáž potrubí z plastů v otevřeném výkopu z polyetylenu PE 100 svařovaných elektrotvarovkou SDR 11/PN16 D 63 x 5,8 mm</t>
  </si>
  <si>
    <t>28613914</t>
  </si>
  <si>
    <t>potrubí plynovodní PE 100RC SDR 11 PN 0,4MPa D 63x5,8mm</t>
  </si>
  <si>
    <t>667358413</t>
  </si>
  <si>
    <t>894221R00</t>
  </si>
  <si>
    <t>Šachty kanalizační betonová DN 1000, litinový poklop DN 625, únosnost D400, hloubka 1,5-2,0 m</t>
  </si>
  <si>
    <t>966092218</t>
  </si>
  <si>
    <t>Šachty kanalizační betonová DN 1000, litinový poklop DN 625, únosnost D400, hloubka 1,5-2,0 m, dno obložené čedičem</t>
  </si>
  <si>
    <t>894221R01</t>
  </si>
  <si>
    <t>Oprava dna stávající betonové šachty</t>
  </si>
  <si>
    <t>1000753629</t>
  </si>
  <si>
    <t>894221R10</t>
  </si>
  <si>
    <t>Revzní šachta 600x600 mm, hl. do 1,5 m, litinový poklop</t>
  </si>
  <si>
    <t>-468355823</t>
  </si>
  <si>
    <t>894221R11</t>
  </si>
  <si>
    <t>Revzní šachta 800x1000 mm, hl. do 1,5 m, litinový poklop</t>
  </si>
  <si>
    <t>216886573</t>
  </si>
  <si>
    <t>894812311</t>
  </si>
  <si>
    <t>Revizní a čistící šachta z PP typ DN 600/160 šachtové dno průtočné</t>
  </si>
  <si>
    <t>-1101467706</t>
  </si>
  <si>
    <t>Revizní a čistící šachta z polypropylenu PP pro hladké trouby DN 600 šachtové dno (DN šachty / DN trubního vedení) DN 600/160 průtočné</t>
  </si>
  <si>
    <t>894812312</t>
  </si>
  <si>
    <t>Revizní a čistící šachta z PP typ DN 600/160 šachtové dno průtočné 30°, 60°, 90°</t>
  </si>
  <si>
    <t>-1700456346</t>
  </si>
  <si>
    <t>Revizní a čistící šachta z polypropylenu PP pro hladké trouby DN 600 šachtové dno (DN šachty / DN trubního vedení) DN 600/160 průtočné 30°,60°,90°</t>
  </si>
  <si>
    <t>894812313</t>
  </si>
  <si>
    <t>Revizní a čistící šachta z PP typ DN 600/160 šachtové dno s přítokem tvaru T</t>
  </si>
  <si>
    <t>1285893567</t>
  </si>
  <si>
    <t>Revizní a čistící šachta z polypropylenu PP pro hladké trouby DN 600 šachtové dno (DN šachty / DN trubního vedení) DN 600/160 s přítokem tvaru T</t>
  </si>
  <si>
    <t>894812332</t>
  </si>
  <si>
    <t>Revizní a čistící šachta z PP DN 600 šachtová roura korugovaná světlé hloubky 2000 mm</t>
  </si>
  <si>
    <t>307273210</t>
  </si>
  <si>
    <t>Revizní a čistící šachta z polypropylenu PP pro hladké trouby DN 600 roura šachtová korugovaná, světlé hloubky 2 000 mm</t>
  </si>
  <si>
    <t>894812339</t>
  </si>
  <si>
    <t>Příplatek k rourám revizní a čistící šachty z PP DN 600 za uříznutí šachtové roury</t>
  </si>
  <si>
    <t>408194459</t>
  </si>
  <si>
    <t>Revizní a čistící šachta z polypropylenu PP pro hladké trouby DN 600 Příplatek k cenám 2331 - 2334 za uříznutí šachtové roury</t>
  </si>
  <si>
    <t>894812357</t>
  </si>
  <si>
    <t>Revizní a čistící šachta z PP DN 600 poklop litinový pro třídu zatížení B125 s teleskopickým adaptérem</t>
  </si>
  <si>
    <t>486590421</t>
  </si>
  <si>
    <t>Revizní a čistící šachta z polypropylenu PP pro hladké trouby DN 600 poklop (mříž) litinový pro třídu zatížení B125 s teleskopickým adaptérem</t>
  </si>
  <si>
    <t>895972113</t>
  </si>
  <si>
    <t>Zasakovací box z polypropylenu PP s revizí pro vsakování jednořadová galerie objemu do 20 m3</t>
  </si>
  <si>
    <t>1645105297</t>
  </si>
  <si>
    <t>Zasakovací boxy z polypropylenu PP  s možností revize a čištění pro vsakování deštových vod v jednořadové galerii o celkovém objemu do 20 m3
vč. revizní šachty, odvětrání, geotextilie a dlašího příslušenství</t>
  </si>
  <si>
    <t>894411311</t>
  </si>
  <si>
    <t>Osazení betonových nebo železobetonových dílců pro šachty skruží rovných</t>
  </si>
  <si>
    <t>-1022757878</t>
  </si>
  <si>
    <t>59224069</t>
  </si>
  <si>
    <t>skruž betonová DN 1000x1000, 100x100x12cm</t>
  </si>
  <si>
    <t>-433367468</t>
  </si>
  <si>
    <t>894414211</t>
  </si>
  <si>
    <t>Osazení betonových nebo železobetonových dílců pro šachty desek zákrytových</t>
  </si>
  <si>
    <t>1584986566</t>
  </si>
  <si>
    <t>59225816</t>
  </si>
  <si>
    <t>deska betonová zákrytová studniční  120/7cm (pro skruž D 100cm)</t>
  </si>
  <si>
    <t>707826051</t>
  </si>
  <si>
    <t>-487287957</t>
  </si>
  <si>
    <t>7211108R0</t>
  </si>
  <si>
    <t>Demontáž potrubí kameninové do DN 200</t>
  </si>
  <si>
    <t>1885979141</t>
  </si>
  <si>
    <t>Demontáž potrubí z kameninových trub  normálních nebo kyselinovzdorných přes 100 do DN 200</t>
  </si>
  <si>
    <t>7221708R1</t>
  </si>
  <si>
    <t>Demontáž rozvodů vody z plastů do D 50</t>
  </si>
  <si>
    <t>375068879</t>
  </si>
  <si>
    <t>Demontáž rozvodů vody z plastů  přes 25 do Ø 50 mm</t>
  </si>
  <si>
    <t>7221708R8</t>
  </si>
  <si>
    <t>Odpojení, vypuštění, zaslepení stávajícího plynovodu a práce s tím související</t>
  </si>
  <si>
    <t>-1503852767</t>
  </si>
  <si>
    <t>7221708R9</t>
  </si>
  <si>
    <t>Odpojení, vypuštění, zaslepení stávajícího vodovodu a práce s tím související</t>
  </si>
  <si>
    <t>1751261618</t>
  </si>
  <si>
    <t>Práce a dodávky PSV</t>
  </si>
  <si>
    <t>713463131</t>
  </si>
  <si>
    <t>Montáž izolace tepelné potrubí potrubními pouzdry bez úpravy slepenými 1x tl izolace do 25 mm</t>
  </si>
  <si>
    <t>-798049520</t>
  </si>
  <si>
    <t>Montáž izolace tepelné potrubí a ohybů tvarovkami nebo deskami  potrubními pouzdry bez povrchové úpravy (izolační materiál ve specifikaci) přilepenými v příčných a podélných spojích izolace potrubí jednovrstvá, tloušťky izolace do 25 mm</t>
  </si>
  <si>
    <t>28377105</t>
  </si>
  <si>
    <t>pouzdro izolační potrubní z pěnového polyetylenu 18/13mm</t>
  </si>
  <si>
    <t>-874121622</t>
  </si>
  <si>
    <t>28377104</t>
  </si>
  <si>
    <t>pouzdro izolační potrubní z pěnového polyetylenu 22/13mm</t>
  </si>
  <si>
    <t>-1096653654</t>
  </si>
  <si>
    <t>28377112</t>
  </si>
  <si>
    <t>pouzdro izolační potrubní z pěnového polyetylenu 28/13mm</t>
  </si>
  <si>
    <t>26886630</t>
  </si>
  <si>
    <t>28377052</t>
  </si>
  <si>
    <t>pouzdro izolační potrubní z pěnového polyetylenu 32/13mm</t>
  </si>
  <si>
    <t>-551639179</t>
  </si>
  <si>
    <t>28377058</t>
  </si>
  <si>
    <t>pouzdro izolační potrubní z pěnového polyetylenu 40/13mm</t>
  </si>
  <si>
    <t>-1168006311</t>
  </si>
  <si>
    <t>28377123</t>
  </si>
  <si>
    <t>pouzdro izolační potrubní z pěnového polyetylenu 54/13mm</t>
  </si>
  <si>
    <t>-975849455</t>
  </si>
  <si>
    <t>28377106</t>
  </si>
  <si>
    <t>pouzdro izolační potrubní z pěnového polyetylenu 18/20mm</t>
  </si>
  <si>
    <t>297454253</t>
  </si>
  <si>
    <t>28377045</t>
  </si>
  <si>
    <t>pouzdro izolační potrubní z pěnového polyetylenu 22/20mm</t>
  </si>
  <si>
    <t>-675280733</t>
  </si>
  <si>
    <t>28377048</t>
  </si>
  <si>
    <t>pouzdro izolační potrubní z pěnového polyetylenu 28/20mm</t>
  </si>
  <si>
    <t>-1336514987</t>
  </si>
  <si>
    <t>28377053</t>
  </si>
  <si>
    <t>pouzdro izolační potrubní z pěnového polyetylenu 32/20mm</t>
  </si>
  <si>
    <t>-1845015669</t>
  </si>
  <si>
    <t>28377060</t>
  </si>
  <si>
    <t>pouzdro izolační potrubní z pěnového polyetylenu 40/25mm</t>
  </si>
  <si>
    <t>538377765</t>
  </si>
  <si>
    <t>28377065</t>
  </si>
  <si>
    <t>pouzdro izolační potrubní z pěnového polyetylenu 54/25mm</t>
  </si>
  <si>
    <t>1632049451</t>
  </si>
  <si>
    <t>713463212</t>
  </si>
  <si>
    <t>Montáž izolace tepelné potrubí potrubními pouzdry s Al fólií staženými Al páskou 1x D do 100 mm</t>
  </si>
  <si>
    <t>-1941693048</t>
  </si>
  <si>
    <t>Montáž izolace tepelné potrubí a ohybů tvarovkami nebo deskami  potrubními pouzdry s povrchovou úpravou hliníkovou fólií (izolační materiál ve specifikaci) přelepenými samolepící hliníkovou páskou potrubí jednovrstvá D přes 50 do 100 mm</t>
  </si>
  <si>
    <t>63154540</t>
  </si>
  <si>
    <t>pouzdro izolační potrubní z minerální vlny s Al fólií max. 250/100°C 108/30mm</t>
  </si>
  <si>
    <t>1484750128</t>
  </si>
  <si>
    <t>998713202</t>
  </si>
  <si>
    <t>Přesun hmot procentní pro izolace tepelné v objektech v do 12 m</t>
  </si>
  <si>
    <t>-1788367149</t>
  </si>
  <si>
    <t>Přesun hmot pro izolace tepelné stanovený procentní sazbou (%) z ceny vodorovná dopravní vzdálenost do 50 m v objektech výšky přes 6 do 12 m</t>
  </si>
  <si>
    <t>Zdravotechnika - vnitřní kanalizace</t>
  </si>
  <si>
    <t>721173317</t>
  </si>
  <si>
    <t>Potrubí kanalizační z PVC SN 4 dešťové DN 160</t>
  </si>
  <si>
    <t>407737986</t>
  </si>
  <si>
    <t>Potrubí z trub PVC SN4 dešťové DN 160</t>
  </si>
  <si>
    <t>721173401</t>
  </si>
  <si>
    <t>Potrubí kanalizační z PVC SN 4 svodné DN 110</t>
  </si>
  <si>
    <t>-716759557</t>
  </si>
  <si>
    <t>Potrubí z trub PVC SN4 svodné (ležaté) DN 110</t>
  </si>
  <si>
    <t>721173402</t>
  </si>
  <si>
    <t>Potrubí kanalizační z PVC SN 4 svodné DN 125</t>
  </si>
  <si>
    <t>-1583839325</t>
  </si>
  <si>
    <t>Potrubí z trub PVC SN4 svodné (ležaté) DN 125</t>
  </si>
  <si>
    <t>-1383276348</t>
  </si>
  <si>
    <t>721174024</t>
  </si>
  <si>
    <t>Potrubí kanalizační z PP odpadní DN 75</t>
  </si>
  <si>
    <t>-1527423786</t>
  </si>
  <si>
    <t>Potrubí z trub polypropylenových odpadní (svislé) DN 75</t>
  </si>
  <si>
    <t>721174025</t>
  </si>
  <si>
    <t>Potrubí kanalizační z PP odpadní DN 110</t>
  </si>
  <si>
    <t>-491097496</t>
  </si>
  <si>
    <t>Potrubí z trub polypropylenových odpadní (svislé) DN 110</t>
  </si>
  <si>
    <t>721174026</t>
  </si>
  <si>
    <t>Potrubí kanalizační z PP odpadní DN 125</t>
  </si>
  <si>
    <t>1424549064</t>
  </si>
  <si>
    <t>Potrubí z trub polypropylenových odpadní (svislé) DN 125</t>
  </si>
  <si>
    <t>721174041</t>
  </si>
  <si>
    <t>Potrubí kanalizační z PP připojovací DN 32</t>
  </si>
  <si>
    <t>-1785702694</t>
  </si>
  <si>
    <t>Potrubí z trub polypropylenových připojovací DN 32</t>
  </si>
  <si>
    <t>721174042</t>
  </si>
  <si>
    <t>Potrubí kanalizační z PP připojovací DN 40</t>
  </si>
  <si>
    <t>-316546142</t>
  </si>
  <si>
    <t>Potrubí z trub polypropylenových připojovací DN 40</t>
  </si>
  <si>
    <t>721174043</t>
  </si>
  <si>
    <t>Potrubí kanalizační z PP připojovací DN 50</t>
  </si>
  <si>
    <t>-967739361</t>
  </si>
  <si>
    <t>Potrubí z trub polypropylenových připojovací DN 50</t>
  </si>
  <si>
    <t>721174044</t>
  </si>
  <si>
    <t>Potrubí kanalizační z PP připojovací DN 75</t>
  </si>
  <si>
    <t>16058291</t>
  </si>
  <si>
    <t>Potrubí z trub polypropylenových připojovací DN 75</t>
  </si>
  <si>
    <t>721174045</t>
  </si>
  <si>
    <t>Potrubí kanalizační z PP připojovací DN 110</t>
  </si>
  <si>
    <t>-1791186953</t>
  </si>
  <si>
    <t>Potrubí z trub polypropylenových připojovací DN 110</t>
  </si>
  <si>
    <t>721174055</t>
  </si>
  <si>
    <t>Potrubí kanalizační z PP dešťové DN 110</t>
  </si>
  <si>
    <t>-1783149774</t>
  </si>
  <si>
    <t>Potrubí z trub polypropylenových dešťové DN 110</t>
  </si>
  <si>
    <t>721174R01</t>
  </si>
  <si>
    <t>Ohřev potrubí samoregulačním kabelem</t>
  </si>
  <si>
    <t>-248900176</t>
  </si>
  <si>
    <t>721194105</t>
  </si>
  <si>
    <t>Vyvedení a upevnění odpadních výpustek DN 40/50</t>
  </si>
  <si>
    <t>-493918253</t>
  </si>
  <si>
    <t>Vyměření přípojek na potrubí vyvedení a upevnění odpadních výpustek DN 40/50</t>
  </si>
  <si>
    <t>721194109</t>
  </si>
  <si>
    <t>Vyvedení a upevnění odpadních výpustek DN 100</t>
  </si>
  <si>
    <t>-147493957</t>
  </si>
  <si>
    <t>Vyměření přípojek na potrubí vyvedení a upevnění odpadních výpustek DN 100</t>
  </si>
  <si>
    <t>7211941R1</t>
  </si>
  <si>
    <t>Příprava pro napojení gastra</t>
  </si>
  <si>
    <t>-511748200</t>
  </si>
  <si>
    <t>7211941R2</t>
  </si>
  <si>
    <t>Příprava pro napojení žlabů, vč. napojení na hydroizolaci</t>
  </si>
  <si>
    <t>794889970</t>
  </si>
  <si>
    <t>721211422</t>
  </si>
  <si>
    <t>Vpusť podlahová se svislým odtokem DN 50/75/110 mřížka nerez 138x138</t>
  </si>
  <si>
    <t>1105770008</t>
  </si>
  <si>
    <t>Podlahové vpusti se svislým odtokem DN 50/75/110 mřížka nerez 138x138</t>
  </si>
  <si>
    <t>7212114R1</t>
  </si>
  <si>
    <t>Podlahová vpust DN50 s ležatým odtokem</t>
  </si>
  <si>
    <t>649418010</t>
  </si>
  <si>
    <t xml:space="preserve">Podlahová vpust DN50 s ležatým odtokem, s pevnou izolační přírubou, ZU standard,  3 přítokové trubky DN40, plast 123x123mm/nerez 115x115mm 
</t>
  </si>
  <si>
    <t>721212R90</t>
  </si>
  <si>
    <t>Podlahový žlábek délky 1000 mm s krycím roštem a zápachovou uzávěrkou</t>
  </si>
  <si>
    <t>1979052368</t>
  </si>
  <si>
    <t>721226511</t>
  </si>
  <si>
    <t>Zápachová uzávěrka podomítková pro pračku a myčku DN 40</t>
  </si>
  <si>
    <t>-327342907</t>
  </si>
  <si>
    <t>Zápachové uzávěrky podomítkové (Pe) s krycí deskou pro pračku a myčku DN 40</t>
  </si>
  <si>
    <t>721226R01</t>
  </si>
  <si>
    <t>Vodní ZU pro odvod kondenzátu DN 40 s připojením DN 32 popř. d 12-18 mm</t>
  </si>
  <si>
    <t>787525629</t>
  </si>
  <si>
    <t xml:space="preserve">Vodní ZU pro odvod kondenzátu DN 40 s připojením DN 32 popř. d 12-18 mm, s přídavnou mechanickou uzávěrkou a čistící vložkou, s otáčivým ramenem odtoku
</t>
  </si>
  <si>
    <t>721226R03</t>
  </si>
  <si>
    <t xml:space="preserve">Kalich pro úkapy DN32 se zápachovou uzávěrkou </t>
  </si>
  <si>
    <t>-2051583338</t>
  </si>
  <si>
    <t>Kalich pro úkapy DN32 se zápachovou uzávěrkou a přídavnou mechanickou uzávěrkou - kuličkou pro suchý stav</t>
  </si>
  <si>
    <t>721233112</t>
  </si>
  <si>
    <t>Střešní vtok polypropylen PP pro ploché střechy svislý odtok DN 110</t>
  </si>
  <si>
    <t>-1601416858</t>
  </si>
  <si>
    <t>Střešní vtoky (vpusti) polypropylenové (PP) pro ploché střechy s odtokem svislým DN 110, vc. krytu</t>
  </si>
  <si>
    <t>721233121</t>
  </si>
  <si>
    <t>Střešní vtok polypropylen PP pro ploché střechy vodorovný odtok DN 75/110</t>
  </si>
  <si>
    <t>1951724593</t>
  </si>
  <si>
    <t>Střešní vtoky (vpusti) polypropylenové (PP) pro ploché střechy s odtokem vodorovným DN 75/110, vc. krytu</t>
  </si>
  <si>
    <t>721273153</t>
  </si>
  <si>
    <t>Hlavice ventilační polypropylen PP DN 110</t>
  </si>
  <si>
    <t>-758380378</t>
  </si>
  <si>
    <t>Ventilační hlavice z polypropylenu (PP) DN 110</t>
  </si>
  <si>
    <t>721290111</t>
  </si>
  <si>
    <t>Zkouška těsnosti potrubí kanalizace vodou do DN 125</t>
  </si>
  <si>
    <t>-1760629494</t>
  </si>
  <si>
    <t>Zkouška těsnosti kanalizace  v objektech vodou do DN 125</t>
  </si>
  <si>
    <t>721290112</t>
  </si>
  <si>
    <t>Zkouška těsnosti potrubí kanalizace vodou do DN 200</t>
  </si>
  <si>
    <t>-1306409473</t>
  </si>
  <si>
    <t>Zkouška těsnosti kanalizace  v objektech vodou DN 150 nebo DN 200</t>
  </si>
  <si>
    <t>998721202</t>
  </si>
  <si>
    <t>Přesun hmot procentní pro vnitřní kanalizace v objektech v do 12 m</t>
  </si>
  <si>
    <t>286027727</t>
  </si>
  <si>
    <t>Přesun hmot pro vnitřní kanalizace  stanovený procentní sazbou (%) z ceny vodorovná dopravní vzdálenost do 50 m v objektech výšky přes 6 do 12 m</t>
  </si>
  <si>
    <t>722</t>
  </si>
  <si>
    <t>Zdravotechnika - vnitřní vodovod</t>
  </si>
  <si>
    <t>722130233</t>
  </si>
  <si>
    <t>Potrubí vodovodní ocelové závitové pozinkované svařované běžné DN 25</t>
  </si>
  <si>
    <t>-1011461713</t>
  </si>
  <si>
    <t>Potrubí z ocelových trubek pozinkovaných  závitových svařovaných běžných DN 25</t>
  </si>
  <si>
    <t>722174R21</t>
  </si>
  <si>
    <t>Potrubí vodovodní plastové PP-RCT svar polyfuze PN 20 D 16 x 2,7 mm</t>
  </si>
  <si>
    <t>2141222431</t>
  </si>
  <si>
    <t>Potrubí z plastových trubek z polypropylenu PP-RCT svařovaných polyfuzně PN 20 (SDR 6) D 16 x 2,7</t>
  </si>
  <si>
    <t>722174R22</t>
  </si>
  <si>
    <t>Potrubí vodovodní plastové PP-RCT svar polyfuze PN 20 D 20 x 3,4 mm</t>
  </si>
  <si>
    <t>-131784374</t>
  </si>
  <si>
    <t>Potrubí z plastových trubek z polypropylenu PP-RCT svařovaných polyfuzně PN 20 (SDR 6) D 20 x 3,4</t>
  </si>
  <si>
    <t>722174R23</t>
  </si>
  <si>
    <t>Potrubí vodovodní plastové PP-RCT svar polyfuze PN 20 D 25 x 4,2 mm</t>
  </si>
  <si>
    <t>-758466956</t>
  </si>
  <si>
    <t>Potrubí z plastových trubek z polypropylenu PP-RCT svařovaných polyfuzně PN 20 (SDR 6) D 25 x 4,2</t>
  </si>
  <si>
    <t>722174R24</t>
  </si>
  <si>
    <t>Potrubí vodovodní plastové PP-RCT svar polyfuze PN 20 D 32 x5,4 mm</t>
  </si>
  <si>
    <t>847967721</t>
  </si>
  <si>
    <t>Potrubí z plastových trubek z polypropylenu PP-RCT svařovaných polyfuzně PN 20 (SDR 6) D 32 x 5,4</t>
  </si>
  <si>
    <t>722174R25</t>
  </si>
  <si>
    <t>Potrubí vodovodní plastové PP-RCT svar polyfuze PN 20 D 40 x 6,7 mm</t>
  </si>
  <si>
    <t>-1819062109</t>
  </si>
  <si>
    <t>Potrubí z plastových trubek z polypropylenu PP-RCT svařovaných polyfuzně PN 20 (SDR 6) D 40 x 6,7</t>
  </si>
  <si>
    <t>722174R26</t>
  </si>
  <si>
    <t>Potrubí vodovodní plastové PP-RCT svar polyfuze PN 20 D 50 x 8,4 mm</t>
  </si>
  <si>
    <t>1701781143</t>
  </si>
  <si>
    <t>Potrubí z plastových trubek z polypropylenu PP-RCT svařovaných polyfuzně PN 20 (SDR 6) D 50 x 8,3</t>
  </si>
  <si>
    <t>722190401</t>
  </si>
  <si>
    <t>Vyvedení a upevnění výpustku do DN 25</t>
  </si>
  <si>
    <t>1156489809</t>
  </si>
  <si>
    <t>Zřízení přípojek na potrubí  vyvedení a upevnění výpustek do DN 25</t>
  </si>
  <si>
    <t>7221904R1</t>
  </si>
  <si>
    <t>Příprava pro připojení gastro</t>
  </si>
  <si>
    <t>893193804</t>
  </si>
  <si>
    <t>722221134</t>
  </si>
  <si>
    <t>Ventil výtokový G 1/2 s připojením na hadici</t>
  </si>
  <si>
    <t>1566604574</t>
  </si>
  <si>
    <t>Armatury s jedním závitem ventily výtokové G 1/2, s připojením na hadici,</t>
  </si>
  <si>
    <t>722224115</t>
  </si>
  <si>
    <t>Kohout plnicí nebo vypouštěcí G 1/2 PN 10 s jedním závitem</t>
  </si>
  <si>
    <t>-766345644</t>
  </si>
  <si>
    <t>Armatury s jedním závitem kohouty plnicí a vypouštěcí PN 10 G 1/2</t>
  </si>
  <si>
    <t>722231073</t>
  </si>
  <si>
    <t>Ventil zpětný mosazný G 3/4 PN 10 do 110°C se dvěma závity</t>
  </si>
  <si>
    <t>55201249</t>
  </si>
  <si>
    <t>Armatury se dvěma závity ventily zpětné mosazné PN 10 do 110°C G 3/4</t>
  </si>
  <si>
    <t>722231076</t>
  </si>
  <si>
    <t>Ventil zpětný mosazný G 6/4 PN 10 do 110°C se dvěma závity</t>
  </si>
  <si>
    <t>-1173572546</t>
  </si>
  <si>
    <t>Armatury se dvěma závity ventily zpětné mosazné PN 10 do 110°C G 6/4</t>
  </si>
  <si>
    <t>722231143</t>
  </si>
  <si>
    <t>Ventil závitový pojistný rohový G 1</t>
  </si>
  <si>
    <t>295829717</t>
  </si>
  <si>
    <t>Armatury se dvěma závity ventily pojistné rohové G 1</t>
  </si>
  <si>
    <t>722231205</t>
  </si>
  <si>
    <t>Ventil redukční mosazný G 6/4 PN 6 do 25°C s 2x vnitřním závitem bez manometru</t>
  </si>
  <si>
    <t>870287976</t>
  </si>
  <si>
    <t>Armatury se dvěma závity ventily redukční tlakové mosazné bez manometru PN 6 do 25 °C G 6/4</t>
  </si>
  <si>
    <t>722231246</t>
  </si>
  <si>
    <t>Ventil elektromagnetický G 6/4 PN 16 do 130°C bez proudu zavřeno se dvěma závity</t>
  </si>
  <si>
    <t>1143320199</t>
  </si>
  <si>
    <t>Armatury se dvěma závity ventily elektromagnetické PN 16 do 130°C bez proudu zavřeno G 6/4</t>
  </si>
  <si>
    <t>722232043</t>
  </si>
  <si>
    <t>Kohout kulový přímý G 1/2 PN 42 do 185°C vnitřní závit</t>
  </si>
  <si>
    <t>1457171586</t>
  </si>
  <si>
    <t>Armatury se dvěma závity kulové kohouty PN 42 do 185 °C přímé vnitřní závit G 1/2</t>
  </si>
  <si>
    <t>722232044</t>
  </si>
  <si>
    <t>Kohout kulový přímý G 3/4 PN 42 do 185°C vnitřní závit</t>
  </si>
  <si>
    <t>-317940402</t>
  </si>
  <si>
    <t>Armatury se dvěma závity kulové kohouty PN 42 do 185 °C přímé vnitřní závit G 3/4</t>
  </si>
  <si>
    <t>722232045</t>
  </si>
  <si>
    <t>Kohout kulový přímý G 1 PN 42 do 185°C vnitřní závit</t>
  </si>
  <si>
    <t>-692728379</t>
  </si>
  <si>
    <t>Armatury se dvěma závity kulové kohouty PN 42 do 185 °C přímé vnitřní závit G 1</t>
  </si>
  <si>
    <t>722232046</t>
  </si>
  <si>
    <t>Kohout kulový přímý G 5/4 PN 42 do 185°C vnitřní závit</t>
  </si>
  <si>
    <t>123451228</t>
  </si>
  <si>
    <t>Armatury se dvěma závity kulové kohouty PN 42 do 185 °C přímé vnitřní závit G 5/4</t>
  </si>
  <si>
    <t>722232047</t>
  </si>
  <si>
    <t>Kohout kulový přímý G 6/4 PN 42 do 185°C vnitřní závit</t>
  </si>
  <si>
    <t>-932274575</t>
  </si>
  <si>
    <t>Armatury se dvěma závity kulové kohouty PN 42 do 185 °C přímé vnitřní závit G 6/4</t>
  </si>
  <si>
    <t>722232061</t>
  </si>
  <si>
    <t>Kohout kulový přímý G 1/2 PN 42 do 185°C vnitřní závit s vypouštěním</t>
  </si>
  <si>
    <t>-122967164</t>
  </si>
  <si>
    <t>Armatury se dvěma závity kulové kohouty PN 42 do 185 °C přímé vnitřní závit s vypouštěním G 1/2</t>
  </si>
  <si>
    <t>722232062</t>
  </si>
  <si>
    <t>Kohout kulový přímý G 3/4 PN 42 do 185°C vnitřní závit s vypouštěním</t>
  </si>
  <si>
    <t>-561700805</t>
  </si>
  <si>
    <t>Armatury se dvěma závity kulové kohouty PN 42 do 185 °C přímé vnitřní závit s vypouštěním G 3/4</t>
  </si>
  <si>
    <t>722232063</t>
  </si>
  <si>
    <t>Kohout kulový přímý G 1 PN 42 do 185°C vnitřní závit s vypouštěním</t>
  </si>
  <si>
    <t>29287739</t>
  </si>
  <si>
    <t>Armatury se dvěma závity kulové kohouty PN 42 do 185 °C přímé vnitřní závit s vypouštěním G 1</t>
  </si>
  <si>
    <t>722232064</t>
  </si>
  <si>
    <t>Kohout kulový přímý G 5/4 PN 42 do 185°C vnitřní závit s vypouštěním</t>
  </si>
  <si>
    <t>2067120305</t>
  </si>
  <si>
    <t>Armatury se dvěma závity kulové kohouty PN 42 do 185 °C přímé vnitřní závit s vypouštěním G 5/4</t>
  </si>
  <si>
    <t>722232065</t>
  </si>
  <si>
    <t>Kohout kulový přímý G 6/4 PN 42 do 185°C vnitřní závit s vypouštěním</t>
  </si>
  <si>
    <t>-256388488</t>
  </si>
  <si>
    <t>Armatury se dvěma závity kulové kohouty PN 42 do 185 °C přímé vnitřní závit s vypouštěním G 6/4</t>
  </si>
  <si>
    <t>722232503</t>
  </si>
  <si>
    <t>Potrubní oddělovač G 1 PN 10 do 65°C vnější závit</t>
  </si>
  <si>
    <t>645296007</t>
  </si>
  <si>
    <t>Armatury se dvěma závity potrubní oddělovače vnější závit PN 10 do 65 °C G 1</t>
  </si>
  <si>
    <t>722234264</t>
  </si>
  <si>
    <t>Filtr mosazný G 3/4 PN 20 do 80°C s 2x vnitřním závitem</t>
  </si>
  <si>
    <t>225535767</t>
  </si>
  <si>
    <t>Armatury se dvěma závity filtry mosazný PN 20 do 80 °C G 3/4</t>
  </si>
  <si>
    <t>722250R01</t>
  </si>
  <si>
    <t>Hydrantový systém s tvarově stálou hadicí D 19 x 30 m celoplechový</t>
  </si>
  <si>
    <t>144242914</t>
  </si>
  <si>
    <t>Požární příslušenství a armatury  hydrantový systém s tvarově stálou hadicí celoplechový D 19 x 30 m</t>
  </si>
  <si>
    <t>732331717</t>
  </si>
  <si>
    <t>Nádoba tlaková expanzní s membránou závitové připojení PN 1,0 o objemu 80 l</t>
  </si>
  <si>
    <t>1677423515</t>
  </si>
  <si>
    <t>Nádoby expanzní tlakové s membránou bez pojistného ventilu se závitovým připojením PN 1,0 o objemu 80 l</t>
  </si>
  <si>
    <t>732421213</t>
  </si>
  <si>
    <t>Čerpadlo teplovodní mokroběžné závitové cirkulační DN 25 výtlak do 6,0 m průtok 3,0 m3/h pro TUV</t>
  </si>
  <si>
    <t>-789901803</t>
  </si>
  <si>
    <t>Čerpadla teplovodní závitová mokroběžná cirkulační pro TUV (elektronicky řízená) PN 10, do 80°C DN přípojky/dopravní výška H (m) - čerpací výkon Q (m3/h) DN 25 / do 6,0 m / 3,0 m3/h</t>
  </si>
  <si>
    <t>734220100</t>
  </si>
  <si>
    <t>Ventil závitový regulační přímý G 1/2 PN 20 do 100°C vyvažovací</t>
  </si>
  <si>
    <t>-164153515</t>
  </si>
  <si>
    <t>Ventily regulační závitové vyvažovací přímé PN 20 do 100°C G 1/2</t>
  </si>
  <si>
    <t>734220101</t>
  </si>
  <si>
    <t>Ventil závitový regulační přímý G 3/4 PN 20 do 100°C vyvažovací</t>
  </si>
  <si>
    <t>1666536099</t>
  </si>
  <si>
    <t>Ventily regulační závitové vyvažovací přímé PN 20 do 100°C G 3/4</t>
  </si>
  <si>
    <t>7342950R0</t>
  </si>
  <si>
    <t>Směšovací armatura závitová trojcestná DN 40 s cirkulací</t>
  </si>
  <si>
    <t>1185490567</t>
  </si>
  <si>
    <t>Směšovací armatury  závitové trojcestné s cirkulací DN 40</t>
  </si>
  <si>
    <t>7342950R1</t>
  </si>
  <si>
    <t>Směšovací armatura závitová trojcestná DN 15, s nastavením výstupní teploty</t>
  </si>
  <si>
    <t>-1587283054</t>
  </si>
  <si>
    <t>Směšovací armatury  závitové trojcestné se servomotorem DN 15, s nastavením výstupní teploty TA MIX)</t>
  </si>
  <si>
    <t>734411127</t>
  </si>
  <si>
    <t>Teploměr technický s pevným stonkem a jímkou zadní připojení průměr 100 mm délky 100 mm</t>
  </si>
  <si>
    <t>-1868210503</t>
  </si>
  <si>
    <t>Teploměry technické s pevným stonkem a jímkou zadní připojení (axiální) průměr 100 mm délka stonku 100 mm</t>
  </si>
  <si>
    <t>734421112</t>
  </si>
  <si>
    <t>Tlakoměr s pevným stonkem a zpětnou klapkou tlak 0-6 bar průměr 63 mm zadní připojení</t>
  </si>
  <si>
    <t>-1500207900</t>
  </si>
  <si>
    <t>Tlakoměry s pevným stonkem a zpětnou klapkou zadní připojení (axiální) tlaku 0–6 bar průměru 63 mm</t>
  </si>
  <si>
    <t>734424101</t>
  </si>
  <si>
    <t>Kondenzační smyčka k přivaření zahnutá PN 250 do 300°C</t>
  </si>
  <si>
    <t>-340744926</t>
  </si>
  <si>
    <t>Tlakoměry kondenzační smyčky k přivaření, PN 250 do 300°C zahnuté</t>
  </si>
  <si>
    <t>722290226</t>
  </si>
  <si>
    <t>Zkouška těsnosti vodovodního potrubí závitového do DN 50</t>
  </si>
  <si>
    <t>-1091021207</t>
  </si>
  <si>
    <t>Zkoušky, proplach a desinfekce vodovodního potrubí  zkoušky těsnosti vodovodního potrubí závitového do DN 50</t>
  </si>
  <si>
    <t>722290234</t>
  </si>
  <si>
    <t>Proplach a dezinfekce vodovodního potrubí do DN 80</t>
  </si>
  <si>
    <t>1890478896</t>
  </si>
  <si>
    <t>Zkoušky, proplach a desinfekce vodovodního potrubí  proplach a desinfekce vodovodního potrubí do DN 80</t>
  </si>
  <si>
    <t>998722202</t>
  </si>
  <si>
    <t>Přesun hmot procentní pro vnitřní vodovod v objektech v do 12 m</t>
  </si>
  <si>
    <t>-1477046382</t>
  </si>
  <si>
    <t>Přesun hmot pro vnitřní vodovod  stanovený procentní sazbou (%) z ceny vodorovná dopravní vzdálenost do 50 m v objektech výšky přes 6 do 12 m</t>
  </si>
  <si>
    <t>723</t>
  </si>
  <si>
    <t>Zdravotechnika - vnitřní plynovod</t>
  </si>
  <si>
    <t>723111203</t>
  </si>
  <si>
    <t>Potrubí ocelové závitové černé bezešvé svařované běžné DN 20</t>
  </si>
  <si>
    <t>474625406</t>
  </si>
  <si>
    <t>Potrubí z ocelových trubek závitových černých  spojovaných svařováním, bezešvých běžných DN 20</t>
  </si>
  <si>
    <t>723111204</t>
  </si>
  <si>
    <t>Potrubí ocelové závitové černé bezešvé svařované běžné DN 25</t>
  </si>
  <si>
    <t>1052610748</t>
  </si>
  <si>
    <t>Potrubí z ocelových trubek závitových černých  spojovaných svařováním, bezešvých běžných DN 25</t>
  </si>
  <si>
    <t>723111205</t>
  </si>
  <si>
    <t>Potrubí ocelové závitové černé bezešvé svařované běžné DN 32</t>
  </si>
  <si>
    <t>-1332139576</t>
  </si>
  <si>
    <t>Potrubí z ocelových trubek závitových černých  spojovaných svařováním, bezešvých běžných DN 32</t>
  </si>
  <si>
    <t>723111206</t>
  </si>
  <si>
    <t>Potrubí ocelové závitové černé bezešvé svařované běžné DN 40</t>
  </si>
  <si>
    <t>1581974112</t>
  </si>
  <si>
    <t>Potrubí z ocelových trubek závitových černých  spojovaných svařováním, bezešvých běžných DN 40</t>
  </si>
  <si>
    <t>723111207</t>
  </si>
  <si>
    <t>Potrubí ocelové závitové černé bezešvé svařované běžné DN 50</t>
  </si>
  <si>
    <t>922515330</t>
  </si>
  <si>
    <t>Potrubí z ocelových trubek závitových černých  spojovaných svařováním, bezešvých běžných DN 50</t>
  </si>
  <si>
    <t>723111R07</t>
  </si>
  <si>
    <t>Potrubí ocelové závitové černé bezešvé svařované běžné DN 50, izolace Bralen</t>
  </si>
  <si>
    <t>913335298</t>
  </si>
  <si>
    <t>Potrubí z ocelových trubek závitových černých  spojovaných svařováním, bezešvých běžných DN 50, izolace Bralen</t>
  </si>
  <si>
    <t>723150366</t>
  </si>
  <si>
    <t>Chránička D 44,5x2,6 mm</t>
  </si>
  <si>
    <t>1548185041</t>
  </si>
  <si>
    <t>Potrubí z ocelových trubek hladkých  chráničky Ø 44,5/2,6</t>
  </si>
  <si>
    <t>723150367</t>
  </si>
  <si>
    <t>Chránička D 57x2,9 mm</t>
  </si>
  <si>
    <t>-2064367384</t>
  </si>
  <si>
    <t>Potrubí z ocelových trubek hladkých  chráničky Ø 57/2,9</t>
  </si>
  <si>
    <t>723150368</t>
  </si>
  <si>
    <t>Chránička D 76x3,2 mm</t>
  </si>
  <si>
    <t>1122157620</t>
  </si>
  <si>
    <t>Potrubí z ocelových trubek hladkých  chráničky Ø 76/3,2</t>
  </si>
  <si>
    <t>723221304</t>
  </si>
  <si>
    <t>Ventil vzorkovací rohový G 1/2 PN 5 s vnitřním závitem</t>
  </si>
  <si>
    <t>1771350125</t>
  </si>
  <si>
    <t>Armatury s jedním závitem ventily vzorkovací rohové PN 5 vnitřní závit G 1/2</t>
  </si>
  <si>
    <t>723230153</t>
  </si>
  <si>
    <t>Flexibilní hadice na plyn PN 1 délky 500 mm pro bajonetové uzávěry</t>
  </si>
  <si>
    <t>1712512481</t>
  </si>
  <si>
    <t>Armatury se dvěma závity flexibilní nerezová hadice pro bajonetové uzávěry na plyn PN 1, délky 500 mm</t>
  </si>
  <si>
    <t>722231244</t>
  </si>
  <si>
    <t>Ventil elektromagnetický G 1 PN 16 do 130°C bez proudu zavřeno se dvěma závity</t>
  </si>
  <si>
    <t>1710899530</t>
  </si>
  <si>
    <t>Armatury se dvěma závity ventily elektromagnetické PN 16 do 130°C bez proudu zavřeno G 1</t>
  </si>
  <si>
    <t>723231162</t>
  </si>
  <si>
    <t>Kohout kulový přímý G 1/2 PN 42 do 185°C plnoprůtokový vnitřní závit těžká řada</t>
  </si>
  <si>
    <t>1622621868</t>
  </si>
  <si>
    <t>Armatury se dvěma závity kohouty kulové PN 42 do 185°C plnoprůtokové vnitřní závit těžká řada G 1/2</t>
  </si>
  <si>
    <t>723231163</t>
  </si>
  <si>
    <t>Kohout kulový přímý G 3/4 PN 42 do 185°C plnoprůtokový vnitřní závit těžká řada</t>
  </si>
  <si>
    <t>1197079609</t>
  </si>
  <si>
    <t>Armatury se dvěma závity kohouty kulové PN 42 do 185°C plnoprůtokové vnitřní závit těžká řada G 3/4</t>
  </si>
  <si>
    <t>723231165</t>
  </si>
  <si>
    <t>Kohout kulový přímý G 1 1/4 PN 42 do 185°C plnoprůtokový vnitřní závit těžká řada</t>
  </si>
  <si>
    <t>1066323347</t>
  </si>
  <si>
    <t>Armatury se dvěma závity kohouty kulové PN 42 do 185°C plnoprůtokové vnitřní závit těžká řada G 1 1/4</t>
  </si>
  <si>
    <t>723231R01</t>
  </si>
  <si>
    <t>Bezpečnostní rychlouzávěr BVP DN 40</t>
  </si>
  <si>
    <t>77317967</t>
  </si>
  <si>
    <t>723231R02</t>
  </si>
  <si>
    <t>Rozdělovač podomítkový</t>
  </si>
  <si>
    <t>541497505</t>
  </si>
  <si>
    <t>-2002915167</t>
  </si>
  <si>
    <t>-603756210</t>
  </si>
  <si>
    <t>998723202</t>
  </si>
  <si>
    <t>Přesun hmot procentní pro vnitřní plynovod v objektech v do 12 m</t>
  </si>
  <si>
    <t>-669408404</t>
  </si>
  <si>
    <t>Přesun hmot pro vnitřní plynovod  stanovený procentní sazbou (%) z ceny vodorovná dopravní vzdálenost do 50 m v objektech výšky přes 6 do 12 m</t>
  </si>
  <si>
    <t>724</t>
  </si>
  <si>
    <t>Zdravotechnika - strojní vybavení</t>
  </si>
  <si>
    <t>724141101</t>
  </si>
  <si>
    <t>Čerpadlo vodovodní samonasávací dvoustupňové DN 25 se spojkou a el. motorem s potrubím a sacím košem</t>
  </si>
  <si>
    <t>-420500008</t>
  </si>
  <si>
    <t>Čerpadla vodovodní strojní bez potrubí samonasávací s úplnou spojkou a elektromotorem na společné základové desce včetně sacího koše dvojstupňové DN 25</t>
  </si>
  <si>
    <t>998724202</t>
  </si>
  <si>
    <t>Přesun hmot procentní pro strojní vybavení v objektech v do 12 m</t>
  </si>
  <si>
    <t>509918643</t>
  </si>
  <si>
    <t>Přesun hmot pro strojní vybavení  stanovený procentní sazbou (%) z ceny vodorovná dopravní vzdálenost do 50 m v objektech výšky přes 6 do 12 m</t>
  </si>
  <si>
    <t>Zdravotechnika - zařizovací předměty</t>
  </si>
  <si>
    <t>POZN.</t>
  </si>
  <si>
    <t>Konkrétní typy zařizovacích předmětů jsou stanoveny ve stavební části projektové dokumentace</t>
  </si>
  <si>
    <t>-289010719</t>
  </si>
  <si>
    <t>0*0 'Přepočtené koeficientem množství</t>
  </si>
  <si>
    <t>725112022</t>
  </si>
  <si>
    <t>Klozet keramický závěsný na nosné stěny s hlubokým splachováním odpad vodorovný</t>
  </si>
  <si>
    <t>-1945106862</t>
  </si>
  <si>
    <t>Zařízení záchodů klozety keramické závěsné na nosné stěny s hlubokým splachováním odpad vodorovný</t>
  </si>
  <si>
    <t>725112R01</t>
  </si>
  <si>
    <t>Klozet keramický závěsný na nosné stěny s hlubokým splachováním odpad vodorovný, pro tělesně postižené</t>
  </si>
  <si>
    <t>514688588</t>
  </si>
  <si>
    <t>Zařízení záchodů klozety keramické závěsné na nosné stěny s hlubokým splachováním odpad vodorovný, pro tělesně postižené</t>
  </si>
  <si>
    <t>725121512</t>
  </si>
  <si>
    <t>Pisoárový záchodek keramický bez splachovací nádrže s odsáváním a se svislým přívodem vody</t>
  </si>
  <si>
    <t>-785115520</t>
  </si>
  <si>
    <t>Pisoárové záchodky keramické bez splachovací nádrže urinál odsávací, přívod vody vnější svislý</t>
  </si>
  <si>
    <t>725211601</t>
  </si>
  <si>
    <t>Umyvadlo keramické bílé šířky 500 mm bez krytu na sifon připevněné na stěnu šrouby</t>
  </si>
  <si>
    <t>1920621886</t>
  </si>
  <si>
    <t>Umyvadla keramická bílá bez výtokových armatur připevněná na stěnu šrouby bez sloupu nebo krytu na sifon 500 mm</t>
  </si>
  <si>
    <t>725211681</t>
  </si>
  <si>
    <t>Umyvadlo keramické bílé zdravotní šířky 640 mm připevněné na stěnu šrouby</t>
  </si>
  <si>
    <t>-1754201581</t>
  </si>
  <si>
    <t>Umyvadla keramická bílá bez výtokových armatur připevněná na stěnu šrouby zdravotní bílá 640 mm</t>
  </si>
  <si>
    <t>7252116R1</t>
  </si>
  <si>
    <t>Umyvadlo keramické bílé volně stojící</t>
  </si>
  <si>
    <t>850067731</t>
  </si>
  <si>
    <t>Umyvadla keramická bílá bez výtokových armatur volně stojící</t>
  </si>
  <si>
    <t>725211R01</t>
  </si>
  <si>
    <t>Umývátko keramické bílé stěnové šířky 350 mm připevněné na stěnu šrouby</t>
  </si>
  <si>
    <t>500310552</t>
  </si>
  <si>
    <t>Umyvadla keramická bílá bez výtokových armatur připevněná na stěnu šrouby malá (umývátka) stěnová 350 mm</t>
  </si>
  <si>
    <t>725214141</t>
  </si>
  <si>
    <t>Umyvadlo nerezové automatické s výtokovým ramínkem pro přívod studené/předmíchané vody připevněné na stěnu</t>
  </si>
  <si>
    <t>-489360400</t>
  </si>
  <si>
    <t>Umyvadla nerezová připevněná na stěnu s výtokovým ramínkem a bezdotykovým ovládáním pro jeden přívod vody (studené nebo předmíchané)</t>
  </si>
  <si>
    <t>725241112</t>
  </si>
  <si>
    <t>Vanička sprchová akrylátová čtvercová 900x900 mm</t>
  </si>
  <si>
    <t>-1769295809</t>
  </si>
  <si>
    <t>Sprchové vaničky akrylátové čtvercové 900x900 mm</t>
  </si>
  <si>
    <t>725241142</t>
  </si>
  <si>
    <t>Vanička sprchová akrylátová čtvrtkruhová 900x900 mm</t>
  </si>
  <si>
    <t>2126584535</t>
  </si>
  <si>
    <t>Sprchové vaničky akrylátové čtvrtkruhové 900x900 mm</t>
  </si>
  <si>
    <t>725244123</t>
  </si>
  <si>
    <t>Dveře sprchové rámové se skleněnou výplní tl. 5 mm otvíravé dvoukřídlové do niky na vaničku šířky 900 mm</t>
  </si>
  <si>
    <t>912133381</t>
  </si>
  <si>
    <t>Sprchové dveře a zástěny dveře sprchové do niky rámové se skleněnou výplní tl. 5 mm otvíravé dvoukřídlové, na vaničku šířky 900 mm</t>
  </si>
  <si>
    <t>725244813</t>
  </si>
  <si>
    <t>Zástěna sprchová rohová rámová se skleněnou výplní tl. 4 a 5 mm dveře posuvné dvoudílné na čtvrtkruhovou vaničku 900x900 mm</t>
  </si>
  <si>
    <t>-1526359657</t>
  </si>
  <si>
    <t>Sprchové dveře a zástěny zástěny sprchové rohové čtvrtkruhové rámové se skleněnou výplní tl. 4 a 5 mm dveře posuvné dvoudílné, vstup z oblouku, na vaničku 900x900 mm</t>
  </si>
  <si>
    <t>725291712</t>
  </si>
  <si>
    <t>Doplňky zařízení koupelen a záchodů smaltované madlo krakorcové dl 834 mm</t>
  </si>
  <si>
    <t>-498092769</t>
  </si>
  <si>
    <t>Doplňky zařízení koupelen a záchodů  smaltované madla krakorcová, délky 834 mm</t>
  </si>
  <si>
    <t>725291722</t>
  </si>
  <si>
    <t>Doplňky zařízení koupelen a záchodů smaltované madlo krakorcové sklopné dl 834 mm</t>
  </si>
  <si>
    <t>340405309</t>
  </si>
  <si>
    <t>Doplňky zařízení koupelen a záchodů  smaltované madla krakorcová sklopná, délky 834 mm</t>
  </si>
  <si>
    <t>725331111</t>
  </si>
  <si>
    <t>Výlevka bez výtokových armatur keramická se sklopnou plastovou mřížkou 500 mm</t>
  </si>
  <si>
    <t>-1646491818</t>
  </si>
  <si>
    <t>Výlevky bez výtokových armatur a splachovací nádrže keramické se sklopnou plastovou mřížkou 425 mm</t>
  </si>
  <si>
    <t>725811301</t>
  </si>
  <si>
    <t>Ventil tlačný samouzavírací s omezenou dobou výtoku 6 l/min G 1/2</t>
  </si>
  <si>
    <t>-1316013326</t>
  </si>
  <si>
    <t>Ventily nástěnné samouzavírací s omezenou dobou výtoku tlačné G 1/2 (6 l/min)</t>
  </si>
  <si>
    <t>725813111</t>
  </si>
  <si>
    <t>Ventil rohový bez připojovací trubičky nebo flexi hadičky G 1/2</t>
  </si>
  <si>
    <t>246195749</t>
  </si>
  <si>
    <t>Ventily rohové bez připojovací trubičky nebo flexi hadičky G 1/2</t>
  </si>
  <si>
    <t>55190003</t>
  </si>
  <si>
    <t>flexi hadice ohebná sanitární D 9x13mm FF 1/2" 500mm</t>
  </si>
  <si>
    <t>1592978356</t>
  </si>
  <si>
    <t>725813112</t>
  </si>
  <si>
    <t>Ventil rohový pračkový G 3/4</t>
  </si>
  <si>
    <t>754949189</t>
  </si>
  <si>
    <t>Ventily rohové bez připojovací trubičky nebo flexi hadičky pračkové G 3/4</t>
  </si>
  <si>
    <t>725821325</t>
  </si>
  <si>
    <t>Baterie dřezová stojánková páková s otáčivým kulatým ústím a délkou ramínka 220 mm</t>
  </si>
  <si>
    <t>1968845870</t>
  </si>
  <si>
    <t>Baterie dřezové stojánkové pákové s otáčivým ústím a délkou ramínka 220 mm</t>
  </si>
  <si>
    <t>725821R01</t>
  </si>
  <si>
    <t>Baterie dřezová nástěnná páková s otáčivým kulatým ústím a délkou ramínka 200 mm, pro výlevku</t>
  </si>
  <si>
    <t>1336209173</t>
  </si>
  <si>
    <t>Baterie dřezové nástěnné pákové s otáčivým kulatým ústím a délkou ramínka 200 mm, pro výlevku</t>
  </si>
  <si>
    <t>725822613</t>
  </si>
  <si>
    <t>Baterie umyvadlová stojánková páková s výpustí</t>
  </si>
  <si>
    <t>-1014617692</t>
  </si>
  <si>
    <t>Baterie umyvadlové stojánkové pákové s výpustí</t>
  </si>
  <si>
    <t>725841354</t>
  </si>
  <si>
    <t>Baterie sprchová automatická s termostatickým ventilem a sprchovou růžicí</t>
  </si>
  <si>
    <t>-7434375</t>
  </si>
  <si>
    <t>Baterie sprchové automatické s termostatickým ventilem a sprchovou růžicí</t>
  </si>
  <si>
    <t>725861102</t>
  </si>
  <si>
    <t>Zápachová uzávěrka pro umyvadla DN 40/50, chrom</t>
  </si>
  <si>
    <t>1435904686</t>
  </si>
  <si>
    <t>Zápachové uzávěrky zařizovacích předmětů pro umyvadla DN 40/50, chrom</t>
  </si>
  <si>
    <t>725862103</t>
  </si>
  <si>
    <t>Zápachová uzávěrka pro dřezy DN 40/50</t>
  </si>
  <si>
    <t>-1722216056</t>
  </si>
  <si>
    <t>Zápachové uzávěrky zařizovacích předmětů pro dřezy DN 40/50</t>
  </si>
  <si>
    <t>725865311</t>
  </si>
  <si>
    <t>Zápachová uzávěrka sprchových van DN 40/50 s kulovým kloubem na odtoku</t>
  </si>
  <si>
    <t>85190367</t>
  </si>
  <si>
    <t>Zápachové uzávěrky zařizovacích předmětů pro vany sprchových koutů s kulovým kloubem na odtoku DN 40/50</t>
  </si>
  <si>
    <t>998725202</t>
  </si>
  <si>
    <t>Přesun hmot procentní pro zařizovací předměty v objektech v do 12 m</t>
  </si>
  <si>
    <t>1306512511</t>
  </si>
  <si>
    <t>Přesun hmot pro zařizovací předměty  stanovený procentní sazbou (%) z ceny vodorovná dopravní vzdálenost do 50 m v objektech výšky přes 6 do 12 m</t>
  </si>
  <si>
    <t>726</t>
  </si>
  <si>
    <t>Zdravotechnika - předstěnové instalace</t>
  </si>
  <si>
    <t>726111031</t>
  </si>
  <si>
    <t>Instalační předstěna - klozet s ovládáním zepředu v 1080 mm závěsný do masivní zděné kce</t>
  </si>
  <si>
    <t>-1219473248</t>
  </si>
  <si>
    <t>Předstěnové instalační systémy pro zazdění do masivních zděných konstrukcí pro závěsné klozety ovládání zepředu, stavební výška 1080 mm</t>
  </si>
  <si>
    <t>726111R00</t>
  </si>
  <si>
    <t>Instalační předstěna - klozet s ovládáním zepředu v 1080 mm závěsný do masivní zděné kce, s oddáleným splachováním</t>
  </si>
  <si>
    <t>766515394</t>
  </si>
  <si>
    <t>Předstěnové instalační systémy pro zazdění do masivních zděných konstrukcí pro závěsné klozety ovládání zepředu, stavební výška 1080 mm, s oddáleným splachováním</t>
  </si>
  <si>
    <t>726111R01</t>
  </si>
  <si>
    <t>Instalační předstěna - výlevka do masivní zděné kce</t>
  </si>
  <si>
    <t>-2069290612</t>
  </si>
  <si>
    <t>Předstěnové instalační systémy pro zazdění do masivních zděných konstrukcí pro výlevky</t>
  </si>
  <si>
    <t>998726212</t>
  </si>
  <si>
    <t>Přesun hmot procentní pro instalační prefabrikáty v objektech v do 12 m</t>
  </si>
  <si>
    <t>739715782</t>
  </si>
  <si>
    <t>Přesun hmot pro instalační prefabrikáty  stanovený procentní sazbou (%) z ceny vodorovná dopravní vzdálenost do 50 m v objektech výšky přes 6 do 12 m</t>
  </si>
  <si>
    <t>Dokončovací práce - nátěry</t>
  </si>
  <si>
    <t>783614551</t>
  </si>
  <si>
    <t>Základní jednonásobný syntetický nátěr potrubí DN do 50 mm</t>
  </si>
  <si>
    <t>1500240481</t>
  </si>
  <si>
    <t>Základní nátěr armatur a kovových potrubí jednonásobný potrubí do DN 50 mm syntetický</t>
  </si>
  <si>
    <t>783617611</t>
  </si>
  <si>
    <t>Krycí dvojnásobný syntetický nátěr potrubí DN do 50 mm</t>
  </si>
  <si>
    <t>889772096</t>
  </si>
  <si>
    <t>Krycí nátěr (email) armatur a kovových potrubí potrubí do DN 50 mm dvojnásobný syntetický standardní</t>
  </si>
  <si>
    <t>HZS</t>
  </si>
  <si>
    <t>Hodinové zúčtovací sazby</t>
  </si>
  <si>
    <t>HZS2491</t>
  </si>
  <si>
    <t>Hodinová zúčtovací sazba dělník zednických výpomocí</t>
  </si>
  <si>
    <t>1490364102</t>
  </si>
  <si>
    <t>Hodinové zúčtovací sazby profesí PSV  zednické výpomoci a pomocné práce PSV dělník zednických výpomocí</t>
  </si>
  <si>
    <t>1605075157</t>
  </si>
  <si>
    <t>1686415157</t>
  </si>
  <si>
    <t>VRN9</t>
  </si>
  <si>
    <t>Ostatní náklady</t>
  </si>
  <si>
    <t>091003R01</t>
  </si>
  <si>
    <t>Odvoz a likvidace odpadu</t>
  </si>
  <si>
    <t>-1542782924</t>
  </si>
  <si>
    <t>091003R02</t>
  </si>
  <si>
    <t>Protipožární ucpávky</t>
  </si>
  <si>
    <t>-1002257104</t>
  </si>
  <si>
    <t>Protipožární ucpávky (dle PBŘ)</t>
  </si>
  <si>
    <t>Rekapitulace TZB</t>
  </si>
  <si>
    <t>D1.4a</t>
  </si>
  <si>
    <t>Zdravotně technické instalace</t>
  </si>
  <si>
    <t>D1.4b</t>
  </si>
  <si>
    <t>Vytápění</t>
  </si>
  <si>
    <t>D1.4c</t>
  </si>
  <si>
    <t>Vzduchotechnika</t>
  </si>
  <si>
    <t>D1.4d</t>
  </si>
  <si>
    <t>Silnoproudé elektroinstalace</t>
  </si>
  <si>
    <t>D1.4e</t>
  </si>
  <si>
    <t>Slaboproudé elektroinstalace</t>
  </si>
  <si>
    <t>D1.4f</t>
  </si>
  <si>
    <t>Měření a regulace</t>
  </si>
  <si>
    <t>D.2.1</t>
  </si>
  <si>
    <t>Gastrotechnologie</t>
  </si>
  <si>
    <t>D.2.2</t>
  </si>
  <si>
    <t>Přípojka kanalizace</t>
  </si>
  <si>
    <t>D.2.3</t>
  </si>
  <si>
    <t>Odlučovač tuků</t>
  </si>
  <si>
    <t>D.2.4</t>
  </si>
  <si>
    <t>Přípojka vodovodu</t>
  </si>
  <si>
    <t>D.2.5</t>
  </si>
  <si>
    <t>Přípojka plynovodu</t>
  </si>
  <si>
    <t>D.3.0</t>
  </si>
  <si>
    <t>23.06.2020</t>
  </si>
  <si>
    <t>W04 - M+D - Okno plastové 4000x2810mm, kompletní provedení vc. vsech detailu, pripoj. lišt, fenolické peny, atd. - dle popisu v pd</t>
  </si>
  <si>
    <t>W05 - M+D - Okno plastové 4000x2810mm, kompletní provedení vc. vsech detailu, pripoj. lišt, fenolické peny, atd. - dle popisu v pd</t>
  </si>
  <si>
    <t>W01 - M+D - Prosklený fasádní systém 4000x4050mm, kompletní provedení vc. vsech detailu, pripoj. lišt, fenolické peny, atd. - dle popisu v pd</t>
  </si>
  <si>
    <t>W02 - M+D - Prosklený fasádní systém 3850x4050mm, kompletní provedení vc. vsech detailu, pripoj. lišt, fenolické peny, atd. - dle popisu v pd</t>
  </si>
  <si>
    <t>W03 - M+D - Prosklený fasádní systém 3850x4050mm, kompletní provedení vc. vsech detailu, pripoj. lišt, fenolické peny, atd. - dle popisu v pd</t>
  </si>
  <si>
    <t>Z01 - M+D - Cistící zona 1. stupne 1500x2400mm, kompletní provedení vc. vsech detailu - dle popisu v pd (viz tab. zám. výr.)</t>
  </si>
  <si>
    <t>Z01 - M+D - Cistící zona 1. stupne 2000x1500mm, kompletní provedení vc. vsech detailu - dle popisu v pd (viz tab. zám. výr.)</t>
  </si>
  <si>
    <t>Z02 - M+D - Cistící zona 2. stupne 2400x600mm, kompletní provedení vc. vsech detailu - dle popisu v pd (viz tab. zám. výr.)</t>
  </si>
  <si>
    <t>Z02 - M+D - Cistící zona 2. stupne 2440x2420mm, kompletní provedení vc. vsech detailu - dle popisu v pd (viz tab. zám. výr.)</t>
  </si>
  <si>
    <t>D70 - M+D - Prosklená stena, komplet vc. dverí, kování a vsech doplnku - dle popisu v pd (viz tab. dverí)</t>
  </si>
  <si>
    <t>Dostavba ZŠ Mnichovice, 3. etapa, školní jídelna a kuchyně</t>
  </si>
  <si>
    <t>15. 4. 2020</t>
  </si>
  <si>
    <t>Provetrávaná fasáda, konstrukce je z hliníkových profilu s obkladem z cementotrískových desek, vc. uchycení desek . Položka obsahuje dodávku a montáž obkladu, nosné Al konstrukce vcetne kotevních prvku - odsazení konstrukce do 250 mm, tepelné minerální izolace vcetne kotev a difuzní folie.</t>
  </si>
  <si>
    <t>W06 - M+D - Okno plastové 4000x2810mm, kompletní provedení vc. vsech detailu, pripoj. lišt, fenolické peny, atd. - dle popisu v pd</t>
  </si>
  <si>
    <t>W12 - M+D - Okno plastové 1500x1200mm, kompletní provedení vc. vsech detailu, pripoj. lišt, pur peny, atd. - dle popisu v pd</t>
  </si>
  <si>
    <t>W14 - M+D - Okno plastové 2200x1200mm, kompletní provedení vc. vsech detailu, pripoj. lišt, pur peny, atd. - dle popisu v pd</t>
  </si>
  <si>
    <t>W15 - M+D - Okno plastové 1000x2700mm, kompletní provedení vc. vsech detailu, pripoj. lišt, pur peny, atd. - dle popisu v pd</t>
  </si>
  <si>
    <t>W20+21 - M+D - Okno plastové 2350x1600mm, kompletní provedení vc. vsech detailu, pripoj. lišt, pur peny, atd. - dle popisu v pd</t>
  </si>
  <si>
    <t>W26 - M+D - Hliníkové dvere 1100x2300mm, kompletní provedení vc. vsech detailu, pripoj. lišt, atd. - dle popisu v pd</t>
  </si>
  <si>
    <t>W27 - M+D - Hliníkové dvere 3050x3300mm, kompletní provedení vc. vsech detailu, pripoj. lišt, atd. - dle popisu v pd</t>
  </si>
  <si>
    <t>W28 - M+D - Hliníkové dvere 1400x2300mm, kompletní provedení vc. vsech detailu, pripoj. lišt, atd. - dle popisu v pd</t>
  </si>
  <si>
    <t>W30 - M+D - Vnitrní delící stena 2150x3900mm, kompletní provedení vc. vsech detailu - dle popisu v pd</t>
  </si>
  <si>
    <t>W31 - M+D - Vnitrní delící stena 1675x3900mm, kompletní provedení vc. vsech detailu - dle popisu v pd</t>
  </si>
  <si>
    <t>W32 - M+D - Vnitrní delící stena 1270x3900mm, kompletní provedení vc. vsech detailu - dle popisu v pd</t>
  </si>
  <si>
    <t>W33 - M+D - Výdejní okna - stravenky - 2okna 1125x1200mm x 2, kompletní provedení vc. vsech detailu - dle popisu v pd</t>
  </si>
  <si>
    <t>Školská stavba - občanská výstavba</t>
  </si>
  <si>
    <t xml:space="preserve"> Školská stavba - občanská výstavba</t>
  </si>
  <si>
    <t>Práce přesčas - neuplatní se</t>
  </si>
  <si>
    <t>Bez pevné podl. - neuplatní se</t>
  </si>
  <si>
    <t>Kulturní památka - neuplatní se</t>
  </si>
  <si>
    <t xml:space="preserve">Provozní vlivy
"* Ochrana stávajících inženýrských sítí na staveništi * Náklady na přezkoumání podkladů objednatele o stavu inženýrských sítí probíhajících staveništěm nebo dotčenými stavbou i mimo území staveniště * Vytýčení jejich skutečné trasy dle podmínek správců sítí v dokladové části * Zajištění aktualizace vyjádření správců sítí v případě ukončení platnosti vyjádření * Zajištění a zebezpečení stávajících inženýrských sítí a přípojek při výkopových a bouracích pracích" * Viditelné označení podzemních inženýrských sítí - jejich přesné uložení ověřit kopanými sondami </t>
  </si>
  <si>
    <t>Inženýrská činnost + Dodržení podmínek dotačních programů.</t>
  </si>
  <si>
    <t>Koordinace se souběžně prováděnými pracemi,kompletní dokladová část dle SoD (revize, atesty, certifikáty, prohlášení o shodě) pro předání a převzetí dokončeného díla a pro zajištění kolaudačního souhlasu * náklady zhotovitele, související s prováděním VZORKOVÁNÍ DODÁVANÝCH MATERIÁLŮ a VÝROBKŮ v souladu s SoD * náklady zhotovitele, související s prováděním zkoušek a REVIZÍ předepsaných technickými normami a vyjádřeními dotčených orgánů pro řádné provedení a předání díla * náklady na individuální zkoušky dodaných a smontovaných technologických zařízení včetně komplexního vyzkoušení * náklady zhotovitele na vypracování provozních řádů pro trvalý provoz * náklady na předání všech návodů k obsluze a údržbě pro technologická zařízení a * náklady na zaškolení obsluhy objednatel. Koordinace úprav sítí s jednotlivými správci.</t>
  </si>
  <si>
    <t>Ochrana stávajících inženýrských sítí na staveništi * Náklady na přezkoumání podkladů objednatele o stavu inženýrských sítí probíhajících staveništěm nebo dotčenými stavbou i mimo území staveniště * Vytýčení jejich skutečné trasy dle podmínek správců sítí v dokladové části * Zajištění aktualizace vyjádření správců sítí v případě ukončení platnosti vyjádření * Zajištění a zebezpečení stávajících inženýrských sítí a přípojek při výkopových a bouracích pracích" * Viditelné označení podzemních inženýrských sítí - jejich přesné uložení ověřit kopanými sondami *Chodník šířky 1,5m a délky z bet. panelů s podsypem a vyrovnáním nerovností pro pěší vně staveniště + schodiště dřevěné pro provizorní přístu do areálu školy * Zajištění průchodu staveništěm.</t>
  </si>
  <si>
    <t>Záporová pažící stena, kompletní provedení - dle popisu v pd (viz KONSTRUKČNÍ ŘEŠENÍ - statická cást projektu, rozsah výkres výkopů - D11.10)</t>
  </si>
  <si>
    <t xml:space="preserve">(4,75+4,75)*3 + 36*3,2 + 17,5*2,5  dle v.c. D12.101 + D11.10 </t>
  </si>
  <si>
    <t>Zdivoz kramických dutinových cihel  AKUSTICKÝCH P15 na MC 5, tl.250 mm</t>
  </si>
  <si>
    <t>Prícky z keramických dutinových AKUSTICKÝCH na MC 5, tl. 115 mm</t>
  </si>
  <si>
    <t>M+D - Zahradní domek, komplet vc. založení, podlahy, atd. - dle popisu v pd (viz v.c. D11.36)</t>
  </si>
  <si>
    <t>PH6 - Podhledy SDK, dvouúrovnový rošt 1x deska obyc. 15 mm, vc. tmelení a brousení (podrobný popis viz tz D11.01)</t>
  </si>
  <si>
    <t>PH7 - Podhledy SDK, dvouurovnový rošt 1x deska impregnovaná 15 mm, komplet vc. tmelení a brousení (podrobný popis viz tz D11.01)</t>
  </si>
  <si>
    <t xml:space="preserve">vcetne výztužné síte a sterkového tmelu </t>
  </si>
  <si>
    <t xml:space="preserve">Pás asfaltovaný težký </t>
  </si>
  <si>
    <t>Pás modifikovaný asfalt ( AL 40 mineral)</t>
  </si>
  <si>
    <t>vcetne dodávky parotesné folie</t>
  </si>
  <si>
    <t>Deska z minerální plsti  tl. 20 mm</t>
  </si>
  <si>
    <t>Deska z minerální plsti tl. 30 mm</t>
  </si>
  <si>
    <t>Deska z minerální plsti tl. 40 mm</t>
  </si>
  <si>
    <t>Deska antivibracní</t>
  </si>
  <si>
    <t>Zdivoz kramických dutinových cihel AKUSTICKÝCH P15 na MC 5, tl.250 mm</t>
  </si>
  <si>
    <t>Prícky z keramických dutinových  AKU na MC 5, tl. 115 mm</t>
  </si>
  <si>
    <t>Pás modifikovaný asfalt (AL 40 mineral)</t>
  </si>
  <si>
    <t>Deska z minerální plsti  tl. 40 mm</t>
  </si>
  <si>
    <t>vcetne dodávky folie tl. 1,5 mm (FOLIE z TPO /FPO) - folie je vhodná jak pro vrstvy zelené střechy, tak může tvořit finální vrstvu - je vystavena slunci</t>
  </si>
  <si>
    <t xml:space="preserve">Průzkumné, geodetické a projektové práce projektové práce dokumentace stavby (výkresová a textová) skutečného provedení stavby vc. profesí neuvedených samostatne.
Provede se kontrolní zkouška vhodnosti použití zeminy pro zpětné zásypy. 
Koordinace dopravních uzavírek dle podmínek SoD.
Zpracování pasportu sousedních staveb RD, č.p. 91 - Krouzovi, č.p. 80 Cinkovi
Dočasné zábory veřejné účelové komunikace, budou v časovém omezení. Časové předpoklady viz popis v úvodu části zařízení staveniště - B-STZ. Bude stanoveno během výstavby dle harmonogramu stavby.
Dopravní značení (DIO) po dobu stavby a další úpravy budou dohodnuty se silničním správním úřadem a provedeno značení.
Veškeré zábory veřejných komunikací budou minimalizovány, nejen časově, ale rovněž i prostorově.
Návrh jeřábu a návrh podmínek umístění na staveništi.
Návrh záporové stěny výkopů.
Pomocné návrhy kotvení, dílenská a realizační dokumentace.
</t>
  </si>
  <si>
    <t>Finanční náklady dle SoD (náklady na pojištění, bankovní záruky)</t>
  </si>
  <si>
    <t xml:space="preserve">Doprava </t>
  </si>
  <si>
    <t>D14e.01 - 06</t>
  </si>
  <si>
    <t>Cena/ks v Kč</t>
  </si>
  <si>
    <t>jednotková cena v Kč</t>
  </si>
  <si>
    <t>CENA M. J. v Kč</t>
  </si>
  <si>
    <t>cena za j.n. v Kč</t>
  </si>
  <si>
    <t>Jedn. Cena v Kč</t>
  </si>
  <si>
    <t>Podlahový nerezový žlab s roštem vč. sifonu, s napojením na hydroizolaci ve 2 úrovních - viz skladba podlahy stavební část D11</t>
  </si>
  <si>
    <t>Zpracování udokumentace skutečného stavu</t>
  </si>
  <si>
    <t>Číslo položky</t>
  </si>
  <si>
    <t>Projektová dokumentacevýrobní</t>
  </si>
  <si>
    <t>pozice/č.položky</t>
  </si>
  <si>
    <t>popis položky</t>
  </si>
  <si>
    <t>D1.4c - Vzduchotechnika</t>
  </si>
  <si>
    <t>D1.4d - Silnoproudé elektroinstalace</t>
  </si>
  <si>
    <t>D1.4e - Slaboproudé elektroinstalace</t>
  </si>
  <si>
    <t>D1.4f - Měření a regulace</t>
  </si>
  <si>
    <t>D2.1 - Gastro - vybavení kuchyně</t>
  </si>
  <si>
    <t>D3.0 - Zpevněné plochy a komunikace</t>
  </si>
  <si>
    <t>Výkres</t>
  </si>
  <si>
    <t>D3.0 - 01 až 03</t>
  </si>
  <si>
    <t>Odkaz na PD</t>
  </si>
  <si>
    <t>D1.4b 01 - 07</t>
  </si>
  <si>
    <t>Provetrávaná fasáda, konstrukce je z hliníkových profilu s HPL deskami uchyceným neviditelným lepením. Položka obsahuje dodávku a montáž desek pomocí chemie, nosné Al konstrukce vcetne kotevních prvku, odsazení konstrukce do 250 mm, tepelné minerální izolace vcetnì kotev a difuzní folie.</t>
  </si>
  <si>
    <t>Provetrávaná fasáda, konstrukce je z hliníkových profilu s Laminátovými deskami uchyceným neviditelným lepením. Položka obsahuje dodávku a montáž desek pomocí chemie, nosné Al konstrukce vcetne kotevních prvku, odsazení konstrukce do 250 mm, tepelné minerální izolace vcetnì kotev a difuzní folie.</t>
  </si>
  <si>
    <t>Dvouplášťové izolované celonerezovém provedení - průchozí myčka s rekuperací HR. Panel s LCD displejem (zobrazení pracovní teploty, mycí fáze, funkce, nastavení a servisní hlášení),</t>
  </si>
  <si>
    <t xml:space="preserve"> 2 - Rozměry mobilních prvků bude v toleranci max. ± 10%, nicméně rozměry zohlední prostorové podmínky stavby - rozměry dveří, chodeb, výtahů a dalších prostor u kterých se předpokládá použití takovýchto výrobků.</t>
  </si>
  <si>
    <t>Mycí stroj na stolní nádobí tunelový, košový, cca 90–140 košů/h, s rekuperací</t>
  </si>
  <si>
    <t>Nádrž radiální se sklonem pro snadné vyprázdnění; Samočistící mycí čerpadla chráněná před elektrickým přetížením; Trakční systém posunu košů se zabudovanou spojkou zabraňující vykolejení; Bojlery z ušlechtilé oceli AISI 304, izolované pro snížení tepelných ztrát; Ovládání přes elektronický dotykový s bezpečnostním krytím IP65; Mycí a oplachová nerezová ramena S/S vyjímatelná, pro snadné čištění nebo pro změnu směru práce; Nádrže osazeny S/S nerezovými povrchovými filtry snadno odnímatelné bez demontáže mycích ramen (voda je tak udržována čistá a zbavená jídla); Min.dvourychlostní trakční systém pohonu; Vypnutí motoru košového dopravníku a dalších funkcí stroje v době nečinnosti, pro omezení nákladů; Provoz jen v případě když je koš detekován v dané zóně (úspora spotřeby vody a energie); Regurátor tlaku stabilizuje tlak vody a zajišťuje optimální konečné oplachování.</t>
  </si>
  <si>
    <t xml:space="preserve">Mytí nádobí, GN, plechů, pánví, aj. Celonerezové dvouplášťové provedení vč. dveří. 10-12 automatických mycích cyklů cca 4 až 15 min. (například: 6 cyklů s využitím granulí a 6 cyklů bez použití granulí pro méně znečistěné nádobí). Mycí proces z cca 5 fází (mytí s granulemi, bez granulí jen vodou, pauza, horký oplach, odsátí páry). Systém rekuperace energie (využití odpadní páry k ohřevu vody) s hod. úsporou energie až cca 3 kWh v nejkratším cyklu a snížení vlhkosti využitím až 90% vycházející páry a teploty (výstupní teplota 27°C). Hodinový mycí výkon až 90 plechů/h GN1/1 (530x325 mm) nebo až 30 plechů/h GN2/1 (650x530 mm), až 75 plechů cukrářských nebo pekařských EN 600x400 mm. Velký nerez rotační mycí koš cca Ø 750 mm a zásuvná výška cca 650mm. Zesílená lisovaná vana (AISI 316). Základní vybavení dávkovačem oplachového a mycího prostředku. </t>
  </si>
  <si>
    <t>Mycí čerpadla (cca 3,7 kW) z nerezu (AISI 316), postranní mycí ramena vertikálně umístěná v rozích. Oplachová ramena umístěná bezpečně mezi mycími rameny. Spec. dvojitý filtr. systém s nerezovými sběrnými koši. Oplachový systém s výkonným oplachovacím čerpadlem, systémem garantujícím teplotu oplachu dle norem HACCP a přerušovanou vanou (konstantní teplota vody 85°C a potřebný tlak vody po celou dobu oplachování). Samočistící cyklus. Ochranné prvky (bezpečnostní spínač dveří, senzor hladiny a doplnění vody, bezpečnostní termostat bojleru), automat. systém hlášení a alarmů pomocí vlastní diagnostiky. Ovládací panel pro snadné nastavení mycích programů a zobrazení hodnot a hlášení na displeji (teploty ve vaně, v bojleru, aktuální stav aj).</t>
  </si>
  <si>
    <r>
      <t xml:space="preserve">informace o aktuální mycí fázi a stavu myčky. Autodiagnostika. Tepelný výměník. Hodinový mycí výkon přibližně ( 3920 ks skla/h, 1260 talířů/h, 420 plechů GN 1/1 (530x3250mm)/h. Mytí více znečistěného nádobí v prodlouženém programu (cyklus cca 300s). Možnost vkládat talíře s průměrem až 410mm, plechy (vč GN1/1) aj. Koš (cca 500x500mm), lisovaná nádrž, zaoblené rohy ve všech místech. Elektronický dávkovač oplachového a mycího prostředku (přesné nastavení dávky). Výkonné mycí čerpadlo (s výkonem cca 1490 W), masivní nerezová rotační mycí ramena (max. mycí efekt a min. ztráty výkonu) a 2 rotační oplachovací ramena s optimál. rozložením a sklonem trysek. Dvojitý filtrační systém, nerezové vyjímatelné filtry uložené v lisované mycí vaně (pro max. ochranu mycích čerpadel), DVGW zpětný ventil zabraňující kontaminaci a udržující kvalitu vody ve vaně. Úsporu energií, vody, detergentů a konstantní kvalitu mytí zajistí </t>
    </r>
    <r>
      <rPr>
        <sz val="10"/>
        <rFont val="Arial"/>
      </rPr>
      <t>výkonný, tepelně izolovaný bojler, podpůrné oplachové čerpadlo garantující tlak a teplotu vody 85°C pro zajištění kvalitního oplachování;systémem garantujícím teplotu oplachu dle norem HACCP ; Úsporný pohotovostní režim. Samočistící cyklus. Ochranné prvky (bezpečnostní spínač dveří, senzor hladiny a doplnění vody, bezpečnostní termostat bojleru),ovládání pro snadné nastavení základních mycích programů a zobrazení hodnot, automatická diagnostika a systém provozních hlášení zobrazených na přehledném displeji (teploty vody ve vaně, teploty v bojleru, aktuální stav, servisní a chybová hlášení).</t>
    </r>
  </si>
  <si>
    <t>El. sklopná netlaková multifunkční pánev s elektronickým ovládáním dotykovým LCD panelem, GN 2/1, užitný objem cca 89 l</t>
  </si>
  <si>
    <r>
      <rPr>
        <u/>
        <sz val="10"/>
        <color indexed="8"/>
        <rFont val="Arial Unicode MS"/>
        <family val="2"/>
        <charset val="238"/>
      </rPr>
      <t>Na nerezovém soklu s hygienickým vodotěsným bezespárovým zámkovým systémem propojitelným s ostatními sousedními spotřebiči varného bloku</t>
    </r>
    <r>
      <rPr>
        <sz val="10"/>
        <rFont val="Arial"/>
      </rPr>
      <t>; Stupeň zabezpečení: IPX5; 2 samostatněně regulované zóny pánve; Nominální objem: cca 106 litrů;</t>
    </r>
  </si>
  <si>
    <r>
      <t xml:space="preserve">2x GN 1/1 kontejner s hloubkou 200 mm; Obložení z nerezové oceli (AISI 304); Systém, který zajistí snadné čištění všech nerez povrchů; Dno pánve v chromoniklové oceli obohacená molybdenem (AISI 316) svařené bez viditelných spojů se všemi stěnami pánve z nerezové oceli (AISI 304), s nepřilnavým vyhlazeným povrchem; Dno pánve se nesmí deformovat a musí být odolné vůči náhlým změnám teploty; Zaoblené rohy pro snadné čištění; </t>
    </r>
    <r>
      <rPr>
        <sz val="10"/>
        <rFont val="Arial"/>
      </rPr>
      <t xml:space="preserve">Pánev s velkou odtokovou hubičkou pro snadné vyprazdňování pánve; Dvojitá stěna víka, vysokozdvižné s pomocnou pružinou, vyrobené z nerezové oceli (AISI 304) a svařované bez viditelného spoje; Napouštění vody řízené elektronicky; Naklápění bude zajištěno automaticky -motorem; Vypouštění pro vyprázdnění pánve bez nutnosti naklonění; Všechny technologické části přístroje jsou umístěny z přední strany pro snadný přístup, není proto nutné vyjmutí přístroje z varného bloku v případě servisu; Všechny vnější šrouby z nerezové oceli (AISI 304); </t>
    </r>
    <r>
      <rPr>
        <sz val="10"/>
        <color indexed="8"/>
        <rFont val="Arial Unicode MS"/>
        <family val="2"/>
        <charset val="238"/>
      </rPr>
      <t xml:space="preserve">Hygienicky vodotěsný a nečistotám odolný bezespárový zámkový systém propojitelný s ostatními sousedními spotřebiči ve varném bloku; </t>
    </r>
    <r>
      <rPr>
        <sz val="10"/>
        <rFont val="Arial"/>
      </rPr>
      <t>Řídicí systém a elektronická řídicí jednotka s následujícími vlastnostmi: Rozhraní s dotykovým displejem o velikosti cca 7" ; Funkce pro snadné spuštění vaření; Systém zobrazení stavu zařízení a kontrolu displeje z větší vzdálenosti; Možnost použití ručního ovládání nebo automatických receptů;</t>
    </r>
  </si>
  <si>
    <t>5 nastavitelných provozních režimů - dušení (pečení, pražení), vaření (termostatické, s řízením výkonu nebo automatickým ovládáním), multi zónové pečení, multi zónové vaření, hluboké smažení; Speciální funkce pro jemné vaření a pečení s nízkou teplotou, a to i s možností přes noc; Automatický proces vaření s recepty a min.8-10 potravinových kategorií, preferované recepty; Pomocná funkce pro vodní náplň pánve pomocí počítání litrů; Pomocné funkce s volně nastavitelnými časovači; Program pro čištění pánve (AACS - systém čištění); Funkce pro úsporu energie, když zařízení nemá žádnou zátěž (není v režimu vaření); Funkce pro snížení energie (při používání pánve); USB port pro aktualizaci receptů a softwaru zařízení, pro stahování provozních dat; Rozvod tepla i při přidání mražených potravin, stabilita vysoké teploty; Teplotní stabilita, dobrá regulace teploty i za obtížných podmínek, optimální rozložení tepla i v dolní části nádrže, přesná regulace teploty, lepší energetická účinnost díky izolovanému topnému systému (tloušťka 60 mm), omezovač maximální teploty topných těles; Elektronická regulace teploty v následujících režimech: Režim vaření-pečení min. od 30 °C do 250 °C; Režim vaření s vodou min. od 30 °C do 100 °C; Motorizované elektrické vyklápění s ochranou proti přetížení, základna sloupu vybavena výsuvnou sprchovou hlavicí pro snadné čištění pánve, vodovodní bezpečnostní kohoutek namontován ve sloupci, připojení k energetickému optimalizátoru pro snížení spotřeby elektrické energie; Ovládací panel: Ergonomický systém - nastavení polohy obrazovky, dotykový display. Plochý a použitelný povrch. Zařízení lze sestavit v blízkosti jiných jednotek (i jiných výrobců) bez kompenzačních prvků. Rám z nerezových profilů AISI 430; Rozhraní - možnost připojení k externímu PC software s HACCP</t>
  </si>
  <si>
    <t>El. sklopná tlaková multifunkční pánev s elektronickým ovládáním dotykovým LCD panelem, GN 3/1, užitný objem cca 128 l</t>
  </si>
  <si>
    <r>
      <t xml:space="preserve">Stupeň zabezpečení: IPX6; 3 samostatně regulované zóny pánve; Nominální objem: cca 155 litrů; - 3x GN 1/1 kontejner s hloubkou 200 mm; Obložení z nerezové oceli (AISI 304); Povrch „Scotch-Brite“ zajistí snadné čištění všech nerez povrchů; Dno pánve v chromoniklové oceli obohacená molybdenem (AISI 316) svařené bez viditelných spojů se všemi stěnami pánve z nerezové oceli (AISI 304), s nepřilnavým vyhlazeným povrchem; Dno se nesmí deformovat z důvodu náhlých změn teploty; dno bude mít rovněž zaoblené rohy pro snadné čištění; Pánev bude vybavena odtokovou hubičkou pro snadné vyprazdňování pánve; Dvojitá stěna víka, vysokozdvižné s pomocnou pružinou, vyrobené z nerezové oceli (AISI 304) a svařované bez viditelného spoje; Speciální rameno „Swan neck“ s dotykovým ovládacím displejem s nastavitelným náklonem pro optimální ergonomii a ochranou před poškozením; Elektronické napouštění vody integrované uvnitř pánve; Motorizované naklápění zajišťuje nepřetržitý a pravidelný pohyb ovládané na dotykovém panelu; Ruční vypouštěcí ventil pro vyprázdnění pánve bez naklonění spotřebiče; Všechny technologické části přístroje jsou umístěny z přední strany pro snadný přístup, není proto nutné vyjmutí přístroje z varného bloku v případě servisu; Všechny vnější šrouby z nerezové oceli (AISI 304); </t>
    </r>
    <r>
      <rPr>
        <u/>
        <sz val="10"/>
        <color indexed="8"/>
        <rFont val="Arial Unicode MS"/>
        <family val="2"/>
        <charset val="238"/>
      </rPr>
      <t>Hygienický vodotěsný a nečistotám odolný bezespárový zámkový systém propojitelný se sousedními spotřebiči ve varném bloku</t>
    </r>
    <r>
      <rPr>
        <sz val="10"/>
        <rFont val="Arial"/>
      </rPr>
      <t xml:space="preserve">; Rozhraní s dotykovým displejem cca 7" se silným masivním odolným sklem; min. 7 ručně nastavitelných provozních režimů: dušení, vaření, </t>
    </r>
  </si>
  <si>
    <t xml:space="preserve">tlakové vaření (pečení) při tlaku 0,5 bar, pečení, multi zónové dušení, multi zónové vaření, multi zónové pečení; Speciální funkce pro jemné vaření a pečení s nízkou teplotou, a to i přes noc; Automatický proces vaření s receptem a 10 potravinových kategorií; Přednastavené recepty; Pomocná funkce pro vodní náplň pánve pomocí počítání litrů; Pomocné funkce s volně nastavitelnými časovači; Program pro čištění pánve (AACS - systém čištění); Funkce pro úsporu energie, když zařízení nemá žádnou zátěž(není v režimu vaření); Funkce pro snížení energie (při používání pánve); Optimálně - funkce spustit recept jedním klepnutím dotykem; Systém pro zobrazení stavu zařízení a kontrolu displeje; USB port pro aktualizaci receptů a zařízení software; Výborný rozvod tepla i při přidání mražených potravin; Stabilita vysoké teploty; Dobrá regulace teploty i za obtížných podmínek; Optimální rozložení tepla i v dolní části nádrže; Přesná regulace teploty; Lepší energetická účinnost díky izolovanému topnému systému (tloušťka cca 60 mm); Omezení maximální teploty topných těles („Power Save“); Elektronická regulace teploty v následujících režimech: Režim vaření-pečení  min. 30 ° až 250 ° C; Režim vaření s vodou min. od 30 ° do 100 ° C; Elektronické tlakové vaření na 3-4 úrovních tlaku; Topný systém s automatickým snížením výkonu závislém na provozním režimu a množství potravin v pánvi; Řízení intenzity vaření s citlivým nastavením výkonu od počáteční fáze varu (produkty nejsou vařící) až k varu (silný var potravin); </t>
  </si>
  <si>
    <t>Regulace tlaku ve varném prostoru pomocí zařízení pro kontrolu tlaku; Víko uzavřené pomocí vícebodového systému, které neumožní víko otevřít pod tlakem; Regulace tlakového ventilu s ručním parním odsáváním; Automatické větrání varné komory během zchlazovací fáze; Snadná výměna obvodového těsnění víka; Elektronický ovládací panel umístěn na dotykové obrazovce cca 7“ v ergonomické pozici; Motorizované elektrické vyklápění s ochranou proti přetížení; Základna sloupu vybavena výsuvnou sprchovou hlavicí pro snadné čištění pánve; Vodovodní kohoutek namontován ve sloupci; Připojení k energetickému optimalizátoru pro snížení spotřeby elektrické energie. Kontrolní panel: Ergonomicky nakloněný ovládací panel Touch Screen na speciálním sklopném rameni „Swan Neck“ zajišťující bezpečné ovládání zařízení zcela mimo varnou zónu; Rozhraní - možnost připojení k externímu PC software s HACCP</t>
  </si>
  <si>
    <t>Varný kotel plynový s kruhovou vložkou, nepřímý ohřev, užitný objem cca 145 l</t>
  </si>
  <si>
    <r>
      <rPr>
        <u/>
        <sz val="10"/>
        <color indexed="8"/>
        <rFont val="Arial Unicode MS"/>
        <family val="2"/>
        <charset val="238"/>
      </rPr>
      <t>Na nerezovém soklu s hygienickým vodotěsným bezespárovým zámkovým systémem propojitelným s ostatními sousedními spotřebiči varného bloku</t>
    </r>
    <r>
      <rPr>
        <sz val="10"/>
        <rFont val="Arial"/>
      </rPr>
      <t xml:space="preserve">; Stupeň zabezpečení: IPX4; Vnitřní rozměry kotle: průměr cca 595 mm, hloubka cca 580 mm; Nominální objem: cca 150 litrů; Provedení: boční obklady z nerezové oceli (AISI 304); Povrch „Scotch-Brite“; Sloučenina dna kotle z chromniklové oceli obohacená molybdenem (AISI 316) svařovaná bez viditelných spojů se všemi stěnami (tloušťka min. 1,5 mm) z nerezové oceli (AISI 304)s nepřilnavým vyhlazeným povrchem; Hermetický uzavřený topný systém s pracovním tlakem max. 0,5 bar (50 kPa) uvnitř pláště; Vyvážené, dvouplášťové víko z nerez. oceli (AISI 304), </t>
    </r>
  </si>
  <si>
    <r>
      <t xml:space="preserve">svařované bez viditelného spoje a parní těsností; Všechny vnější šrouby z nerezové oceli (AISI 304); </t>
    </r>
    <r>
      <rPr>
        <u/>
        <sz val="10"/>
        <color indexed="8"/>
        <rFont val="Arial Unicode MS"/>
        <family val="2"/>
        <charset val="238"/>
      </rPr>
      <t>Hygienicky vodotěsný a nečistotám odolný bezespárový zámkový systém propojitelný s ostatními sousedními spotřebiči ve varném bloku</t>
    </r>
    <r>
      <rPr>
        <sz val="10"/>
        <rFont val="Arial"/>
      </rPr>
      <t>; Zařízení: Regulace teploty varného obsahu od cca 50 ° C do 100 ° C přes elektromechanické termostaty; Elektronické zapalování; Vysoce účinné hořáky z nerezové oceli; Bezpečnostní termostat; Automatické plnění pláště; Vzdušné a větrací zařízení zabudované v postranním sloupku spotřebiče; Bezpečnostní kohout 2"; Odtokový filtr; Kontrolní panel: Manometr tlaku udávající skutečný tlak uvnitř pláště; Kohout pro regulaci páry; Zapuštěné kontrolky: Zelená kontrolka zobrazující „spotřebič v provozu“, žlutá kontrolka termostatu zobrazující stav topných článků; červená kontrolka indikující naplnění pláště; Resetovací spínač s indikátorem poruchy; Robustní rám z nerezové oceli (AISI 430), kompletně svařovaný</t>
    </r>
  </si>
  <si>
    <t>Varný kotel plynový nesklopný s hranatou vložkou, s elektronickým ovládáním – LCD panel, nepřímý ohřev, 6× GN 1/1, užitný objem cca 230 l</t>
  </si>
  <si>
    <r>
      <rPr>
        <u/>
        <sz val="10"/>
        <color indexed="8"/>
        <rFont val="Arial Unicode MS"/>
        <family val="2"/>
        <charset val="238"/>
      </rPr>
      <t>Na nerezovém soklu s hygienickým vodotěsným bezespárovým zámkovým systémem propojitelným s ostatními sousedními spotřebiči varného bloku</t>
    </r>
    <r>
      <rPr>
        <sz val="10"/>
        <rFont val="Arial"/>
      </rPr>
      <t xml:space="preserve">; Stupeň zabezpečení: IPX4; Nominální objem: 242 litrů; Boční obklady z nerezové oceli (AISI 304); Povrch „Scotch-Brite“; Topná deska o tloušťce min. 1,2 mm z ušlechtilé oceli (AISI 304) s hluboko taženou plochou kolem pánve na sběr vody včetně otvoru na přední straně pro odvod vody směrem dolů; Dno pánve z chromniklové oceli obohacené molybdenem (AISI 316), ohnuté nahoru, svařované bez viditelných spojů se stěnami z nerezové oceli (AISI 304); Parotěsné dvouvrstvé sklopné víko z ušlechtilé oceli (AISI 304) svařeno bez viditelného spoje; </t>
    </r>
  </si>
  <si>
    <r>
      <t xml:space="preserve">Vyvažované závěsy víka integrované ve víku; min.2 mm tlustý přední kryt z nerezové oceli (AISI 304) se zaoblenou hranou na přední straně, osazený v jednom kuse po celé délce; Všechny vnější šrouby z nerezové oceli (AISI 304); </t>
    </r>
    <r>
      <rPr>
        <u/>
        <sz val="10"/>
        <color indexed="8"/>
        <rFont val="Arial Unicode MS"/>
        <family val="2"/>
        <charset val="238"/>
      </rPr>
      <t>Hygienicky vodotěsný a nečistotám odolný bezespárový zámkový systém propojitelný se sousedními spotřebiči ve varném bloku</t>
    </r>
    <r>
      <rPr>
        <sz val="10"/>
        <rFont val="Arial"/>
      </rPr>
      <t>; Všechny technologické části přístroje jsou umístěny z přední strany pro snadný přístup, není proto nutné vyjmutí přístroje z varného bloku v případě servisu; Stupeň krytí IP65; Standardní vlastnosti: Plynový parní generátor s vysokovýkonným hořákem s ventilátorem; Pro zahřívání pláště varného kotle používá pouze nízkotlakou páru vyrobenou parním generátorem; Mikroprocesorem asistovaný proces vaření s automat. regulací ohřevu a varu; Fáze: s elektronickou regulací teploty potravin; s automat. funkcí zpětného spínání topného systému pro vaření a teplotní regulace fází; Elektronické řízení intenzity vaření; Elektronický systému řízení hořáku zařízení pro automatické zapalování a kontrolu plamene; Všechny funkce nastavitelné pomocí dotykového ovládacího panelu, včetně digitál. odečtu s doplňkovým displejem pro piktogramy: Nastavení nominální teploty a indikace zvolené nebo skutečné teploty potravinových výrobků uvnitř pánve; Nastavení a indikace doby vaření od 0 minut do cca 99 hodin nebo nepřetržitého vaření; Start / Stop automat. cyklu vaření s optickým a akustickým signálem; Programovatelné zpoždění startu; Diagnostika chyb s digitálním odečtem; Ventily na studenou a teplou vodu s výtokem vody na varné desce (automatická funkce); Plášť s vakuovým vypínačem a automatickým odvzdušňovacím ventilem (parní odlučovač), který je umístěn pod varnou deskou; Bezpečnostní kování a zařízení pro regulaci tlaku pro omezení tlaku uvnitř pláště a parního generátoru; 2 “vypouštěcí kohout použitelný s filtrem umístěným ve vnitřní pánvi; Uzavírací kohout spotřebiče integrovaný do skříně; 3 tlakově odolné spojovací hadice z ušlechtilé oceli, schválené DVGW; Plnění vnitřní pánve pomocí otočného ramena z nerezové oceli, které je umístěno na varném panelu; Odvod vody z varné desky pomocí integrované odvodňovací trubky; Automatická regulace hladiny vody pro plnění parogenerátoru; Nízkoteplotní komín s chlazení vzduchem; Kontrolní panel: Tlakoměr pro analogový indikátor tlaku v plášti; Dotykový ovládací panel s digitálním displejem pro ovládání přístroje; Dva ventily na stud. a tepl. vodu pro plnění pánve vodou; Robustní svařovaný rám z nerezové oceli (AISI 430)</t>
    </r>
  </si>
  <si>
    <t>Sporák plynový čtyřzónový 4× max.8 kW na elektrické podestavné troubě pro GN 2/1</t>
  </si>
  <si>
    <r>
      <t xml:space="preserve">Plynový sporák - 4 hořákový - určený k propojení s el. troubou; Stupeň zabezpečení: IPX4; Vnější rozměry cca š x h x v: 900 x 920 x 220 mm; Instalace: na el.troubu instalovanou na nerez sokl; Příkon hořáků: 4 x max. 8,0 kW; Celkový příkon: max.32,0 kW; Provedení: obložení z nerezové oceli (AISI 304); „Scotch Brite“; Vrchní varná plocha z nerezové oceli (AISI 304) se zaoblenými hranami a rohy; Pracovní plocha s jemným vyskloňováním dopředu, aby se zabránilo hromadění tekutiny v zadní části; s vypouštěcím otvorem se sběrnou nádobkou; </t>
    </r>
    <r>
      <rPr>
        <u/>
        <sz val="10"/>
        <color indexed="8"/>
        <rFont val="Arial Unicode MS"/>
        <family val="2"/>
        <charset val="238"/>
      </rPr>
      <t>Na nerezovém soklu s hygienickým vodotěsným bezespárovým systémem propojitelným s ostatními sousedními spotřebiči varného bloku</t>
    </r>
    <r>
      <rPr>
        <sz val="10"/>
        <rFont val="Arial"/>
      </rPr>
      <t xml:space="preserve">; Stěny spotřebiče o tloušťce min.2 mm z nerezové oceli (AISI 304); Všechny vnější šrouby z nerezové oceli (AISI 304); Zařízení: Provoz a nastavení výkonu hořáku pomocí plynového ventilu s termoelektrickým pohonem bezp. zařízení; Kontinuální pohotovostní režim; Kontrolka a bezpečnostní zařízení integr. v hořáku; </t>
    </r>
  </si>
  <si>
    <r>
      <t xml:space="preserve">Hořáky pro vysoké zatížení z poniklované litiny; Dvoukorunový hořák o výkonu max. 8 kW s velkým rozsahem nastavení 65%, snížený tepelný příkon 2,8 kW; Zařízení vhodné k propojení s podestavnou el.troubou. Kontrolní panel: Ergonomické a snadno přístupné ovládací a regulační prvky namontované vpředu; </t>
    </r>
    <r>
      <rPr>
        <u/>
        <sz val="10"/>
        <color indexed="8"/>
        <rFont val="Arial Unicode MS"/>
        <family val="2"/>
        <charset val="238"/>
      </rPr>
      <t>Hygienicky vodotěsný a nečistotám odolný bezespárový  systém propojitelný se sousedními spotřebiči ve varném bloku</t>
    </r>
    <r>
      <rPr>
        <sz val="10"/>
        <rFont val="Arial"/>
      </rPr>
      <t>; Nosná konstrukce: robustní rám z nerezové oceli (AISI 430), kompletně přivařený; Elektrická trouba GN 2/1 - podestavná; Stupeň zabezpečení: IPX5; Rozměry: cca š x h x v : 900 x 890 x 530 mm; Instalace: na nerezovém soklu cca 150 mm v kombinaci s horním modulem; Příkon: max.5,0 kW; Napětí: 400 V ~ 50 Hz; Vnitřní rozměry: šxhxv: cca 580 x 724 x 342 mm; Kapacita: 4 vsuny pro 2/1 GN; Provedení: z nerezové oceli (AISI 304), úprava „Scotch Brite“; Bočnice svařované bez viditelného spoje se zaoblenými hranami hygienické provedení H3; Všechny vnější šrouby z nerezové oceli (AISI 304); Boční panely z nerezové oceli; Zpevněné dno plechu z nerezavějící oceli; Dvířka trouby z nerezové oceli 18/10; Zařízení: nezávislé nastavení spodní a vrchní části vyhřívání; Regulace teploty prostřednictvím samostatných elektromechan. termostatů; Hyg. a robustní panty pro dveře trouby; Ergonomické madlo dveří trouby po celé šířce dveří trouby. Přední panel svařovaný bez viditelných spojů</t>
    </r>
  </si>
  <si>
    <t>El. konvektomat bojlerový 11× GN 1/1 vč. cca 160 mm vysokého podstavce</t>
  </si>
  <si>
    <t>Vaření: Horký vzduch cca  30 – 300 °C; Kombinovaný režim cca 30 – 300 °C; Vaření v páře cca 30 – 130 °C; Bio vaření cca 30 – 98 °C; Vaření/pečení přes noc; Časování zásuvů – možnost nastavit různý čas pro každý zásuv; AHC (Active Humidity Control) – automatická regulace vlhkosti pro vynikající výsledky vaření; Pokročilý systém vývinu páry – voustupňový předehřev vody v integrovaném tepelném výměníku; Zásuvy napříč.  Regenerace/banketing; Delta T vaření – preciznost při přípravě velkých kusů potravin; Nízkoteplotní vaření – nižší váhové ztráty; Cook &amp; Hold – po skončení vaření automaticky přejde do fáze udržování; Golden Touch – perfektní barva a křupavost stiskem jednoho tlačítka; Automat. předehřev/zchlazení varné komory s možností zadat požadovanou teplotu; Sous-vide, Sušení, Sterilizace, Konfitovaní, Uzení – speciální programy pro moderní gastronomii; Vision Touch Controls; Ovládání: cca 8“ displej, jednoduché ovládání; Dotykový panel; Easy Cooking – konvektomat doporučí vhodnou technologii dle požadovaného výsledku; min. 6-bodová teplotní sonda – šest měřících bodů pro perfektní kontrolu teploty v jádře pokrmu;</t>
  </si>
  <si>
    <t>Funkce Learn – uložení programu se všemi změnami, které byly provedeny v průběhu vaření; Posledních cca 10 – automatické zobrazení posledních cca 10 varných procesů; Možnost pracovat s displejem v průběhu vaření; Automatický start – možnost naplánovat odložený start; Údaje o spotřebě elektrické energie pro každý varný proces přímo na displeji; Možnost nekonečného času vaření; Konektivita: USB rozhraní – snadné přehrávání dat z a do konvektomatu; Ethernet/LAN – možnost připojení do sítě, komunikace přes internetový prohlížeč; VisionCombi software – správa programů a piktogramů ve vašem PC, prohlížení dat HACCP; Provozní záznamy: HACCP záznamy – snadná a okamžitá analýza kritických bodů vaření; Kompletní záznamy provozních událostí.</t>
  </si>
  <si>
    <t>Vaření: Horký vzduch 30 – 300 °C; Kombinovaný režim 30 – 300 °C; Vaření v páře 30 – 130 °C; Bio vaření 30 – 98 °C; Vaření/pečení přes noc; Časování zásuvů – možnost nastavit různý čas pro každý zásuv; AHC (Active Humidity Control) – automatická regulace vlhkosti pro vynikající výsledky vaření; Vaření v páře -dvoustupňový předehřev vody v integrovaném tepelném výměníku; Zásuvy napříč - lepší vizuální kontrola vložených gastronádob se surovinami; Regenerace/banketing – podávejte více pokrmů v kratším čase; Delta T vaření – preciznost při přípravě velkých kusů potravin; Nízkoteplotní vaření ; Funkce Cook &amp; Hold – po skončení vaření automaticky přejde do fáze udržování; Golden Touch – perfektní barva a křupavost stiskem jednoho tlačítka; Automat. předehřev/zchlazení varné komory s možností zadat požadovanou teplotu; Sous-vide, Sušení, Sterilizace, Konfitovaní, Uzení – speciální programy pro moderní gastronomii; Vision Touch Controls</t>
  </si>
  <si>
    <t>Ovládání dotykovým panelem: cca 8“ displej – perfektní přehled, jednoduché a intuitivní ovládání; MyVision – max. přizpůsobení menu, vše potřebné na hlavní obrazovce; Easy Cooking – konvektomat doporučí vhodnou technologii dle požadovaného výsledku; 6-bodová teplotní sonda – pro perfektní kontrolu teploty v jádře pokrmu; Piktogramy – možnost přiřazení vlastních piktogramů ke každému programu; Funkce Learn – uložení programu se všemi změnami, které byly provedeny v průběhu vaření; Posledních 10 – automatické zobrazení posledních 10 varných procesů; Multitasking – unikátní možnost pracovat s displejem v průběhu vaření; Automatický start – možnost naplánovat odložený start; EcoLogic – údaje o spotřebě elektrické energie pro každý varný proces přímo na displeji; Nekonečný čas vaření - uspoří čas při vaření v provozní špičce; Konektivita: USB rozhraní – snadné přehrávání dat z a do konvektomatu; Ethernet/LAN – možnost připojení do sítě, komunikace přes internetový prohlížeč; VisionCombi software – správa programů a piktogramů ve vašem PC, prohlížení dat HACCP; Provozní záznamy: HACCP záznamy – snadná a okamžitá analýza kritických bodů vaření; Kompletní záznamy provozních událostí.</t>
  </si>
  <si>
    <t xml:space="preserve"> 3 - Celkové předepsané příkony, potřeby elektro a plynu jsou uvažovány jako maximální a nesmí být překročeny. </t>
  </si>
  <si>
    <r>
      <t xml:space="preserve"> 4 - Celkové výkony zařízení, výkony dílčích prvků a kapacity zařízení (např.: výkony čerpadel, počet umytých prvků za hodinu, objemy, litry a pod) jsou orientační a mohou být navrženy v toleranci rovněž </t>
    </r>
    <r>
      <rPr>
        <sz val="10"/>
        <color theme="1"/>
        <rFont val="Calibri"/>
        <family val="2"/>
        <charset val="238"/>
      </rPr>
      <t>±</t>
    </r>
    <r>
      <rPr>
        <sz val="10"/>
        <color theme="1"/>
        <rFont val="Arial Unicode MS"/>
        <family val="2"/>
        <charset val="238"/>
      </rPr>
      <t xml:space="preserve"> 5% - nebo lepší ve smyslu vyššího výkonu a kapacit, musí být však zároveň platit bod 3 v poznámkách.</t>
    </r>
  </si>
  <si>
    <t xml:space="preserve"> 5 - Konkrétní hodnoty uvedené v rámci jednotlivých položek s poznámkou cca, jsou chápány s tolerancí dle bodu 4.</t>
  </si>
  <si>
    <r>
      <t xml:space="preserve"> 1 - Rozměry vestavných zařízení jsou přibližné, běžně je možná tolerance </t>
    </r>
    <r>
      <rPr>
        <sz val="10"/>
        <color theme="1"/>
        <rFont val="Calibri"/>
        <family val="2"/>
        <charset val="238"/>
      </rPr>
      <t xml:space="preserve"> ± 5%. Rozměry je však nutné koordinovat s celkovými rozměry místností, průchozích otvorů a prostor pro průchod osob, a dále pak s napojením na další zařízení. Rozměry musí odpovídat ergonometrický požadavkům a předpisům v gastroprovozech.</t>
    </r>
  </si>
  <si>
    <t>Zařízení staveniště je podrobně popsáno na výkresu situace C5-KOORDINAČNÍ SITUACE, ZAŘÍZENÍ STAVENIŠTĚ a v B-SOUHRNNÁ TECHNICKÁ ZPRÁVA. 
Je třeba zajistit:
- Zajištění bezpečného příjezdu a přístupu na staveniště včetně dopravního značení a potřebných souhlasů a rozhodnutí s vybudováním zařízení staveniště 
- Základní rozdělení průvodních činností a nákladů zařízení staveniště 
- Zařízení staveniště
- Zřízení stavebích buněk pro zajištění šaten, kanceláří, skladů, hygienické buňky sociálních zařízení s napojením na vodovod a kanlizaci, případně wc buňky
- Předpokládá se zřízení věžového jeřábu včetně dopravy na staveniště
- Zřízení min. jednoho stavebního výtahu
- Zřízení samostatného staveništního rozvaděče elektro se samostatným měřením + rozvody 
- Zřízení samostatného osvětlení stavby 
- Náklady na vodu, kanalizaci, elektro 
- Oplocení staveniště - plné oplocení výška 2m, délka 248bm včetně příjezdových bran.
- Mobilní oplocení staveniště výška 2m, ZN, plné oplocení, betonové patky, délka 65 bm, dočasné zábory
- Mobilní oplocení staveniště, pro vjezd na staveniště výška 2m, ZN, plné oplocení, betonové patky, délka 46 bm, dočasné zábory
- Akustická stěna (podrobný popis viz D11.01 TZ stavebního řešení), 45 bm (dodávka včetně montáže a demontáže)
- Mobilní akustické stěny výšky 3m šířky 2x 5 bm
- Zřízení mycích center pro automobily.
- Vnitrostaveništní komunikace, mosty do 5m, 
- Ochrana stromů a zeleně
- Odvod vody z výkopů
- Po celou dobu stavby bude zajištěn co nejkradší průchod pro pěší od č.p.91 a č.p.80 ulice Jánská na Jánské náměstí. 
Náklady na úklid v prostoru staveniště a příjezdových komunikací ke staveništi *Opatření k zabránění nadměrného zatěžování staveniště a jeho okolí prachem (např. používání krycích plachet, kropení sutě a odtěžované zeminy vodou)  - popis viz B-STZ*Náklady na odstranění a odvoz zařízení staveniště *Uvedení stavbou dotčených ploch a ploch zařízení staveniště do původního stavu.</t>
  </si>
</sst>
</file>

<file path=xl/styles.xml><?xml version="1.0" encoding="utf-8"?>
<styleSheet xmlns="http://schemas.openxmlformats.org/spreadsheetml/2006/main">
  <numFmts count="14">
    <numFmt numFmtId="43" formatCode="_-* #,##0.00\ _K_č_-;\-* #,##0.00\ _K_č_-;_-* &quot;-&quot;??\ _K_č_-;_-@_-"/>
    <numFmt numFmtId="164" formatCode="_-* #,##0.00_-;\-* #,##0.00_-;_-* &quot;-&quot;??_-;_-@_-"/>
    <numFmt numFmtId="165" formatCode="#,##0.0"/>
    <numFmt numFmtId="166" formatCode="#,##0\ &quot;Kč&quot;"/>
    <numFmt numFmtId="167" formatCode="_(#,##0.0??;&quot;- &quot;#,##0.0??;\–???;_(@_)"/>
    <numFmt numFmtId="168" formatCode="#,##0.00\ &quot;Kč&quot;"/>
    <numFmt numFmtId="169" formatCode="dd\.mm\.yyyy"/>
    <numFmt numFmtId="170" formatCode="#,##0.00%"/>
    <numFmt numFmtId="171" formatCode="#,##0.00000"/>
    <numFmt numFmtId="172" formatCode="#,##0.000"/>
    <numFmt numFmtId="173" formatCode="_-* #,##0\ _K_č_-;\-* #,##0\ _K_č_-;_-* &quot;-&quot;??\ _K_č_-;_-@_-"/>
    <numFmt numFmtId="174" formatCode="0.0"/>
    <numFmt numFmtId="175" formatCode="000\ 00"/>
    <numFmt numFmtId="176" formatCode="#,##0.00_ ;\-#,##0.00\ "/>
  </numFmts>
  <fonts count="125">
    <font>
      <sz val="10"/>
      <name val="Arial"/>
    </font>
    <font>
      <sz val="10"/>
      <name val="Arial"/>
    </font>
    <font>
      <sz val="10"/>
      <color indexed="8"/>
      <name val="Arial"/>
      <family val="2"/>
    </font>
    <font>
      <sz val="18"/>
      <color indexed="8"/>
      <name val="Arial"/>
      <family val="2"/>
    </font>
    <font>
      <b/>
      <sz val="10"/>
      <color indexed="8"/>
      <name val="Arial"/>
      <family val="2"/>
    </font>
    <font>
      <sz val="10"/>
      <color indexed="52"/>
      <name val="Arial"/>
      <family val="2"/>
    </font>
    <font>
      <sz val="10"/>
      <color indexed="56"/>
      <name val="Arial"/>
      <family val="2"/>
    </font>
    <font>
      <sz val="10"/>
      <color indexed="61"/>
      <name val="Arial"/>
      <family val="2"/>
    </font>
    <font>
      <sz val="10"/>
      <color indexed="62"/>
      <name val="Arial"/>
      <family val="2"/>
    </font>
    <font>
      <i/>
      <sz val="8"/>
      <color indexed="8"/>
      <name val="Arial"/>
      <family val="2"/>
    </font>
    <font>
      <b/>
      <sz val="10"/>
      <color indexed="52"/>
      <name val="Arial"/>
      <family val="2"/>
    </font>
    <font>
      <b/>
      <sz val="10"/>
      <color indexed="56"/>
      <name val="Arial"/>
      <family val="2"/>
    </font>
    <font>
      <i/>
      <sz val="10"/>
      <color indexed="58"/>
      <name val="Arial"/>
      <family val="2"/>
    </font>
    <font>
      <i/>
      <sz val="10"/>
      <color indexed="60"/>
      <name val="Arial"/>
      <family val="2"/>
    </font>
    <font>
      <i/>
      <sz val="10"/>
      <color indexed="59"/>
      <name val="Arial"/>
      <family val="2"/>
    </font>
    <font>
      <i/>
      <sz val="9"/>
      <color indexed="60"/>
      <name val="Arial"/>
      <family val="2"/>
    </font>
    <font>
      <i/>
      <sz val="9"/>
      <color indexed="61"/>
      <name val="Arial"/>
      <family val="2"/>
    </font>
    <font>
      <i/>
      <sz val="9"/>
      <color indexed="62"/>
      <name val="Arial"/>
      <family val="2"/>
    </font>
    <font>
      <b/>
      <sz val="18"/>
      <color indexed="8"/>
      <name val="Arial"/>
      <family val="2"/>
    </font>
    <font>
      <b/>
      <sz val="20"/>
      <color indexed="8"/>
      <name val="Arial"/>
      <family val="2"/>
    </font>
    <font>
      <b/>
      <sz val="12"/>
      <color indexed="8"/>
      <name val="Arial"/>
      <family val="2"/>
    </font>
    <font>
      <sz val="12"/>
      <color indexed="8"/>
      <name val="Arial"/>
      <family val="2"/>
    </font>
    <font>
      <b/>
      <sz val="11"/>
      <color indexed="8"/>
      <name val="Arial"/>
      <family val="2"/>
    </font>
    <font>
      <sz val="10"/>
      <name val="Arial"/>
      <family val="2"/>
    </font>
    <font>
      <b/>
      <sz val="12"/>
      <color indexed="8"/>
      <name val="Arial"/>
      <family val="2"/>
    </font>
    <font>
      <sz val="10"/>
      <color indexed="8"/>
      <name val="Arial"/>
      <family val="2"/>
    </font>
    <font>
      <b/>
      <sz val="10"/>
      <color indexed="8"/>
      <name val="Arial"/>
      <family val="2"/>
    </font>
    <font>
      <i/>
      <sz val="10"/>
      <color indexed="8"/>
      <name val="Arial"/>
      <family val="2"/>
    </font>
    <font>
      <sz val="10"/>
      <name val="Arial"/>
      <family val="2"/>
    </font>
    <font>
      <i/>
      <sz val="8"/>
      <color indexed="8"/>
      <name val="Arial"/>
      <family val="2"/>
    </font>
    <font>
      <sz val="18"/>
      <color indexed="8"/>
      <name val="Arial"/>
      <family val="2"/>
    </font>
    <font>
      <b/>
      <sz val="10"/>
      <name val="Arial"/>
      <family val="2"/>
      <charset val="238"/>
    </font>
    <font>
      <b/>
      <sz val="14"/>
      <name val="Arial"/>
      <family val="2"/>
      <charset val="238"/>
    </font>
    <font>
      <sz val="10"/>
      <name val="Arial"/>
      <family val="2"/>
      <charset val="238"/>
    </font>
    <font>
      <sz val="11"/>
      <color indexed="8"/>
      <name val="Calibri"/>
      <family val="2"/>
      <charset val="238"/>
    </font>
    <font>
      <b/>
      <sz val="8"/>
      <color indexed="18"/>
      <name val="Arial"/>
      <family val="2"/>
      <charset val="238"/>
    </font>
    <font>
      <sz val="10"/>
      <name val="Arial CE"/>
      <family val="2"/>
      <charset val="238"/>
    </font>
    <font>
      <sz val="8"/>
      <name val="Arial"/>
      <family val="2"/>
      <charset val="238"/>
    </font>
    <font>
      <sz val="8"/>
      <color indexed="8"/>
      <name val="Arial"/>
      <family val="2"/>
      <charset val="238"/>
    </font>
    <font>
      <vertAlign val="subscript"/>
      <sz val="8"/>
      <color indexed="8"/>
      <name val="Arial"/>
      <family val="2"/>
      <charset val="238"/>
    </font>
    <font>
      <vertAlign val="subscript"/>
      <sz val="8"/>
      <name val="Arial"/>
      <family val="2"/>
      <charset val="238"/>
    </font>
    <font>
      <b/>
      <sz val="8"/>
      <name val="Arial"/>
      <family val="2"/>
      <charset val="238"/>
    </font>
    <font>
      <sz val="8"/>
      <name val="Arial CE"/>
      <family val="2"/>
    </font>
    <font>
      <b/>
      <sz val="14"/>
      <name val="Arial CE"/>
      <family val="2"/>
      <charset val="238"/>
    </font>
    <font>
      <b/>
      <sz val="11"/>
      <name val="Arial CE"/>
      <family val="2"/>
      <charset val="238"/>
    </font>
    <font>
      <sz val="10"/>
      <name val="Arial CE"/>
      <family val="2"/>
      <charset val="238"/>
    </font>
    <font>
      <b/>
      <sz val="10"/>
      <name val="Arial CE"/>
      <family val="2"/>
      <charset val="238"/>
    </font>
    <font>
      <b/>
      <sz val="12"/>
      <name val="Arial CE"/>
      <family val="2"/>
      <charset val="238"/>
    </font>
    <font>
      <sz val="9"/>
      <name val="Arial CE"/>
      <family val="2"/>
      <charset val="238"/>
    </font>
    <font>
      <b/>
      <sz val="8"/>
      <name val="Arial CE"/>
      <family val="2"/>
      <charset val="238"/>
    </font>
    <font>
      <sz val="7"/>
      <name val="Arial CE"/>
      <family val="2"/>
      <charset val="238"/>
    </font>
    <font>
      <sz val="10"/>
      <name val="Arial Unicode MS"/>
      <family val="2"/>
      <charset val="238"/>
    </font>
    <font>
      <u/>
      <sz val="10"/>
      <color indexed="8"/>
      <name val="Arial Unicode MS"/>
      <family val="2"/>
      <charset val="238"/>
    </font>
    <font>
      <sz val="10"/>
      <name val="Arial CE"/>
      <family val="2"/>
      <charset val="238"/>
    </font>
    <font>
      <b/>
      <sz val="12"/>
      <name val="Arial CE"/>
      <family val="2"/>
      <charset val="238"/>
    </font>
    <font>
      <b/>
      <sz val="26"/>
      <name val="Arial CE"/>
      <family val="2"/>
      <charset val="238"/>
    </font>
    <font>
      <b/>
      <sz val="10"/>
      <name val="Arial CE"/>
      <family val="2"/>
      <charset val="238"/>
    </font>
    <font>
      <b/>
      <sz val="10"/>
      <name val="Arial CE"/>
      <family val="2"/>
      <charset val="238"/>
    </font>
    <font>
      <sz val="12"/>
      <name val="Arial CE"/>
      <family val="2"/>
      <charset val="238"/>
    </font>
    <font>
      <i/>
      <sz val="10"/>
      <name val="Arial CE"/>
      <family val="2"/>
      <charset val="238"/>
    </font>
    <font>
      <b/>
      <sz val="16"/>
      <name val="Arial CE"/>
      <family val="2"/>
      <charset val="238"/>
    </font>
    <font>
      <b/>
      <sz val="11"/>
      <name val="Arial"/>
      <family val="2"/>
      <charset val="238"/>
    </font>
    <font>
      <sz val="11"/>
      <name val="Arial"/>
      <family val="2"/>
      <charset val="238"/>
    </font>
    <font>
      <sz val="9"/>
      <name val="Arial"/>
      <family val="2"/>
      <charset val="238"/>
    </font>
    <font>
      <b/>
      <sz val="18"/>
      <name val="Arial"/>
      <family val="2"/>
      <charset val="238"/>
    </font>
    <font>
      <sz val="10"/>
      <name val="MS Sans Serif"/>
      <family val="2"/>
      <charset val="238"/>
    </font>
    <font>
      <sz val="10"/>
      <name val="MS Sans Serif"/>
      <family val="2"/>
      <charset val="238"/>
    </font>
    <font>
      <b/>
      <sz val="8"/>
      <name val="Arial CE"/>
      <family val="2"/>
      <charset val="238"/>
    </font>
    <font>
      <sz val="9"/>
      <name val="Arial CE"/>
      <family val="2"/>
      <charset val="238"/>
    </font>
    <font>
      <b/>
      <sz val="11"/>
      <color indexed="10"/>
      <name val="Calibri"/>
      <family val="2"/>
      <charset val="238"/>
    </font>
    <font>
      <sz val="8"/>
      <name val="Calibri"/>
      <family val="2"/>
      <charset val="238"/>
    </font>
    <font>
      <sz val="8"/>
      <name val="Arial CE"/>
      <family val="2"/>
      <charset val="238"/>
    </font>
    <font>
      <b/>
      <sz val="8"/>
      <name val="Calibri"/>
      <family val="2"/>
      <charset val="238"/>
    </font>
    <font>
      <b/>
      <i/>
      <sz val="12"/>
      <name val="Calibri"/>
      <family val="2"/>
      <charset val="238"/>
    </font>
    <font>
      <u/>
      <sz val="10"/>
      <name val="Calibri"/>
      <family val="2"/>
      <charset val="238"/>
    </font>
    <font>
      <sz val="8"/>
      <color indexed="8"/>
      <name val="Calibri"/>
      <family val="2"/>
      <charset val="238"/>
    </font>
    <font>
      <sz val="11"/>
      <name val="Arial CE"/>
      <family val="2"/>
      <charset val="238"/>
    </font>
    <font>
      <b/>
      <i/>
      <sz val="11"/>
      <name val="Arial Narrow"/>
      <family val="2"/>
      <charset val="238"/>
    </font>
    <font>
      <b/>
      <sz val="11"/>
      <name val="Arial Narrow"/>
      <family val="2"/>
      <charset val="238"/>
    </font>
    <font>
      <sz val="10"/>
      <name val="Arial Narrow"/>
      <family val="2"/>
      <charset val="238"/>
    </font>
    <font>
      <sz val="10"/>
      <name val="Symbol"/>
      <family val="1"/>
      <charset val="2"/>
    </font>
    <font>
      <sz val="9"/>
      <name val="Arial Narrow"/>
      <family val="2"/>
      <charset val="238"/>
    </font>
    <font>
      <b/>
      <sz val="10"/>
      <name val="Arial Narrow"/>
      <family val="2"/>
      <charset val="238"/>
    </font>
    <font>
      <b/>
      <sz val="12"/>
      <color indexed="10"/>
      <name val="Arial CE"/>
      <family val="2"/>
      <charset val="238"/>
    </font>
    <font>
      <sz val="11"/>
      <name val="Symbol"/>
      <family val="1"/>
      <charset val="2"/>
    </font>
    <font>
      <b/>
      <sz val="11"/>
      <name val="Arial CE"/>
      <family val="2"/>
      <charset val="238"/>
    </font>
    <font>
      <b/>
      <sz val="12"/>
      <name val="Arial"/>
      <family val="2"/>
      <charset val="238"/>
    </font>
    <font>
      <sz val="10"/>
      <color indexed="8"/>
      <name val="Arial Unicode MS"/>
      <family val="2"/>
      <charset val="238"/>
    </font>
    <font>
      <sz val="10"/>
      <color theme="1"/>
      <name val="Arial Unicode MS"/>
      <family val="2"/>
      <charset val="238"/>
    </font>
    <font>
      <sz val="11"/>
      <name val="Calibri"/>
      <family val="2"/>
      <charset val="238"/>
      <scheme val="minor"/>
    </font>
    <font>
      <b/>
      <sz val="8"/>
      <color theme="4"/>
      <name val="Arial"/>
      <family val="2"/>
      <charset val="238"/>
    </font>
    <font>
      <sz val="10"/>
      <color rgb="FFFF0000"/>
      <name val="Arial"/>
      <family val="2"/>
      <charset val="238"/>
    </font>
    <font>
      <b/>
      <sz val="10"/>
      <color rgb="FFFF0000"/>
      <name val="Arial"/>
      <family val="2"/>
      <charset val="238"/>
    </font>
    <font>
      <sz val="8"/>
      <color rgb="FF000000"/>
      <name val="Arial CE"/>
      <family val="2"/>
      <charset val="238"/>
    </font>
    <font>
      <sz val="10"/>
      <color rgb="FF3366FF"/>
      <name val="Arial CE"/>
      <family val="2"/>
      <charset val="238"/>
    </font>
    <font>
      <sz val="10"/>
      <color rgb="FF969696"/>
      <name val="Arial CE"/>
      <family val="2"/>
      <charset val="238"/>
    </font>
    <font>
      <b/>
      <sz val="12"/>
      <color rgb="FF960000"/>
      <name val="Arial CE"/>
      <family val="2"/>
      <charset val="238"/>
    </font>
    <font>
      <sz val="8"/>
      <color rgb="FF969696"/>
      <name val="Arial CE"/>
      <family val="2"/>
      <charset val="238"/>
    </font>
    <font>
      <b/>
      <sz val="10"/>
      <color rgb="FF464646"/>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sz val="8"/>
      <color rgb="FF003366"/>
      <name val="Arial CE"/>
      <family val="2"/>
      <charset val="238"/>
    </font>
    <font>
      <sz val="7"/>
      <color rgb="FF969696"/>
      <name val="Arial CE"/>
      <family val="2"/>
      <charset val="238"/>
    </font>
    <font>
      <sz val="8"/>
      <color rgb="FF505050"/>
      <name val="Arial CE"/>
      <family val="2"/>
      <charset val="238"/>
    </font>
    <font>
      <sz val="8"/>
      <color rgb="FF80008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name val="Calibri"/>
      <family val="2"/>
      <charset val="238"/>
      <scheme val="minor"/>
    </font>
    <font>
      <b/>
      <sz val="8"/>
      <name val="Calibri"/>
      <family val="2"/>
      <charset val="238"/>
      <scheme val="minor"/>
    </font>
    <font>
      <b/>
      <i/>
      <sz val="8"/>
      <name val="Calibri"/>
      <family val="2"/>
      <charset val="238"/>
      <scheme val="minor"/>
    </font>
    <font>
      <i/>
      <sz val="8"/>
      <name val="Calibri"/>
      <family val="2"/>
      <charset val="238"/>
      <scheme val="minor"/>
    </font>
    <font>
      <b/>
      <sz val="10"/>
      <color theme="1"/>
      <name val="Arial"/>
      <family val="2"/>
      <charset val="238"/>
    </font>
    <font>
      <b/>
      <sz val="11"/>
      <color rgb="FF00B0F0"/>
      <name val="Calibri"/>
      <family val="2"/>
      <charset val="238"/>
      <scheme val="minor"/>
    </font>
    <font>
      <b/>
      <sz val="10"/>
      <color theme="1"/>
      <name val="Arial Unicode MS"/>
      <family val="2"/>
      <charset val="238"/>
    </font>
    <font>
      <b/>
      <sz val="12"/>
      <color theme="1"/>
      <name val="Arial Unicode MS"/>
      <family val="2"/>
      <charset val="238"/>
    </font>
    <font>
      <sz val="8"/>
      <color rgb="FF3366FF"/>
      <name val="Arial CE"/>
      <family val="2"/>
      <charset val="238"/>
    </font>
    <font>
      <b/>
      <sz val="12"/>
      <name val="Calibri"/>
      <family val="2"/>
      <scheme val="minor"/>
    </font>
    <font>
      <b/>
      <sz val="12"/>
      <color theme="1"/>
      <name val="Calibri"/>
      <family val="2"/>
      <scheme val="minor"/>
    </font>
    <font>
      <sz val="11"/>
      <color theme="1"/>
      <name val="Arial"/>
      <family val="2"/>
      <charset val="238"/>
    </font>
    <font>
      <b/>
      <sz val="12"/>
      <color theme="1"/>
      <name val="Arial"/>
      <family val="2"/>
      <charset val="238"/>
    </font>
    <font>
      <sz val="10"/>
      <color theme="1"/>
      <name val="Calibri"/>
      <family val="2"/>
      <charset val="238"/>
    </font>
  </fonts>
  <fills count="21">
    <fill>
      <patternFill patternType="none"/>
    </fill>
    <fill>
      <patternFill patternType="gray125"/>
    </fill>
    <fill>
      <patternFill patternType="solid">
        <fgColor indexed="53"/>
        <bgColor indexed="9"/>
      </patternFill>
    </fill>
    <fill>
      <patternFill patternType="solid">
        <fgColor indexed="57"/>
        <bgColor indexed="9"/>
      </patternFill>
    </fill>
    <fill>
      <patternFill patternType="solid">
        <fgColor indexed="22"/>
        <bgColor indexed="9"/>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rgb="FFFFC000"/>
        <bgColor indexed="64"/>
      </patternFill>
    </fill>
    <fill>
      <patternFill patternType="solid">
        <fgColor rgb="FFD2D2D2"/>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C0C0C0"/>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s>
  <cellStyleXfs count="18">
    <xf numFmtId="0" fontId="0" fillId="0" borderId="0"/>
    <xf numFmtId="43" fontId="53" fillId="0" borderId="0" applyFont="0" applyFill="0" applyBorder="0" applyAlignment="0" applyProtection="0"/>
    <xf numFmtId="43" fontId="88" fillId="0" borderId="0" applyFont="0" applyFill="0" applyBorder="0" applyAlignment="0" applyProtection="0"/>
    <xf numFmtId="43" fontId="53" fillId="0" borderId="0" applyFont="0" applyFill="0" applyBorder="0" applyAlignment="0" applyProtection="0"/>
    <xf numFmtId="0" fontId="65" fillId="0" borderId="0"/>
    <xf numFmtId="0" fontId="36" fillId="0" borderId="0"/>
    <xf numFmtId="0" fontId="34" fillId="0" borderId="0"/>
    <xf numFmtId="0" fontId="28" fillId="0" borderId="0"/>
    <xf numFmtId="0" fontId="66" fillId="0" borderId="0"/>
    <xf numFmtId="0" fontId="28" fillId="0" borderId="0"/>
    <xf numFmtId="0" fontId="76" fillId="0" borderId="0"/>
    <xf numFmtId="0" fontId="42" fillId="0" borderId="0"/>
    <xf numFmtId="0" fontId="88" fillId="0" borderId="0"/>
    <xf numFmtId="165" fontId="37" fillId="0" borderId="1"/>
    <xf numFmtId="165" fontId="37" fillId="0" borderId="1"/>
    <xf numFmtId="0" fontId="33" fillId="0" borderId="0"/>
    <xf numFmtId="0" fontId="36" fillId="0" borderId="0"/>
    <xf numFmtId="164" fontId="1" fillId="0" borderId="0" applyFont="0" applyFill="0" applyBorder="0" applyAlignment="0" applyProtection="0"/>
  </cellStyleXfs>
  <cellXfs count="989">
    <xf numFmtId="0" fontId="2" fillId="0" borderId="0" xfId="0" applyFont="1" applyAlignment="1">
      <alignment vertical="center"/>
    </xf>
    <xf numFmtId="49" fontId="4" fillId="0" borderId="3" xfId="0" applyNumberFormat="1" applyFont="1" applyFill="1" applyBorder="1" applyAlignment="1" applyProtection="1">
      <alignment horizontal="left" vertical="center"/>
    </xf>
    <xf numFmtId="49" fontId="2" fillId="0" borderId="4" xfId="0" applyNumberFormat="1" applyFont="1" applyFill="1" applyBorder="1" applyAlignment="1" applyProtection="1">
      <alignment horizontal="left" vertical="center"/>
    </xf>
    <xf numFmtId="49" fontId="5" fillId="2" borderId="5" xfId="0" applyNumberFormat="1" applyFont="1" applyFill="1" applyBorder="1" applyAlignment="1" applyProtection="1">
      <alignment horizontal="left" vertical="center"/>
    </xf>
    <xf numFmtId="49" fontId="6" fillId="3" borderId="0" xfId="0"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49" fontId="5" fillId="2" borderId="0"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0" fontId="2" fillId="0" borderId="7" xfId="0" applyNumberFormat="1" applyFont="1" applyFill="1" applyBorder="1" applyAlignment="1" applyProtection="1">
      <alignment vertical="center"/>
    </xf>
    <xf numFmtId="49" fontId="9" fillId="0" borderId="0"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xf>
    <xf numFmtId="49" fontId="10" fillId="2" borderId="5" xfId="0" applyNumberFormat="1" applyFont="1" applyFill="1" applyBorder="1" applyAlignment="1" applyProtection="1">
      <alignment horizontal="left" vertical="center"/>
    </xf>
    <xf numFmtId="49" fontId="11" fillId="3" borderId="0" xfId="0" applyNumberFormat="1" applyFont="1" applyFill="1" applyBorder="1" applyAlignment="1" applyProtection="1">
      <alignment horizontal="left" vertical="center"/>
    </xf>
    <xf numFmtId="49" fontId="10" fillId="2" borderId="0"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right" vertical="top"/>
    </xf>
    <xf numFmtId="49" fontId="13" fillId="0" borderId="0" xfId="0" applyNumberFormat="1" applyFont="1" applyFill="1" applyBorder="1" applyAlignment="1" applyProtection="1">
      <alignment horizontal="right" vertical="top"/>
    </xf>
    <xf numFmtId="49" fontId="4" fillId="0" borderId="9"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xf>
    <xf numFmtId="4" fontId="8" fillId="0" borderId="0" xfId="0" applyNumberFormat="1" applyFont="1" applyFill="1" applyBorder="1" applyAlignment="1" applyProtection="1">
      <alignment horizontal="right" vertical="center"/>
    </xf>
    <xf numFmtId="4" fontId="7" fillId="0" borderId="6" xfId="0" applyNumberFormat="1" applyFont="1" applyFill="1" applyBorder="1" applyAlignment="1" applyProtection="1">
      <alignment horizontal="right" vertical="center"/>
    </xf>
    <xf numFmtId="49" fontId="4" fillId="0" borderId="10"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center" vertical="center"/>
    </xf>
    <xf numFmtId="49" fontId="4" fillId="0" borderId="14" xfId="0" applyNumberFormat="1" applyFont="1" applyFill="1" applyBorder="1" applyAlignment="1" applyProtection="1">
      <alignment horizontal="center" vertical="center"/>
    </xf>
    <xf numFmtId="49" fontId="10" fillId="2" borderId="5" xfId="0" applyNumberFormat="1" applyFont="1" applyFill="1" applyBorder="1" applyAlignment="1" applyProtection="1">
      <alignment horizontal="right" vertical="center"/>
    </xf>
    <xf numFmtId="49" fontId="11" fillId="3" borderId="0" xfId="0" applyNumberFormat="1" applyFont="1" applyFill="1" applyBorder="1" applyAlignment="1" applyProtection="1">
      <alignment horizontal="right" vertical="center"/>
    </xf>
    <xf numFmtId="49" fontId="10" fillId="2" borderId="0" xfId="0" applyNumberFormat="1" applyFont="1" applyFill="1" applyBorder="1" applyAlignment="1" applyProtection="1">
      <alignment horizontal="right" vertical="center"/>
    </xf>
    <xf numFmtId="49" fontId="4" fillId="0" borderId="15" xfId="0" applyNumberFormat="1" applyFont="1" applyFill="1" applyBorder="1" applyAlignment="1" applyProtection="1">
      <alignment horizontal="center" vertical="center"/>
    </xf>
    <xf numFmtId="49" fontId="4" fillId="0" borderId="16"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49" fontId="7" fillId="0" borderId="6" xfId="0" applyNumberFormat="1" applyFont="1" applyFill="1" applyBorder="1" applyAlignment="1" applyProtection="1">
      <alignment horizontal="right" vertical="center"/>
    </xf>
    <xf numFmtId="0" fontId="2" fillId="0" borderId="17" xfId="0" applyNumberFormat="1" applyFont="1" applyFill="1" applyBorder="1" applyAlignment="1" applyProtection="1">
      <alignment vertical="center"/>
    </xf>
    <xf numFmtId="0" fontId="2" fillId="0" borderId="18" xfId="0" applyNumberFormat="1" applyFont="1" applyFill="1" applyBorder="1" applyAlignment="1" applyProtection="1">
      <alignment vertical="center"/>
    </xf>
    <xf numFmtId="4"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right" vertical="center"/>
    </xf>
    <xf numFmtId="4" fontId="10" fillId="2" borderId="5" xfId="0" applyNumberFormat="1" applyFont="1" applyFill="1" applyBorder="1" applyAlignment="1" applyProtection="1">
      <alignment horizontal="right" vertical="center"/>
    </xf>
    <xf numFmtId="4" fontId="11" fillId="3" borderId="0" xfId="0" applyNumberFormat="1" applyFont="1" applyFill="1" applyBorder="1" applyAlignment="1" applyProtection="1">
      <alignment horizontal="right" vertical="center"/>
    </xf>
    <xf numFmtId="4" fontId="10" fillId="2" borderId="0" xfId="0" applyNumberFormat="1" applyFont="1" applyFill="1" applyBorder="1" applyAlignment="1" applyProtection="1">
      <alignment horizontal="right" vertical="center"/>
    </xf>
    <xf numFmtId="4" fontId="4" fillId="0" borderId="7" xfId="0" applyNumberFormat="1" applyFont="1" applyFill="1" applyBorder="1" applyAlignment="1" applyProtection="1">
      <alignment horizontal="right" vertical="center"/>
    </xf>
    <xf numFmtId="49" fontId="2" fillId="0" borderId="8" xfId="0" applyNumberFormat="1" applyFont="1" applyFill="1" applyBorder="1" applyAlignment="1" applyProtection="1">
      <alignment horizontal="left" vertical="center"/>
    </xf>
    <xf numFmtId="49" fontId="2" fillId="0" borderId="5" xfId="0" applyNumberFormat="1" applyFont="1" applyFill="1" applyBorder="1" applyAlignment="1" applyProtection="1">
      <alignment horizontal="left" vertical="center"/>
    </xf>
    <xf numFmtId="49" fontId="2" fillId="0" borderId="6" xfId="0" applyNumberFormat="1" applyFont="1" applyFill="1" applyBorder="1" applyAlignment="1" applyProtection="1">
      <alignment horizontal="left" vertical="center"/>
    </xf>
    <xf numFmtId="49" fontId="4" fillId="0" borderId="19"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right" vertical="center"/>
    </xf>
    <xf numFmtId="4" fontId="2" fillId="0" borderId="6" xfId="0" applyNumberFormat="1" applyFont="1" applyFill="1" applyBorder="1" applyAlignment="1" applyProtection="1">
      <alignment horizontal="right" vertical="center"/>
    </xf>
    <xf numFmtId="49" fontId="4" fillId="0" borderId="20" xfId="0" applyNumberFormat="1" applyFont="1" applyFill="1" applyBorder="1" applyAlignment="1" applyProtection="1">
      <alignment horizontal="left" vertical="center"/>
    </xf>
    <xf numFmtId="49" fontId="11" fillId="3" borderId="5" xfId="0" applyNumberFormat="1" applyFont="1" applyFill="1" applyBorder="1" applyAlignment="1" applyProtection="1">
      <alignment horizontal="left" vertical="center"/>
    </xf>
    <xf numFmtId="49" fontId="4" fillId="0" borderId="21"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right" vertical="top"/>
    </xf>
    <xf numFmtId="49" fontId="4" fillId="0" borderId="21" xfId="0" applyNumberFormat="1" applyFont="1" applyFill="1" applyBorder="1" applyAlignment="1" applyProtection="1">
      <alignment horizontal="right" vertical="center"/>
    </xf>
    <xf numFmtId="49" fontId="11" fillId="3" borderId="5" xfId="0" applyNumberFormat="1" applyFont="1" applyFill="1" applyBorder="1" applyAlignment="1" applyProtection="1">
      <alignment horizontal="right" vertical="center"/>
    </xf>
    <xf numFmtId="4" fontId="16" fillId="0" borderId="0" xfId="0" applyNumberFormat="1" applyFont="1" applyFill="1" applyBorder="1" applyAlignment="1" applyProtection="1">
      <alignment horizontal="right" vertical="center"/>
    </xf>
    <xf numFmtId="4" fontId="17" fillId="0" borderId="0" xfId="0" applyNumberFormat="1" applyFont="1" applyFill="1" applyBorder="1" applyAlignment="1" applyProtection="1">
      <alignment horizontal="right" vertical="center"/>
    </xf>
    <xf numFmtId="49" fontId="4" fillId="0" borderId="22" xfId="0" applyNumberFormat="1" applyFont="1" applyFill="1" applyBorder="1" applyAlignment="1" applyProtection="1">
      <alignment horizontal="left" vertical="center"/>
    </xf>
    <xf numFmtId="0" fontId="2" fillId="0" borderId="6" xfId="0" applyNumberFormat="1" applyFont="1" applyFill="1" applyBorder="1" applyAlignment="1" applyProtection="1">
      <alignment vertical="center"/>
    </xf>
    <xf numFmtId="49" fontId="19" fillId="4" borderId="1" xfId="0" applyNumberFormat="1" applyFont="1" applyFill="1" applyBorder="1" applyAlignment="1" applyProtection="1">
      <alignment horizontal="center" vertical="center"/>
    </xf>
    <xf numFmtId="49" fontId="20" fillId="0" borderId="23" xfId="0" applyNumberFormat="1" applyFont="1" applyFill="1" applyBorder="1" applyAlignment="1" applyProtection="1">
      <alignment horizontal="left" vertical="center"/>
    </xf>
    <xf numFmtId="49" fontId="20" fillId="0" borderId="24" xfId="0" applyNumberFormat="1" applyFont="1" applyFill="1" applyBorder="1" applyAlignment="1" applyProtection="1">
      <alignment horizontal="left" vertical="center"/>
    </xf>
    <xf numFmtId="0" fontId="2" fillId="0" borderId="25" xfId="0" applyNumberFormat="1" applyFont="1" applyFill="1" applyBorder="1" applyAlignment="1" applyProtection="1">
      <alignment vertical="center"/>
    </xf>
    <xf numFmtId="49" fontId="9" fillId="0" borderId="5" xfId="0" applyNumberFormat="1" applyFont="1" applyFill="1" applyBorder="1" applyAlignment="1" applyProtection="1">
      <alignment horizontal="left" vertical="center"/>
    </xf>
    <xf numFmtId="49" fontId="21" fillId="0" borderId="1" xfId="0" applyNumberFormat="1" applyFont="1" applyFill="1" applyBorder="1" applyAlignment="1" applyProtection="1">
      <alignment horizontal="left" vertical="center"/>
    </xf>
    <xf numFmtId="0" fontId="2" fillId="0" borderId="5" xfId="0" applyNumberFormat="1" applyFont="1" applyFill="1" applyBorder="1" applyAlignment="1" applyProtection="1">
      <alignment vertical="center"/>
    </xf>
    <xf numFmtId="0" fontId="2" fillId="0" borderId="26" xfId="0" applyNumberFormat="1" applyFont="1" applyFill="1" applyBorder="1" applyAlignment="1" applyProtection="1">
      <alignment vertical="center"/>
    </xf>
    <xf numFmtId="0" fontId="2" fillId="0" borderId="27" xfId="0" applyNumberFormat="1" applyFont="1" applyFill="1" applyBorder="1" applyAlignment="1" applyProtection="1">
      <alignment vertical="center"/>
    </xf>
    <xf numFmtId="4" fontId="21" fillId="0" borderId="1" xfId="0" applyNumberFormat="1" applyFont="1" applyFill="1" applyBorder="1" applyAlignment="1" applyProtection="1">
      <alignment horizontal="right" vertical="center"/>
    </xf>
    <xf numFmtId="49" fontId="21" fillId="0" borderId="1" xfId="0" applyNumberFormat="1" applyFont="1" applyFill="1" applyBorder="1" applyAlignment="1" applyProtection="1">
      <alignment horizontal="right" vertical="center"/>
    </xf>
    <xf numFmtId="4" fontId="21" fillId="0" borderId="13" xfId="0" applyNumberFormat="1" applyFont="1" applyFill="1" applyBorder="1" applyAlignment="1" applyProtection="1">
      <alignment horizontal="right" vertical="center"/>
    </xf>
    <xf numFmtId="0" fontId="2" fillId="0" borderId="28" xfId="0" applyNumberFormat="1" applyFont="1" applyFill="1" applyBorder="1" applyAlignment="1" applyProtection="1">
      <alignment vertical="center"/>
    </xf>
    <xf numFmtId="0" fontId="2" fillId="0" borderId="29" xfId="0" applyNumberFormat="1" applyFont="1" applyFill="1" applyBorder="1" applyAlignment="1" applyProtection="1">
      <alignment vertical="center"/>
    </xf>
    <xf numFmtId="4" fontId="20" fillId="4" borderId="30" xfId="0" applyNumberFormat="1" applyFont="1" applyFill="1" applyBorder="1" applyAlignment="1" applyProtection="1">
      <alignment horizontal="right" vertical="center"/>
    </xf>
    <xf numFmtId="0" fontId="2" fillId="0" borderId="6" xfId="0" applyNumberFormat="1" applyFont="1" applyFill="1" applyBorder="1" applyAlignment="1" applyProtection="1"/>
    <xf numFmtId="49" fontId="7" fillId="5" borderId="31" xfId="0" applyNumberFormat="1" applyFont="1" applyFill="1" applyBorder="1" applyAlignment="1" applyProtection="1">
      <alignment horizontal="left" vertical="center"/>
    </xf>
    <xf numFmtId="4" fontId="7" fillId="5" borderId="2" xfId="0" applyNumberFormat="1" applyFont="1" applyFill="1" applyBorder="1" applyAlignment="1" applyProtection="1">
      <alignment horizontal="right" vertical="center"/>
    </xf>
    <xf numFmtId="4" fontId="7" fillId="5" borderId="31" xfId="0" applyNumberFormat="1" applyFont="1" applyFill="1" applyBorder="1" applyAlignment="1" applyProtection="1">
      <alignment horizontal="right" vertical="center"/>
    </xf>
    <xf numFmtId="49" fontId="7" fillId="6" borderId="31" xfId="0" applyNumberFormat="1" applyFont="1" applyFill="1" applyBorder="1" applyAlignment="1" applyProtection="1">
      <alignment horizontal="left" vertical="center"/>
    </xf>
    <xf numFmtId="4" fontId="7" fillId="6" borderId="2" xfId="0" applyNumberFormat="1" applyFont="1" applyFill="1" applyBorder="1" applyAlignment="1" applyProtection="1">
      <alignment horizontal="right" vertical="center"/>
    </xf>
    <xf numFmtId="4" fontId="7" fillId="6" borderId="31" xfId="0" applyNumberFormat="1" applyFont="1" applyFill="1" applyBorder="1" applyAlignment="1" applyProtection="1">
      <alignment horizontal="right" vertical="center"/>
    </xf>
    <xf numFmtId="49" fontId="7" fillId="5" borderId="2" xfId="0" applyNumberFormat="1" applyFont="1" applyFill="1" applyBorder="1" applyAlignment="1" applyProtection="1">
      <alignment horizontal="right" vertical="center"/>
    </xf>
    <xf numFmtId="0" fontId="25" fillId="0" borderId="0" xfId="7" applyFont="1" applyAlignment="1">
      <alignment vertical="center"/>
    </xf>
    <xf numFmtId="49" fontId="29" fillId="0" borderId="0" xfId="7" applyNumberFormat="1" applyFont="1" applyAlignment="1">
      <alignment horizontal="left" vertical="center"/>
    </xf>
    <xf numFmtId="4" fontId="26" fillId="0" borderId="7" xfId="7" applyNumberFormat="1" applyFont="1" applyBorder="1" applyAlignment="1">
      <alignment horizontal="right" vertical="center"/>
    </xf>
    <xf numFmtId="0" fontId="25" fillId="0" borderId="7" xfId="7" applyFont="1" applyBorder="1" applyAlignment="1">
      <alignment vertical="center"/>
    </xf>
    <xf numFmtId="4" fontId="25" fillId="0" borderId="0" xfId="7" applyNumberFormat="1" applyFont="1" applyAlignment="1">
      <alignment horizontal="right" vertical="center"/>
    </xf>
    <xf numFmtId="49" fontId="25" fillId="0" borderId="0" xfId="7" applyNumberFormat="1" applyFont="1" applyAlignment="1">
      <alignment horizontal="left" vertical="center"/>
    </xf>
    <xf numFmtId="4" fontId="25" fillId="0" borderId="6" xfId="7" applyNumberFormat="1" applyFont="1" applyBorder="1" applyAlignment="1">
      <alignment horizontal="right" vertical="center"/>
    </xf>
    <xf numFmtId="49" fontId="25" fillId="0" borderId="6" xfId="7" applyNumberFormat="1" applyFont="1" applyBorder="1" applyAlignment="1">
      <alignment horizontal="left" vertical="center"/>
    </xf>
    <xf numFmtId="0" fontId="25" fillId="0" borderId="18" xfId="7" applyFont="1" applyBorder="1" applyAlignment="1">
      <alignment vertical="center"/>
    </xf>
    <xf numFmtId="49" fontId="26" fillId="0" borderId="13" xfId="7" applyNumberFormat="1" applyFont="1" applyBorder="1" applyAlignment="1">
      <alignment horizontal="center" vertical="center"/>
    </xf>
    <xf numFmtId="49" fontId="26" fillId="0" borderId="9" xfId="7" applyNumberFormat="1" applyFont="1" applyBorder="1" applyAlignment="1">
      <alignment horizontal="left" vertical="center"/>
    </xf>
    <xf numFmtId="0" fontId="26" fillId="0" borderId="32" xfId="7" applyFont="1" applyBorder="1" applyAlignment="1">
      <alignment horizontal="center" vertical="center"/>
    </xf>
    <xf numFmtId="49" fontId="25" fillId="0" borderId="8" xfId="7" applyNumberFormat="1" applyFont="1" applyBorder="1" applyAlignment="1">
      <alignment horizontal="left" vertical="center"/>
    </xf>
    <xf numFmtId="0" fontId="25" fillId="0" borderId="17" xfId="7" applyFont="1" applyBorder="1" applyAlignment="1">
      <alignment vertical="center"/>
    </xf>
    <xf numFmtId="0" fontId="0" fillId="0" borderId="0" xfId="0"/>
    <xf numFmtId="0" fontId="89" fillId="0" borderId="0" xfId="0" applyFont="1" applyAlignment="1">
      <alignment horizontal="center"/>
    </xf>
    <xf numFmtId="0" fontId="0" fillId="0" borderId="0" xfId="0" applyAlignment="1">
      <alignment horizontal="right"/>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xf numFmtId="165" fontId="31" fillId="0" borderId="1" xfId="0" applyNumberFormat="1" applyFont="1" applyBorder="1" applyAlignment="1">
      <alignment horizontal="center" vertical="center" wrapText="1"/>
    </xf>
    <xf numFmtId="166" fontId="31" fillId="0" borderId="1" xfId="0" applyNumberFormat="1" applyFont="1" applyBorder="1" applyAlignment="1">
      <alignment horizontal="center" vertical="center" wrapText="1"/>
    </xf>
    <xf numFmtId="49" fontId="32" fillId="8" borderId="1" xfId="0" applyNumberFormat="1" applyFont="1" applyFill="1" applyBorder="1" applyAlignment="1">
      <alignment horizontal="center" vertical="center" wrapText="1"/>
    </xf>
    <xf numFmtId="0" fontId="32" fillId="8" borderId="1" xfId="0" applyFont="1" applyFill="1" applyBorder="1" applyAlignment="1">
      <alignment horizontal="left" vertical="center" wrapText="1"/>
    </xf>
    <xf numFmtId="165" fontId="32" fillId="8" borderId="1" xfId="0" applyNumberFormat="1" applyFont="1" applyFill="1" applyBorder="1" applyAlignment="1">
      <alignment horizontal="right" vertical="center" wrapText="1"/>
    </xf>
    <xf numFmtId="165" fontId="32" fillId="8" borderId="1" xfId="0" applyNumberFormat="1" applyFont="1" applyFill="1" applyBorder="1" applyAlignment="1">
      <alignment horizontal="left" vertical="center" wrapText="1"/>
    </xf>
    <xf numFmtId="166" fontId="32" fillId="8" borderId="1" xfId="0" applyNumberFormat="1" applyFont="1" applyFill="1" applyBorder="1" applyAlignment="1">
      <alignment horizontal="right" vertical="center" wrapText="1"/>
    </xf>
    <xf numFmtId="0" fontId="33" fillId="0" borderId="1" xfId="0" applyFont="1" applyBorder="1" applyAlignment="1">
      <alignment horizontal="center" vertical="center" wrapText="1"/>
    </xf>
    <xf numFmtId="49" fontId="33" fillId="0" borderId="1" xfId="0" applyNumberFormat="1" applyFont="1" applyBorder="1" applyAlignment="1">
      <alignment horizontal="center" vertical="center" wrapText="1"/>
    </xf>
    <xf numFmtId="0" fontId="90" fillId="0" borderId="1" xfId="6" applyFont="1" applyBorder="1" applyAlignment="1">
      <alignment horizontal="left"/>
    </xf>
    <xf numFmtId="167" fontId="35" fillId="0" borderId="1" xfId="6" applyNumberFormat="1" applyFont="1" applyBorder="1"/>
    <xf numFmtId="165" fontId="33" fillId="0" borderId="1" xfId="0" applyNumberFormat="1" applyFont="1" applyBorder="1" applyAlignment="1">
      <alignment horizontal="right" vertical="center" wrapText="1"/>
    </xf>
    <xf numFmtId="165" fontId="33" fillId="0" borderId="1" xfId="0" applyNumberFormat="1" applyFont="1" applyBorder="1" applyAlignment="1">
      <alignment horizontal="left" vertical="center" wrapText="1"/>
    </xf>
    <xf numFmtId="166" fontId="33" fillId="0" borderId="1" xfId="0" applyNumberFormat="1" applyFont="1" applyBorder="1" applyAlignment="1">
      <alignment horizontal="right" vertical="center" wrapText="1"/>
    </xf>
    <xf numFmtId="0" fontId="37" fillId="0" borderId="1" xfId="16" applyFont="1" applyBorder="1" applyAlignment="1">
      <alignment horizontal="left" vertical="top" wrapText="1"/>
    </xf>
    <xf numFmtId="167" fontId="38" fillId="0" borderId="1" xfId="16" applyNumberFormat="1" applyFont="1" applyBorder="1" applyAlignment="1">
      <alignment horizontal="center" vertical="top"/>
    </xf>
    <xf numFmtId="165" fontId="33" fillId="0" borderId="1" xfId="0" applyNumberFormat="1" applyFont="1" applyBorder="1" applyAlignment="1">
      <alignment vertical="center" wrapText="1"/>
    </xf>
    <xf numFmtId="168" fontId="33" fillId="0" borderId="1" xfId="0" applyNumberFormat="1" applyFont="1" applyBorder="1" applyAlignment="1">
      <alignment horizontal="right" vertical="center" wrapText="1"/>
    </xf>
    <xf numFmtId="0" fontId="38" fillId="0" borderId="1" xfId="16" applyFont="1" applyBorder="1" applyAlignment="1">
      <alignment horizontal="left" vertical="top" wrapText="1"/>
    </xf>
    <xf numFmtId="0" fontId="91" fillId="0" borderId="1" xfId="0" applyFont="1" applyBorder="1" applyAlignment="1">
      <alignment horizontal="left" vertical="center" wrapText="1"/>
    </xf>
    <xf numFmtId="167" fontId="37" fillId="0" borderId="1" xfId="16" applyNumberFormat="1" applyFont="1" applyBorder="1" applyAlignment="1">
      <alignment horizontal="center" vertical="top"/>
    </xf>
    <xf numFmtId="0" fontId="33" fillId="0" borderId="1" xfId="0" applyFont="1" applyBorder="1" applyAlignment="1">
      <alignment horizontal="left" vertical="center" wrapText="1"/>
    </xf>
    <xf numFmtId="0" fontId="90" fillId="0" borderId="1" xfId="5" applyFont="1" applyBorder="1" applyAlignment="1">
      <alignment horizontal="left" vertical="center" wrapText="1"/>
    </xf>
    <xf numFmtId="0" fontId="41" fillId="0" borderId="1" xfId="5" applyFont="1" applyBorder="1" applyAlignment="1">
      <alignment horizontal="left" vertical="center" wrapText="1"/>
    </xf>
    <xf numFmtId="49" fontId="37" fillId="0" borderId="1" xfId="5" applyNumberFormat="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7" fillId="0" borderId="1" xfId="5" applyFont="1" applyBorder="1" applyAlignment="1">
      <alignment horizontal="left" vertical="center" wrapText="1"/>
    </xf>
    <xf numFmtId="0" fontId="89" fillId="0" borderId="1" xfId="0" applyFont="1" applyBorder="1" applyAlignment="1">
      <alignment horizontal="center"/>
    </xf>
    <xf numFmtId="0" fontId="92" fillId="0" borderId="1" xfId="0" applyFont="1" applyBorder="1" applyAlignment="1">
      <alignment horizontal="left" vertical="center" wrapText="1"/>
    </xf>
    <xf numFmtId="0" fontId="0" fillId="0" borderId="1" xfId="0" applyBorder="1"/>
    <xf numFmtId="0" fontId="0" fillId="0" borderId="1" xfId="0" applyBorder="1" applyAlignment="1">
      <alignment horizontal="right"/>
    </xf>
    <xf numFmtId="0" fontId="42" fillId="0" borderId="0" xfId="11"/>
    <xf numFmtId="0" fontId="42" fillId="0" borderId="0" xfId="11" applyAlignment="1">
      <alignment horizontal="left" vertical="center"/>
    </xf>
    <xf numFmtId="0" fontId="93" fillId="0" borderId="0" xfId="11" applyFont="1" applyAlignment="1">
      <alignment horizontal="left" vertical="center"/>
    </xf>
    <xf numFmtId="0" fontId="42" fillId="0" borderId="61" xfId="11" applyBorder="1"/>
    <xf numFmtId="0" fontId="42" fillId="0" borderId="62" xfId="11" applyBorder="1"/>
    <xf numFmtId="0" fontId="42" fillId="0" borderId="63" xfId="11" applyBorder="1"/>
    <xf numFmtId="0" fontId="43" fillId="0" borderId="0" xfId="11" applyFont="1" applyAlignment="1">
      <alignment horizontal="left" vertical="center"/>
    </xf>
    <xf numFmtId="0" fontId="94" fillId="0" borderId="0" xfId="11" applyFont="1" applyAlignment="1">
      <alignment horizontal="left" vertical="center"/>
    </xf>
    <xf numFmtId="0" fontId="95" fillId="0" borderId="0" xfId="11" applyFont="1" applyAlignment="1">
      <alignment horizontal="left" vertical="center"/>
    </xf>
    <xf numFmtId="0" fontId="42" fillId="0" borderId="0" xfId="11" applyAlignment="1">
      <alignment vertical="center"/>
    </xf>
    <xf numFmtId="0" fontId="42" fillId="0" borderId="63" xfId="11" applyBorder="1" applyAlignment="1">
      <alignment vertical="center"/>
    </xf>
    <xf numFmtId="0" fontId="45" fillId="0" borderId="0" xfId="11" applyFont="1" applyAlignment="1">
      <alignment horizontal="left" vertical="center"/>
    </xf>
    <xf numFmtId="169" fontId="45" fillId="0" borderId="0" xfId="11" applyNumberFormat="1" applyFont="1" applyAlignment="1">
      <alignment horizontal="left" vertical="center"/>
    </xf>
    <xf numFmtId="0" fontId="42" fillId="0" borderId="0" xfId="11" applyAlignment="1">
      <alignment vertical="center" wrapText="1"/>
    </xf>
    <xf numFmtId="0" fontId="42" fillId="0" borderId="63" xfId="11" applyBorder="1" applyAlignment="1">
      <alignment vertical="center" wrapText="1"/>
    </xf>
    <xf numFmtId="0" fontId="45" fillId="0" borderId="0" xfId="11" applyFont="1" applyAlignment="1">
      <alignment horizontal="left" vertical="center" wrapText="1"/>
    </xf>
    <xf numFmtId="0" fontId="42" fillId="0" borderId="64" xfId="11" applyBorder="1" applyAlignment="1">
      <alignment vertical="center"/>
    </xf>
    <xf numFmtId="0" fontId="46" fillId="0" borderId="0" xfId="11" applyFont="1" applyAlignment="1">
      <alignment horizontal="left" vertical="center"/>
    </xf>
    <xf numFmtId="4" fontId="96" fillId="0" borderId="0" xfId="11" applyNumberFormat="1" applyFont="1" applyAlignment="1">
      <alignment vertical="center"/>
    </xf>
    <xf numFmtId="0" fontId="95" fillId="0" borderId="0" xfId="11" applyFont="1" applyAlignment="1">
      <alignment horizontal="right" vertical="center"/>
    </xf>
    <xf numFmtId="0" fontId="97" fillId="0" borderId="0" xfId="11" applyFont="1" applyAlignment="1">
      <alignment horizontal="left" vertical="center"/>
    </xf>
    <xf numFmtId="4" fontId="95" fillId="0" borderId="0" xfId="11" applyNumberFormat="1" applyFont="1" applyAlignment="1">
      <alignment vertical="center"/>
    </xf>
    <xf numFmtId="170" fontId="95" fillId="0" borderId="0" xfId="11" applyNumberFormat="1" applyFont="1" applyAlignment="1">
      <alignment horizontal="right" vertical="center"/>
    </xf>
    <xf numFmtId="0" fontId="42" fillId="9" borderId="0" xfId="11" applyFill="1" applyAlignment="1">
      <alignment vertical="center"/>
    </xf>
    <xf numFmtId="0" fontId="47" fillId="9" borderId="65" xfId="11" applyFont="1" applyFill="1" applyBorder="1" applyAlignment="1">
      <alignment horizontal="left" vertical="center"/>
    </xf>
    <xf numFmtId="0" fontId="42" fillId="9" borderId="66" xfId="11" applyFill="1" applyBorder="1" applyAlignment="1">
      <alignment vertical="center"/>
    </xf>
    <xf numFmtId="0" fontId="47" fillId="9" borderId="66" xfId="11" applyFont="1" applyFill="1" applyBorder="1" applyAlignment="1">
      <alignment horizontal="right" vertical="center"/>
    </xf>
    <xf numFmtId="0" fontId="47" fillId="9" borderId="66" xfId="11" applyFont="1" applyFill="1" applyBorder="1" applyAlignment="1">
      <alignment horizontal="center" vertical="center"/>
    </xf>
    <xf numFmtId="4" fontId="47" fillId="9" borderId="66" xfId="11" applyNumberFormat="1" applyFont="1" applyFill="1" applyBorder="1" applyAlignment="1">
      <alignment vertical="center"/>
    </xf>
    <xf numFmtId="0" fontId="42" fillId="9" borderId="67" xfId="11" applyFill="1" applyBorder="1" applyAlignment="1">
      <alignment vertical="center"/>
    </xf>
    <xf numFmtId="0" fontId="98" fillId="0" borderId="68" xfId="11" applyFont="1" applyBorder="1" applyAlignment="1">
      <alignment horizontal="left" vertical="center"/>
    </xf>
    <xf numFmtId="0" fontId="42" fillId="0" borderId="68" xfId="11" applyBorder="1" applyAlignment="1">
      <alignment vertical="center"/>
    </xf>
    <xf numFmtId="0" fontId="95" fillId="0" borderId="69" xfId="11" applyFont="1" applyBorder="1" applyAlignment="1">
      <alignment horizontal="left" vertical="center"/>
    </xf>
    <xf numFmtId="0" fontId="42" fillId="0" borderId="69" xfId="11" applyBorder="1" applyAlignment="1">
      <alignment vertical="center"/>
    </xf>
    <xf numFmtId="0" fontId="95" fillId="0" borderId="69" xfId="11" applyFont="1" applyBorder="1" applyAlignment="1">
      <alignment horizontal="center" vertical="center"/>
    </xf>
    <xf numFmtId="0" fontId="95" fillId="0" borderId="69" xfId="11" applyFont="1" applyBorder="1" applyAlignment="1">
      <alignment horizontal="right" vertical="center"/>
    </xf>
    <xf numFmtId="0" fontId="42" fillId="0" borderId="70" xfId="11" applyBorder="1" applyAlignment="1">
      <alignment vertical="center"/>
    </xf>
    <xf numFmtId="0" fontId="42" fillId="0" borderId="71" xfId="11" applyBorder="1" applyAlignment="1">
      <alignment vertical="center"/>
    </xf>
    <xf numFmtId="0" fontId="42" fillId="0" borderId="61" xfId="11" applyBorder="1" applyAlignment="1">
      <alignment vertical="center"/>
    </xf>
    <xf numFmtId="0" fontId="42" fillId="0" borderId="62" xfId="11" applyBorder="1" applyAlignment="1">
      <alignment vertical="center"/>
    </xf>
    <xf numFmtId="0" fontId="48" fillId="9" borderId="0" xfId="11" applyFont="1" applyFill="1" applyAlignment="1">
      <alignment horizontal="left" vertical="center"/>
    </xf>
    <xf numFmtId="0" fontId="48" fillId="9" borderId="0" xfId="11" applyFont="1" applyFill="1" applyAlignment="1">
      <alignment horizontal="right" vertical="center"/>
    </xf>
    <xf numFmtId="0" fontId="99" fillId="0" borderId="0" xfId="11" applyFont="1" applyAlignment="1">
      <alignment horizontal="left" vertical="center"/>
    </xf>
    <xf numFmtId="0" fontId="100" fillId="0" borderId="0" xfId="11" applyFont="1" applyAlignment="1">
      <alignment vertical="center"/>
    </xf>
    <xf numFmtId="0" fontId="100" fillId="0" borderId="63" xfId="11" applyFont="1" applyBorder="1" applyAlignment="1">
      <alignment vertical="center"/>
    </xf>
    <xf numFmtId="0" fontId="100" fillId="0" borderId="72" xfId="11" applyFont="1" applyBorder="1" applyAlignment="1">
      <alignment horizontal="left" vertical="center"/>
    </xf>
    <xf numFmtId="0" fontId="100" fillId="0" borderId="72" xfId="11" applyFont="1" applyBorder="1" applyAlignment="1">
      <alignment vertical="center"/>
    </xf>
    <xf numFmtId="4" fontId="100" fillId="0" borderId="72" xfId="11" applyNumberFormat="1" applyFont="1" applyBorder="1" applyAlignment="1">
      <alignment vertical="center"/>
    </xf>
    <xf numFmtId="0" fontId="101" fillId="0" borderId="0" xfId="11" applyFont="1" applyAlignment="1">
      <alignment vertical="center"/>
    </xf>
    <xf numFmtId="0" fontId="101" fillId="0" borderId="63" xfId="11" applyFont="1" applyBorder="1" applyAlignment="1">
      <alignment vertical="center"/>
    </xf>
    <xf numFmtId="0" fontId="101" fillId="0" borderId="72" xfId="11" applyFont="1" applyBorder="1" applyAlignment="1">
      <alignment horizontal="left" vertical="center"/>
    </xf>
    <xf numFmtId="0" fontId="101" fillId="0" borderId="72" xfId="11" applyFont="1" applyBorder="1" applyAlignment="1">
      <alignment vertical="center"/>
    </xf>
    <xf numFmtId="4" fontId="101" fillId="0" borderId="72" xfId="11" applyNumberFormat="1" applyFont="1" applyBorder="1" applyAlignment="1">
      <alignment vertical="center"/>
    </xf>
    <xf numFmtId="0" fontId="42" fillId="0" borderId="0" xfId="11" applyAlignment="1">
      <alignment horizontal="center" vertical="center" wrapText="1"/>
    </xf>
    <xf numFmtId="0" fontId="42" fillId="0" borderId="63" xfId="11" applyBorder="1" applyAlignment="1">
      <alignment horizontal="center" vertical="center" wrapText="1"/>
    </xf>
    <xf numFmtId="0" fontId="48" fillId="9" borderId="73" xfId="11" applyFont="1" applyFill="1" applyBorder="1" applyAlignment="1">
      <alignment horizontal="center" vertical="center" wrapText="1"/>
    </xf>
    <xf numFmtId="0" fontId="48" fillId="9" borderId="74" xfId="11" applyFont="1" applyFill="1" applyBorder="1" applyAlignment="1">
      <alignment horizontal="center" vertical="center" wrapText="1"/>
    </xf>
    <xf numFmtId="0" fontId="48" fillId="9" borderId="75" xfId="11" applyFont="1" applyFill="1" applyBorder="1" applyAlignment="1">
      <alignment horizontal="center" vertical="center" wrapText="1"/>
    </xf>
    <xf numFmtId="0" fontId="102" fillId="0" borderId="73" xfId="11" applyFont="1" applyBorder="1" applyAlignment="1">
      <alignment horizontal="center" vertical="center" wrapText="1"/>
    </xf>
    <xf numFmtId="0" fontId="102" fillId="0" borderId="74" xfId="11" applyFont="1" applyBorder="1" applyAlignment="1">
      <alignment horizontal="center" vertical="center" wrapText="1"/>
    </xf>
    <xf numFmtId="0" fontId="102" fillId="0" borderId="75" xfId="11" applyFont="1" applyBorder="1" applyAlignment="1">
      <alignment horizontal="center" vertical="center" wrapText="1"/>
    </xf>
    <xf numFmtId="0" fontId="96" fillId="0" borderId="0" xfId="11" applyFont="1" applyAlignment="1">
      <alignment horizontal="left" vertical="center"/>
    </xf>
    <xf numFmtId="4" fontId="96" fillId="0" borderId="0" xfId="11" applyNumberFormat="1" applyFont="1"/>
    <xf numFmtId="0" fontId="42" fillId="0" borderId="76" xfId="11" applyBorder="1" applyAlignment="1">
      <alignment vertical="center"/>
    </xf>
    <xf numFmtId="171" fontId="103" fillId="0" borderId="64" xfId="11" applyNumberFormat="1" applyFont="1" applyBorder="1"/>
    <xf numFmtId="171" fontId="103" fillId="0" borderId="77" xfId="11" applyNumberFormat="1" applyFont="1" applyBorder="1"/>
    <xf numFmtId="4" fontId="49" fillId="0" borderId="0" xfId="11" applyNumberFormat="1" applyFont="1" applyAlignment="1">
      <alignment vertical="center"/>
    </xf>
    <xf numFmtId="0" fontId="104" fillId="0" borderId="0" xfId="11" applyFont="1"/>
    <xf numFmtId="0" fontId="104" fillId="0" borderId="63" xfId="11" applyFont="1" applyBorder="1"/>
    <xf numFmtId="0" fontId="104" fillId="0" borderId="0" xfId="11" applyFont="1" applyAlignment="1">
      <alignment horizontal="left"/>
    </xf>
    <xf numFmtId="0" fontId="100" fillId="0" borderId="0" xfId="11" applyFont="1" applyAlignment="1">
      <alignment horizontal="left"/>
    </xf>
    <xf numFmtId="4" fontId="100" fillId="0" borderId="0" xfId="11" applyNumberFormat="1" applyFont="1"/>
    <xf numFmtId="0" fontId="104" fillId="0" borderId="78" xfId="11" applyFont="1" applyBorder="1"/>
    <xf numFmtId="171" fontId="104" fillId="0" borderId="0" xfId="11" applyNumberFormat="1" applyFont="1"/>
    <xf numFmtId="171" fontId="104" fillId="0" borderId="79" xfId="11" applyNumberFormat="1" applyFont="1" applyBorder="1"/>
    <xf numFmtId="0" fontId="104" fillId="0" borderId="0" xfId="11" applyFont="1" applyAlignment="1">
      <alignment horizontal="center"/>
    </xf>
    <xf numFmtId="4" fontId="104" fillId="0" borderId="0" xfId="11" applyNumberFormat="1" applyFont="1" applyAlignment="1">
      <alignment vertical="center"/>
    </xf>
    <xf numFmtId="0" fontId="101" fillId="0" borderId="0" xfId="11" applyFont="1" applyAlignment="1">
      <alignment horizontal="left"/>
    </xf>
    <xf numFmtId="4" fontId="101" fillId="0" borderId="0" xfId="11" applyNumberFormat="1" applyFont="1"/>
    <xf numFmtId="0" fontId="42" fillId="0" borderId="63" xfId="11" applyBorder="1" applyAlignment="1" applyProtection="1">
      <alignment vertical="center"/>
      <protection locked="0"/>
    </xf>
    <xf numFmtId="0" fontId="48" fillId="0" borderId="80" xfId="11" applyFont="1" applyBorder="1" applyAlignment="1" applyProtection="1">
      <alignment horizontal="center" vertical="center"/>
      <protection locked="0"/>
    </xf>
    <xf numFmtId="49" fontId="48" fillId="0" borderId="80" xfId="11" applyNumberFormat="1" applyFont="1" applyBorder="1" applyAlignment="1" applyProtection="1">
      <alignment horizontal="left" vertical="center" wrapText="1"/>
      <protection locked="0"/>
    </xf>
    <xf numFmtId="0" fontId="48" fillId="0" borderId="80" xfId="11" applyFont="1" applyBorder="1" applyAlignment="1" applyProtection="1">
      <alignment horizontal="left" vertical="center" wrapText="1"/>
      <protection locked="0"/>
    </xf>
    <xf numFmtId="0" fontId="48" fillId="0" borderId="80" xfId="11" applyFont="1" applyBorder="1" applyAlignment="1" applyProtection="1">
      <alignment horizontal="center" vertical="center" wrapText="1"/>
      <protection locked="0"/>
    </xf>
    <xf numFmtId="172" fontId="48" fillId="0" borderId="80" xfId="11" applyNumberFormat="1" applyFont="1" applyBorder="1" applyAlignment="1" applyProtection="1">
      <alignment vertical="center"/>
      <protection locked="0"/>
    </xf>
    <xf numFmtId="4" fontId="48" fillId="0" borderId="80" xfId="11" applyNumberFormat="1" applyFont="1" applyBorder="1" applyAlignment="1" applyProtection="1">
      <alignment vertical="center"/>
      <protection locked="0"/>
    </xf>
    <xf numFmtId="0" fontId="102" fillId="0" borderId="78" xfId="11" applyFont="1" applyBorder="1" applyAlignment="1">
      <alignment horizontal="left" vertical="center"/>
    </xf>
    <xf numFmtId="0" fontId="102" fillId="0" borderId="0" xfId="11" applyFont="1" applyAlignment="1">
      <alignment horizontal="center" vertical="center"/>
    </xf>
    <xf numFmtId="171" fontId="102" fillId="0" borderId="0" xfId="11" applyNumberFormat="1" applyFont="1" applyAlignment="1">
      <alignment vertical="center"/>
    </xf>
    <xf numFmtId="171" fontId="102" fillId="0" borderId="79" xfId="11" applyNumberFormat="1" applyFont="1" applyBorder="1" applyAlignment="1">
      <alignment vertical="center"/>
    </xf>
    <xf numFmtId="0" fontId="48" fillId="0" borderId="0" xfId="11" applyFont="1" applyAlignment="1">
      <alignment horizontal="left" vertical="center"/>
    </xf>
    <xf numFmtId="4" fontId="42" fillId="0" borderId="0" xfId="11" applyNumberFormat="1" applyAlignment="1">
      <alignment vertical="center"/>
    </xf>
    <xf numFmtId="0" fontId="105" fillId="0" borderId="0" xfId="11" applyFont="1" applyAlignment="1">
      <alignment horizontal="left" vertical="center"/>
    </xf>
    <xf numFmtId="0" fontId="50" fillId="0" borderId="0" xfId="11" applyFont="1" applyAlignment="1">
      <alignment horizontal="left" vertical="center" wrapText="1"/>
    </xf>
    <xf numFmtId="0" fontId="42" fillId="0" borderId="78" xfId="11" applyBorder="1" applyAlignment="1">
      <alignment vertical="center"/>
    </xf>
    <xf numFmtId="0" fontId="42" fillId="0" borderId="79" xfId="11" applyBorder="1" applyAlignment="1">
      <alignment vertical="center"/>
    </xf>
    <xf numFmtId="0" fontId="106" fillId="0" borderId="0" xfId="11" applyFont="1" applyAlignment="1">
      <alignment vertical="center"/>
    </xf>
    <xf numFmtId="0" fontId="106" fillId="0" borderId="63" xfId="11" applyFont="1" applyBorder="1" applyAlignment="1">
      <alignment vertical="center"/>
    </xf>
    <xf numFmtId="0" fontId="106" fillId="0" borderId="0" xfId="11" applyFont="1" applyAlignment="1">
      <alignment horizontal="left" vertical="center"/>
    </xf>
    <xf numFmtId="0" fontId="106" fillId="0" borderId="0" xfId="11" applyFont="1" applyAlignment="1">
      <alignment horizontal="left" vertical="center" wrapText="1"/>
    </xf>
    <xf numFmtId="172" fontId="106" fillId="0" borderId="0" xfId="11" applyNumberFormat="1" applyFont="1" applyAlignment="1">
      <alignment vertical="center"/>
    </xf>
    <xf numFmtId="0" fontId="106" fillId="0" borderId="78" xfId="11" applyFont="1" applyBorder="1" applyAlignment="1">
      <alignment vertical="center"/>
    </xf>
    <xf numFmtId="0" fontId="106" fillId="0" borderId="79" xfId="11" applyFont="1" applyBorder="1" applyAlignment="1">
      <alignment vertical="center"/>
    </xf>
    <xf numFmtId="0" fontId="107" fillId="0" borderId="0" xfId="11" applyFont="1" applyAlignment="1">
      <alignment vertical="center"/>
    </xf>
    <xf numFmtId="0" fontId="107" fillId="0" borderId="63" xfId="11" applyFont="1" applyBorder="1" applyAlignment="1">
      <alignment vertical="center"/>
    </xf>
    <xf numFmtId="0" fontId="107" fillId="0" borderId="0" xfId="11" applyFont="1" applyAlignment="1">
      <alignment horizontal="left" vertical="center"/>
    </xf>
    <xf numFmtId="0" fontId="107" fillId="0" borderId="0" xfId="11" applyFont="1" applyAlignment="1">
      <alignment horizontal="left" vertical="center" wrapText="1"/>
    </xf>
    <xf numFmtId="0" fontId="107" fillId="0" borderId="78" xfId="11" applyFont="1" applyBorder="1" applyAlignment="1">
      <alignment vertical="center"/>
    </xf>
    <xf numFmtId="0" fontId="107" fillId="0" borderId="79" xfId="11" applyFont="1" applyBorder="1" applyAlignment="1">
      <alignment vertical="center"/>
    </xf>
    <xf numFmtId="0" fontId="108" fillId="0" borderId="0" xfId="11" applyFont="1" applyAlignment="1">
      <alignment vertical="center"/>
    </xf>
    <xf numFmtId="0" fontId="108" fillId="0" borderId="63" xfId="11" applyFont="1" applyBorder="1" applyAlignment="1">
      <alignment vertical="center"/>
    </xf>
    <xf numFmtId="0" fontId="108" fillId="0" borderId="0" xfId="11" applyFont="1" applyAlignment="1">
      <alignment horizontal="left" vertical="center"/>
    </xf>
    <xf numFmtId="0" fontId="108" fillId="0" borderId="0" xfId="11" applyFont="1" applyAlignment="1">
      <alignment horizontal="left" vertical="center" wrapText="1"/>
    </xf>
    <xf numFmtId="172" fontId="108" fillId="0" borderId="0" xfId="11" applyNumberFormat="1" applyFont="1" applyAlignment="1">
      <alignment vertical="center"/>
    </xf>
    <xf numFmtId="0" fontId="108" fillId="0" borderId="78" xfId="11" applyFont="1" applyBorder="1" applyAlignment="1">
      <alignment vertical="center"/>
    </xf>
    <xf numFmtId="0" fontId="108" fillId="0" borderId="79" xfId="11" applyFont="1" applyBorder="1" applyAlignment="1">
      <alignment vertical="center"/>
    </xf>
    <xf numFmtId="0" fontId="109" fillId="0" borderId="80" xfId="11" applyFont="1" applyBorder="1" applyAlignment="1" applyProtection="1">
      <alignment horizontal="center" vertical="center"/>
      <protection locked="0"/>
    </xf>
    <xf numFmtId="49" fontId="109" fillId="0" borderId="80" xfId="11" applyNumberFormat="1" applyFont="1" applyBorder="1" applyAlignment="1" applyProtection="1">
      <alignment horizontal="left" vertical="center" wrapText="1"/>
      <protection locked="0"/>
    </xf>
    <xf numFmtId="0" fontId="109" fillId="0" borderId="80" xfId="11" applyFont="1" applyBorder="1" applyAlignment="1" applyProtection="1">
      <alignment horizontal="left" vertical="center" wrapText="1"/>
      <protection locked="0"/>
    </xf>
    <xf numFmtId="0" fontId="109" fillId="0" borderId="80" xfId="11" applyFont="1" applyBorder="1" applyAlignment="1" applyProtection="1">
      <alignment horizontal="center" vertical="center" wrapText="1"/>
      <protection locked="0"/>
    </xf>
    <xf numFmtId="172" fontId="109" fillId="0" borderId="80" xfId="11" applyNumberFormat="1" applyFont="1" applyBorder="1" applyAlignment="1" applyProtection="1">
      <alignment vertical="center"/>
      <protection locked="0"/>
    </xf>
    <xf numFmtId="4" fontId="109" fillId="0" borderId="80" xfId="11" applyNumberFormat="1" applyFont="1" applyBorder="1" applyAlignment="1" applyProtection="1">
      <alignment vertical="center"/>
      <protection locked="0"/>
    </xf>
    <xf numFmtId="0" fontId="110" fillId="0" borderId="63" xfId="11" applyFont="1" applyBorder="1" applyAlignment="1">
      <alignment vertical="center"/>
    </xf>
    <xf numFmtId="0" fontId="109" fillId="0" borderId="78" xfId="11" applyFont="1" applyBorder="1" applyAlignment="1">
      <alignment horizontal="left" vertical="center"/>
    </xf>
    <xf numFmtId="0" fontId="109" fillId="0" borderId="0" xfId="11" applyFont="1" applyAlignment="1">
      <alignment horizontal="center" vertical="center"/>
    </xf>
    <xf numFmtId="0" fontId="42" fillId="0" borderId="81" xfId="11" applyBorder="1" applyAlignment="1">
      <alignment vertical="center"/>
    </xf>
    <xf numFmtId="0" fontId="42" fillId="0" borderId="72" xfId="11" applyBorder="1" applyAlignment="1">
      <alignment vertical="center"/>
    </xf>
    <xf numFmtId="0" fontId="42" fillId="0" borderId="82" xfId="11" applyBorder="1" applyAlignment="1">
      <alignment vertical="center"/>
    </xf>
    <xf numFmtId="0" fontId="62" fillId="0" borderId="33" xfId="0" applyFont="1" applyBorder="1" applyAlignment="1">
      <alignment horizontal="center"/>
    </xf>
    <xf numFmtId="0" fontId="62" fillId="0" borderId="1" xfId="0" applyFont="1" applyBorder="1"/>
    <xf numFmtId="0" fontId="111" fillId="0" borderId="0" xfId="7" applyFont="1" applyAlignment="1">
      <alignment vertical="center"/>
    </xf>
    <xf numFmtId="166" fontId="111" fillId="0" borderId="0" xfId="7" applyNumberFormat="1" applyFont="1" applyAlignment="1">
      <alignment vertical="center"/>
    </xf>
    <xf numFmtId="175" fontId="112" fillId="0" borderId="34" xfId="7" applyNumberFormat="1" applyFont="1" applyBorder="1" applyAlignment="1">
      <alignment horizontal="left" vertical="center" wrapText="1"/>
    </xf>
    <xf numFmtId="175" fontId="112" fillId="0" borderId="35" xfId="7" applyNumberFormat="1" applyFont="1" applyBorder="1" applyAlignment="1">
      <alignment horizontal="right" vertical="center"/>
    </xf>
    <xf numFmtId="166" fontId="112" fillId="0" borderId="36" xfId="7" applyNumberFormat="1" applyFont="1" applyBorder="1" applyAlignment="1">
      <alignment horizontal="right" vertical="center"/>
    </xf>
    <xf numFmtId="0" fontId="112" fillId="0" borderId="37" xfId="7" applyFont="1" applyBorder="1" applyAlignment="1">
      <alignment horizontal="center" vertical="center"/>
    </xf>
    <xf numFmtId="175" fontId="112" fillId="0" borderId="0" xfId="7" applyNumberFormat="1" applyFont="1" applyAlignment="1">
      <alignment horizontal="left" vertical="center" wrapText="1"/>
    </xf>
    <xf numFmtId="175" fontId="113" fillId="0" borderId="0" xfId="7" applyNumberFormat="1" applyFont="1" applyAlignment="1">
      <alignment horizontal="center" vertical="center"/>
    </xf>
    <xf numFmtId="175" fontId="111" fillId="0" borderId="0" xfId="7" applyNumberFormat="1" applyFont="1" applyAlignment="1">
      <alignment horizontal="right" vertical="center"/>
    </xf>
    <xf numFmtId="166" fontId="111" fillId="0" borderId="0" xfId="7" applyNumberFormat="1" applyFont="1" applyAlignment="1">
      <alignment horizontal="right" vertical="center"/>
    </xf>
    <xf numFmtId="0" fontId="111" fillId="0" borderId="0" xfId="7" applyFont="1" applyAlignment="1">
      <alignment horizontal="center" vertical="center"/>
    </xf>
    <xf numFmtId="0" fontId="112" fillId="0" borderId="0" xfId="7" applyFont="1" applyAlignment="1">
      <alignment vertical="center" wrapText="1"/>
    </xf>
    <xf numFmtId="0" fontId="112" fillId="0" borderId="0" xfId="7" applyFont="1" applyAlignment="1">
      <alignment horizontal="center" vertical="center"/>
    </xf>
    <xf numFmtId="3" fontId="111" fillId="0" borderId="0" xfId="7" applyNumberFormat="1" applyFont="1" applyAlignment="1">
      <alignment horizontal="right" vertical="center"/>
    </xf>
    <xf numFmtId="0" fontId="111" fillId="0" borderId="0" xfId="7" applyFont="1" applyAlignment="1">
      <alignment vertical="center" wrapText="1"/>
    </xf>
    <xf numFmtId="0" fontId="111" fillId="0" borderId="0" xfId="7" applyFont="1" applyAlignment="1">
      <alignment horizontal="right" vertical="center"/>
    </xf>
    <xf numFmtId="0" fontId="111" fillId="0" borderId="0" xfId="7" quotePrefix="1" applyFont="1" applyAlignment="1">
      <alignment vertical="center" wrapText="1"/>
    </xf>
    <xf numFmtId="3" fontId="112" fillId="0" borderId="0" xfId="7" applyNumberFormat="1" applyFont="1" applyAlignment="1">
      <alignment horizontal="right" vertical="center"/>
    </xf>
    <xf numFmtId="0" fontId="111" fillId="0" borderId="0" xfId="7" applyFont="1" applyAlignment="1">
      <alignment horizontal="center" vertical="center" wrapText="1"/>
    </xf>
    <xf numFmtId="3" fontId="111" fillId="0" borderId="0" xfId="7" applyNumberFormat="1" applyFont="1" applyAlignment="1">
      <alignment horizontal="right" vertical="center" wrapText="1"/>
    </xf>
    <xf numFmtId="166" fontId="111" fillId="0" borderId="0" xfId="7" applyNumberFormat="1" applyFont="1" applyAlignment="1">
      <alignment vertical="center" wrapText="1"/>
    </xf>
    <xf numFmtId="0" fontId="112" fillId="0" borderId="0" xfId="7" applyFont="1" applyAlignment="1">
      <alignment horizontal="left" vertical="center" wrapText="1"/>
    </xf>
    <xf numFmtId="0" fontId="112" fillId="0" borderId="34" xfId="7" applyFont="1" applyBorder="1" applyAlignment="1">
      <alignment vertical="center" wrapText="1"/>
    </xf>
    <xf numFmtId="0" fontId="112" fillId="0" borderId="34" xfId="7" applyFont="1" applyBorder="1" applyAlignment="1">
      <alignment horizontal="center" vertical="center"/>
    </xf>
    <xf numFmtId="3" fontId="112" fillId="0" borderId="34" xfId="7" applyNumberFormat="1" applyFont="1" applyBorder="1" applyAlignment="1">
      <alignment horizontal="right" vertical="center"/>
    </xf>
    <xf numFmtId="166" fontId="111" fillId="0" borderId="34" xfId="7" applyNumberFormat="1" applyFont="1" applyBorder="1" applyAlignment="1">
      <alignment horizontal="right" vertical="center"/>
    </xf>
    <xf numFmtId="0" fontId="113" fillId="0" borderId="0" xfId="7" applyFont="1" applyAlignment="1">
      <alignment vertical="center" wrapText="1"/>
    </xf>
    <xf numFmtId="0" fontId="114" fillId="0" borderId="0" xfId="7" applyFont="1" applyAlignment="1">
      <alignment vertical="center" wrapText="1"/>
    </xf>
    <xf numFmtId="0" fontId="71" fillId="0" borderId="0" xfId="0" applyFont="1" applyAlignment="1">
      <alignment horizontal="left"/>
    </xf>
    <xf numFmtId="0" fontId="0" fillId="0" borderId="0" xfId="0" applyAlignment="1">
      <alignment horizontal="left"/>
    </xf>
    <xf numFmtId="0" fontId="68" fillId="0" borderId="0" xfId="0" applyFont="1" applyAlignment="1" applyProtection="1">
      <alignment horizontal="left"/>
      <protection locked="0" hidden="1"/>
    </xf>
    <xf numFmtId="0" fontId="0" fillId="0" borderId="0" xfId="0" applyAlignment="1" applyProtection="1">
      <alignment horizontal="left"/>
      <protection locked="0" hidden="1"/>
    </xf>
    <xf numFmtId="0" fontId="69" fillId="0" borderId="0" xfId="0" applyFont="1" applyAlignment="1">
      <alignment horizontal="right"/>
    </xf>
    <xf numFmtId="0" fontId="70" fillId="0" borderId="38" xfId="0" quotePrefix="1" applyFont="1" applyBorder="1" applyAlignment="1">
      <alignment horizontal="left"/>
    </xf>
    <xf numFmtId="0" fontId="70" fillId="0" borderId="33" xfId="0" applyFont="1" applyBorder="1"/>
    <xf numFmtId="0" fontId="70" fillId="0" borderId="1" xfId="0" applyFont="1" applyBorder="1"/>
    <xf numFmtId="0" fontId="70" fillId="0" borderId="1" xfId="0" applyFont="1" applyBorder="1" applyAlignment="1" applyProtection="1">
      <alignment horizontal="right"/>
      <protection locked="0" hidden="1"/>
    </xf>
    <xf numFmtId="0" fontId="70" fillId="0" borderId="39" xfId="0" applyFont="1" applyBorder="1" applyAlignment="1" applyProtection="1">
      <alignment horizontal="right"/>
      <protection locked="0" hidden="1"/>
    </xf>
    <xf numFmtId="0" fontId="71" fillId="0" borderId="0" xfId="0" applyFont="1"/>
    <xf numFmtId="3" fontId="111" fillId="0" borderId="1" xfId="14" applyNumberFormat="1" applyFont="1"/>
    <xf numFmtId="3" fontId="111" fillId="0" borderId="0" xfId="14" applyNumberFormat="1" applyFont="1" applyBorder="1"/>
    <xf numFmtId="0" fontId="73" fillId="0" borderId="0" xfId="0" applyFont="1" applyAlignment="1" applyProtection="1">
      <alignment horizontal="left"/>
      <protection locked="0" hidden="1"/>
    </xf>
    <xf numFmtId="4" fontId="70" fillId="0" borderId="1" xfId="0" applyNumberFormat="1" applyFont="1" applyBorder="1" applyAlignment="1" applyProtection="1">
      <alignment horizontal="right" vertical="center"/>
      <protection hidden="1"/>
    </xf>
    <xf numFmtId="4" fontId="70" fillId="0" borderId="39" xfId="0" applyNumberFormat="1" applyFont="1" applyBorder="1" applyAlignment="1" applyProtection="1">
      <alignment horizontal="right" vertical="center"/>
      <protection hidden="1"/>
    </xf>
    <xf numFmtId="0" fontId="70" fillId="0" borderId="33" xfId="0" applyFont="1" applyBorder="1" applyAlignment="1">
      <alignment horizontal="right" vertical="center"/>
    </xf>
    <xf numFmtId="3" fontId="111" fillId="0" borderId="1" xfId="14" applyNumberFormat="1" applyFont="1" applyAlignment="1">
      <alignment vertical="center"/>
    </xf>
    <xf numFmtId="3" fontId="111" fillId="0" borderId="1" xfId="14" applyNumberFormat="1" applyFont="1" applyAlignment="1">
      <alignment horizontal="left" vertical="center"/>
    </xf>
    <xf numFmtId="0" fontId="70" fillId="0" borderId="1" xfId="0" applyFont="1" applyBorder="1" applyAlignment="1">
      <alignment wrapText="1"/>
    </xf>
    <xf numFmtId="0" fontId="70" fillId="0" borderId="1" xfId="0" applyFont="1" applyBorder="1" applyAlignment="1">
      <alignment vertical="center"/>
    </xf>
    <xf numFmtId="0" fontId="70" fillId="0" borderId="33" xfId="0" quotePrefix="1" applyFont="1" applyBorder="1" applyAlignment="1">
      <alignment horizontal="right" vertical="center"/>
    </xf>
    <xf numFmtId="0" fontId="0" fillId="0" borderId="33" xfId="0" applyBorder="1" applyAlignment="1" applyProtection="1">
      <alignment horizontal="left"/>
      <protection locked="0" hidden="1"/>
    </xf>
    <xf numFmtId="0" fontId="74" fillId="0" borderId="1" xfId="0" applyFont="1" applyBorder="1"/>
    <xf numFmtId="0" fontId="70" fillId="0" borderId="1" xfId="0" applyFont="1" applyBorder="1" applyAlignment="1">
      <alignment vertical="center" wrapText="1"/>
    </xf>
    <xf numFmtId="0" fontId="0" fillId="0" borderId="1" xfId="0" applyBorder="1" applyAlignment="1" applyProtection="1">
      <alignment horizontal="left"/>
      <protection locked="0" hidden="1"/>
    </xf>
    <xf numFmtId="3" fontId="70" fillId="0" borderId="1" xfId="14" applyNumberFormat="1" applyFont="1" applyAlignment="1">
      <alignment vertical="center"/>
    </xf>
    <xf numFmtId="0" fontId="70" fillId="0" borderId="33" xfId="0" applyFont="1" applyBorder="1" applyAlignment="1">
      <alignment vertical="center"/>
    </xf>
    <xf numFmtId="165" fontId="70" fillId="0" borderId="1" xfId="14" applyFont="1" applyAlignment="1">
      <alignment horizontal="left" vertical="center" wrapText="1"/>
    </xf>
    <xf numFmtId="0" fontId="0" fillId="0" borderId="18" xfId="0" applyBorder="1"/>
    <xf numFmtId="3" fontId="70" fillId="0" borderId="1" xfId="14" applyNumberFormat="1" applyFont="1"/>
    <xf numFmtId="3" fontId="70" fillId="0" borderId="1" xfId="14" applyNumberFormat="1" applyFont="1" applyAlignment="1">
      <alignment horizontal="left" vertical="center"/>
    </xf>
    <xf numFmtId="3" fontId="75" fillId="0" borderId="1" xfId="13" quotePrefix="1" applyNumberFormat="1" applyFont="1" applyAlignment="1">
      <alignment horizontal="left" vertical="center"/>
    </xf>
    <xf numFmtId="3" fontId="75" fillId="0" borderId="40" xfId="13" quotePrefix="1" applyNumberFormat="1" applyFont="1" applyBorder="1" applyAlignment="1">
      <alignment horizontal="left" vertical="center"/>
    </xf>
    <xf numFmtId="0" fontId="70" fillId="0" borderId="41" xfId="0" quotePrefix="1" applyFont="1" applyBorder="1" applyAlignment="1">
      <alignment horizontal="right" vertical="center"/>
    </xf>
    <xf numFmtId="3" fontId="75" fillId="0" borderId="23" xfId="13" quotePrefix="1" applyNumberFormat="1" applyFont="1" applyBorder="1" applyAlignment="1">
      <alignment horizontal="left" vertical="center"/>
    </xf>
    <xf numFmtId="3" fontId="111" fillId="0" borderId="23" xfId="14" applyNumberFormat="1" applyFont="1" applyBorder="1" applyAlignment="1">
      <alignment horizontal="left" vertical="center"/>
    </xf>
    <xf numFmtId="0" fontId="70" fillId="0" borderId="23" xfId="0" applyFont="1" applyBorder="1"/>
    <xf numFmtId="0" fontId="70" fillId="0" borderId="23" xfId="0" applyFont="1" applyBorder="1" applyAlignment="1">
      <alignment vertical="center"/>
    </xf>
    <xf numFmtId="0" fontId="70" fillId="0" borderId="40" xfId="0" applyFont="1" applyBorder="1"/>
    <xf numFmtId="3" fontId="75" fillId="0" borderId="42" xfId="13" quotePrefix="1" applyNumberFormat="1" applyFont="1" applyBorder="1" applyAlignment="1">
      <alignment horizontal="left"/>
    </xf>
    <xf numFmtId="0" fontId="70" fillId="0" borderId="42" xfId="0" applyFont="1" applyBorder="1"/>
    <xf numFmtId="4" fontId="70" fillId="0" borderId="42" xfId="0" applyNumberFormat="1" applyFont="1" applyBorder="1" applyAlignment="1" applyProtection="1">
      <alignment horizontal="right" vertical="center"/>
      <protection hidden="1"/>
    </xf>
    <xf numFmtId="4" fontId="70" fillId="0" borderId="30" xfId="0" applyNumberFormat="1" applyFont="1" applyBorder="1" applyAlignment="1" applyProtection="1">
      <alignment horizontal="right" vertical="center"/>
      <protection hidden="1"/>
    </xf>
    <xf numFmtId="0" fontId="72" fillId="0" borderId="42" xfId="0" applyFont="1" applyBorder="1"/>
    <xf numFmtId="166" fontId="72" fillId="0" borderId="30" xfId="0" applyNumberFormat="1" applyFont="1" applyBorder="1" applyAlignment="1" applyProtection="1">
      <alignment horizontal="right" vertical="center"/>
      <protection hidden="1"/>
    </xf>
    <xf numFmtId="0" fontId="71" fillId="0" borderId="0" xfId="0" applyFont="1" applyAlignment="1">
      <alignment horizontal="right"/>
    </xf>
    <xf numFmtId="0" fontId="76" fillId="0" borderId="0" xfId="10"/>
    <xf numFmtId="49" fontId="78" fillId="0" borderId="1" xfId="10" applyNumberFormat="1" applyFont="1" applyBorder="1" applyAlignment="1">
      <alignment horizontal="center" vertical="center"/>
    </xf>
    <xf numFmtId="49" fontId="78" fillId="0" borderId="1" xfId="10" applyNumberFormat="1" applyFont="1" applyBorder="1" applyAlignment="1">
      <alignment horizontal="left" vertical="center"/>
    </xf>
    <xf numFmtId="173" fontId="78" fillId="0" borderId="1" xfId="1" applyNumberFormat="1" applyFont="1" applyFill="1" applyBorder="1" applyAlignment="1">
      <alignment horizontal="center" vertical="center"/>
    </xf>
    <xf numFmtId="49" fontId="58" fillId="0" borderId="0" xfId="10" applyNumberFormat="1" applyFont="1" applyAlignment="1">
      <alignment vertical="top"/>
    </xf>
    <xf numFmtId="4" fontId="79" fillId="0" borderId="1" xfId="10" applyNumberFormat="1" applyFont="1" applyBorder="1" applyAlignment="1">
      <alignment horizontal="center" vertical="top"/>
    </xf>
    <xf numFmtId="173" fontId="79" fillId="0" borderId="1" xfId="1" applyNumberFormat="1" applyFont="1" applyFill="1" applyBorder="1" applyAlignment="1">
      <alignment horizontal="center" vertical="top"/>
    </xf>
    <xf numFmtId="49" fontId="36" fillId="0" borderId="0" xfId="10" applyNumberFormat="1" applyFont="1" applyAlignment="1">
      <alignment horizontal="center" vertical="top"/>
    </xf>
    <xf numFmtId="49" fontId="36" fillId="0" borderId="0" xfId="10" applyNumberFormat="1" applyFont="1" applyAlignment="1">
      <alignment vertical="top"/>
    </xf>
    <xf numFmtId="49" fontId="79" fillId="0" borderId="1" xfId="10" applyNumberFormat="1" applyFont="1" applyBorder="1" applyAlignment="1">
      <alignment horizontal="center" vertical="center"/>
    </xf>
    <xf numFmtId="0" fontId="79" fillId="0" borderId="1" xfId="10" applyFont="1" applyBorder="1" applyAlignment="1">
      <alignment horizontal="left" vertical="center" wrapText="1"/>
    </xf>
    <xf numFmtId="49" fontId="79" fillId="0" borderId="1" xfId="10" applyNumberFormat="1" applyFont="1" applyBorder="1" applyAlignment="1">
      <alignment horizontal="center" vertical="center" wrapText="1"/>
    </xf>
    <xf numFmtId="174" fontId="79" fillId="0" borderId="1" xfId="1" applyNumberFormat="1" applyFont="1" applyFill="1" applyBorder="1" applyAlignment="1">
      <alignment horizontal="center" vertical="center"/>
    </xf>
    <xf numFmtId="165" fontId="79" fillId="0" borderId="1" xfId="1" applyNumberFormat="1" applyFont="1" applyFill="1" applyBorder="1" applyAlignment="1">
      <alignment horizontal="center" vertical="center" wrapText="1"/>
    </xf>
    <xf numFmtId="0" fontId="79" fillId="10" borderId="1" xfId="10" applyFont="1" applyFill="1" applyBorder="1" applyAlignment="1">
      <alignment horizontal="left" vertical="center" wrapText="1"/>
    </xf>
    <xf numFmtId="174" fontId="79" fillId="0" borderId="1" xfId="10" applyNumberFormat="1" applyFont="1" applyBorder="1" applyAlignment="1">
      <alignment horizontal="center" vertical="center" wrapText="1"/>
    </xf>
    <xf numFmtId="0" fontId="79" fillId="0" borderId="1" xfId="10" applyFont="1" applyBorder="1" applyAlignment="1">
      <alignment vertical="center"/>
    </xf>
    <xf numFmtId="38" fontId="79" fillId="0" borderId="1" xfId="1" applyNumberFormat="1" applyFont="1" applyBorder="1" applyAlignment="1">
      <alignment horizontal="center" vertical="center" wrapText="1"/>
    </xf>
    <xf numFmtId="174" fontId="79" fillId="0" borderId="1" xfId="3" applyNumberFormat="1" applyFont="1" applyBorder="1" applyAlignment="1">
      <alignment horizontal="center" vertical="center" wrapText="1"/>
    </xf>
    <xf numFmtId="49" fontId="36" fillId="0" borderId="1" xfId="10" applyNumberFormat="1" applyFont="1" applyBorder="1" applyAlignment="1">
      <alignment vertical="top"/>
    </xf>
    <xf numFmtId="3" fontId="79" fillId="5" borderId="1" xfId="1" applyNumberFormat="1" applyFont="1" applyFill="1" applyBorder="1" applyAlignment="1">
      <alignment vertical="top"/>
    </xf>
    <xf numFmtId="3" fontId="79" fillId="5" borderId="1" xfId="10" applyNumberFormat="1" applyFont="1" applyFill="1" applyBorder="1" applyAlignment="1">
      <alignment vertical="top"/>
    </xf>
    <xf numFmtId="49" fontId="79" fillId="0" borderId="33" xfId="10" applyNumberFormat="1" applyFont="1" applyBorder="1" applyAlignment="1">
      <alignment horizontal="center" vertical="center"/>
    </xf>
    <xf numFmtId="0" fontId="82" fillId="0" borderId="1" xfId="10" applyFont="1" applyBorder="1" applyAlignment="1">
      <alignment vertical="center"/>
    </xf>
    <xf numFmtId="0" fontId="79" fillId="0" borderId="1" xfId="10" applyFont="1" applyBorder="1" applyAlignment="1">
      <alignment horizontal="left" vertical="center"/>
    </xf>
    <xf numFmtId="165" fontId="79" fillId="0" borderId="1" xfId="1" applyNumberFormat="1" applyFont="1" applyBorder="1" applyAlignment="1">
      <alignment horizontal="center" vertical="center"/>
    </xf>
    <xf numFmtId="174" fontId="79" fillId="0" borderId="1" xfId="1" applyNumberFormat="1" applyFont="1" applyBorder="1" applyAlignment="1">
      <alignment horizontal="center" vertical="center" wrapText="1"/>
    </xf>
    <xf numFmtId="0" fontId="79" fillId="0" borderId="1" xfId="10" applyFont="1" applyBorder="1" applyAlignment="1">
      <alignment vertical="center" wrapText="1"/>
    </xf>
    <xf numFmtId="173" fontId="79" fillId="0" borderId="1" xfId="1" applyNumberFormat="1" applyFont="1" applyFill="1" applyBorder="1" applyAlignment="1">
      <alignment horizontal="center" vertical="center" wrapText="1"/>
    </xf>
    <xf numFmtId="1" fontId="79" fillId="0" borderId="1" xfId="10" applyNumberFormat="1" applyFont="1" applyBorder="1" applyAlignment="1">
      <alignment horizontal="center" vertical="center"/>
    </xf>
    <xf numFmtId="0" fontId="82" fillId="0" borderId="1" xfId="10" applyFont="1" applyBorder="1" applyAlignment="1">
      <alignment horizontal="left" vertical="center" wrapText="1"/>
    </xf>
    <xf numFmtId="49" fontId="53" fillId="0" borderId="1" xfId="10" applyNumberFormat="1" applyFont="1" applyBorder="1" applyAlignment="1">
      <alignment horizontal="center" vertical="center" wrapText="1"/>
    </xf>
    <xf numFmtId="173" fontId="53" fillId="0" borderId="1" xfId="1" applyNumberFormat="1" applyFont="1" applyFill="1" applyBorder="1" applyAlignment="1">
      <alignment horizontal="center" vertical="center" wrapText="1"/>
    </xf>
    <xf numFmtId="4" fontId="82" fillId="0" borderId="1" xfId="10" applyNumberFormat="1" applyFont="1" applyBorder="1" applyAlignment="1">
      <alignment vertical="top"/>
    </xf>
    <xf numFmtId="49" fontId="83" fillId="0" borderId="0" xfId="10" applyNumberFormat="1" applyFont="1" applyAlignment="1">
      <alignment vertical="top" wrapText="1"/>
    </xf>
    <xf numFmtId="173" fontId="83" fillId="0" borderId="0" xfId="1" applyNumberFormat="1" applyFont="1" applyFill="1" applyBorder="1" applyAlignment="1">
      <alignment vertical="top" wrapText="1"/>
    </xf>
    <xf numFmtId="49" fontId="76" fillId="0" borderId="0" xfId="10" applyNumberFormat="1" applyAlignment="1">
      <alignment vertical="top"/>
    </xf>
    <xf numFmtId="49" fontId="36" fillId="0" borderId="0" xfId="10" applyNumberFormat="1" applyFont="1" applyAlignment="1">
      <alignment horizontal="right" vertical="top"/>
    </xf>
    <xf numFmtId="49" fontId="76" fillId="0" borderId="0" xfId="10" applyNumberFormat="1" applyAlignment="1">
      <alignment horizontal="center" vertical="top"/>
    </xf>
    <xf numFmtId="173" fontId="76" fillId="0" borderId="0" xfId="1" applyNumberFormat="1" applyFont="1" applyFill="1" applyAlignment="1">
      <alignment horizontal="center" vertical="top"/>
    </xf>
    <xf numFmtId="49" fontId="76" fillId="0" borderId="0" xfId="10" applyNumberFormat="1" applyAlignment="1">
      <alignment vertical="top" wrapText="1"/>
    </xf>
    <xf numFmtId="175" fontId="76" fillId="0" borderId="0" xfId="10" applyNumberFormat="1" applyAlignment="1">
      <alignment vertical="top" wrapText="1"/>
    </xf>
    <xf numFmtId="0" fontId="62" fillId="0" borderId="0" xfId="15" applyFont="1"/>
    <xf numFmtId="173" fontId="36" fillId="0" borderId="0" xfId="1" applyNumberFormat="1" applyFont="1" applyFill="1" applyAlignment="1">
      <alignment horizontal="center" vertical="top"/>
    </xf>
    <xf numFmtId="173" fontId="83" fillId="0" borderId="0" xfId="1" applyNumberFormat="1" applyFont="1" applyFill="1" applyAlignment="1">
      <alignment vertical="top" wrapText="1"/>
    </xf>
    <xf numFmtId="173" fontId="76" fillId="0" borderId="0" xfId="1" applyNumberFormat="1" applyFont="1" applyFill="1" applyAlignment="1">
      <alignment horizontal="left" vertical="top"/>
    </xf>
    <xf numFmtId="49" fontId="76" fillId="0" borderId="0" xfId="10" applyNumberFormat="1" applyAlignment="1">
      <alignment horizontal="left" vertical="top"/>
    </xf>
    <xf numFmtId="49" fontId="84" fillId="0" borderId="0" xfId="10" applyNumberFormat="1" applyFont="1" applyAlignment="1">
      <alignment vertical="top"/>
    </xf>
    <xf numFmtId="49" fontId="85" fillId="0" borderId="0" xfId="10" applyNumberFormat="1" applyFont="1" applyAlignment="1">
      <alignment vertical="top"/>
    </xf>
    <xf numFmtId="173" fontId="76" fillId="0" borderId="0" xfId="1" applyNumberFormat="1" applyFont="1" applyFill="1" applyAlignment="1">
      <alignment vertical="top"/>
    </xf>
    <xf numFmtId="173" fontId="36" fillId="0" borderId="0" xfId="1" applyNumberFormat="1" applyFont="1" applyAlignment="1">
      <alignment horizontal="center" vertical="top"/>
    </xf>
    <xf numFmtId="0" fontId="25" fillId="0" borderId="0" xfId="9" applyFont="1" applyAlignment="1">
      <alignment vertical="center"/>
    </xf>
    <xf numFmtId="0" fontId="25" fillId="0" borderId="17" xfId="9" applyFont="1" applyBorder="1" applyAlignment="1">
      <alignment vertical="center"/>
    </xf>
    <xf numFmtId="0" fontId="25" fillId="0" borderId="0" xfId="9" applyFont="1" applyAlignment="1">
      <alignment horizontal="left" vertical="center"/>
    </xf>
    <xf numFmtId="49" fontId="25" fillId="0" borderId="0" xfId="9" applyNumberFormat="1" applyFont="1" applyAlignment="1">
      <alignment horizontal="left" vertical="center"/>
    </xf>
    <xf numFmtId="49" fontId="25" fillId="0" borderId="8" xfId="9" applyNumberFormat="1" applyFont="1" applyBorder="1" applyAlignment="1">
      <alignment horizontal="left" vertical="center"/>
    </xf>
    <xf numFmtId="0" fontId="26" fillId="0" borderId="32" xfId="9" applyFont="1" applyBorder="1" applyAlignment="1">
      <alignment horizontal="center" vertical="center"/>
    </xf>
    <xf numFmtId="0" fontId="25" fillId="0" borderId="18" xfId="9" applyFont="1" applyBorder="1" applyAlignment="1">
      <alignment vertical="center"/>
    </xf>
    <xf numFmtId="49" fontId="26" fillId="0" borderId="9" xfId="9" applyNumberFormat="1" applyFont="1" applyBorder="1" applyAlignment="1">
      <alignment horizontal="left" vertical="center"/>
    </xf>
    <xf numFmtId="49" fontId="26" fillId="0" borderId="13" xfId="9" applyNumberFormat="1" applyFont="1" applyBorder="1" applyAlignment="1">
      <alignment horizontal="center" vertical="center"/>
    </xf>
    <xf numFmtId="49" fontId="25" fillId="0" borderId="5" xfId="9" applyNumberFormat="1" applyFont="1" applyBorder="1" applyAlignment="1">
      <alignment horizontal="left" vertical="center"/>
    </xf>
    <xf numFmtId="4" fontId="25" fillId="0" borderId="5" xfId="9" applyNumberFormat="1" applyFont="1" applyBorder="1" applyAlignment="1">
      <alignment horizontal="right" vertical="center"/>
    </xf>
    <xf numFmtId="4" fontId="25" fillId="0" borderId="0" xfId="9" applyNumberFormat="1" applyFont="1" applyAlignment="1">
      <alignment horizontal="right" vertical="center"/>
    </xf>
    <xf numFmtId="49" fontId="25" fillId="0" borderId="6" xfId="9" applyNumberFormat="1" applyFont="1" applyBorder="1" applyAlignment="1">
      <alignment horizontal="left" vertical="center"/>
    </xf>
    <xf numFmtId="4" fontId="25" fillId="0" borderId="6" xfId="9" applyNumberFormat="1" applyFont="1" applyBorder="1" applyAlignment="1">
      <alignment horizontal="right" vertical="center"/>
    </xf>
    <xf numFmtId="0" fontId="25" fillId="0" borderId="7" xfId="9" applyFont="1" applyBorder="1" applyAlignment="1">
      <alignment vertical="center"/>
    </xf>
    <xf numFmtId="4" fontId="26" fillId="0" borderId="7" xfId="9" applyNumberFormat="1" applyFont="1" applyBorder="1" applyAlignment="1">
      <alignment horizontal="right" vertical="center"/>
    </xf>
    <xf numFmtId="49" fontId="29" fillId="0" borderId="0" xfId="9" applyNumberFormat="1" applyFont="1" applyAlignment="1">
      <alignment horizontal="left" vertical="center"/>
    </xf>
    <xf numFmtId="49" fontId="7" fillId="0" borderId="31" xfId="0" applyNumberFormat="1" applyFont="1" applyFill="1" applyBorder="1" applyAlignment="1" applyProtection="1">
      <alignment horizontal="left" vertical="center"/>
    </xf>
    <xf numFmtId="4" fontId="7" fillId="0" borderId="31" xfId="0" applyNumberFormat="1" applyFont="1" applyFill="1" applyBorder="1" applyAlignment="1" applyProtection="1">
      <alignment horizontal="right" vertical="center"/>
    </xf>
    <xf numFmtId="49" fontId="7" fillId="0" borderId="2" xfId="0" applyNumberFormat="1" applyFont="1" applyFill="1" applyBorder="1" applyAlignment="1" applyProtection="1">
      <alignment horizontal="right" vertical="center"/>
    </xf>
    <xf numFmtId="0" fontId="2" fillId="0" borderId="0" xfId="0" applyFont="1" applyFill="1" applyAlignment="1">
      <alignment vertical="center"/>
    </xf>
    <xf numFmtId="49" fontId="11" fillId="0" borderId="0" xfId="0" applyNumberFormat="1" applyFont="1" applyFill="1" applyBorder="1" applyAlignment="1" applyProtection="1">
      <alignment horizontal="right" vertical="center"/>
    </xf>
    <xf numFmtId="4" fontId="2" fillId="0" borderId="0" xfId="0" applyNumberFormat="1" applyFont="1" applyAlignment="1">
      <alignment vertical="center"/>
    </xf>
    <xf numFmtId="0" fontId="2" fillId="0" borderId="0" xfId="0" applyNumberFormat="1" applyFont="1" applyAlignment="1">
      <alignment vertical="center"/>
    </xf>
    <xf numFmtId="0" fontId="62" fillId="0" borderId="1" xfId="0" applyFont="1" applyFill="1" applyBorder="1" applyAlignment="1" applyProtection="1">
      <alignment wrapText="1"/>
      <protection locked="0"/>
    </xf>
    <xf numFmtId="0" fontId="2" fillId="0" borderId="6" xfId="0" applyNumberFormat="1" applyFont="1" applyFill="1" applyBorder="1" applyAlignment="1" applyProtection="1">
      <protection locked="0"/>
    </xf>
    <xf numFmtId="0" fontId="2" fillId="0" borderId="6" xfId="0" applyNumberFormat="1" applyFont="1" applyFill="1" applyBorder="1" applyAlignment="1" applyProtection="1">
      <alignment vertical="center"/>
      <protection locked="0"/>
    </xf>
    <xf numFmtId="0" fontId="2" fillId="0" borderId="0" xfId="0" applyNumberFormat="1" applyFont="1" applyAlignment="1" applyProtection="1">
      <alignment vertical="center"/>
      <protection locked="0"/>
    </xf>
    <xf numFmtId="0" fontId="2" fillId="0" borderId="17" xfId="0" applyNumberFormat="1" applyFont="1" applyFill="1" applyBorder="1" applyAlignment="1" applyProtection="1">
      <alignment vertical="center"/>
      <protection locked="0"/>
    </xf>
    <xf numFmtId="0" fontId="2" fillId="0" borderId="7" xfId="0" applyNumberFormat="1" applyFont="1" applyFill="1" applyBorder="1" applyAlignment="1" applyProtection="1">
      <alignment vertical="center"/>
      <protection locked="0"/>
    </xf>
    <xf numFmtId="0" fontId="25" fillId="0" borderId="43" xfId="0" applyNumberFormat="1" applyFont="1" applyBorder="1" applyAlignment="1" applyProtection="1">
      <alignment vertical="center"/>
      <protection locked="0"/>
    </xf>
    <xf numFmtId="0" fontId="25" fillId="0" borderId="0" xfId="0" applyNumberFormat="1" applyFont="1" applyAlignment="1" applyProtection="1">
      <alignment vertical="center"/>
      <protection locked="0"/>
    </xf>
    <xf numFmtId="0" fontId="26" fillId="0" borderId="19" xfId="0" applyNumberFormat="1" applyFont="1" applyBorder="1" applyAlignment="1" applyProtection="1">
      <alignment horizontal="right" vertical="center"/>
      <protection locked="0"/>
    </xf>
    <xf numFmtId="0" fontId="25" fillId="0" borderId="18" xfId="0" applyNumberFormat="1" applyFont="1" applyBorder="1" applyAlignment="1" applyProtection="1">
      <alignment vertical="center"/>
      <protection locked="0"/>
    </xf>
    <xf numFmtId="0" fontId="25" fillId="0" borderId="1" xfId="0" applyNumberFormat="1" applyFont="1" applyBorder="1" applyAlignment="1" applyProtection="1">
      <alignment horizontal="right" vertical="center"/>
      <protection locked="0"/>
    </xf>
    <xf numFmtId="0" fontId="25" fillId="0" borderId="1" xfId="0" applyNumberFormat="1" applyFont="1" applyBorder="1" applyAlignment="1" applyProtection="1">
      <alignment horizontal="left" vertical="center"/>
      <protection locked="0"/>
    </xf>
    <xf numFmtId="0" fontId="25" fillId="0" borderId="17" xfId="0" applyNumberFormat="1" applyFont="1" applyBorder="1" applyAlignment="1" applyProtection="1">
      <alignment vertical="center"/>
      <protection locked="0"/>
    </xf>
    <xf numFmtId="0" fontId="25" fillId="0" borderId="13" xfId="0" applyNumberFormat="1" applyFont="1" applyBorder="1" applyAlignment="1" applyProtection="1">
      <alignment horizontal="right" vertical="center"/>
      <protection locked="0"/>
    </xf>
    <xf numFmtId="0" fontId="25" fillId="0" borderId="13" xfId="0" applyNumberFormat="1" applyFont="1" applyBorder="1" applyAlignment="1" applyProtection="1">
      <alignment horizontal="left" vertical="center"/>
      <protection locked="0"/>
    </xf>
    <xf numFmtId="0" fontId="26" fillId="0" borderId="37" xfId="0" applyNumberFormat="1" applyFont="1" applyBorder="1" applyAlignment="1" applyProtection="1">
      <alignment horizontal="left" vertical="center"/>
      <protection locked="0"/>
    </xf>
    <xf numFmtId="0" fontId="26" fillId="0" borderId="37" xfId="0" applyNumberFormat="1" applyFont="1" applyBorder="1" applyAlignment="1" applyProtection="1">
      <alignment horizontal="right" vertical="center"/>
      <protection locked="0"/>
    </xf>
    <xf numFmtId="0" fontId="25" fillId="0" borderId="34" xfId="0" applyNumberFormat="1" applyFont="1" applyBorder="1" applyAlignment="1" applyProtection="1">
      <alignment vertical="center"/>
      <protection locked="0"/>
    </xf>
    <xf numFmtId="0" fontId="25" fillId="0" borderId="5" xfId="0" applyNumberFormat="1" applyFont="1" applyBorder="1" applyAlignment="1" applyProtection="1">
      <alignment vertical="center"/>
      <protection locked="0"/>
    </xf>
    <xf numFmtId="0" fontId="25" fillId="0" borderId="23" xfId="0" applyNumberFormat="1" applyFont="1" applyBorder="1" applyAlignment="1" applyProtection="1">
      <alignment horizontal="right" vertical="center"/>
      <protection locked="0"/>
    </xf>
    <xf numFmtId="0" fontId="25" fillId="0" borderId="23" xfId="0" applyNumberFormat="1" applyFont="1" applyBorder="1" applyAlignment="1" applyProtection="1">
      <alignment horizontal="left" vertical="center"/>
      <protection locked="0"/>
    </xf>
    <xf numFmtId="0" fontId="25" fillId="0" borderId="1" xfId="0" applyNumberFormat="1" applyFont="1" applyBorder="1" applyAlignment="1" applyProtection="1">
      <alignment horizontal="right" vertical="center"/>
    </xf>
    <xf numFmtId="0" fontId="25" fillId="0" borderId="13" xfId="0" applyNumberFormat="1" applyFont="1" applyBorder="1" applyAlignment="1" applyProtection="1">
      <alignment horizontal="right" vertical="center"/>
    </xf>
    <xf numFmtId="0" fontId="25" fillId="0" borderId="1" xfId="0" applyNumberFormat="1" applyFont="1" applyBorder="1" applyAlignment="1" applyProtection="1">
      <alignment horizontal="left" vertical="center"/>
    </xf>
    <xf numFmtId="0" fontId="25" fillId="0" borderId="13" xfId="0" applyNumberFormat="1" applyFont="1" applyBorder="1" applyAlignment="1" applyProtection="1">
      <alignment horizontal="left" vertical="center"/>
    </xf>
    <xf numFmtId="0" fontId="25" fillId="0" borderId="23" xfId="0" applyNumberFormat="1" applyFont="1" applyFill="1" applyBorder="1" applyAlignment="1" applyProtection="1">
      <alignment horizontal="right" vertical="center"/>
      <protection locked="0"/>
    </xf>
    <xf numFmtId="0" fontId="26" fillId="0" borderId="19" xfId="0" applyNumberFormat="1" applyFont="1" applyBorder="1" applyAlignment="1" applyProtection="1">
      <alignment horizontal="right" vertical="center"/>
    </xf>
    <xf numFmtId="0" fontId="26" fillId="0" borderId="37" xfId="0" applyNumberFormat="1" applyFont="1" applyBorder="1" applyAlignment="1" applyProtection="1">
      <alignment horizontal="left" vertical="center"/>
    </xf>
    <xf numFmtId="0" fontId="26" fillId="0" borderId="37" xfId="0" applyNumberFormat="1" applyFont="1" applyBorder="1" applyAlignment="1" applyProtection="1">
      <alignment horizontal="right" vertical="center"/>
    </xf>
    <xf numFmtId="2" fontId="28" fillId="0" borderId="0" xfId="7" applyNumberFormat="1" applyAlignment="1" applyProtection="1">
      <alignment horizontal="left" vertical="top" wrapText="1"/>
    </xf>
    <xf numFmtId="2" fontId="28" fillId="0" borderId="0" xfId="7" applyNumberFormat="1" applyAlignment="1" applyProtection="1">
      <alignment vertical="top"/>
    </xf>
    <xf numFmtId="2" fontId="28" fillId="0" borderId="0" xfId="7" applyNumberFormat="1" applyProtection="1"/>
    <xf numFmtId="2" fontId="55" fillId="5" borderId="0" xfId="7" applyNumberFormat="1" applyFont="1" applyFill="1" applyAlignment="1" applyProtection="1">
      <alignment vertical="top"/>
    </xf>
    <xf numFmtId="2" fontId="28" fillId="0" borderId="0" xfId="7" applyNumberFormat="1" applyAlignment="1" applyProtection="1">
      <alignment vertical="center"/>
    </xf>
    <xf numFmtId="2" fontId="28" fillId="0" borderId="0" xfId="7" quotePrefix="1" applyNumberFormat="1" applyAlignment="1" applyProtection="1">
      <alignment horizontal="left" vertical="top" wrapText="1"/>
    </xf>
    <xf numFmtId="2" fontId="28" fillId="0" borderId="0" xfId="7" applyNumberFormat="1" applyAlignment="1" applyProtection="1">
      <alignment vertical="top" wrapText="1"/>
    </xf>
    <xf numFmtId="2" fontId="36" fillId="0" borderId="0" xfId="7" applyNumberFormat="1" applyFont="1" applyAlignment="1" applyProtection="1">
      <alignment vertical="top"/>
    </xf>
    <xf numFmtId="2" fontId="60" fillId="0" borderId="36" xfId="7" applyNumberFormat="1" applyFont="1" applyBorder="1" applyAlignment="1" applyProtection="1">
      <alignment vertical="top"/>
    </xf>
    <xf numFmtId="2" fontId="60" fillId="0" borderId="34" xfId="7" applyNumberFormat="1" applyFont="1" applyBorder="1" applyAlignment="1" applyProtection="1">
      <alignment vertical="top"/>
    </xf>
    <xf numFmtId="2" fontId="60" fillId="11" borderId="37" xfId="7" applyNumberFormat="1" applyFont="1" applyFill="1" applyBorder="1" applyAlignment="1" applyProtection="1">
      <alignment vertical="top"/>
    </xf>
    <xf numFmtId="0" fontId="0" fillId="0" borderId="0" xfId="0" applyProtection="1"/>
    <xf numFmtId="0" fontId="115" fillId="12" borderId="36" xfId="0" applyFont="1" applyFill="1" applyBorder="1" applyAlignment="1" applyProtection="1">
      <alignment horizontal="center" vertical="center" wrapText="1"/>
    </xf>
    <xf numFmtId="0" fontId="61" fillId="12" borderId="21" xfId="0" applyFont="1" applyFill="1" applyBorder="1" applyAlignment="1" applyProtection="1">
      <alignment horizontal="center" vertical="center" wrapText="1"/>
    </xf>
    <xf numFmtId="0" fontId="61" fillId="12" borderId="22" xfId="0" applyFont="1" applyFill="1" applyBorder="1" applyAlignment="1" applyProtection="1">
      <alignment horizontal="center" vertical="center" wrapText="1"/>
    </xf>
    <xf numFmtId="0" fontId="0" fillId="0" borderId="0" xfId="0" applyAlignment="1" applyProtection="1">
      <alignment wrapText="1"/>
    </xf>
    <xf numFmtId="0" fontId="62" fillId="0" borderId="33" xfId="0" applyFont="1" applyBorder="1" applyAlignment="1" applyProtection="1">
      <alignment horizontal="center"/>
    </xf>
    <xf numFmtId="0" fontId="62" fillId="0" borderId="1" xfId="0" applyFont="1" applyBorder="1" applyAlignment="1" applyProtection="1">
      <alignment horizontal="center"/>
    </xf>
    <xf numFmtId="0" fontId="62" fillId="0" borderId="1" xfId="0" applyFont="1" applyBorder="1" applyProtection="1"/>
    <xf numFmtId="4" fontId="62" fillId="0" borderId="39" xfId="0" applyNumberFormat="1" applyFont="1" applyBorder="1" applyProtection="1"/>
    <xf numFmtId="0" fontId="63" fillId="0" borderId="1" xfId="0" applyFont="1" applyBorder="1" applyAlignment="1" applyProtection="1">
      <alignment wrapText="1"/>
    </xf>
    <xf numFmtId="0" fontId="62" fillId="0" borderId="1" xfId="0" applyFont="1" applyBorder="1" applyAlignment="1" applyProtection="1">
      <alignment horizontal="center" vertical="center"/>
    </xf>
    <xf numFmtId="4" fontId="62" fillId="0" borderId="39" xfId="0" applyNumberFormat="1" applyFont="1" applyBorder="1" applyAlignment="1" applyProtection="1">
      <alignment horizontal="center" vertical="center"/>
    </xf>
    <xf numFmtId="0" fontId="62" fillId="0" borderId="1" xfId="0" applyFont="1" applyBorder="1" applyAlignment="1" applyProtection="1">
      <alignment wrapText="1"/>
    </xf>
    <xf numFmtId="0" fontId="62" fillId="0" borderId="39" xfId="0" applyFont="1" applyBorder="1" applyAlignment="1" applyProtection="1">
      <alignment horizontal="center" vertical="center"/>
    </xf>
    <xf numFmtId="0" fontId="62" fillId="0" borderId="33" xfId="0" applyFont="1" applyFill="1" applyBorder="1" applyAlignment="1" applyProtection="1">
      <alignment horizontal="center"/>
    </xf>
    <xf numFmtId="0" fontId="62" fillId="0" borderId="1" xfId="0" applyFont="1" applyFill="1" applyBorder="1" applyProtection="1"/>
    <xf numFmtId="0" fontId="62" fillId="0" borderId="1" xfId="0" applyFont="1" applyFill="1" applyBorder="1" applyAlignment="1" applyProtection="1">
      <alignment wrapText="1"/>
    </xf>
    <xf numFmtId="0" fontId="62" fillId="0" borderId="1" xfId="0" applyFont="1" applyFill="1" applyBorder="1" applyAlignment="1" applyProtection="1">
      <alignment horizontal="center" vertical="center"/>
    </xf>
    <xf numFmtId="4" fontId="62" fillId="0" borderId="39" xfId="0" applyNumberFormat="1" applyFont="1" applyFill="1" applyBorder="1" applyAlignment="1" applyProtection="1">
      <alignment horizontal="center" vertical="center"/>
    </xf>
    <xf numFmtId="0" fontId="62" fillId="0" borderId="27" xfId="0" applyFont="1" applyBorder="1" applyProtection="1"/>
    <xf numFmtId="0" fontId="62" fillId="0" borderId="44" xfId="0" applyFont="1" applyBorder="1" applyAlignment="1" applyProtection="1">
      <alignment wrapText="1"/>
    </xf>
    <xf numFmtId="0" fontId="62" fillId="0" borderId="12" xfId="0" applyFont="1" applyBorder="1" applyAlignment="1" applyProtection="1">
      <alignment horizontal="center"/>
    </xf>
    <xf numFmtId="0" fontId="62" fillId="0" borderId="13" xfId="0" applyFont="1" applyBorder="1" applyProtection="1"/>
    <xf numFmtId="0" fontId="62" fillId="0" borderId="13" xfId="0" applyFont="1" applyBorder="1" applyAlignment="1" applyProtection="1">
      <alignment wrapText="1"/>
    </xf>
    <xf numFmtId="0" fontId="62" fillId="0" borderId="13" xfId="0" applyFont="1" applyBorder="1" applyAlignment="1" applyProtection="1">
      <alignment horizontal="center"/>
    </xf>
    <xf numFmtId="0" fontId="62" fillId="0" borderId="13" xfId="0" applyFont="1" applyBorder="1" applyAlignment="1" applyProtection="1">
      <alignment horizontal="center" vertical="center"/>
    </xf>
    <xf numFmtId="0" fontId="62" fillId="0" borderId="14" xfId="0" applyFont="1" applyBorder="1" applyAlignment="1" applyProtection="1">
      <alignment horizontal="center" vertical="center"/>
    </xf>
    <xf numFmtId="0" fontId="64" fillId="0" borderId="45" xfId="0" applyFont="1" applyBorder="1" applyProtection="1"/>
    <xf numFmtId="0" fontId="61" fillId="0" borderId="43" xfId="0" applyFont="1" applyBorder="1" applyProtection="1"/>
    <xf numFmtId="0" fontId="61" fillId="0" borderId="43" xfId="0" applyFont="1" applyBorder="1" applyAlignment="1" applyProtection="1">
      <alignment wrapText="1"/>
    </xf>
    <xf numFmtId="0" fontId="61" fillId="0" borderId="43" xfId="0" applyFont="1" applyBorder="1" applyAlignment="1" applyProtection="1">
      <alignment horizontal="center"/>
    </xf>
    <xf numFmtId="4" fontId="61" fillId="0" borderId="46" xfId="0" applyNumberFormat="1" applyFont="1" applyBorder="1" applyProtection="1"/>
    <xf numFmtId="0" fontId="116" fillId="0" borderId="0" xfId="0" applyFont="1" applyProtection="1"/>
    <xf numFmtId="0" fontId="89" fillId="0" borderId="0" xfId="0" applyFont="1" applyProtection="1"/>
    <xf numFmtId="0" fontId="89" fillId="0" borderId="0" xfId="0" applyFont="1" applyAlignment="1" applyProtection="1">
      <alignment wrapText="1"/>
    </xf>
    <xf numFmtId="0" fontId="89" fillId="0" borderId="0" xfId="0" applyFont="1" applyAlignment="1" applyProtection="1">
      <alignment horizontal="center"/>
    </xf>
    <xf numFmtId="0" fontId="0" fillId="0" borderId="0" xfId="0" applyAlignment="1" applyProtection="1">
      <alignment horizontal="center"/>
    </xf>
    <xf numFmtId="2" fontId="62" fillId="13" borderId="1" xfId="0" applyNumberFormat="1" applyFont="1" applyFill="1" applyBorder="1" applyAlignment="1" applyProtection="1">
      <alignment horizontal="center" vertical="center"/>
      <protection locked="0"/>
    </xf>
    <xf numFmtId="2" fontId="62" fillId="0" borderId="1" xfId="0" applyNumberFormat="1" applyFont="1" applyFill="1" applyBorder="1" applyAlignment="1" applyProtection="1">
      <alignment horizontal="center" vertical="center"/>
    </xf>
    <xf numFmtId="0" fontId="112" fillId="0" borderId="1" xfId="7" applyFont="1" applyBorder="1" applyAlignment="1">
      <alignment vertical="center" wrapText="1"/>
    </xf>
    <xf numFmtId="0" fontId="112" fillId="0" borderId="1" xfId="7" applyFont="1" applyBorder="1" applyAlignment="1">
      <alignment horizontal="center" vertical="center"/>
    </xf>
    <xf numFmtId="3" fontId="111" fillId="0" borderId="1" xfId="7" applyNumberFormat="1" applyFont="1" applyBorder="1" applyAlignment="1">
      <alignment horizontal="right" vertical="center"/>
    </xf>
    <xf numFmtId="166" fontId="111" fillId="0" borderId="1" xfId="7" applyNumberFormat="1" applyFont="1" applyBorder="1" applyAlignment="1">
      <alignment horizontal="right" vertical="center"/>
    </xf>
    <xf numFmtId="0" fontId="111" fillId="0" borderId="1" xfId="7" applyFont="1" applyBorder="1" applyAlignment="1">
      <alignment horizontal="center" vertical="center"/>
    </xf>
    <xf numFmtId="0" fontId="111" fillId="0" borderId="1" xfId="7" applyFont="1" applyBorder="1" applyAlignment="1">
      <alignment vertical="center" wrapText="1"/>
    </xf>
    <xf numFmtId="0" fontId="111" fillId="0" borderId="1" xfId="7" applyFont="1" applyBorder="1" applyAlignment="1">
      <alignment horizontal="right" vertical="center"/>
    </xf>
    <xf numFmtId="4" fontId="111" fillId="13" borderId="1" xfId="7" applyNumberFormat="1" applyFont="1" applyFill="1" applyBorder="1" applyAlignment="1" applyProtection="1">
      <alignment vertical="center"/>
      <protection locked="0"/>
    </xf>
    <xf numFmtId="166" fontId="111" fillId="0" borderId="1" xfId="7" applyNumberFormat="1" applyFont="1" applyBorder="1" applyAlignment="1">
      <alignment vertical="center"/>
    </xf>
    <xf numFmtId="0" fontId="111" fillId="0" borderId="1" xfId="7" quotePrefix="1" applyFont="1" applyBorder="1" applyAlignment="1">
      <alignment vertical="center" wrapText="1"/>
    </xf>
    <xf numFmtId="0" fontId="111" fillId="0" borderId="1" xfId="7" quotePrefix="1" applyFont="1" applyBorder="1" applyAlignment="1">
      <alignment horizontal="right" vertical="center"/>
    </xf>
    <xf numFmtId="0" fontId="111" fillId="0" borderId="1" xfId="4" quotePrefix="1" applyFont="1" applyBorder="1" applyAlignment="1">
      <alignment vertical="center" wrapText="1"/>
    </xf>
    <xf numFmtId="0" fontId="111" fillId="0" borderId="1" xfId="8" quotePrefix="1" applyFont="1" applyBorder="1" applyAlignment="1">
      <alignment horizontal="right" vertical="center"/>
    </xf>
    <xf numFmtId="175" fontId="112" fillId="0" borderId="37" xfId="7" applyNumberFormat="1" applyFont="1" applyBorder="1" applyAlignment="1">
      <alignment horizontal="center" vertical="center"/>
    </xf>
    <xf numFmtId="166" fontId="112" fillId="0" borderId="37" xfId="7" applyNumberFormat="1" applyFont="1" applyBorder="1" applyAlignment="1">
      <alignment horizontal="right" vertical="center"/>
    </xf>
    <xf numFmtId="3" fontId="112" fillId="0" borderId="1" xfId="7" applyNumberFormat="1" applyFont="1" applyBorder="1" applyAlignment="1">
      <alignment horizontal="right" vertical="center"/>
    </xf>
    <xf numFmtId="0" fontId="112" fillId="0" borderId="1" xfId="7" applyFont="1" applyFill="1" applyBorder="1" applyAlignment="1">
      <alignment vertical="center" wrapText="1"/>
    </xf>
    <xf numFmtId="0" fontId="111" fillId="0" borderId="1" xfId="7" applyFont="1" applyFill="1" applyBorder="1" applyAlignment="1">
      <alignment horizontal="center" vertical="center"/>
    </xf>
    <xf numFmtId="3" fontId="111" fillId="0" borderId="1" xfId="7" applyNumberFormat="1" applyFont="1" applyFill="1" applyBorder="1" applyAlignment="1">
      <alignment horizontal="right" vertical="center"/>
    </xf>
    <xf numFmtId="166" fontId="111" fillId="0" borderId="1" xfId="7" applyNumberFormat="1" applyFont="1" applyFill="1" applyBorder="1" applyAlignment="1">
      <alignment vertical="center"/>
    </xf>
    <xf numFmtId="0" fontId="111" fillId="0" borderId="1" xfId="7" applyFont="1" applyFill="1" applyBorder="1" applyAlignment="1">
      <alignment vertical="center" wrapText="1"/>
    </xf>
    <xf numFmtId="0" fontId="111" fillId="0" borderId="1" xfId="7" applyFont="1" applyBorder="1" applyAlignment="1">
      <alignment horizontal="left" vertical="center" wrapText="1"/>
    </xf>
    <xf numFmtId="4" fontId="111" fillId="0" borderId="1" xfId="7" applyNumberFormat="1" applyFont="1" applyBorder="1" applyAlignment="1">
      <alignment horizontal="right" vertical="center"/>
    </xf>
    <xf numFmtId="4" fontId="111" fillId="0" borderId="0" xfId="7" applyNumberFormat="1" applyFont="1" applyAlignment="1">
      <alignment horizontal="right" vertical="center"/>
    </xf>
    <xf numFmtId="4" fontId="111" fillId="0" borderId="1" xfId="7" applyNumberFormat="1" applyFont="1" applyFill="1" applyBorder="1" applyAlignment="1">
      <alignment horizontal="right" vertical="center"/>
    </xf>
    <xf numFmtId="4" fontId="112" fillId="0" borderId="35" xfId="7" applyNumberFormat="1" applyFont="1" applyBorder="1" applyAlignment="1">
      <alignment horizontal="right" vertical="center"/>
    </xf>
    <xf numFmtId="2" fontId="58" fillId="7" borderId="1" xfId="7" applyNumberFormat="1" applyFont="1" applyFill="1" applyBorder="1" applyAlignment="1" applyProtection="1">
      <alignment horizontal="left" vertical="top" wrapText="1"/>
    </xf>
    <xf numFmtId="2" fontId="54" fillId="7" borderId="1" xfId="7" applyNumberFormat="1" applyFont="1" applyFill="1" applyBorder="1" applyAlignment="1" applyProtection="1">
      <alignment vertical="top"/>
    </xf>
    <xf numFmtId="2" fontId="58" fillId="7" borderId="1" xfId="7" applyNumberFormat="1" applyFont="1" applyFill="1" applyBorder="1" applyAlignment="1" applyProtection="1">
      <alignment vertical="top"/>
    </xf>
    <xf numFmtId="2" fontId="28" fillId="0" borderId="1" xfId="7" applyNumberFormat="1" applyBorder="1" applyAlignment="1" applyProtection="1">
      <alignment horizontal="left" vertical="top" wrapText="1"/>
    </xf>
    <xf numFmtId="2" fontId="28" fillId="0" borderId="1" xfId="7" applyNumberFormat="1" applyBorder="1" applyAlignment="1" applyProtection="1">
      <alignment horizontal="right" vertical="top"/>
    </xf>
    <xf numFmtId="2" fontId="28" fillId="0" borderId="1" xfId="7" applyNumberFormat="1" applyBorder="1" applyAlignment="1" applyProtection="1">
      <alignment vertical="top"/>
    </xf>
    <xf numFmtId="2" fontId="28" fillId="13" borderId="1" xfId="7" applyNumberFormat="1" applyFill="1" applyBorder="1" applyAlignment="1" applyProtection="1">
      <alignment vertical="top"/>
    </xf>
    <xf numFmtId="2" fontId="36" fillId="0" borderId="1" xfId="7" applyNumberFormat="1" applyFont="1" applyBorder="1" applyAlignment="1" applyProtection="1">
      <alignment horizontal="right" vertical="top"/>
    </xf>
    <xf numFmtId="2" fontId="57" fillId="0" borderId="1" xfId="7" applyNumberFormat="1" applyFont="1" applyBorder="1" applyAlignment="1" applyProtection="1">
      <alignment horizontal="left" vertical="top" wrapText="1"/>
    </xf>
    <xf numFmtId="2" fontId="56" fillId="0" borderId="1" xfId="7" applyNumberFormat="1" applyFont="1" applyBorder="1" applyAlignment="1" applyProtection="1">
      <alignment horizontal="left" vertical="top"/>
    </xf>
    <xf numFmtId="2" fontId="56" fillId="0" borderId="1" xfId="7" applyNumberFormat="1" applyFont="1" applyBorder="1" applyAlignment="1" applyProtection="1">
      <alignment horizontal="right" vertical="top"/>
    </xf>
    <xf numFmtId="2" fontId="56" fillId="0" borderId="1" xfId="7" applyNumberFormat="1" applyFont="1" applyBorder="1" applyAlignment="1" applyProtection="1">
      <alignment horizontal="center" vertical="top"/>
    </xf>
    <xf numFmtId="2" fontId="28" fillId="14" borderId="1" xfId="7" quotePrefix="1" applyNumberFormat="1" applyFill="1" applyBorder="1" applyAlignment="1" applyProtection="1">
      <alignment horizontal="left" vertical="center" wrapText="1"/>
    </xf>
    <xf numFmtId="2" fontId="57" fillId="14" borderId="1" xfId="7" applyNumberFormat="1" applyFont="1" applyFill="1" applyBorder="1" applyAlignment="1" applyProtection="1">
      <alignment vertical="center"/>
    </xf>
    <xf numFmtId="2" fontId="28" fillId="14" borderId="1" xfId="7" applyNumberFormat="1" applyFill="1" applyBorder="1" applyAlignment="1" applyProtection="1">
      <alignment vertical="center"/>
    </xf>
    <xf numFmtId="2" fontId="28" fillId="0" borderId="1" xfId="7" quotePrefix="1" applyNumberFormat="1" applyBorder="1" applyAlignment="1" applyProtection="1">
      <alignment horizontal="left" vertical="top" wrapText="1"/>
    </xf>
    <xf numFmtId="2" fontId="28" fillId="0" borderId="1" xfId="7" applyNumberFormat="1" applyBorder="1" applyAlignment="1" applyProtection="1">
      <alignment vertical="top" wrapText="1"/>
    </xf>
    <xf numFmtId="2" fontId="54" fillId="0" borderId="1" xfId="7" applyNumberFormat="1" applyFont="1" applyBorder="1" applyAlignment="1" applyProtection="1">
      <alignment vertical="top"/>
    </xf>
    <xf numFmtId="2" fontId="59" fillId="0" borderId="1" xfId="7" applyNumberFormat="1" applyFont="1" applyBorder="1" applyAlignment="1" applyProtection="1">
      <alignment horizontal="right" vertical="top"/>
    </xf>
    <xf numFmtId="2" fontId="28" fillId="13" borderId="1" xfId="7" applyNumberFormat="1" applyFill="1" applyBorder="1" applyAlignment="1" applyProtection="1">
      <alignment vertical="top"/>
      <protection locked="0"/>
    </xf>
    <xf numFmtId="2" fontId="36" fillId="0" borderId="1" xfId="7" applyNumberFormat="1" applyFont="1" applyBorder="1" applyAlignment="1" applyProtection="1">
      <alignment vertical="top" wrapText="1"/>
    </xf>
    <xf numFmtId="2" fontId="28" fillId="13" borderId="1" xfId="7" applyNumberFormat="1" applyFill="1" applyBorder="1" applyAlignment="1" applyProtection="1">
      <alignment horizontal="right" vertical="top"/>
      <protection locked="0"/>
    </xf>
    <xf numFmtId="2" fontId="28" fillId="0" borderId="1" xfId="7" applyNumberFormat="1" applyBorder="1" applyAlignment="1" applyProtection="1">
      <alignment horizontal="left" vertical="top"/>
    </xf>
    <xf numFmtId="2" fontId="57" fillId="0" borderId="1" xfId="7" applyNumberFormat="1" applyFont="1" applyBorder="1" applyAlignment="1" applyProtection="1">
      <alignment vertical="top" wrapText="1"/>
    </xf>
    <xf numFmtId="2" fontId="36" fillId="0" borderId="1" xfId="7" applyNumberFormat="1" applyFont="1" applyBorder="1" applyAlignment="1" applyProtection="1">
      <alignment vertical="top"/>
    </xf>
    <xf numFmtId="2" fontId="23" fillId="0" borderId="1" xfId="7" applyNumberFormat="1" applyFont="1" applyBorder="1" applyAlignment="1" applyProtection="1">
      <alignment vertical="top" wrapText="1"/>
    </xf>
    <xf numFmtId="2" fontId="28" fillId="13" borderId="1" xfId="7" applyNumberFormat="1" applyFill="1" applyBorder="1" applyAlignment="1" applyProtection="1">
      <alignment horizontal="right" vertical="top"/>
    </xf>
    <xf numFmtId="2" fontId="28" fillId="14" borderId="1" xfId="7" applyNumberFormat="1" applyFill="1" applyBorder="1" applyAlignment="1" applyProtection="1">
      <alignment horizontal="left" vertical="center" wrapText="1"/>
    </xf>
    <xf numFmtId="2" fontId="57" fillId="14" borderId="1" xfId="7" applyNumberFormat="1" applyFont="1" applyFill="1" applyBorder="1" applyAlignment="1" applyProtection="1">
      <alignment vertical="center" wrapText="1"/>
    </xf>
    <xf numFmtId="2" fontId="33" fillId="0" borderId="1" xfId="7" applyNumberFormat="1" applyFont="1" applyBorder="1" applyAlignment="1" applyProtection="1">
      <alignment vertical="top"/>
    </xf>
    <xf numFmtId="2" fontId="28" fillId="15" borderId="1" xfId="7" quotePrefix="1" applyNumberFormat="1" applyFill="1" applyBorder="1" applyAlignment="1" applyProtection="1">
      <alignment horizontal="left" vertical="center" wrapText="1"/>
    </xf>
    <xf numFmtId="2" fontId="57" fillId="15" borderId="1" xfId="7" applyNumberFormat="1" applyFont="1" applyFill="1" applyBorder="1" applyAlignment="1" applyProtection="1">
      <alignment vertical="center"/>
    </xf>
    <xf numFmtId="2" fontId="28" fillId="15" borderId="1" xfId="7" applyNumberFormat="1" applyFill="1" applyBorder="1" applyAlignment="1" applyProtection="1">
      <alignment vertical="center"/>
    </xf>
    <xf numFmtId="16" fontId="0" fillId="14" borderId="1" xfId="0" quotePrefix="1" applyNumberFormat="1" applyFill="1" applyBorder="1" applyAlignment="1">
      <alignment horizontal="left" vertical="center" wrapText="1"/>
    </xf>
    <xf numFmtId="0" fontId="46" fillId="14" borderId="1" xfId="0" applyFont="1" applyFill="1" applyBorder="1" applyAlignment="1" applyProtection="1">
      <alignment vertical="center"/>
      <protection locked="0"/>
    </xf>
    <xf numFmtId="0" fontId="0" fillId="14" borderId="1" xfId="0" applyFill="1" applyBorder="1" applyAlignment="1">
      <alignment vertical="center"/>
    </xf>
    <xf numFmtId="166" fontId="0" fillId="14" borderId="1" xfId="0" applyNumberFormat="1" applyFill="1" applyBorder="1" applyAlignment="1">
      <alignment vertical="center"/>
    </xf>
    <xf numFmtId="49" fontId="117" fillId="16" borderId="3" xfId="12" applyNumberFormat="1" applyFont="1" applyFill="1" applyBorder="1" applyAlignment="1" applyProtection="1">
      <alignment horizontal="center" vertical="center" wrapText="1"/>
    </xf>
    <xf numFmtId="0" fontId="117" fillId="16" borderId="8" xfId="12" applyFont="1" applyFill="1" applyBorder="1" applyAlignment="1" applyProtection="1">
      <alignment horizontal="center" vertical="center" wrapText="1"/>
    </xf>
    <xf numFmtId="0" fontId="117" fillId="16" borderId="47" xfId="12" applyFont="1" applyFill="1" applyBorder="1" applyAlignment="1" applyProtection="1">
      <alignment horizontal="center" vertical="center" wrapText="1"/>
    </xf>
    <xf numFmtId="0" fontId="117" fillId="16" borderId="10" xfId="12" applyFont="1" applyFill="1" applyBorder="1" applyAlignment="1" applyProtection="1">
      <alignment horizontal="center" vertical="center" wrapText="1"/>
    </xf>
    <xf numFmtId="0" fontId="117" fillId="16" borderId="37" xfId="12" applyFont="1" applyFill="1" applyBorder="1" applyAlignment="1" applyProtection="1">
      <alignment horizontal="center" vertical="center" wrapText="1"/>
    </xf>
    <xf numFmtId="0" fontId="88" fillId="0" borderId="0" xfId="12" applyAlignment="1" applyProtection="1">
      <alignment vertical="center" wrapText="1"/>
    </xf>
    <xf numFmtId="0" fontId="117" fillId="17" borderId="36" xfId="12" applyFont="1" applyFill="1" applyBorder="1" applyAlignment="1" applyProtection="1">
      <alignment horizontal="left" vertical="center"/>
    </xf>
    <xf numFmtId="0" fontId="117" fillId="17" borderId="34" xfId="12" applyFont="1" applyFill="1" applyBorder="1" applyAlignment="1" applyProtection="1">
      <alignment horizontal="left" vertical="center"/>
    </xf>
    <xf numFmtId="0" fontId="88" fillId="17" borderId="34" xfId="12" applyFill="1" applyBorder="1" applyAlignment="1" applyProtection="1">
      <alignment horizontal="center" vertical="center" wrapText="1"/>
    </xf>
    <xf numFmtId="0" fontId="88" fillId="17" borderId="35" xfId="12" applyFill="1" applyBorder="1" applyAlignment="1" applyProtection="1">
      <alignment vertical="center" wrapText="1"/>
    </xf>
    <xf numFmtId="0" fontId="117" fillId="8" borderId="48" xfId="12" applyFont="1" applyFill="1" applyBorder="1" applyAlignment="1" applyProtection="1">
      <alignment horizontal="left" vertical="center"/>
    </xf>
    <xf numFmtId="0" fontId="117" fillId="8" borderId="5" xfId="12" applyFont="1" applyFill="1" applyBorder="1" applyAlignment="1" applyProtection="1">
      <alignment vertical="center" wrapText="1"/>
    </xf>
    <xf numFmtId="0" fontId="88" fillId="8" borderId="5" xfId="12" applyFill="1" applyBorder="1" applyAlignment="1" applyProtection="1">
      <alignment horizontal="center" vertical="center" wrapText="1"/>
    </xf>
    <xf numFmtId="0" fontId="88" fillId="8" borderId="49" xfId="12" applyFill="1" applyBorder="1" applyAlignment="1" applyProtection="1">
      <alignment vertical="center" wrapText="1"/>
    </xf>
    <xf numFmtId="0" fontId="88" fillId="0" borderId="1" xfId="12" applyBorder="1" applyAlignment="1" applyProtection="1">
      <alignment horizontal="center" vertical="center"/>
    </xf>
    <xf numFmtId="0" fontId="88" fillId="0" borderId="1" xfId="12" applyBorder="1" applyAlignment="1" applyProtection="1">
      <alignment vertical="center" wrapText="1"/>
    </xf>
    <xf numFmtId="0" fontId="88" fillId="0" borderId="1" xfId="12" applyBorder="1" applyAlignment="1" applyProtection="1">
      <alignment horizontal="right" vertical="center" wrapText="1"/>
    </xf>
    <xf numFmtId="2" fontId="88" fillId="0" borderId="1" xfId="12" applyNumberFormat="1" applyBorder="1" applyAlignment="1" applyProtection="1">
      <alignment horizontal="center" vertical="center"/>
    </xf>
    <xf numFmtId="0" fontId="88" fillId="0" borderId="1" xfId="12" applyBorder="1" applyAlignment="1" applyProtection="1">
      <alignment horizontal="right" vertical="center"/>
    </xf>
    <xf numFmtId="0" fontId="88" fillId="0" borderId="1" xfId="12" applyBorder="1" applyAlignment="1" applyProtection="1">
      <alignment horizontal="center" vertical="center" wrapText="1"/>
    </xf>
    <xf numFmtId="173" fontId="88" fillId="0" borderId="0" xfId="12" applyNumberFormat="1" applyAlignment="1" applyProtection="1">
      <alignment vertical="center" wrapText="1"/>
    </xf>
    <xf numFmtId="174" fontId="88" fillId="0" borderId="1" xfId="12" applyNumberFormat="1" applyBorder="1" applyAlignment="1" applyProtection="1">
      <alignment horizontal="center" vertical="center"/>
    </xf>
    <xf numFmtId="0" fontId="117" fillId="8" borderId="45" xfId="12" applyFont="1" applyFill="1" applyBorder="1" applyAlignment="1" applyProtection="1">
      <alignment horizontal="left" vertical="center"/>
    </xf>
    <xf numFmtId="0" fontId="88" fillId="0" borderId="0" xfId="12" applyProtection="1"/>
    <xf numFmtId="0" fontId="88" fillId="0" borderId="0" xfId="12" applyAlignment="1" applyProtection="1">
      <alignment horizontal="center" vertical="center"/>
    </xf>
    <xf numFmtId="0" fontId="88" fillId="0" borderId="0" xfId="12" applyAlignment="1" applyProtection="1">
      <alignment horizontal="right" vertical="center" wrapText="1"/>
    </xf>
    <xf numFmtId="2" fontId="88" fillId="0" borderId="0" xfId="12" applyNumberFormat="1" applyAlignment="1" applyProtection="1">
      <alignment horizontal="center" vertical="center"/>
    </xf>
    <xf numFmtId="0" fontId="88" fillId="0" borderId="0" xfId="12" applyAlignment="1" applyProtection="1">
      <alignment horizontal="right" vertical="center"/>
    </xf>
    <xf numFmtId="0" fontId="88" fillId="0" borderId="0" xfId="12" applyAlignment="1" applyProtection="1">
      <alignment horizontal="center" vertical="center" wrapText="1"/>
    </xf>
    <xf numFmtId="173" fontId="51" fillId="0" borderId="0" xfId="2" applyNumberFormat="1" applyFont="1" applyFill="1" applyAlignment="1" applyProtection="1">
      <alignment vertical="center" wrapText="1"/>
    </xf>
    <xf numFmtId="174" fontId="88" fillId="0" borderId="0" xfId="12" applyNumberFormat="1" applyAlignment="1" applyProtection="1">
      <alignment horizontal="center" vertical="center"/>
    </xf>
    <xf numFmtId="0" fontId="88" fillId="0" borderId="0" xfId="12" applyAlignment="1" applyProtection="1">
      <alignment horizontal="left" vertical="center" wrapText="1"/>
    </xf>
    <xf numFmtId="0" fontId="88" fillId="0" borderId="0" xfId="12" applyAlignment="1" applyProtection="1">
      <alignment vertical="center"/>
    </xf>
    <xf numFmtId="0" fontId="88" fillId="18" borderId="34" xfId="12" applyFill="1" applyBorder="1" applyAlignment="1" applyProtection="1">
      <alignment horizontal="center" vertical="center"/>
    </xf>
    <xf numFmtId="49" fontId="88" fillId="0" borderId="0" xfId="12" applyNumberFormat="1" applyAlignment="1" applyProtection="1">
      <alignment horizontal="center" vertical="center"/>
    </xf>
    <xf numFmtId="49" fontId="88" fillId="18" borderId="36" xfId="12" applyNumberFormat="1" applyFill="1" applyBorder="1" applyAlignment="1" applyProtection="1">
      <alignment horizontal="center" vertical="center"/>
    </xf>
    <xf numFmtId="0" fontId="117" fillId="18" borderId="34" xfId="12" applyFont="1" applyFill="1" applyBorder="1" applyAlignment="1" applyProtection="1">
      <alignment wrapText="1"/>
    </xf>
    <xf numFmtId="0" fontId="88" fillId="18" borderId="34" xfId="12" applyFill="1" applyBorder="1" applyAlignment="1" applyProtection="1">
      <alignment horizontal="right" vertical="center" wrapText="1"/>
    </xf>
    <xf numFmtId="0" fontId="88" fillId="18" borderId="34" xfId="12" applyFill="1" applyBorder="1" applyAlignment="1" applyProtection="1">
      <alignment horizontal="right" vertical="center"/>
    </xf>
    <xf numFmtId="0" fontId="88" fillId="0" borderId="0" xfId="12" applyAlignment="1" applyProtection="1">
      <alignment wrapText="1"/>
    </xf>
    <xf numFmtId="2" fontId="88" fillId="0" borderId="1" xfId="2" applyNumberFormat="1" applyFont="1" applyFill="1" applyBorder="1" applyAlignment="1" applyProtection="1">
      <alignment horizontal="right" vertical="center" wrapText="1" indent="1"/>
    </xf>
    <xf numFmtId="2" fontId="88" fillId="8" borderId="46" xfId="12" applyNumberFormat="1" applyFill="1" applyBorder="1" applyAlignment="1" applyProtection="1">
      <alignment horizontal="center" vertical="center"/>
    </xf>
    <xf numFmtId="2" fontId="88" fillId="0" borderId="0" xfId="2" applyNumberFormat="1" applyFont="1" applyFill="1" applyAlignment="1" applyProtection="1">
      <alignment horizontal="right" vertical="center" wrapText="1" indent="1"/>
    </xf>
    <xf numFmtId="2" fontId="51" fillId="0" borderId="0" xfId="2" applyNumberFormat="1" applyFont="1" applyFill="1" applyBorder="1" applyAlignment="1" applyProtection="1">
      <alignment vertical="center" wrapText="1"/>
    </xf>
    <xf numFmtId="2" fontId="117" fillId="18" borderId="35" xfId="12" applyNumberFormat="1" applyFont="1" applyFill="1" applyBorder="1" applyAlignment="1" applyProtection="1">
      <alignment horizontal="right" vertical="center"/>
    </xf>
    <xf numFmtId="0" fontId="117" fillId="8" borderId="18" xfId="12" applyFont="1" applyFill="1" applyBorder="1" applyAlignment="1" applyProtection="1">
      <alignment horizontal="left" vertical="center"/>
    </xf>
    <xf numFmtId="0" fontId="117" fillId="8" borderId="0" xfId="12" applyFont="1" applyFill="1" applyBorder="1" applyAlignment="1" applyProtection="1">
      <alignment vertical="center" wrapText="1"/>
    </xf>
    <xf numFmtId="2" fontId="88" fillId="8" borderId="38" xfId="12" applyNumberFormat="1" applyFill="1" applyBorder="1" applyAlignment="1" applyProtection="1">
      <alignment horizontal="center" vertical="center"/>
    </xf>
    <xf numFmtId="176" fontId="88" fillId="0" borderId="1" xfId="17" applyNumberFormat="1" applyFont="1" applyFill="1" applyBorder="1" applyAlignment="1">
      <alignment horizontal="right" vertical="center" wrapText="1" indent="1"/>
    </xf>
    <xf numFmtId="2" fontId="88" fillId="13" borderId="1" xfId="2" applyNumberFormat="1" applyFont="1" applyFill="1" applyBorder="1" applyAlignment="1" applyProtection="1">
      <alignment vertical="center" wrapText="1"/>
      <protection locked="0"/>
    </xf>
    <xf numFmtId="2" fontId="88" fillId="8" borderId="0" xfId="12" applyNumberFormat="1" applyFill="1" applyBorder="1" applyAlignment="1" applyProtection="1">
      <alignment horizontal="center" vertical="center"/>
    </xf>
    <xf numFmtId="2" fontId="51" fillId="13" borderId="1" xfId="2" applyNumberFormat="1" applyFont="1" applyFill="1" applyBorder="1" applyAlignment="1" applyProtection="1">
      <alignment vertical="center" wrapText="1"/>
    </xf>
    <xf numFmtId="2" fontId="88" fillId="0" borderId="0" xfId="12" applyNumberFormat="1" applyProtection="1"/>
    <xf numFmtId="0" fontId="88" fillId="0" borderId="1" xfId="12" applyBorder="1" applyAlignment="1" applyProtection="1">
      <alignment horizontal="left" vertical="center" wrapText="1"/>
    </xf>
    <xf numFmtId="2" fontId="88" fillId="8" borderId="0" xfId="12" applyNumberFormat="1" applyFill="1" applyBorder="1" applyAlignment="1" applyProtection="1">
      <alignment horizontal="center" vertical="center" wrapText="1"/>
    </xf>
    <xf numFmtId="2" fontId="88" fillId="8" borderId="38" xfId="12" applyNumberFormat="1" applyFill="1" applyBorder="1" applyAlignment="1" applyProtection="1">
      <alignment horizontal="center" vertical="center" wrapText="1"/>
    </xf>
    <xf numFmtId="0" fontId="117" fillId="8" borderId="43" xfId="12" applyFont="1" applyFill="1" applyBorder="1" applyAlignment="1" applyProtection="1">
      <alignment horizontal="left" vertical="center"/>
    </xf>
    <xf numFmtId="2" fontId="88" fillId="8" borderId="43" xfId="12" applyNumberFormat="1" applyFill="1" applyBorder="1" applyAlignment="1" applyProtection="1">
      <alignment horizontal="center" vertical="center"/>
    </xf>
    <xf numFmtId="174" fontId="88" fillId="0" borderId="1" xfId="12" applyNumberFormat="1" applyBorder="1" applyAlignment="1" applyProtection="1">
      <alignment horizontal="center" vertical="center" wrapText="1"/>
    </xf>
    <xf numFmtId="0" fontId="88" fillId="19" borderId="1" xfId="12" applyFill="1" applyBorder="1" applyAlignment="1" applyProtection="1">
      <alignment horizontal="center" vertical="center" wrapText="1"/>
    </xf>
    <xf numFmtId="2" fontId="88" fillId="13" borderId="1" xfId="2" applyNumberFormat="1" applyFont="1" applyFill="1" applyBorder="1" applyAlignment="1" applyProtection="1">
      <alignment vertical="center" wrapText="1"/>
    </xf>
    <xf numFmtId="0" fontId="117" fillId="8" borderId="0" xfId="12" applyFont="1" applyFill="1" applyBorder="1" applyAlignment="1" applyProtection="1">
      <alignment horizontal="left" vertical="center"/>
    </xf>
    <xf numFmtId="2" fontId="88" fillId="0" borderId="1" xfId="12" applyNumberFormat="1" applyBorder="1" applyAlignment="1" applyProtection="1">
      <alignment horizontal="center" vertical="center" wrapText="1"/>
    </xf>
    <xf numFmtId="2" fontId="46" fillId="0" borderId="1" xfId="7" applyNumberFormat="1" applyFont="1" applyBorder="1" applyAlignment="1" applyProtection="1">
      <alignment horizontal="right" vertical="top"/>
    </xf>
    <xf numFmtId="2" fontId="88" fillId="13" borderId="1" xfId="12" applyNumberFormat="1" applyFill="1" applyBorder="1" applyAlignment="1" applyProtection="1">
      <alignment vertical="center"/>
    </xf>
    <xf numFmtId="0" fontId="117" fillId="17" borderId="45" xfId="12" applyFont="1" applyFill="1" applyBorder="1" applyAlignment="1" applyProtection="1">
      <alignment horizontal="left" vertical="center"/>
    </xf>
    <xf numFmtId="0" fontId="117" fillId="17" borderId="43" xfId="12" applyFont="1" applyFill="1" applyBorder="1" applyAlignment="1" applyProtection="1">
      <alignment horizontal="left" vertical="center"/>
    </xf>
    <xf numFmtId="2" fontId="88" fillId="17" borderId="43" xfId="12" applyNumberFormat="1" applyFill="1" applyBorder="1" applyAlignment="1" applyProtection="1">
      <alignment horizontal="center" vertical="center"/>
    </xf>
    <xf numFmtId="2" fontId="88" fillId="17" borderId="46" xfId="12" applyNumberFormat="1" applyFill="1" applyBorder="1" applyAlignment="1" applyProtection="1">
      <alignment horizontal="center" vertical="center"/>
    </xf>
    <xf numFmtId="0" fontId="117" fillId="8" borderId="5" xfId="12" applyFont="1" applyFill="1" applyBorder="1" applyAlignment="1" applyProtection="1">
      <alignment horizontal="left" vertical="center"/>
    </xf>
    <xf numFmtId="2" fontId="88" fillId="8" borderId="5" xfId="12" applyNumberFormat="1" applyFill="1" applyBorder="1" applyAlignment="1" applyProtection="1">
      <alignment horizontal="center" vertical="center"/>
    </xf>
    <xf numFmtId="2" fontId="88" fillId="8" borderId="49" xfId="12" applyNumberFormat="1" applyFill="1" applyBorder="1" applyAlignment="1" applyProtection="1">
      <alignment horizontal="center" vertical="center"/>
    </xf>
    <xf numFmtId="0" fontId="88" fillId="0" borderId="50" xfId="12" applyBorder="1" applyAlignment="1" applyProtection="1">
      <alignment horizontal="center" vertical="center"/>
    </xf>
    <xf numFmtId="0" fontId="88" fillId="0" borderId="7" xfId="12" applyBorder="1" applyAlignment="1" applyProtection="1">
      <alignment vertical="center" wrapText="1"/>
    </xf>
    <xf numFmtId="0" fontId="88" fillId="0" borderId="7" xfId="12" applyBorder="1" applyAlignment="1" applyProtection="1">
      <alignment horizontal="center" vertical="center"/>
    </xf>
    <xf numFmtId="0" fontId="88" fillId="0" borderId="7" xfId="12" applyBorder="1" applyAlignment="1" applyProtection="1">
      <alignment horizontal="right" vertical="center" wrapText="1"/>
    </xf>
    <xf numFmtId="0" fontId="88" fillId="0" borderId="7" xfId="12" applyBorder="1" applyAlignment="1" applyProtection="1">
      <alignment horizontal="center" vertical="center" wrapText="1"/>
    </xf>
    <xf numFmtId="174" fontId="88" fillId="0" borderId="7" xfId="12" applyNumberFormat="1" applyBorder="1" applyAlignment="1" applyProtection="1">
      <alignment horizontal="center" vertical="center" wrapText="1"/>
    </xf>
    <xf numFmtId="0" fontId="88" fillId="0" borderId="7" xfId="12" applyBorder="1" applyAlignment="1" applyProtection="1">
      <alignment horizontal="right" vertical="center"/>
    </xf>
    <xf numFmtId="2" fontId="88" fillId="0" borderId="26" xfId="2" applyNumberFormat="1" applyFont="1" applyFill="1" applyBorder="1" applyAlignment="1" applyProtection="1">
      <alignment horizontal="right" vertical="center" wrapText="1" indent="1"/>
    </xf>
    <xf numFmtId="0" fontId="88" fillId="0" borderId="17" xfId="12" applyBorder="1" applyAlignment="1" applyProtection="1">
      <alignment horizontal="center" vertical="center"/>
    </xf>
    <xf numFmtId="0" fontId="88" fillId="0" borderId="0" xfId="12" applyBorder="1" applyAlignment="1" applyProtection="1">
      <alignment vertical="center" wrapText="1"/>
    </xf>
    <xf numFmtId="0" fontId="88" fillId="0" borderId="0" xfId="12" applyBorder="1" applyAlignment="1" applyProtection="1">
      <alignment horizontal="center" vertical="center"/>
    </xf>
    <xf numFmtId="0" fontId="88" fillId="0" borderId="0" xfId="12" applyBorder="1" applyAlignment="1" applyProtection="1">
      <alignment horizontal="right" vertical="center" wrapText="1"/>
    </xf>
    <xf numFmtId="0" fontId="88" fillId="0" borderId="0" xfId="12" applyBorder="1" applyAlignment="1" applyProtection="1">
      <alignment horizontal="center" vertical="center" wrapText="1"/>
    </xf>
    <xf numFmtId="174" fontId="88" fillId="0" borderId="0" xfId="12" applyNumberFormat="1" applyBorder="1" applyAlignment="1" applyProtection="1">
      <alignment horizontal="center" vertical="center" wrapText="1"/>
    </xf>
    <xf numFmtId="0" fontId="88" fillId="0" borderId="0" xfId="12" applyBorder="1" applyAlignment="1" applyProtection="1">
      <alignment horizontal="right" vertical="center"/>
    </xf>
    <xf numFmtId="2" fontId="51" fillId="0" borderId="29" xfId="2" applyNumberFormat="1" applyFont="1" applyFill="1" applyBorder="1" applyAlignment="1" applyProtection="1">
      <alignment vertical="center" wrapText="1"/>
    </xf>
    <xf numFmtId="0" fontId="88" fillId="0" borderId="27" xfId="12" applyBorder="1" applyAlignment="1" applyProtection="1">
      <alignment horizontal="center" vertical="center"/>
    </xf>
    <xf numFmtId="0" fontId="88" fillId="0" borderId="6" xfId="12" applyBorder="1" applyAlignment="1" applyProtection="1">
      <alignment vertical="center" wrapText="1"/>
    </xf>
    <xf numFmtId="0" fontId="88" fillId="0" borderId="6" xfId="12" applyBorder="1" applyAlignment="1" applyProtection="1">
      <alignment horizontal="center" vertical="center"/>
    </xf>
    <xf numFmtId="0" fontId="88" fillId="0" borderId="6" xfId="12" applyBorder="1" applyAlignment="1" applyProtection="1">
      <alignment horizontal="right" vertical="center" wrapText="1"/>
    </xf>
    <xf numFmtId="0" fontId="88" fillId="0" borderId="6" xfId="12" applyBorder="1" applyAlignment="1" applyProtection="1">
      <alignment horizontal="center" vertical="center" wrapText="1"/>
    </xf>
    <xf numFmtId="174" fontId="88" fillId="0" borderId="6" xfId="12" applyNumberFormat="1" applyBorder="1" applyAlignment="1" applyProtection="1">
      <alignment horizontal="center" vertical="center" wrapText="1"/>
    </xf>
    <xf numFmtId="0" fontId="88" fillId="0" borderId="6" xfId="12" applyBorder="1" applyAlignment="1" applyProtection="1">
      <alignment horizontal="right" vertical="center"/>
    </xf>
    <xf numFmtId="2" fontId="51" fillId="0" borderId="6" xfId="2" applyNumberFormat="1" applyFont="1" applyFill="1" applyBorder="1" applyAlignment="1" applyProtection="1">
      <alignment vertical="center" wrapText="1"/>
    </xf>
    <xf numFmtId="2" fontId="51" fillId="0" borderId="44" xfId="2" applyNumberFormat="1" applyFont="1" applyFill="1" applyBorder="1" applyAlignment="1" applyProtection="1">
      <alignment vertical="center" wrapText="1"/>
    </xf>
    <xf numFmtId="0" fontId="88" fillId="0" borderId="23" xfId="12" applyBorder="1" applyAlignment="1" applyProtection="1">
      <alignment horizontal="center" vertical="center"/>
    </xf>
    <xf numFmtId="0" fontId="88" fillId="0" borderId="51" xfId="12" applyBorder="1" applyAlignment="1" applyProtection="1">
      <alignment horizontal="center" vertical="center"/>
    </xf>
    <xf numFmtId="0" fontId="88" fillId="0" borderId="24" xfId="12" applyBorder="1" applyAlignment="1" applyProtection="1">
      <alignment horizontal="center" vertical="center"/>
    </xf>
    <xf numFmtId="0" fontId="88" fillId="0" borderId="23" xfId="12" applyBorder="1" applyAlignment="1" applyProtection="1">
      <alignment horizontal="center" vertical="center" wrapText="1"/>
    </xf>
    <xf numFmtId="0" fontId="88" fillId="0" borderId="51" xfId="12" applyBorder="1" applyAlignment="1" applyProtection="1">
      <alignment horizontal="center" vertical="center" wrapText="1"/>
    </xf>
    <xf numFmtId="0" fontId="88" fillId="0" borderId="24" xfId="12" applyBorder="1" applyAlignment="1" applyProtection="1">
      <alignment horizontal="center" vertical="center" wrapText="1"/>
    </xf>
    <xf numFmtId="174" fontId="88" fillId="0" borderId="23" xfId="12" applyNumberFormat="1" applyBorder="1" applyAlignment="1" applyProtection="1">
      <alignment horizontal="center" vertical="center" wrapText="1"/>
    </xf>
    <xf numFmtId="174" fontId="88" fillId="0" borderId="51" xfId="12" applyNumberFormat="1" applyBorder="1" applyAlignment="1" applyProtection="1">
      <alignment horizontal="center" vertical="center" wrapText="1"/>
    </xf>
    <xf numFmtId="174" fontId="88" fillId="0" borderId="24" xfId="12" applyNumberFormat="1" applyBorder="1" applyAlignment="1" applyProtection="1">
      <alignment horizontal="center" vertical="center" wrapText="1"/>
    </xf>
    <xf numFmtId="2" fontId="51" fillId="0" borderId="51" xfId="2" applyNumberFormat="1" applyFont="1" applyFill="1" applyBorder="1" applyAlignment="1" applyProtection="1">
      <alignment vertical="center" wrapText="1"/>
    </xf>
    <xf numFmtId="2" fontId="51" fillId="0" borderId="24" xfId="2" applyNumberFormat="1" applyFont="1" applyFill="1" applyBorder="1" applyAlignment="1" applyProtection="1">
      <alignment vertical="center" wrapText="1"/>
    </xf>
    <xf numFmtId="2" fontId="88" fillId="0" borderId="23" xfId="2" applyNumberFormat="1" applyFont="1" applyFill="1" applyBorder="1" applyAlignment="1" applyProtection="1">
      <alignment horizontal="right" vertical="center" wrapText="1" indent="1"/>
    </xf>
    <xf numFmtId="2" fontId="51" fillId="13" borderId="23" xfId="2" applyNumberFormat="1" applyFont="1" applyFill="1" applyBorder="1" applyAlignment="1" applyProtection="1">
      <alignment vertical="center" wrapText="1"/>
    </xf>
    <xf numFmtId="0" fontId="88" fillId="0" borderId="23" xfId="12" applyBorder="1" applyAlignment="1" applyProtection="1">
      <alignment vertical="center" wrapText="1"/>
    </xf>
    <xf numFmtId="0" fontId="88" fillId="0" borderId="51" xfId="12" applyBorder="1" applyAlignment="1" applyProtection="1">
      <alignment vertical="center" wrapText="1"/>
    </xf>
    <xf numFmtId="0" fontId="88" fillId="0" borderId="24" xfId="12" applyBorder="1" applyAlignment="1" applyProtection="1">
      <alignment vertical="center" wrapText="1"/>
    </xf>
    <xf numFmtId="0" fontId="88" fillId="0" borderId="23" xfId="12" applyBorder="1" applyAlignment="1" applyProtection="1">
      <alignment horizontal="right" vertical="center" wrapText="1"/>
    </xf>
    <xf numFmtId="0" fontId="88" fillId="0" borderId="51" xfId="12" applyBorder="1" applyAlignment="1" applyProtection="1">
      <alignment horizontal="right" vertical="center" wrapText="1"/>
    </xf>
    <xf numFmtId="0" fontId="88" fillId="0" borderId="24" xfId="12" applyBorder="1" applyAlignment="1" applyProtection="1">
      <alignment horizontal="right" vertical="center" wrapText="1"/>
    </xf>
    <xf numFmtId="2" fontId="51" fillId="13" borderId="7" xfId="2" applyNumberFormat="1" applyFont="1" applyFill="1" applyBorder="1" applyAlignment="1" applyProtection="1">
      <alignment vertical="center" wrapText="1"/>
    </xf>
    <xf numFmtId="0" fontId="88" fillId="19" borderId="1" xfId="12" applyFill="1" applyBorder="1" applyAlignment="1" applyProtection="1">
      <alignment horizontal="center" vertical="center"/>
    </xf>
    <xf numFmtId="174" fontId="88" fillId="0" borderId="7" xfId="12" applyNumberFormat="1" applyBorder="1" applyAlignment="1" applyProtection="1">
      <alignment horizontal="center" vertical="center"/>
    </xf>
    <xf numFmtId="174" fontId="88" fillId="0" borderId="0" xfId="12" applyNumberFormat="1" applyBorder="1" applyAlignment="1" applyProtection="1">
      <alignment horizontal="center" vertical="center"/>
    </xf>
    <xf numFmtId="174" fontId="88" fillId="0" borderId="6" xfId="12" applyNumberFormat="1" applyBorder="1" applyAlignment="1" applyProtection="1">
      <alignment horizontal="center" vertical="center"/>
    </xf>
    <xf numFmtId="174" fontId="88" fillId="0" borderId="23" xfId="12" applyNumberFormat="1" applyBorder="1" applyAlignment="1" applyProtection="1">
      <alignment horizontal="center" vertical="center"/>
    </xf>
    <xf numFmtId="174" fontId="88" fillId="0" borderId="51" xfId="12" applyNumberFormat="1" applyBorder="1" applyAlignment="1" applyProtection="1">
      <alignment horizontal="center" vertical="center"/>
    </xf>
    <xf numFmtId="174" fontId="88" fillId="0" borderId="24" xfId="12" applyNumberFormat="1" applyBorder="1" applyAlignment="1" applyProtection="1">
      <alignment horizontal="center" vertical="center"/>
    </xf>
    <xf numFmtId="1" fontId="88" fillId="0" borderId="1" xfId="12" applyNumberFormat="1" applyBorder="1" applyAlignment="1" applyProtection="1">
      <alignment horizontal="center" vertical="center"/>
    </xf>
    <xf numFmtId="1" fontId="88" fillId="0" borderId="23" xfId="12" applyNumberFormat="1" applyBorder="1" applyAlignment="1" applyProtection="1">
      <alignment horizontal="center" vertical="center"/>
    </xf>
    <xf numFmtId="0" fontId="88" fillId="0" borderId="23" xfId="12" applyBorder="1" applyAlignment="1" applyProtection="1">
      <alignment horizontal="right" vertical="center"/>
    </xf>
    <xf numFmtId="0" fontId="88" fillId="19" borderId="23" xfId="12" applyFill="1" applyBorder="1" applyAlignment="1" applyProtection="1">
      <alignment horizontal="center" vertical="center" wrapText="1"/>
    </xf>
    <xf numFmtId="0" fontId="88" fillId="0" borderId="0" xfId="12" applyBorder="1" applyAlignment="1" applyProtection="1">
      <alignment vertical="center"/>
    </xf>
    <xf numFmtId="2" fontId="88" fillId="0" borderId="0" xfId="12" applyNumberFormat="1" applyBorder="1" applyAlignment="1" applyProtection="1">
      <alignment horizontal="center" vertical="center"/>
    </xf>
    <xf numFmtId="0" fontId="88" fillId="0" borderId="6" xfId="12" applyBorder="1" applyAlignment="1" applyProtection="1">
      <alignment vertical="center"/>
    </xf>
    <xf numFmtId="2" fontId="88" fillId="0" borderId="6" xfId="12" applyNumberFormat="1" applyBorder="1" applyAlignment="1" applyProtection="1">
      <alignment horizontal="center" vertical="center"/>
    </xf>
    <xf numFmtId="1" fontId="88" fillId="0" borderId="51" xfId="12" applyNumberFormat="1" applyBorder="1" applyAlignment="1" applyProtection="1">
      <alignment horizontal="center" vertical="center"/>
    </xf>
    <xf numFmtId="1" fontId="88" fillId="0" borderId="24" xfId="12" applyNumberFormat="1" applyBorder="1" applyAlignment="1" applyProtection="1">
      <alignment horizontal="center" vertical="center"/>
    </xf>
    <xf numFmtId="174" fontId="88" fillId="0" borderId="26" xfId="12" applyNumberFormat="1" applyBorder="1" applyAlignment="1" applyProtection="1">
      <alignment horizontal="center" vertical="center"/>
    </xf>
    <xf numFmtId="0" fontId="88" fillId="0" borderId="50" xfId="12" applyBorder="1" applyAlignment="1" applyProtection="1">
      <alignment vertical="center"/>
    </xf>
    <xf numFmtId="2" fontId="88" fillId="0" borderId="51" xfId="12" applyNumberFormat="1" applyBorder="1" applyAlignment="1" applyProtection="1">
      <alignment horizontal="center" vertical="center"/>
    </xf>
    <xf numFmtId="2" fontId="88" fillId="0" borderId="24" xfId="12" applyNumberFormat="1" applyBorder="1" applyAlignment="1" applyProtection="1">
      <alignment horizontal="center" vertical="center"/>
    </xf>
    <xf numFmtId="0" fontId="117" fillId="18" borderId="18" xfId="12" applyFont="1" applyFill="1" applyBorder="1" applyAlignment="1" applyProtection="1">
      <alignment horizontal="left" vertical="center"/>
    </xf>
    <xf numFmtId="0" fontId="117" fillId="18" borderId="0" xfId="12" applyFont="1" applyFill="1" applyBorder="1" applyAlignment="1" applyProtection="1">
      <alignment horizontal="left" vertical="center"/>
    </xf>
    <xf numFmtId="2" fontId="88" fillId="18" borderId="0" xfId="12" applyNumberFormat="1" applyFill="1" applyBorder="1" applyAlignment="1" applyProtection="1">
      <alignment horizontal="center" vertical="center"/>
    </xf>
    <xf numFmtId="2" fontId="88" fillId="18" borderId="38" xfId="12" applyNumberFormat="1" applyFill="1" applyBorder="1" applyAlignment="1" applyProtection="1">
      <alignment horizontal="center" vertical="center"/>
    </xf>
    <xf numFmtId="174" fontId="51" fillId="0" borderId="1" xfId="12" applyNumberFormat="1" applyFont="1" applyBorder="1" applyAlignment="1" applyProtection="1">
      <alignment horizontal="center" vertical="center" wrapText="1"/>
    </xf>
    <xf numFmtId="174" fontId="51" fillId="0" borderId="7" xfId="12" applyNumberFormat="1" applyFont="1" applyBorder="1" applyAlignment="1" applyProtection="1">
      <alignment horizontal="center" vertical="center" wrapText="1"/>
    </xf>
    <xf numFmtId="174" fontId="51" fillId="0" borderId="0" xfId="12" applyNumberFormat="1" applyFont="1" applyBorder="1" applyAlignment="1" applyProtection="1">
      <alignment horizontal="center" vertical="center" wrapText="1"/>
    </xf>
    <xf numFmtId="174" fontId="51" fillId="0" borderId="6" xfId="12" applyNumberFormat="1" applyFont="1" applyBorder="1" applyAlignment="1" applyProtection="1">
      <alignment horizontal="center" vertical="center" wrapText="1"/>
    </xf>
    <xf numFmtId="0" fontId="51" fillId="0" borderId="7" xfId="12" applyFont="1" applyBorder="1" applyAlignment="1" applyProtection="1">
      <alignment horizontal="center" vertical="center"/>
    </xf>
    <xf numFmtId="0" fontId="51" fillId="0" borderId="7" xfId="12" applyFont="1" applyBorder="1" applyAlignment="1" applyProtection="1">
      <alignment vertical="center"/>
    </xf>
    <xf numFmtId="0" fontId="51" fillId="0" borderId="7" xfId="12" applyFont="1" applyBorder="1" applyAlignment="1" applyProtection="1">
      <alignment horizontal="right" vertical="center"/>
    </xf>
    <xf numFmtId="0" fontId="51" fillId="0" borderId="6" xfId="12" applyFont="1" applyBorder="1" applyAlignment="1" applyProtection="1">
      <alignment horizontal="center" vertical="center"/>
    </xf>
    <xf numFmtId="0" fontId="51" fillId="0" borderId="6" xfId="12" applyFont="1" applyBorder="1" applyAlignment="1" applyProtection="1">
      <alignment vertical="center"/>
    </xf>
    <xf numFmtId="0" fontId="51" fillId="0" borderId="6" xfId="12" applyFont="1" applyBorder="1" applyAlignment="1" applyProtection="1">
      <alignment horizontal="right" vertical="center"/>
    </xf>
    <xf numFmtId="0" fontId="51" fillId="0" borderId="23" xfId="12" applyFont="1" applyBorder="1" applyAlignment="1" applyProtection="1">
      <alignment vertical="center" wrapText="1"/>
    </xf>
    <xf numFmtId="0" fontId="51" fillId="0" borderId="24" xfId="12" applyFont="1" applyBorder="1" applyAlignment="1" applyProtection="1">
      <alignment vertical="center" wrapText="1"/>
    </xf>
    <xf numFmtId="0" fontId="51" fillId="0" borderId="23" xfId="12" applyFont="1" applyBorder="1" applyAlignment="1" applyProtection="1">
      <alignment horizontal="right" vertical="center" wrapText="1"/>
    </xf>
    <xf numFmtId="0" fontId="51" fillId="0" borderId="24" xfId="12" applyFont="1" applyBorder="1" applyAlignment="1" applyProtection="1">
      <alignment horizontal="right" vertical="center" wrapText="1"/>
    </xf>
    <xf numFmtId="0" fontId="51" fillId="0" borderId="23" xfId="12" applyFont="1" applyBorder="1" applyAlignment="1" applyProtection="1">
      <alignment horizontal="center" vertical="center"/>
    </xf>
    <xf numFmtId="0" fontId="51" fillId="0" borderId="24" xfId="12" applyFont="1" applyBorder="1" applyAlignment="1" applyProtection="1">
      <alignment horizontal="center" vertical="center"/>
    </xf>
    <xf numFmtId="2" fontId="0" fillId="0" borderId="1" xfId="2" applyNumberFormat="1" applyFont="1" applyFill="1" applyBorder="1" applyAlignment="1" applyProtection="1">
      <alignment horizontal="right" vertical="center" wrapText="1" indent="1"/>
    </xf>
    <xf numFmtId="2" fontId="88" fillId="13" borderId="1" xfId="12" applyNumberFormat="1" applyFill="1" applyBorder="1" applyProtection="1"/>
    <xf numFmtId="2" fontId="88" fillId="13" borderId="1" xfId="12" applyNumberFormat="1" applyFill="1" applyBorder="1" applyAlignment="1" applyProtection="1">
      <alignment vertical="center" wrapText="1"/>
    </xf>
    <xf numFmtId="4" fontId="70" fillId="13" borderId="1" xfId="0" applyNumberFormat="1" applyFont="1" applyFill="1" applyBorder="1" applyAlignment="1" applyProtection="1">
      <alignment horizontal="right" vertical="center"/>
      <protection hidden="1"/>
    </xf>
    <xf numFmtId="4" fontId="70" fillId="13" borderId="1" xfId="0" applyNumberFormat="1" applyFont="1" applyFill="1" applyBorder="1" applyAlignment="1" applyProtection="1">
      <alignment horizontal="right" vertical="center"/>
      <protection locked="0" hidden="1"/>
    </xf>
    <xf numFmtId="4" fontId="70" fillId="13" borderId="23" xfId="0" applyNumberFormat="1" applyFont="1" applyFill="1" applyBorder="1" applyAlignment="1" applyProtection="1">
      <alignment horizontal="right" vertical="center"/>
      <protection locked="0" hidden="1"/>
    </xf>
    <xf numFmtId="2" fontId="23" fillId="0" borderId="1" xfId="7" applyNumberFormat="1" applyFont="1" applyBorder="1" applyAlignment="1" applyProtection="1">
      <alignment horizontal="right" vertical="top"/>
    </xf>
    <xf numFmtId="0" fontId="62" fillId="0" borderId="0" xfId="0" applyFont="1" applyBorder="1" applyAlignment="1">
      <alignment horizontal="center"/>
    </xf>
    <xf numFmtId="0" fontId="62" fillId="0" borderId="0" xfId="0" applyFont="1" applyBorder="1"/>
    <xf numFmtId="0" fontId="62" fillId="0" borderId="0" xfId="0" applyFont="1" applyFill="1" applyBorder="1" applyAlignment="1" applyProtection="1">
      <alignment wrapText="1"/>
      <protection locked="0"/>
    </xf>
    <xf numFmtId="0" fontId="28" fillId="0" borderId="0" xfId="7" applyNumberFormat="1" applyAlignment="1" applyProtection="1">
      <alignment horizontal="center" vertical="center"/>
    </xf>
    <xf numFmtId="0" fontId="46" fillId="0" borderId="1" xfId="7" applyNumberFormat="1" applyFont="1" applyBorder="1" applyAlignment="1" applyProtection="1">
      <alignment horizontal="center" vertical="center" wrapText="1"/>
    </xf>
    <xf numFmtId="0" fontId="28" fillId="0" borderId="1" xfId="7" applyNumberFormat="1" applyBorder="1" applyAlignment="1" applyProtection="1">
      <alignment horizontal="center" vertical="center"/>
    </xf>
    <xf numFmtId="1" fontId="112" fillId="0" borderId="36" xfId="7" applyNumberFormat="1" applyFont="1" applyBorder="1" applyAlignment="1">
      <alignment horizontal="center" vertical="center" wrapText="1"/>
    </xf>
    <xf numFmtId="1" fontId="111" fillId="0" borderId="1" xfId="7" applyNumberFormat="1" applyFont="1" applyBorder="1" applyAlignment="1">
      <alignment horizontal="center" vertical="center"/>
    </xf>
    <xf numFmtId="1" fontId="112" fillId="0" borderId="0" xfId="7" applyNumberFormat="1" applyFont="1" applyAlignment="1">
      <alignment horizontal="center" vertical="center"/>
    </xf>
    <xf numFmtId="1" fontId="111" fillId="0" borderId="0" xfId="7" applyNumberFormat="1" applyFont="1" applyAlignment="1">
      <alignment horizontal="center" vertical="center"/>
    </xf>
    <xf numFmtId="1" fontId="112" fillId="0" borderId="0" xfId="7" applyNumberFormat="1" applyFont="1" applyAlignment="1">
      <alignment horizontal="left" vertical="center"/>
    </xf>
    <xf numFmtId="1" fontId="111" fillId="0" borderId="36" xfId="7" applyNumberFormat="1" applyFont="1" applyBorder="1" applyAlignment="1">
      <alignment horizontal="center" vertical="center"/>
    </xf>
    <xf numFmtId="1" fontId="114" fillId="0" borderId="0" xfId="7" applyNumberFormat="1" applyFont="1" applyAlignment="1">
      <alignment horizontal="center" vertical="center"/>
    </xf>
    <xf numFmtId="1" fontId="111" fillId="0" borderId="0" xfId="7" applyNumberFormat="1" applyFont="1" applyAlignment="1">
      <alignment vertical="center"/>
    </xf>
    <xf numFmtId="0" fontId="47" fillId="0" borderId="0" xfId="0" applyFont="1" applyAlignment="1" applyProtection="1">
      <alignment horizontal="left"/>
      <protection locked="0" hidden="1"/>
    </xf>
    <xf numFmtId="0" fontId="86" fillId="0" borderId="0" xfId="7" applyNumberFormat="1" applyFont="1" applyAlignment="1" applyProtection="1">
      <alignment horizontal="left" vertical="center"/>
    </xf>
    <xf numFmtId="49" fontId="118" fillId="0" borderId="0" xfId="12" applyNumberFormat="1" applyFont="1" applyAlignment="1" applyProtection="1">
      <alignment horizontal="left" vertical="center"/>
    </xf>
    <xf numFmtId="1" fontId="86" fillId="0" borderId="0" xfId="0" applyNumberFormat="1" applyFont="1"/>
    <xf numFmtId="1" fontId="31" fillId="0" borderId="1" xfId="0" applyNumberFormat="1" applyFont="1" applyBorder="1" applyAlignment="1">
      <alignment horizontal="center" vertical="center" wrapText="1"/>
    </xf>
    <xf numFmtId="1" fontId="32" fillId="8" borderId="1" xfId="0" applyNumberFormat="1" applyFont="1" applyFill="1" applyBorder="1" applyAlignment="1">
      <alignment horizontal="center" vertical="center" wrapText="1"/>
    </xf>
    <xf numFmtId="1" fontId="33" fillId="0" borderId="1" xfId="0" applyNumberFormat="1" applyFont="1" applyBorder="1" applyAlignment="1">
      <alignment horizontal="center" vertical="center" wrapText="1"/>
    </xf>
    <xf numFmtId="1" fontId="0" fillId="0" borderId="0" xfId="0" applyNumberFormat="1"/>
    <xf numFmtId="4" fontId="33" fillId="13" borderId="1" xfId="0" applyNumberFormat="1" applyFont="1" applyFill="1" applyBorder="1" applyAlignment="1" applyProtection="1">
      <alignment horizontal="right" vertical="center" wrapText="1"/>
      <protection locked="0"/>
    </xf>
    <xf numFmtId="4" fontId="48" fillId="13" borderId="80" xfId="11" applyNumberFormat="1" applyFont="1" applyFill="1" applyBorder="1" applyAlignment="1" applyProtection="1">
      <alignment vertical="center"/>
      <protection locked="0"/>
    </xf>
    <xf numFmtId="4" fontId="109" fillId="13" borderId="80" xfId="11" applyNumberFormat="1" applyFont="1" applyFill="1" applyBorder="1" applyAlignment="1" applyProtection="1">
      <alignment vertical="center"/>
      <protection locked="0"/>
    </xf>
    <xf numFmtId="172" fontId="48" fillId="13" borderId="80" xfId="11" applyNumberFormat="1" applyFont="1" applyFill="1" applyBorder="1" applyAlignment="1" applyProtection="1">
      <alignment vertical="center"/>
      <protection locked="0"/>
    </xf>
    <xf numFmtId="0" fontId="42" fillId="13" borderId="0" xfId="11" applyFill="1" applyAlignment="1">
      <alignment vertical="center"/>
    </xf>
    <xf numFmtId="0" fontId="42" fillId="0" borderId="0" xfId="11" applyFill="1" applyAlignment="1">
      <alignment vertical="center"/>
    </xf>
    <xf numFmtId="4" fontId="33" fillId="0" borderId="1" xfId="0" applyNumberFormat="1" applyFont="1" applyFill="1" applyBorder="1" applyAlignment="1" applyProtection="1">
      <alignment horizontal="right" vertical="center" wrapText="1"/>
      <protection locked="0"/>
    </xf>
    <xf numFmtId="165" fontId="79" fillId="13" borderId="1" xfId="1" applyNumberFormat="1" applyFont="1" applyFill="1" applyBorder="1" applyAlignment="1" applyProtection="1">
      <alignment horizontal="center" vertical="center" wrapText="1"/>
      <protection locked="0"/>
    </xf>
    <xf numFmtId="165" fontId="79" fillId="13" borderId="1" xfId="1" applyNumberFormat="1" applyFont="1" applyFill="1" applyBorder="1" applyAlignment="1" applyProtection="1">
      <alignment horizontal="center" vertical="center"/>
      <protection locked="0"/>
    </xf>
    <xf numFmtId="4" fontId="7" fillId="13" borderId="0" xfId="0" applyNumberFormat="1" applyFont="1" applyFill="1" applyBorder="1" applyAlignment="1" applyProtection="1">
      <alignment horizontal="right" vertical="center"/>
      <protection locked="0"/>
    </xf>
    <xf numFmtId="4" fontId="8" fillId="13" borderId="0" xfId="0" applyNumberFormat="1" applyFont="1" applyFill="1" applyBorder="1" applyAlignment="1" applyProtection="1">
      <alignment horizontal="right" vertical="center"/>
      <protection locked="0"/>
    </xf>
    <xf numFmtId="4" fontId="7" fillId="13" borderId="0" xfId="0" applyNumberFormat="1" applyFont="1" applyFill="1" applyBorder="1" applyAlignment="1" applyProtection="1">
      <alignment horizontal="right" vertical="center"/>
    </xf>
    <xf numFmtId="4" fontId="7" fillId="13" borderId="31" xfId="0" applyNumberFormat="1" applyFont="1" applyFill="1" applyBorder="1" applyAlignment="1" applyProtection="1">
      <alignment horizontal="right" vertical="center"/>
      <protection locked="0"/>
    </xf>
    <xf numFmtId="4" fontId="8" fillId="13" borderId="0" xfId="0" applyNumberFormat="1" applyFont="1" applyFill="1" applyBorder="1" applyAlignment="1" applyProtection="1">
      <alignment horizontal="right" vertical="center"/>
    </xf>
    <xf numFmtId="4" fontId="7" fillId="13" borderId="6" xfId="0" applyNumberFormat="1" applyFont="1" applyFill="1" applyBorder="1" applyAlignment="1" applyProtection="1">
      <alignment horizontal="right" vertical="center"/>
      <protection locked="0"/>
    </xf>
    <xf numFmtId="49" fontId="36" fillId="0" borderId="1" xfId="10" applyNumberFormat="1" applyFont="1" applyBorder="1" applyAlignment="1">
      <alignment horizontal="center" vertical="top"/>
    </xf>
    <xf numFmtId="49" fontId="36" fillId="0" borderId="0" xfId="10" applyNumberFormat="1" applyFont="1" applyAlignment="1">
      <alignment horizontal="center" vertical="center"/>
    </xf>
    <xf numFmtId="0" fontId="88" fillId="0" borderId="51" xfId="12" applyNumberFormat="1" applyBorder="1" applyAlignment="1" applyProtection="1">
      <alignment vertical="center" wrapText="1"/>
    </xf>
    <xf numFmtId="173" fontId="88" fillId="0" borderId="0" xfId="12" applyNumberFormat="1" applyFill="1" applyAlignment="1" applyProtection="1">
      <alignment vertical="center" wrapText="1"/>
    </xf>
    <xf numFmtId="0" fontId="88" fillId="0" borderId="0" xfId="12" applyFill="1" applyProtection="1"/>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xf>
    <xf numFmtId="49" fontId="21" fillId="0" borderId="18"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38" xfId="0" applyNumberFormat="1" applyFont="1" applyFill="1" applyBorder="1" applyAlignment="1" applyProtection="1">
      <alignment horizontal="left" vertical="center"/>
    </xf>
    <xf numFmtId="49" fontId="21" fillId="0" borderId="45" xfId="0" applyNumberFormat="1" applyFont="1" applyFill="1" applyBorder="1" applyAlignment="1" applyProtection="1">
      <alignment horizontal="left" vertical="center"/>
    </xf>
    <xf numFmtId="0" fontId="21" fillId="0" borderId="43" xfId="0" applyNumberFormat="1" applyFont="1" applyFill="1" applyBorder="1" applyAlignment="1" applyProtection="1">
      <alignment horizontal="left" vertical="center"/>
    </xf>
    <xf numFmtId="0" fontId="21" fillId="0" borderId="46" xfId="0" applyNumberFormat="1" applyFont="1" applyFill="1" applyBorder="1" applyAlignment="1" applyProtection="1">
      <alignment horizontal="left" vertical="center"/>
    </xf>
    <xf numFmtId="49" fontId="20" fillId="4" borderId="40" xfId="0" applyNumberFormat="1" applyFont="1" applyFill="1" applyBorder="1" applyAlignment="1" applyProtection="1">
      <alignment horizontal="left" vertical="center"/>
    </xf>
    <xf numFmtId="0" fontId="20" fillId="4" borderId="42" xfId="0" applyNumberFormat="1" applyFont="1" applyFill="1" applyBorder="1" applyAlignment="1" applyProtection="1">
      <alignment horizontal="left" vertical="center"/>
    </xf>
    <xf numFmtId="49" fontId="21" fillId="0" borderId="48" xfId="0" applyNumberFormat="1" applyFont="1" applyFill="1" applyBorder="1" applyAlignment="1" applyProtection="1">
      <alignment horizontal="left" vertical="center"/>
    </xf>
    <xf numFmtId="0" fontId="21" fillId="0" borderId="5" xfId="0" applyNumberFormat="1" applyFont="1" applyFill="1" applyBorder="1" applyAlignment="1" applyProtection="1">
      <alignment horizontal="left" vertical="center"/>
    </xf>
    <xf numFmtId="0" fontId="21" fillId="0" borderId="49" xfId="0" applyNumberFormat="1" applyFont="1" applyFill="1" applyBorder="1" applyAlignment="1" applyProtection="1">
      <alignment horizontal="left" vertical="center"/>
    </xf>
    <xf numFmtId="49" fontId="20" fillId="0" borderId="40" xfId="0" applyNumberFormat="1" applyFont="1" applyFill="1" applyBorder="1" applyAlignment="1" applyProtection="1">
      <alignment horizontal="left" vertical="center"/>
    </xf>
    <xf numFmtId="0" fontId="20" fillId="0" borderId="30" xfId="0" applyNumberFormat="1" applyFont="1" applyFill="1" applyBorder="1" applyAlignment="1" applyProtection="1">
      <alignment horizontal="left" vertical="center"/>
    </xf>
    <xf numFmtId="49" fontId="21" fillId="0" borderId="40" xfId="0" applyNumberFormat="1" applyFont="1" applyFill="1" applyBorder="1" applyAlignment="1" applyProtection="1">
      <alignment horizontal="left" vertical="center"/>
    </xf>
    <xf numFmtId="0" fontId="21" fillId="0" borderId="30" xfId="0" applyNumberFormat="1" applyFont="1" applyFill="1" applyBorder="1" applyAlignment="1" applyProtection="1">
      <alignment horizontal="left" vertical="center"/>
    </xf>
    <xf numFmtId="49" fontId="18" fillId="0" borderId="42" xfId="0" applyNumberFormat="1" applyFont="1" applyFill="1" applyBorder="1" applyAlignment="1" applyProtection="1">
      <alignment horizontal="center" vertical="center"/>
    </xf>
    <xf numFmtId="0" fontId="18" fillId="0" borderId="42" xfId="0" applyNumberFormat="1" applyFont="1" applyFill="1" applyBorder="1" applyAlignment="1" applyProtection="1">
      <alignment horizontal="center" vertical="center"/>
    </xf>
    <xf numFmtId="49" fontId="22" fillId="0" borderId="40" xfId="0" applyNumberFormat="1" applyFont="1" applyFill="1" applyBorder="1" applyAlignment="1" applyProtection="1">
      <alignment horizontal="left" vertical="center"/>
    </xf>
    <xf numFmtId="0" fontId="22" fillId="0" borderId="30" xfId="0" applyNumberFormat="1" applyFont="1" applyFill="1" applyBorder="1" applyAlignment="1" applyProtection="1">
      <alignment horizontal="left" vertical="center"/>
    </xf>
    <xf numFmtId="0" fontId="2" fillId="0" borderId="29" xfId="0" applyNumberFormat="1" applyFont="1" applyFill="1" applyBorder="1" applyAlignment="1" applyProtection="1">
      <alignment horizontal="left" vertical="center" wrapText="1"/>
    </xf>
    <xf numFmtId="0" fontId="2" fillId="0" borderId="44" xfId="0" applyNumberFormat="1" applyFont="1" applyFill="1" applyBorder="1" applyAlignment="1" applyProtection="1">
      <alignment horizontal="left" vertical="center"/>
    </xf>
    <xf numFmtId="0" fontId="2" fillId="0" borderId="17" xfId="0" applyNumberFormat="1" applyFont="1" applyFill="1" applyBorder="1" applyAlignment="1" applyProtection="1">
      <alignment horizontal="left" vertical="center" wrapText="1"/>
    </xf>
    <xf numFmtId="0" fontId="2" fillId="0" borderId="17" xfId="0" applyNumberFormat="1" applyFont="1" applyFill="1" applyBorder="1" applyAlignment="1" applyProtection="1">
      <alignment horizontal="left" vertical="center"/>
    </xf>
    <xf numFmtId="0" fontId="2" fillId="13" borderId="0" xfId="0" applyNumberFormat="1" applyFont="1" applyFill="1" applyBorder="1" applyAlignment="1" applyProtection="1">
      <alignment horizontal="left" vertical="center" wrapText="1"/>
      <protection locked="0"/>
    </xf>
    <xf numFmtId="0" fontId="2" fillId="13" borderId="0" xfId="0" applyNumberFormat="1" applyFont="1" applyFill="1" applyBorder="1" applyAlignment="1" applyProtection="1">
      <alignment horizontal="left" vertical="center"/>
      <protection locked="0"/>
    </xf>
    <xf numFmtId="49" fontId="2" fillId="0" borderId="0" xfId="0" applyNumberFormat="1" applyFont="1" applyFill="1" applyBorder="1" applyAlignment="1" applyProtection="1">
      <alignment horizontal="left" vertical="center"/>
    </xf>
    <xf numFmtId="49" fontId="2" fillId="0" borderId="29" xfId="0" applyNumberFormat="1" applyFont="1" applyFill="1" applyBorder="1" applyAlignment="1" applyProtection="1">
      <alignment horizontal="left" vertical="center"/>
    </xf>
    <xf numFmtId="0" fontId="2" fillId="0" borderId="29" xfId="0" applyNumberFormat="1" applyFont="1" applyFill="1" applyBorder="1" applyAlignment="1" applyProtection="1">
      <alignment horizontal="left" vertical="center"/>
    </xf>
    <xf numFmtId="0" fontId="2" fillId="0" borderId="27"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xf>
    <xf numFmtId="0" fontId="2" fillId="13" borderId="6" xfId="0" applyNumberFormat="1" applyFont="1" applyFill="1" applyBorder="1" applyAlignment="1" applyProtection="1">
      <alignment horizontal="left" vertical="center"/>
      <protection locked="0"/>
    </xf>
    <xf numFmtId="49" fontId="2" fillId="13" borderId="29" xfId="0" applyNumberFormat="1" applyFont="1" applyFill="1" applyBorder="1" applyAlignment="1" applyProtection="1">
      <alignment horizontal="left" vertical="center"/>
      <protection locked="0"/>
    </xf>
    <xf numFmtId="0" fontId="2" fillId="13" borderId="29" xfId="0" applyNumberFormat="1" applyFont="1" applyFill="1" applyBorder="1" applyAlignment="1" applyProtection="1">
      <alignment horizontal="left" vertical="center"/>
      <protection locked="0"/>
    </xf>
    <xf numFmtId="0" fontId="3"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xf>
    <xf numFmtId="0" fontId="2" fillId="0" borderId="50"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2" fillId="0" borderId="7" xfId="0" applyNumberFormat="1" applyFont="1" applyFill="1" applyBorder="1" applyAlignment="1" applyProtection="1">
      <alignment horizontal="left" vertical="center" wrapText="1"/>
    </xf>
    <xf numFmtId="49" fontId="2" fillId="0" borderId="26" xfId="0" applyNumberFormat="1" applyFont="1" applyFill="1" applyBorder="1" applyAlignment="1" applyProtection="1">
      <alignment horizontal="left" vertical="center"/>
    </xf>
    <xf numFmtId="0" fontId="2" fillId="0" borderId="50" xfId="0" applyNumberFormat="1" applyFont="1" applyFill="1" applyBorder="1" applyAlignment="1" applyProtection="1">
      <alignment horizontal="left" vertical="center" wrapText="1"/>
      <protection locked="0"/>
    </xf>
    <xf numFmtId="0" fontId="25" fillId="0" borderId="7" xfId="0" applyNumberFormat="1" applyFont="1" applyFill="1" applyBorder="1" applyAlignment="1" applyProtection="1">
      <alignment horizontal="left" vertical="center" wrapText="1"/>
      <protection locked="0"/>
    </xf>
    <xf numFmtId="0" fontId="25" fillId="0" borderId="26" xfId="0" applyNumberFormat="1" applyFont="1" applyFill="1" applyBorder="1" applyAlignment="1" applyProtection="1">
      <alignment horizontal="left" vertical="center" wrapText="1"/>
      <protection locked="0"/>
    </xf>
    <xf numFmtId="0" fontId="2" fillId="0" borderId="52" xfId="0" applyNumberFormat="1" applyFont="1" applyBorder="1" applyAlignment="1" applyProtection="1">
      <alignment horizontal="left" vertical="center" wrapText="1"/>
      <protection locked="0"/>
    </xf>
    <xf numFmtId="0" fontId="25" fillId="0" borderId="25" xfId="0" applyNumberFormat="1" applyFont="1" applyBorder="1" applyAlignment="1" applyProtection="1">
      <alignment horizontal="left" vertical="center"/>
      <protection locked="0"/>
    </xf>
    <xf numFmtId="0" fontId="25" fillId="0" borderId="53" xfId="0" applyNumberFormat="1" applyFont="1" applyBorder="1" applyAlignment="1" applyProtection="1">
      <alignment horizontal="left" vertical="center"/>
      <protection locked="0"/>
    </xf>
    <xf numFmtId="0" fontId="27" fillId="0" borderId="40" xfId="0" applyNumberFormat="1" applyFont="1" applyBorder="1" applyAlignment="1" applyProtection="1">
      <alignment horizontal="left" vertical="center" wrapText="1"/>
      <protection locked="0"/>
    </xf>
    <xf numFmtId="0" fontId="27" fillId="0" borderId="42" xfId="0" applyNumberFormat="1" applyFont="1" applyBorder="1" applyAlignment="1" applyProtection="1">
      <alignment horizontal="left" vertical="center" wrapText="1"/>
      <protection locked="0"/>
    </xf>
    <xf numFmtId="0" fontId="25" fillId="0" borderId="42" xfId="0" applyNumberFormat="1" applyFont="1" applyBorder="1" applyAlignment="1" applyProtection="1">
      <alignment vertical="center"/>
      <protection locked="0"/>
    </xf>
    <xf numFmtId="0" fontId="25" fillId="0" borderId="30" xfId="0" applyNumberFormat="1" applyFont="1" applyBorder="1" applyAlignment="1" applyProtection="1">
      <alignment vertical="center"/>
      <protection locked="0"/>
    </xf>
    <xf numFmtId="0" fontId="26" fillId="0" borderId="36" xfId="0" applyNumberFormat="1" applyFont="1" applyBorder="1" applyAlignment="1" applyProtection="1">
      <alignment horizontal="left" vertical="center"/>
      <protection locked="0"/>
    </xf>
    <xf numFmtId="0" fontId="26" fillId="0" borderId="34" xfId="0" applyNumberFormat="1" applyFont="1" applyBorder="1" applyAlignment="1" applyProtection="1">
      <alignment horizontal="left" vertical="center"/>
      <protection locked="0"/>
    </xf>
    <xf numFmtId="0" fontId="26" fillId="0" borderId="35" xfId="0" applyNumberFormat="1" applyFont="1" applyBorder="1" applyAlignment="1" applyProtection="1">
      <alignment horizontal="left" vertical="center"/>
      <protection locked="0"/>
    </xf>
    <xf numFmtId="0" fontId="20" fillId="0" borderId="43" xfId="0" applyNumberFormat="1" applyFont="1" applyBorder="1" applyAlignment="1" applyProtection="1">
      <alignment horizontal="left" vertical="center"/>
      <protection locked="0"/>
    </xf>
    <xf numFmtId="0" fontId="24" fillId="0" borderId="43" xfId="0" applyNumberFormat="1" applyFont="1" applyBorder="1" applyAlignment="1" applyProtection="1">
      <alignment horizontal="left" vertical="center"/>
      <protection locked="0"/>
    </xf>
    <xf numFmtId="0" fontId="26" fillId="0" borderId="54" xfId="0" applyNumberFormat="1" applyFont="1" applyBorder="1" applyAlignment="1" applyProtection="1">
      <alignment horizontal="left" vertical="center"/>
      <protection locked="0"/>
    </xf>
    <xf numFmtId="0" fontId="26" fillId="0" borderId="55" xfId="0" applyNumberFormat="1" applyFont="1" applyBorder="1" applyAlignment="1" applyProtection="1">
      <alignment horizontal="left" vertical="center"/>
      <protection locked="0"/>
    </xf>
    <xf numFmtId="0" fontId="26" fillId="0" borderId="32" xfId="0" applyNumberFormat="1" applyFont="1" applyBorder="1" applyAlignment="1" applyProtection="1">
      <alignment horizontal="left" vertical="center"/>
      <protection locked="0"/>
    </xf>
    <xf numFmtId="0" fontId="2" fillId="0" borderId="50" xfId="0" applyNumberFormat="1" applyFont="1" applyBorder="1" applyAlignment="1" applyProtection="1">
      <alignment horizontal="left" vertical="center" wrapText="1"/>
      <protection locked="0"/>
    </xf>
    <xf numFmtId="0" fontId="25" fillId="0" borderId="7" xfId="0" applyNumberFormat="1" applyFont="1" applyBorder="1" applyAlignment="1" applyProtection="1">
      <alignment horizontal="left" vertical="center" wrapText="1"/>
      <protection locked="0"/>
    </xf>
    <xf numFmtId="0" fontId="25" fillId="0" borderId="26" xfId="0" applyNumberFormat="1" applyFont="1" applyBorder="1" applyAlignment="1" applyProtection="1">
      <alignment horizontal="left" vertical="center" wrapText="1"/>
      <protection locked="0"/>
    </xf>
    <xf numFmtId="0" fontId="25" fillId="0" borderId="52" xfId="0" applyNumberFormat="1" applyFont="1" applyBorder="1" applyAlignment="1" applyProtection="1">
      <alignment horizontal="left" vertical="center"/>
      <protection locked="0"/>
    </xf>
    <xf numFmtId="0" fontId="24" fillId="0" borderId="36" xfId="0" applyNumberFormat="1" applyFont="1" applyBorder="1" applyAlignment="1" applyProtection="1">
      <alignment horizontal="left" vertical="center"/>
      <protection locked="0"/>
    </xf>
    <xf numFmtId="0" fontId="24" fillId="0" borderId="34" xfId="0" applyNumberFormat="1" applyFont="1" applyBorder="1" applyAlignment="1" applyProtection="1">
      <alignment horizontal="left" vertical="center"/>
      <protection locked="0"/>
    </xf>
    <xf numFmtId="0" fontId="24" fillId="0" borderId="35" xfId="0" applyNumberFormat="1" applyFont="1" applyBorder="1" applyAlignment="1" applyProtection="1">
      <alignment horizontal="left" vertical="center"/>
      <protection locked="0"/>
    </xf>
    <xf numFmtId="0" fontId="24" fillId="0" borderId="36" xfId="0" applyNumberFormat="1" applyFont="1" applyBorder="1" applyAlignment="1" applyProtection="1">
      <alignment horizontal="right" vertical="center"/>
      <protection locked="0"/>
    </xf>
    <xf numFmtId="0" fontId="24" fillId="0" borderId="34" xfId="0" applyNumberFormat="1" applyFont="1" applyBorder="1" applyAlignment="1" applyProtection="1">
      <alignment horizontal="right" vertical="center"/>
      <protection locked="0"/>
    </xf>
    <xf numFmtId="0" fontId="24" fillId="0" borderId="35" xfId="0" applyNumberFormat="1" applyFont="1" applyBorder="1" applyAlignment="1" applyProtection="1">
      <alignment horizontal="right" vertical="center"/>
      <protection locked="0"/>
    </xf>
    <xf numFmtId="0" fontId="25" fillId="0" borderId="40" xfId="0" applyNumberFormat="1" applyFont="1" applyBorder="1" applyAlignment="1" applyProtection="1">
      <alignment horizontal="left" vertical="center"/>
      <protection locked="0"/>
    </xf>
    <xf numFmtId="0" fontId="25" fillId="0" borderId="42" xfId="0" applyNumberFormat="1" applyFont="1" applyBorder="1" applyAlignment="1" applyProtection="1">
      <alignment horizontal="left" vertical="center"/>
      <protection locked="0"/>
    </xf>
    <xf numFmtId="0" fontId="25" fillId="0" borderId="30" xfId="0" applyNumberFormat="1" applyFont="1" applyBorder="1" applyAlignment="1" applyProtection="1">
      <alignment horizontal="left" vertical="center"/>
      <protection locked="0"/>
    </xf>
    <xf numFmtId="0" fontId="2" fillId="0" borderId="40" xfId="0" applyNumberFormat="1" applyFont="1" applyBorder="1" applyAlignment="1" applyProtection="1">
      <alignment horizontal="left" vertical="center"/>
      <protection locked="0"/>
    </xf>
    <xf numFmtId="0" fontId="2" fillId="0" borderId="40" xfId="0" applyNumberFormat="1" applyFont="1" applyBorder="1" applyAlignment="1" applyProtection="1">
      <alignment horizontal="left" vertical="center" wrapText="1"/>
      <protection locked="0"/>
    </xf>
    <xf numFmtId="0" fontId="26" fillId="0" borderId="36" xfId="0" applyNumberFormat="1" applyFont="1" applyBorder="1" applyAlignment="1" applyProtection="1">
      <alignment horizontal="left" vertical="center"/>
    </xf>
    <xf numFmtId="0" fontId="26" fillId="0" borderId="34" xfId="0" applyNumberFormat="1" applyFont="1" applyBorder="1" applyAlignment="1" applyProtection="1">
      <alignment horizontal="left" vertical="center"/>
    </xf>
    <xf numFmtId="0" fontId="26" fillId="0" borderId="35" xfId="0" applyNumberFormat="1" applyFont="1" applyBorder="1" applyAlignment="1" applyProtection="1">
      <alignment horizontal="left" vertical="center"/>
    </xf>
    <xf numFmtId="0" fontId="2" fillId="0" borderId="17"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protection locked="0"/>
    </xf>
    <xf numFmtId="0" fontId="2" fillId="0" borderId="27" xfId="0" applyNumberFormat="1" applyFont="1" applyFill="1" applyBorder="1" applyAlignment="1" applyProtection="1">
      <alignment horizontal="left" vertical="center"/>
      <protection locked="0"/>
    </xf>
    <xf numFmtId="0" fontId="2" fillId="0" borderId="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wrapText="1"/>
      <protection locked="0"/>
    </xf>
    <xf numFmtId="0" fontId="26" fillId="0" borderId="54" xfId="0" applyNumberFormat="1" applyFont="1" applyBorder="1" applyAlignment="1" applyProtection="1">
      <alignment horizontal="left" vertical="center"/>
    </xf>
    <xf numFmtId="0" fontId="26" fillId="0" borderId="55" xfId="0" applyNumberFormat="1" applyFont="1" applyBorder="1" applyAlignment="1" applyProtection="1">
      <alignment horizontal="left" vertical="center"/>
    </xf>
    <xf numFmtId="0" fontId="26" fillId="0" borderId="32" xfId="0" applyNumberFormat="1" applyFont="1" applyBorder="1" applyAlignment="1" applyProtection="1">
      <alignment horizontal="left" vertical="center"/>
    </xf>
    <xf numFmtId="0" fontId="2" fillId="0" borderId="40" xfId="0" applyNumberFormat="1" applyFont="1" applyBorder="1" applyAlignment="1" applyProtection="1">
      <alignment horizontal="left" vertical="center"/>
    </xf>
    <xf numFmtId="0" fontId="25" fillId="0" borderId="42" xfId="0" applyNumberFormat="1" applyFont="1" applyBorder="1" applyAlignment="1" applyProtection="1">
      <alignment horizontal="left" vertical="center"/>
    </xf>
    <xf numFmtId="0" fontId="25" fillId="0" borderId="30" xfId="0" applyNumberFormat="1" applyFont="1" applyBorder="1" applyAlignment="1" applyProtection="1">
      <alignment horizontal="left" vertical="center"/>
    </xf>
    <xf numFmtId="0" fontId="2" fillId="0" borderId="52" xfId="0" applyNumberFormat="1" applyFont="1" applyBorder="1" applyAlignment="1" applyProtection="1">
      <alignment horizontal="left" vertical="center"/>
    </xf>
    <xf numFmtId="0" fontId="25" fillId="0" borderId="25" xfId="0" applyNumberFormat="1" applyFont="1" applyBorder="1" applyAlignment="1" applyProtection="1">
      <alignment horizontal="left" vertical="center"/>
    </xf>
    <xf numFmtId="0" fontId="25" fillId="0" borderId="53" xfId="0" applyNumberFormat="1" applyFont="1" applyBorder="1" applyAlignment="1" applyProtection="1">
      <alignment horizontal="left" vertical="center"/>
    </xf>
    <xf numFmtId="0" fontId="2" fillId="0" borderId="29" xfId="0" applyNumberFormat="1" applyFont="1" applyFill="1" applyBorder="1" applyAlignment="1" applyProtection="1">
      <alignment horizontal="left" vertical="center" wrapText="1"/>
      <protection locked="0"/>
    </xf>
    <xf numFmtId="0" fontId="2" fillId="0" borderId="44" xfId="0" applyNumberFormat="1" applyFont="1" applyFill="1" applyBorder="1" applyAlignment="1" applyProtection="1">
      <alignment horizontal="left" vertical="center"/>
      <protection locked="0"/>
    </xf>
    <xf numFmtId="0" fontId="2" fillId="0" borderId="17" xfId="0" applyNumberFormat="1" applyFont="1" applyFill="1" applyBorder="1" applyAlignment="1" applyProtection="1">
      <alignment horizontal="left" vertical="center"/>
      <protection locked="0"/>
    </xf>
    <xf numFmtId="0" fontId="2" fillId="0" borderId="29" xfId="0" applyNumberFormat="1" applyFont="1" applyFill="1" applyBorder="1" applyAlignment="1" applyProtection="1">
      <alignment horizontal="left" vertical="center"/>
      <protection locked="0"/>
    </xf>
    <xf numFmtId="0" fontId="3" fillId="0" borderId="6" xfId="0" applyNumberFormat="1" applyFont="1" applyFill="1" applyBorder="1" applyAlignment="1" applyProtection="1">
      <alignment horizontal="center" vertical="center" wrapText="1"/>
      <protection locked="0"/>
    </xf>
    <xf numFmtId="0" fontId="3" fillId="0" borderId="6"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left" vertical="center"/>
      <protection locked="0"/>
    </xf>
    <xf numFmtId="0" fontId="4" fillId="0" borderId="7" xfId="0" applyNumberFormat="1" applyFont="1" applyFill="1" applyBorder="1" applyAlignment="1" applyProtection="1">
      <alignment horizontal="left" vertical="center" wrapText="1"/>
      <protection locked="0"/>
    </xf>
    <xf numFmtId="0" fontId="4" fillId="0" borderId="7"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horizontal="left" vertical="center"/>
      <protection locked="0"/>
    </xf>
    <xf numFmtId="0" fontId="2" fillId="0" borderId="7" xfId="0" applyNumberFormat="1" applyFont="1" applyFill="1" applyBorder="1" applyAlignment="1" applyProtection="1">
      <alignment horizontal="left" vertical="center" wrapText="1"/>
      <protection locked="0"/>
    </xf>
    <xf numFmtId="0" fontId="2" fillId="0" borderId="26" xfId="0" applyNumberFormat="1" applyFont="1" applyFill="1" applyBorder="1" applyAlignment="1" applyProtection="1">
      <alignment horizontal="left" vertical="center"/>
      <protection locked="0"/>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17" xfId="0" applyFont="1" applyBorder="1" applyAlignment="1">
      <alignment horizontal="left" vertical="center" wrapText="1"/>
    </xf>
    <xf numFmtId="0" fontId="25" fillId="0" borderId="17" xfId="0" applyFont="1" applyBorder="1" applyAlignment="1">
      <alignment horizontal="left" vertical="center"/>
    </xf>
    <xf numFmtId="0" fontId="2" fillId="0" borderId="0" xfId="0" applyFont="1" applyAlignment="1">
      <alignment horizontal="left" vertical="center" wrapText="1"/>
    </xf>
    <xf numFmtId="49" fontId="25" fillId="0" borderId="0" xfId="0" applyNumberFormat="1" applyFont="1" applyAlignment="1">
      <alignment horizontal="left" vertical="center"/>
    </xf>
    <xf numFmtId="0" fontId="25" fillId="0" borderId="27" xfId="0" applyFont="1" applyBorder="1" applyAlignment="1">
      <alignment horizontal="left" vertical="center"/>
    </xf>
    <xf numFmtId="0" fontId="25" fillId="0" borderId="0" xfId="7" applyFont="1" applyAlignment="1">
      <alignment horizontal="left" vertical="center" wrapText="1"/>
    </xf>
    <xf numFmtId="0" fontId="25" fillId="0" borderId="0" xfId="7" applyFont="1" applyAlignment="1">
      <alignment horizontal="left" vertical="center"/>
    </xf>
    <xf numFmtId="49" fontId="25" fillId="0" borderId="47" xfId="7" applyNumberFormat="1" applyFont="1" applyBorder="1" applyAlignment="1">
      <alignment horizontal="left" vertical="center"/>
    </xf>
    <xf numFmtId="0" fontId="25" fillId="0" borderId="5" xfId="7" applyFont="1" applyBorder="1" applyAlignment="1">
      <alignment horizontal="left" vertical="center"/>
    </xf>
    <xf numFmtId="0" fontId="25" fillId="0" borderId="49" xfId="7" applyFont="1" applyBorder="1" applyAlignment="1">
      <alignment horizontal="left" vertical="center"/>
    </xf>
    <xf numFmtId="49" fontId="26" fillId="0" borderId="56" xfId="7" applyNumberFormat="1" applyFont="1" applyBorder="1" applyAlignment="1">
      <alignment horizontal="left" vertical="center"/>
    </xf>
    <xf numFmtId="0" fontId="26" fillId="0" borderId="43" xfId="7" applyFont="1" applyBorder="1" applyAlignment="1">
      <alignment horizontal="left" vertical="center"/>
    </xf>
    <xf numFmtId="0" fontId="26" fillId="0" borderId="46" xfId="7" applyFont="1" applyBorder="1" applyAlignment="1">
      <alignment horizontal="left" vertical="center"/>
    </xf>
    <xf numFmtId="49" fontId="25" fillId="0" borderId="0" xfId="7" applyNumberFormat="1" applyFont="1" applyAlignment="1">
      <alignment horizontal="left" vertical="center"/>
    </xf>
    <xf numFmtId="49" fontId="25" fillId="0" borderId="6" xfId="7" applyNumberFormat="1" applyFont="1" applyBorder="1" applyAlignment="1">
      <alignment horizontal="left" vertical="center"/>
    </xf>
    <xf numFmtId="0" fontId="25" fillId="0" borderId="6" xfId="7" applyFont="1" applyBorder="1" applyAlignment="1">
      <alignment horizontal="left" vertical="center"/>
    </xf>
    <xf numFmtId="49" fontId="30" fillId="0" borderId="6" xfId="7" applyNumberFormat="1" applyFont="1" applyBorder="1" applyAlignment="1">
      <alignment horizontal="center"/>
    </xf>
    <xf numFmtId="0" fontId="30" fillId="0" borderId="6" xfId="7" applyFont="1" applyBorder="1" applyAlignment="1">
      <alignment horizontal="center" vertical="center"/>
    </xf>
    <xf numFmtId="0" fontId="25" fillId="0" borderId="50" xfId="0" applyFont="1" applyBorder="1" applyAlignment="1">
      <alignment horizontal="left" vertical="center" wrapText="1"/>
    </xf>
    <xf numFmtId="0" fontId="25" fillId="0" borderId="7" xfId="0" applyFont="1" applyBorder="1" applyAlignment="1">
      <alignment horizontal="left" vertical="center"/>
    </xf>
    <xf numFmtId="0" fontId="26" fillId="0" borderId="7" xfId="7" applyFont="1" applyBorder="1" applyAlignment="1">
      <alignment horizontal="left" vertical="center" wrapText="1"/>
    </xf>
    <xf numFmtId="0" fontId="26" fillId="0" borderId="0" xfId="7" applyFont="1" applyAlignment="1">
      <alignment horizontal="left" vertical="center" wrapText="1"/>
    </xf>
    <xf numFmtId="49" fontId="25" fillId="0" borderId="7" xfId="0" applyNumberFormat="1" applyFont="1" applyBorder="1" applyAlignment="1">
      <alignment horizontal="left" vertical="center"/>
    </xf>
    <xf numFmtId="0" fontId="25" fillId="0" borderId="7" xfId="0" applyFont="1" applyBorder="1" applyAlignment="1">
      <alignment horizontal="left" vertical="center" wrapText="1"/>
    </xf>
    <xf numFmtId="0" fontId="25" fillId="0" borderId="0" xfId="0" applyNumberFormat="1" applyFont="1" applyAlignment="1">
      <alignment horizontal="left" vertical="center" wrapText="1"/>
    </xf>
    <xf numFmtId="0" fontId="25" fillId="0" borderId="29" xfId="0" applyNumberFormat="1" applyFont="1" applyBorder="1" applyAlignment="1">
      <alignment horizontal="left" vertical="center" wrapText="1"/>
    </xf>
    <xf numFmtId="49" fontId="2" fillId="0" borderId="6" xfId="0" applyNumberFormat="1" applyFont="1" applyFill="1" applyBorder="1" applyAlignment="1" applyProtection="1">
      <alignment horizontal="left" vertical="center"/>
    </xf>
    <xf numFmtId="49" fontId="4" fillId="0" borderId="7" xfId="0" applyNumberFormat="1" applyFont="1" applyFill="1" applyBorder="1" applyAlignment="1" applyProtection="1">
      <alignment horizontal="left" vertical="center"/>
    </xf>
    <xf numFmtId="49" fontId="4" fillId="0" borderId="54" xfId="0" applyNumberFormat="1" applyFont="1" applyFill="1" applyBorder="1" applyAlignment="1" applyProtection="1">
      <alignment horizontal="center" vertical="center"/>
    </xf>
    <xf numFmtId="0" fontId="4" fillId="0" borderId="55" xfId="0" applyNumberFormat="1" applyFont="1" applyFill="1" applyBorder="1" applyAlignment="1" applyProtection="1">
      <alignment horizontal="center" vertical="center"/>
    </xf>
    <xf numFmtId="0" fontId="4" fillId="0" borderId="32" xfId="0" applyNumberFormat="1" applyFont="1" applyFill="1" applyBorder="1" applyAlignment="1" applyProtection="1">
      <alignment horizontal="center" vertical="center"/>
    </xf>
    <xf numFmtId="49" fontId="4" fillId="0" borderId="56" xfId="0" applyNumberFormat="1" applyFont="1" applyFill="1" applyBorder="1" applyAlignment="1" applyProtection="1">
      <alignment horizontal="left" vertical="center"/>
    </xf>
    <xf numFmtId="0" fontId="4" fillId="0" borderId="43" xfId="0" applyNumberFormat="1" applyFont="1" applyFill="1" applyBorder="1" applyAlignment="1" applyProtection="1">
      <alignment horizontal="left" vertical="center"/>
    </xf>
    <xf numFmtId="0" fontId="4" fillId="0" borderId="46" xfId="0" applyNumberFormat="1" applyFont="1" applyFill="1" applyBorder="1" applyAlignment="1" applyProtection="1">
      <alignment horizontal="left" vertical="center"/>
    </xf>
    <xf numFmtId="49" fontId="2" fillId="0" borderId="5" xfId="0" applyNumberFormat="1" applyFont="1" applyFill="1" applyBorder="1" applyAlignment="1" applyProtection="1">
      <alignment horizontal="left" vertical="center"/>
    </xf>
    <xf numFmtId="0" fontId="2" fillId="0" borderId="5" xfId="0" applyNumberFormat="1" applyFont="1" applyFill="1" applyBorder="1" applyAlignment="1" applyProtection="1">
      <alignment horizontal="left" vertical="center"/>
    </xf>
    <xf numFmtId="0" fontId="2" fillId="0" borderId="56" xfId="0" applyNumberFormat="1" applyFont="1" applyFill="1" applyBorder="1" applyAlignment="1" applyProtection="1">
      <alignment horizontal="left" vertical="center"/>
    </xf>
    <xf numFmtId="0" fontId="2" fillId="0" borderId="43" xfId="0" applyNumberFormat="1" applyFont="1" applyFill="1" applyBorder="1" applyAlignment="1" applyProtection="1">
      <alignment horizontal="left" vertical="center"/>
    </xf>
    <xf numFmtId="49" fontId="2" fillId="0" borderId="47" xfId="0" applyNumberFormat="1" applyFont="1" applyFill="1" applyBorder="1" applyAlignment="1" applyProtection="1">
      <alignment horizontal="left" vertical="center"/>
    </xf>
    <xf numFmtId="0" fontId="2" fillId="0" borderId="49" xfId="0" applyNumberFormat="1" applyFont="1" applyFill="1" applyBorder="1" applyAlignment="1" applyProtection="1">
      <alignment horizontal="left" vertical="center"/>
    </xf>
    <xf numFmtId="0" fontId="2" fillId="0" borderId="57" xfId="0" applyNumberFormat="1" applyFont="1" applyFill="1" applyBorder="1" applyAlignment="1" applyProtection="1">
      <alignment horizontal="left" vertical="center"/>
    </xf>
    <xf numFmtId="0" fontId="2" fillId="0" borderId="0" xfId="0" applyNumberFormat="1" applyFont="1" applyAlignment="1">
      <alignment horizontal="left" vertical="center" wrapText="1"/>
    </xf>
    <xf numFmtId="49" fontId="3" fillId="0" borderId="6" xfId="0" applyNumberFormat="1" applyFont="1" applyFill="1" applyBorder="1" applyAlignment="1" applyProtection="1">
      <alignment horizontal="center"/>
    </xf>
    <xf numFmtId="0" fontId="2" fillId="0" borderId="26"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xf>
    <xf numFmtId="0" fontId="25" fillId="0" borderId="0" xfId="0" applyNumberFormat="1" applyFont="1" applyAlignment="1">
      <alignment horizontal="left" vertical="center" wrapText="1" readingOrder="1"/>
    </xf>
    <xf numFmtId="0" fontId="25" fillId="0" borderId="29" xfId="0" applyNumberFormat="1" applyFont="1" applyBorder="1" applyAlignment="1">
      <alignment horizontal="left" vertical="center" wrapText="1" readingOrder="1"/>
    </xf>
    <xf numFmtId="49" fontId="2" fillId="0" borderId="7" xfId="0"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49"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49" fontId="11" fillId="3" borderId="0" xfId="0" applyNumberFormat="1" applyFont="1" applyFill="1" applyBorder="1" applyAlignment="1" applyProtection="1">
      <alignment horizontal="left" vertical="center"/>
    </xf>
    <xf numFmtId="0" fontId="11" fillId="3" borderId="0" xfId="0" applyNumberFormat="1" applyFont="1" applyFill="1" applyBorder="1" applyAlignment="1" applyProtection="1">
      <alignment horizontal="left" vertical="center"/>
    </xf>
    <xf numFmtId="49" fontId="17"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left" vertical="center"/>
    </xf>
    <xf numFmtId="49" fontId="7" fillId="6" borderId="31" xfId="0" applyNumberFormat="1" applyFont="1" applyFill="1" applyBorder="1" applyAlignment="1" applyProtection="1">
      <alignment horizontal="left" vertical="center"/>
    </xf>
    <xf numFmtId="0" fontId="7" fillId="0" borderId="31" xfId="0" applyNumberFormat="1" applyFont="1" applyFill="1" applyBorder="1" applyAlignment="1" applyProtection="1">
      <alignment horizontal="left" vertical="center"/>
    </xf>
    <xf numFmtId="49" fontId="7" fillId="5" borderId="31" xfId="0" applyNumberFormat="1" applyFont="1" applyFill="1" applyBorder="1" applyAlignment="1" applyProtection="1">
      <alignment horizontal="left" vertical="center"/>
    </xf>
    <xf numFmtId="49" fontId="4" fillId="0" borderId="58" xfId="0" applyNumberFormat="1" applyFont="1" applyFill="1" applyBorder="1" applyAlignment="1" applyProtection="1">
      <alignment horizontal="left" vertical="center"/>
    </xf>
    <xf numFmtId="0" fontId="4" fillId="0" borderId="59" xfId="0" applyNumberFormat="1" applyFont="1" applyFill="1" applyBorder="1" applyAlignment="1" applyProtection="1">
      <alignment horizontal="left" vertical="center"/>
    </xf>
    <xf numFmtId="49" fontId="11" fillId="3" borderId="5" xfId="0" applyNumberFormat="1" applyFont="1" applyFill="1" applyBorder="1" applyAlignment="1" applyProtection="1">
      <alignment horizontal="left" vertical="center"/>
    </xf>
    <xf numFmtId="0" fontId="11" fillId="3" borderId="5"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wrapText="1"/>
    </xf>
    <xf numFmtId="49" fontId="25" fillId="0" borderId="6" xfId="9" applyNumberFormat="1" applyFont="1" applyBorder="1" applyAlignment="1">
      <alignment horizontal="left" vertical="center"/>
    </xf>
    <xf numFmtId="0" fontId="25" fillId="0" borderId="6" xfId="9" applyFont="1" applyBorder="1" applyAlignment="1">
      <alignment horizontal="left" vertical="center"/>
    </xf>
    <xf numFmtId="0" fontId="25" fillId="0" borderId="0" xfId="9" applyFont="1" applyAlignment="1">
      <alignment horizontal="left" vertical="center" wrapText="1"/>
    </xf>
    <xf numFmtId="0" fontId="25" fillId="0" borderId="0" xfId="9" applyFont="1" applyAlignment="1">
      <alignment horizontal="left" vertical="center"/>
    </xf>
    <xf numFmtId="49" fontId="25" fillId="0" borderId="0" xfId="9" applyNumberFormat="1" applyFont="1" applyAlignment="1">
      <alignment horizontal="left" vertical="center"/>
    </xf>
    <xf numFmtId="0" fontId="25" fillId="0" borderId="17" xfId="9" applyFont="1" applyBorder="1" applyAlignment="1">
      <alignment horizontal="left" vertical="center" wrapText="1"/>
    </xf>
    <xf numFmtId="0" fontId="25" fillId="0" borderId="27" xfId="9" applyFont="1" applyBorder="1" applyAlignment="1">
      <alignment horizontal="left" vertical="center"/>
    </xf>
    <xf numFmtId="0" fontId="2" fillId="0" borderId="0" xfId="9" applyFont="1" applyAlignment="1">
      <alignment horizontal="left" vertical="center" wrapText="1"/>
    </xf>
    <xf numFmtId="49" fontId="25" fillId="0" borderId="47" xfId="9" applyNumberFormat="1" applyFont="1" applyBorder="1" applyAlignment="1">
      <alignment horizontal="left" vertical="center"/>
    </xf>
    <xf numFmtId="0" fontId="25" fillId="0" borderId="5" xfId="9" applyFont="1" applyBorder="1" applyAlignment="1">
      <alignment horizontal="left" vertical="center"/>
    </xf>
    <xf numFmtId="0" fontId="25" fillId="0" borderId="49" xfId="9" applyFont="1" applyBorder="1" applyAlignment="1">
      <alignment horizontal="left" vertical="center"/>
    </xf>
    <xf numFmtId="49" fontId="26" fillId="0" borderId="56" xfId="9" applyNumberFormat="1" applyFont="1" applyBorder="1" applyAlignment="1">
      <alignment horizontal="left" vertical="center"/>
    </xf>
    <xf numFmtId="0" fontId="26" fillId="0" borderId="43" xfId="9" applyFont="1" applyBorder="1" applyAlignment="1">
      <alignment horizontal="left" vertical="center"/>
    </xf>
    <xf numFmtId="0" fontId="26" fillId="0" borderId="46" xfId="9" applyFont="1" applyBorder="1" applyAlignment="1">
      <alignment horizontal="left" vertical="center"/>
    </xf>
    <xf numFmtId="49" fontId="25" fillId="0" borderId="5" xfId="9" applyNumberFormat="1" applyFont="1" applyBorder="1" applyAlignment="1">
      <alignment horizontal="left" vertical="center"/>
    </xf>
    <xf numFmtId="0" fontId="25" fillId="0" borderId="17" xfId="9" applyFont="1" applyBorder="1" applyAlignment="1">
      <alignment horizontal="left" vertical="center"/>
    </xf>
    <xf numFmtId="49" fontId="30" fillId="0" borderId="6" xfId="9" applyNumberFormat="1" applyFont="1" applyBorder="1" applyAlignment="1">
      <alignment horizontal="center"/>
    </xf>
    <xf numFmtId="0" fontId="30" fillId="0" borderId="6" xfId="9" applyFont="1" applyBorder="1" applyAlignment="1">
      <alignment horizontal="center" vertical="center"/>
    </xf>
    <xf numFmtId="0" fontId="25" fillId="0" borderId="50" xfId="9" applyFont="1" applyBorder="1" applyAlignment="1">
      <alignment horizontal="left" vertical="center" wrapText="1"/>
    </xf>
    <xf numFmtId="0" fontId="25" fillId="0" borderId="7" xfId="9" applyFont="1" applyBorder="1" applyAlignment="1">
      <alignment horizontal="left" vertical="center"/>
    </xf>
    <xf numFmtId="0" fontId="26" fillId="0" borderId="7" xfId="9" applyFont="1" applyBorder="1" applyAlignment="1">
      <alignment horizontal="left" vertical="center" wrapText="1"/>
    </xf>
    <xf numFmtId="0" fontId="26" fillId="0" borderId="0" xfId="9" applyFont="1" applyAlignment="1">
      <alignment horizontal="left" vertical="center" wrapText="1"/>
    </xf>
    <xf numFmtId="49" fontId="25" fillId="0" borderId="7" xfId="9" applyNumberFormat="1" applyFont="1" applyBorder="1" applyAlignment="1">
      <alignment horizontal="left" vertical="center"/>
    </xf>
    <xf numFmtId="0" fontId="25" fillId="0" borderId="7" xfId="9" applyFont="1" applyBorder="1" applyAlignment="1">
      <alignment horizontal="left" vertical="center" wrapText="1"/>
    </xf>
    <xf numFmtId="0" fontId="44" fillId="0" borderId="0" xfId="11" applyFont="1" applyAlignment="1">
      <alignment horizontal="left" vertical="center" wrapText="1"/>
    </xf>
    <xf numFmtId="0" fontId="42" fillId="0" borderId="0" xfId="11" applyAlignment="1">
      <alignment vertical="center"/>
    </xf>
    <xf numFmtId="0" fontId="95" fillId="0" borderId="0" xfId="11" applyFont="1" applyAlignment="1">
      <alignment horizontal="left" vertical="center" wrapText="1"/>
    </xf>
    <xf numFmtId="0" fontId="95" fillId="0" borderId="0" xfId="11" applyFont="1" applyAlignment="1">
      <alignment horizontal="left" vertical="center"/>
    </xf>
    <xf numFmtId="0" fontId="119" fillId="20" borderId="0" xfId="11" applyFont="1" applyFill="1" applyAlignment="1">
      <alignment horizontal="center" vertical="center"/>
    </xf>
    <xf numFmtId="0" fontId="42" fillId="0" borderId="0" xfId="11"/>
    <xf numFmtId="0" fontId="45" fillId="0" borderId="0" xfId="11" applyFont="1" applyAlignment="1">
      <alignment horizontal="left" vertical="center"/>
    </xf>
    <xf numFmtId="0" fontId="45" fillId="0" borderId="0" xfId="11" applyFont="1" applyAlignment="1">
      <alignment horizontal="left" vertical="center" wrapText="1"/>
    </xf>
    <xf numFmtId="49" fontId="77" fillId="0" borderId="1" xfId="10" applyNumberFormat="1" applyFont="1" applyBorder="1" applyAlignment="1">
      <alignment horizontal="left" vertical="center" wrapText="1"/>
    </xf>
    <xf numFmtId="0" fontId="58" fillId="0" borderId="0" xfId="10" applyFont="1" applyAlignment="1">
      <alignment horizontal="left"/>
    </xf>
    <xf numFmtId="49" fontId="77" fillId="0" borderId="60" xfId="10" applyNumberFormat="1" applyFont="1" applyBorder="1" applyAlignment="1">
      <alignment horizontal="left" vertical="center" wrapText="1"/>
    </xf>
    <xf numFmtId="49" fontId="77" fillId="0" borderId="42" xfId="10" applyNumberFormat="1" applyFont="1" applyBorder="1" applyAlignment="1">
      <alignment horizontal="left" vertical="center" wrapText="1"/>
    </xf>
    <xf numFmtId="0" fontId="73" fillId="0" borderId="40" xfId="0" applyFont="1" applyBorder="1" applyAlignment="1" applyProtection="1">
      <alignment horizontal="left"/>
      <protection locked="0" hidden="1"/>
    </xf>
    <xf numFmtId="0" fontId="73" fillId="0" borderId="30" xfId="0" applyFont="1" applyBorder="1" applyAlignment="1" applyProtection="1">
      <alignment horizontal="left"/>
      <protection locked="0" hidden="1"/>
    </xf>
    <xf numFmtId="0" fontId="120" fillId="0" borderId="43" xfId="7" applyFont="1" applyBorder="1" applyAlignment="1">
      <alignment vertical="center"/>
    </xf>
    <xf numFmtId="0" fontId="121" fillId="0" borderId="43" xfId="0" applyFont="1" applyBorder="1" applyAlignment="1">
      <alignment vertical="center"/>
    </xf>
    <xf numFmtId="49" fontId="112" fillId="0" borderId="36" xfId="7" applyNumberFormat="1" applyFont="1" applyBorder="1" applyAlignment="1">
      <alignment horizontal="left" vertical="center" wrapText="1"/>
    </xf>
    <xf numFmtId="0" fontId="67" fillId="0" borderId="34" xfId="7" applyFont="1" applyBorder="1" applyAlignment="1">
      <alignment horizontal="left" vertical="center"/>
    </xf>
    <xf numFmtId="0" fontId="67" fillId="0" borderId="35" xfId="7" applyFont="1" applyBorder="1" applyAlignment="1">
      <alignment horizontal="left" vertical="center"/>
    </xf>
    <xf numFmtId="0" fontId="61" fillId="0" borderId="27" xfId="0" applyFont="1" applyBorder="1" applyAlignment="1" applyProtection="1">
      <alignment wrapText="1"/>
    </xf>
    <xf numFmtId="0" fontId="122" fillId="0" borderId="44" xfId="0" applyFont="1" applyBorder="1" applyAlignment="1" applyProtection="1">
      <alignment wrapText="1"/>
    </xf>
    <xf numFmtId="0" fontId="123" fillId="0" borderId="43" xfId="0" applyFont="1" applyBorder="1" applyAlignment="1" applyProtection="1">
      <alignment horizontal="left" vertical="center" wrapText="1"/>
    </xf>
    <xf numFmtId="0" fontId="88" fillId="0" borderId="0" xfId="12" applyAlignment="1" applyProtection="1">
      <alignment horizontal="left" vertical="top" wrapText="1"/>
    </xf>
  </cellXfs>
  <cellStyles count="21">
    <cellStyle name="Čárka 2" xfId="1"/>
    <cellStyle name="Čárka 3" xfId="2"/>
    <cellStyle name="Čárka 5" xfId="3"/>
    <cellStyle name="čárky" xfId="17" builtinId="3"/>
    <cellStyle name="měny" xfId="17" builtinId="4"/>
    <cellStyle name="měny bez des. míst" xfId="17" builtinId="7"/>
    <cellStyle name="normální" xfId="0" builtinId="0"/>
    <cellStyle name="normální 2 2" xfId="4"/>
    <cellStyle name="Normální 2 2 2" xfId="5"/>
    <cellStyle name="Normální 2 8" xfId="6"/>
    <cellStyle name="Normální 3" xfId="7"/>
    <cellStyle name="normální 3 2" xfId="8"/>
    <cellStyle name="Normální 3 3" xfId="9"/>
    <cellStyle name="Normální 4" xfId="10"/>
    <cellStyle name="Normální 5" xfId="11"/>
    <cellStyle name="Normální 6" xfId="12"/>
    <cellStyle name="normální_Kupni_smlouva" xfId="13"/>
    <cellStyle name="normální_Kupni_smlouva 10" xfId="14"/>
    <cellStyle name="normální_UT" xfId="15"/>
    <cellStyle name="normální_Vzor pro profese" xfId="16"/>
    <cellStyle name="procent" xfId="1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000000"/>
      <rgbColor rgb="00000000"/>
      <rgbColor rgb="00DBDBDB"/>
      <rgbColor rgb="00000000"/>
      <rgbColor rgb="00C0C0C0"/>
      <rgbColor rgb="00000000"/>
      <rgbColor rgb="00C0C0C0"/>
      <rgbColor rgb="00000000"/>
      <rgbColor rgb="00000000"/>
      <rgbColor rgb="00000000"/>
      <rgbColor rgb="00000000"/>
      <rgbColor rgb="00000000"/>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297180</xdr:colOff>
      <xdr:row>0</xdr:row>
      <xdr:rowOff>883920</xdr:rowOff>
    </xdr:to>
    <xdr:pic>
      <xdr:nvPicPr>
        <xdr:cNvPr id="519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2020" cy="88392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297180</xdr:colOff>
      <xdr:row>0</xdr:row>
      <xdr:rowOff>883920</xdr:rowOff>
    </xdr:to>
    <xdr:pic>
      <xdr:nvPicPr>
        <xdr:cNvPr id="622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22020" cy="88392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175260</xdr:colOff>
      <xdr:row>0</xdr:row>
      <xdr:rowOff>883920</xdr:rowOff>
    </xdr:to>
    <xdr:pic>
      <xdr:nvPicPr>
        <xdr:cNvPr id="72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34440" cy="8839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175260</xdr:colOff>
      <xdr:row>0</xdr:row>
      <xdr:rowOff>883920</xdr:rowOff>
    </xdr:to>
    <xdr:pic>
      <xdr:nvPicPr>
        <xdr:cNvPr id="315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60120" cy="88392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289560</xdr:colOff>
      <xdr:row>0</xdr:row>
      <xdr:rowOff>510540</xdr:rowOff>
    </xdr:to>
    <xdr:pic>
      <xdr:nvPicPr>
        <xdr:cNvPr id="110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541020" cy="44958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289560</xdr:colOff>
      <xdr:row>0</xdr:row>
      <xdr:rowOff>883920</xdr:rowOff>
    </xdr:to>
    <xdr:pic>
      <xdr:nvPicPr>
        <xdr:cNvPr id="417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14400" cy="8839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_a\server%20disk\ROZPOCTY\99_06\9906033a_VIN-DIV_VESELI-PRACOVN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F\Souteze\Users\husak\Desktop\ROZPO&#268;TY\2020\&#344;I&#268;A&#344;\VARNA%20Z&#352;%20VERICHA\282020%20-%20Z&#352;%20Bechovic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arametry"/>
      <sheetName val="NORMIK"/>
      <sheetName val="Řídící systém"/>
      <sheetName val="Software ŘS"/>
      <sheetName val="Centrála"/>
      <sheetName val="MaR"/>
      <sheetName val="Rozvodnice"/>
      <sheetName val="Ostatní"/>
      <sheetName val="Dopis"/>
      <sheetName val="Nabídka"/>
      <sheetName val="RabatList"/>
    </sheetNames>
    <sheetDataSet>
      <sheetData sheetId="0" refreshError="1">
        <row r="25">
          <cell r="D25">
            <v>160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Krycí list rozpoctu"/>
      <sheetName val="Rozpocet - Jen objekty celkem"/>
      <sheetName val="Stavební rozpocet"/>
      <sheetName val="Výkaz výmer"/>
      <sheetName val="VORN"/>
      <sheetName val="Kanalizace"/>
      <sheetName val="Vodovod"/>
      <sheetName val="Vzduchotechnika"/>
      <sheetName val="Vytápění"/>
      <sheetName val="Vybavení náb."/>
      <sheetName val="Silnoproud"/>
      <sheetName val="Slaboproud"/>
    </sheetNames>
    <sheetDataSet>
      <sheetData sheetId="0"/>
      <sheetData sheetId="1"/>
      <sheetData sheetId="2"/>
      <sheetData sheetId="3"/>
      <sheetData sheetId="4">
        <row r="38">
          <cell r="I38">
            <v>1050000</v>
          </cell>
        </row>
      </sheetData>
      <sheetData sheetId="5"/>
      <sheetData sheetId="6"/>
      <sheetData sheetId="7"/>
      <sheetData sheetId="8"/>
      <sheetData sheetId="9"/>
      <sheetData sheetId="10"/>
      <sheetData sheetId="11"/>
    </sheetDataSet>
  </externalBook>
</externalLink>
</file>

<file path=xl/queryTables/queryTable1.xml><?xml version="1.0" encoding="utf-8"?>
<queryTable xmlns="http://schemas.openxmlformats.org/spreadsheetml/2006/main" name="00013-00015-1PP_1" connectionId="1" autoFormatId="16" applyNumberFormats="0" applyBorderFormats="0" applyFontFormats="1" applyPatternFormats="1" applyAlignmentFormats="0" applyWidthHeightFormats="0"/>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K37"/>
  <sheetViews>
    <sheetView workbookViewId="0">
      <selection activeCell="K15" sqref="K15"/>
    </sheetView>
  </sheetViews>
  <sheetFormatPr defaultColWidth="11.5546875" defaultRowHeight="13.2"/>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2.88671875" customWidth="1"/>
    <col min="9" max="9" width="22.88671875" customWidth="1"/>
    <col min="11" max="11" width="12.6640625" bestFit="1" customWidth="1"/>
  </cols>
  <sheetData>
    <row r="1" spans="1:10" ht="72.900000000000006" customHeight="1">
      <c r="A1" s="76"/>
      <c r="B1" s="60"/>
      <c r="C1" s="799" t="s">
        <v>3118</v>
      </c>
      <c r="D1" s="800"/>
      <c r="E1" s="800"/>
      <c r="F1" s="800"/>
      <c r="G1" s="800"/>
      <c r="H1" s="800"/>
      <c r="I1" s="800"/>
    </row>
    <row r="2" spans="1:10">
      <c r="A2" s="801" t="s">
        <v>0</v>
      </c>
      <c r="B2" s="802"/>
      <c r="C2" s="803" t="str">
        <f>'D1.1.+D1.2 - Stav+konstrukční'!D2</f>
        <v xml:space="preserve"> Dostavba ZŠ Mnichovice, 3. etapa, školní jídelna a kuchyň</v>
      </c>
      <c r="D2" s="804"/>
      <c r="E2" s="806" t="s">
        <v>1948</v>
      </c>
      <c r="F2" s="806" t="str">
        <f>'D1.1.+D1.2 - Stav+konstrukční'!I2</f>
        <v>Město Mnichovice, Masarykovo náměstí 83, 251 64 Mnichovice</v>
      </c>
      <c r="G2" s="802"/>
      <c r="H2" s="806" t="s">
        <v>3139</v>
      </c>
      <c r="I2" s="807"/>
      <c r="J2" s="37"/>
    </row>
    <row r="3" spans="1:10">
      <c r="A3" s="788"/>
      <c r="B3" s="765"/>
      <c r="C3" s="805"/>
      <c r="D3" s="805"/>
      <c r="E3" s="765"/>
      <c r="F3" s="765"/>
      <c r="G3" s="765"/>
      <c r="H3" s="765"/>
      <c r="I3" s="793"/>
      <c r="J3" s="37"/>
    </row>
    <row r="4" spans="1:10">
      <c r="A4" s="787" t="s">
        <v>1</v>
      </c>
      <c r="B4" s="765"/>
      <c r="C4" s="764" t="str">
        <f>'D1.1.+D1.2 - Stav+konstrukční'!D4</f>
        <v xml:space="preserve"> Školská stavba - občanská výstavba</v>
      </c>
      <c r="D4" s="765"/>
      <c r="E4" s="764" t="s">
        <v>1949</v>
      </c>
      <c r="F4" s="764" t="str">
        <f>'D1.1.+D1.2 - Stav+konstrukční'!I4</f>
        <v> ing. Tomáš Řičař</v>
      </c>
      <c r="G4" s="765"/>
      <c r="H4" s="764" t="s">
        <v>3139</v>
      </c>
      <c r="I4" s="792"/>
      <c r="J4" s="37"/>
    </row>
    <row r="5" spans="1:10">
      <c r="A5" s="788"/>
      <c r="B5" s="765"/>
      <c r="C5" s="765"/>
      <c r="D5" s="765"/>
      <c r="E5" s="765"/>
      <c r="F5" s="765"/>
      <c r="G5" s="765"/>
      <c r="H5" s="765"/>
      <c r="I5" s="793"/>
      <c r="J5" s="37"/>
    </row>
    <row r="6" spans="1:10">
      <c r="A6" s="787" t="s">
        <v>2</v>
      </c>
      <c r="B6" s="765"/>
      <c r="C6" s="764" t="str">
        <f>'D1.1.+D1.2 - Stav+konstrukční'!D6</f>
        <v xml:space="preserve"> parc.č. 385/2, 1749, 68/3, 74/5, 74/3 a 3854/1, k.ú. Mnichovice</v>
      </c>
      <c r="D6" s="765"/>
      <c r="E6" s="764" t="s">
        <v>1950</v>
      </c>
      <c r="F6" s="789"/>
      <c r="G6" s="790"/>
      <c r="H6" s="764" t="s">
        <v>3139</v>
      </c>
      <c r="I6" s="797"/>
      <c r="J6" s="37"/>
    </row>
    <row r="7" spans="1:10">
      <c r="A7" s="788"/>
      <c r="B7" s="765"/>
      <c r="C7" s="765"/>
      <c r="D7" s="765"/>
      <c r="E7" s="765"/>
      <c r="F7" s="790"/>
      <c r="G7" s="790"/>
      <c r="H7" s="765"/>
      <c r="I7" s="798"/>
      <c r="J7" s="37"/>
    </row>
    <row r="8" spans="1:10">
      <c r="A8" s="787" t="s">
        <v>1934</v>
      </c>
      <c r="B8" s="765"/>
      <c r="C8" s="789"/>
      <c r="D8" s="790"/>
      <c r="E8" s="764" t="s">
        <v>1935</v>
      </c>
      <c r="F8" s="789"/>
      <c r="G8" s="790"/>
      <c r="H8" s="791" t="s">
        <v>3140</v>
      </c>
      <c r="I8" s="792"/>
      <c r="J8" s="37"/>
    </row>
    <row r="9" spans="1:10">
      <c r="A9" s="788"/>
      <c r="B9" s="765"/>
      <c r="C9" s="790"/>
      <c r="D9" s="790"/>
      <c r="E9" s="765"/>
      <c r="F9" s="790"/>
      <c r="G9" s="790"/>
      <c r="H9" s="765"/>
      <c r="I9" s="793"/>
      <c r="J9" s="37"/>
    </row>
    <row r="10" spans="1:10">
      <c r="A10" s="787" t="s">
        <v>3</v>
      </c>
      <c r="B10" s="765"/>
      <c r="C10" s="789"/>
      <c r="D10" s="790"/>
      <c r="E10" s="764" t="s">
        <v>1951</v>
      </c>
      <c r="F10" s="789"/>
      <c r="G10" s="790"/>
      <c r="H10" s="791" t="s">
        <v>3141</v>
      </c>
      <c r="I10" s="785" t="str">
        <f>'D1.1.+D1.2 - Stav+konstrukční'!G8</f>
        <v>23.06.2020</v>
      </c>
      <c r="J10" s="37"/>
    </row>
    <row r="11" spans="1:10">
      <c r="A11" s="794"/>
      <c r="B11" s="795"/>
      <c r="C11" s="796"/>
      <c r="D11" s="796"/>
      <c r="E11" s="795"/>
      <c r="F11" s="796"/>
      <c r="G11" s="796"/>
      <c r="H11" s="795"/>
      <c r="I11" s="786"/>
      <c r="J11" s="37"/>
    </row>
    <row r="12" spans="1:10" ht="23.4" customHeight="1">
      <c r="A12" s="781" t="s">
        <v>3157</v>
      </c>
      <c r="B12" s="782"/>
      <c r="C12" s="782"/>
      <c r="D12" s="782"/>
      <c r="E12" s="782"/>
      <c r="F12" s="782"/>
      <c r="G12" s="782"/>
      <c r="H12" s="782"/>
      <c r="I12" s="782"/>
    </row>
    <row r="13" spans="1:10" ht="26.4" customHeight="1">
      <c r="A13" s="61" t="s">
        <v>3108</v>
      </c>
      <c r="B13" s="783" t="s">
        <v>3161</v>
      </c>
      <c r="C13" s="784"/>
      <c r="D13" s="61" t="s">
        <v>3119</v>
      </c>
      <c r="E13" s="783" t="s">
        <v>3172</v>
      </c>
      <c r="F13" s="784"/>
      <c r="G13" s="61" t="s">
        <v>3127</v>
      </c>
      <c r="H13" s="783" t="s">
        <v>3158</v>
      </c>
      <c r="I13" s="784"/>
      <c r="J13" s="37"/>
    </row>
    <row r="14" spans="1:10" ht="15.15" customHeight="1">
      <c r="A14" s="62" t="s">
        <v>1219</v>
      </c>
      <c r="B14" s="66" t="s">
        <v>3117</v>
      </c>
      <c r="C14" s="70"/>
      <c r="D14" s="779" t="s">
        <v>3171</v>
      </c>
      <c r="E14" s="780"/>
      <c r="F14" s="70">
        <f>VORN!I15</f>
        <v>0</v>
      </c>
      <c r="G14" s="779" t="s">
        <v>3159</v>
      </c>
      <c r="H14" s="780"/>
      <c r="I14" s="70">
        <f>VORN!I21</f>
        <v>0</v>
      </c>
      <c r="J14" s="37"/>
    </row>
    <row r="15" spans="1:10" ht="15.15" customHeight="1">
      <c r="A15" s="63"/>
      <c r="B15" s="66" t="s">
        <v>1954</v>
      </c>
      <c r="C15" s="70"/>
      <c r="D15" s="779" t="s">
        <v>3120</v>
      </c>
      <c r="E15" s="780"/>
      <c r="F15" s="70">
        <f>VORN!I16</f>
        <v>0</v>
      </c>
      <c r="G15" s="779" t="s">
        <v>3128</v>
      </c>
      <c r="H15" s="780"/>
      <c r="I15" s="70">
        <f>VORN!I22</f>
        <v>0</v>
      </c>
      <c r="J15" s="37"/>
    </row>
    <row r="16" spans="1:10" ht="15.15" customHeight="1">
      <c r="A16" s="62" t="s">
        <v>1547</v>
      </c>
      <c r="B16" s="66" t="s">
        <v>3117</v>
      </c>
      <c r="C16" s="70"/>
      <c r="D16" s="779" t="s">
        <v>3121</v>
      </c>
      <c r="E16" s="780"/>
      <c r="F16" s="70">
        <f>VORN!I17</f>
        <v>0</v>
      </c>
      <c r="G16" s="779" t="s">
        <v>3129</v>
      </c>
      <c r="H16" s="780"/>
      <c r="I16" s="70">
        <f>VORN!I23</f>
        <v>0</v>
      </c>
      <c r="J16" s="37"/>
    </row>
    <row r="17" spans="1:11" ht="15.15" customHeight="1">
      <c r="A17" s="63"/>
      <c r="B17" s="66" t="s">
        <v>1954</v>
      </c>
      <c r="C17" s="70"/>
      <c r="D17" s="779"/>
      <c r="E17" s="780"/>
      <c r="F17" s="71"/>
      <c r="G17" s="779" t="s">
        <v>3130</v>
      </c>
      <c r="H17" s="780"/>
      <c r="I17" s="70">
        <f>VORN!I24</f>
        <v>0</v>
      </c>
      <c r="J17" s="37"/>
    </row>
    <row r="18" spans="1:11" ht="15.15" customHeight="1">
      <c r="A18" s="62" t="s">
        <v>3109</v>
      </c>
      <c r="B18" s="66" t="s">
        <v>3117</v>
      </c>
      <c r="C18" s="70"/>
      <c r="D18" s="779"/>
      <c r="E18" s="780"/>
      <c r="F18" s="71"/>
      <c r="G18" s="779" t="s">
        <v>3131</v>
      </c>
      <c r="H18" s="780"/>
      <c r="I18" s="70">
        <f>VORN!I25</f>
        <v>0</v>
      </c>
      <c r="J18" s="37"/>
    </row>
    <row r="19" spans="1:11" ht="15.15" customHeight="1">
      <c r="A19" s="63"/>
      <c r="B19" s="66" t="s">
        <v>1954</v>
      </c>
      <c r="C19" s="70"/>
      <c r="D19" s="779"/>
      <c r="E19" s="780"/>
      <c r="F19" s="71"/>
      <c r="G19" s="779" t="s">
        <v>3160</v>
      </c>
      <c r="H19" s="780"/>
      <c r="I19" s="70">
        <f>VORN!I26</f>
        <v>0</v>
      </c>
      <c r="J19" s="37"/>
    </row>
    <row r="20" spans="1:11" ht="15.15" customHeight="1">
      <c r="A20" s="777" t="s">
        <v>3110</v>
      </c>
      <c r="B20" s="778"/>
      <c r="C20" s="70"/>
      <c r="D20" s="779"/>
      <c r="E20" s="780"/>
      <c r="F20" s="71"/>
      <c r="G20" s="779"/>
      <c r="H20" s="780"/>
      <c r="I20" s="71"/>
      <c r="J20" s="37"/>
    </row>
    <row r="21" spans="1:11" ht="15.15" customHeight="1">
      <c r="A21" s="777" t="s">
        <v>3170</v>
      </c>
      <c r="B21" s="778"/>
      <c r="C21" s="70"/>
      <c r="D21" s="779"/>
      <c r="E21" s="780"/>
      <c r="F21" s="71"/>
      <c r="G21" s="779"/>
      <c r="H21" s="780"/>
      <c r="I21" s="71"/>
      <c r="J21" s="37"/>
    </row>
    <row r="22" spans="1:11" ht="16.649999999999999" customHeight="1">
      <c r="A22" s="777" t="s">
        <v>3111</v>
      </c>
      <c r="B22" s="778"/>
      <c r="C22" s="70">
        <f>'Celková rekapitulace'!I14</f>
        <v>0</v>
      </c>
      <c r="D22" s="777" t="s">
        <v>3122</v>
      </c>
      <c r="E22" s="778"/>
      <c r="F22" s="70">
        <f>SUM(F14:F21)</f>
        <v>0</v>
      </c>
      <c r="G22" s="777" t="s">
        <v>3132</v>
      </c>
      <c r="H22" s="778"/>
      <c r="I22" s="70">
        <f>VORN!F31</f>
        <v>0</v>
      </c>
      <c r="J22" s="37"/>
    </row>
    <row r="23" spans="1:11" ht="15.15" customHeight="1">
      <c r="A23" s="9"/>
      <c r="B23" s="9"/>
      <c r="C23" s="68"/>
      <c r="D23" s="777" t="s">
        <v>3123</v>
      </c>
      <c r="E23" s="778"/>
      <c r="F23" s="72">
        <v>0</v>
      </c>
      <c r="G23" s="777" t="s">
        <v>3133</v>
      </c>
      <c r="H23" s="778"/>
      <c r="I23" s="70">
        <v>0</v>
      </c>
      <c r="J23" s="37"/>
    </row>
    <row r="24" spans="1:11" ht="15.15" customHeight="1">
      <c r="D24" s="9"/>
      <c r="E24" s="9"/>
      <c r="F24" s="73"/>
      <c r="G24" s="777" t="s">
        <v>3134</v>
      </c>
      <c r="H24" s="778"/>
      <c r="I24" s="70">
        <f>VORN!I41</f>
        <v>0</v>
      </c>
      <c r="J24" s="37"/>
    </row>
    <row r="25" spans="1:11" ht="15.15" customHeight="1">
      <c r="F25" s="74"/>
      <c r="G25" s="777" t="s">
        <v>3135</v>
      </c>
      <c r="H25" s="778"/>
      <c r="I25" s="70">
        <v>0</v>
      </c>
      <c r="J25" s="37"/>
    </row>
    <row r="26" spans="1:11">
      <c r="A26" s="60"/>
      <c r="B26" s="60"/>
      <c r="C26" s="60"/>
      <c r="G26" s="9"/>
      <c r="H26" s="9"/>
      <c r="I26" s="9"/>
    </row>
    <row r="27" spans="1:11" ht="15.15" customHeight="1">
      <c r="A27" s="772" t="s">
        <v>3112</v>
      </c>
      <c r="B27" s="773"/>
      <c r="C27" s="75">
        <f>SUM('D1.1.+D1.2 - Stav+konstrukční'!AJ12:AJ810)</f>
        <v>0</v>
      </c>
      <c r="D27" s="69"/>
      <c r="E27" s="60"/>
      <c r="F27" s="60"/>
      <c r="G27" s="60"/>
      <c r="H27" s="60"/>
      <c r="I27" s="60"/>
    </row>
    <row r="28" spans="1:11" ht="15.15" customHeight="1">
      <c r="A28" s="772" t="s">
        <v>3113</v>
      </c>
      <c r="B28" s="773"/>
      <c r="C28" s="75">
        <f>SUM('D1.1.+D1.2 - Stav+konstrukční'!AK12:AK810)</f>
        <v>0</v>
      </c>
      <c r="D28" s="772" t="s">
        <v>3124</v>
      </c>
      <c r="E28" s="773"/>
      <c r="F28" s="75">
        <f>ROUND(C28*(15/100),2)</f>
        <v>0</v>
      </c>
      <c r="G28" s="772" t="s">
        <v>3136</v>
      </c>
      <c r="H28" s="773"/>
      <c r="I28" s="75">
        <f>SUM(C27:C29)</f>
        <v>0</v>
      </c>
      <c r="J28" s="37"/>
    </row>
    <row r="29" spans="1:11" ht="15.15" customHeight="1">
      <c r="A29" s="772" t="s">
        <v>3114</v>
      </c>
      <c r="B29" s="773"/>
      <c r="C29" s="75">
        <f>C22+(F22+I22+F23+I23+I24+I25)</f>
        <v>0</v>
      </c>
      <c r="D29" s="772" t="s">
        <v>3125</v>
      </c>
      <c r="E29" s="773"/>
      <c r="F29" s="75">
        <f>ROUND(C29*(21/100),2)</f>
        <v>0</v>
      </c>
      <c r="G29" s="772" t="s">
        <v>3137</v>
      </c>
      <c r="H29" s="773"/>
      <c r="I29" s="75">
        <f>SUM(F28:F29)+I28</f>
        <v>0</v>
      </c>
      <c r="J29" s="37"/>
      <c r="K29" s="413"/>
    </row>
    <row r="30" spans="1:11">
      <c r="A30" s="64"/>
      <c r="B30" s="64"/>
      <c r="C30" s="64"/>
      <c r="D30" s="64"/>
      <c r="E30" s="64"/>
      <c r="F30" s="64"/>
      <c r="G30" s="64"/>
      <c r="H30" s="64"/>
      <c r="I30" s="64"/>
    </row>
    <row r="31" spans="1:11" ht="14.4" customHeight="1">
      <c r="A31" s="774" t="s">
        <v>3115</v>
      </c>
      <c r="B31" s="775"/>
      <c r="C31" s="776"/>
      <c r="D31" s="774" t="s">
        <v>3126</v>
      </c>
      <c r="E31" s="775"/>
      <c r="F31" s="776"/>
      <c r="G31" s="774" t="s">
        <v>3138</v>
      </c>
      <c r="H31" s="775"/>
      <c r="I31" s="776"/>
      <c r="J31" s="38"/>
    </row>
    <row r="32" spans="1:11" ht="14.4" customHeight="1">
      <c r="A32" s="766"/>
      <c r="B32" s="767"/>
      <c r="C32" s="768"/>
      <c r="D32" s="766"/>
      <c r="E32" s="767"/>
      <c r="F32" s="768"/>
      <c r="G32" s="766"/>
      <c r="H32" s="767"/>
      <c r="I32" s="768"/>
      <c r="J32" s="38"/>
    </row>
    <row r="33" spans="1:10" ht="14.4" customHeight="1">
      <c r="A33" s="766"/>
      <c r="B33" s="767"/>
      <c r="C33" s="768"/>
      <c r="D33" s="766"/>
      <c r="E33" s="767"/>
      <c r="F33" s="768"/>
      <c r="G33" s="766"/>
      <c r="H33" s="767"/>
      <c r="I33" s="768"/>
      <c r="J33" s="38"/>
    </row>
    <row r="34" spans="1:10" ht="14.4" customHeight="1">
      <c r="A34" s="766"/>
      <c r="B34" s="767"/>
      <c r="C34" s="768"/>
      <c r="D34" s="766"/>
      <c r="E34" s="767"/>
      <c r="F34" s="768"/>
      <c r="G34" s="766"/>
      <c r="H34" s="767"/>
      <c r="I34" s="768"/>
      <c r="J34" s="38"/>
    </row>
    <row r="35" spans="1:10" ht="14.4" customHeight="1">
      <c r="A35" s="769" t="s">
        <v>3116</v>
      </c>
      <c r="B35" s="770"/>
      <c r="C35" s="771"/>
      <c r="D35" s="769" t="s">
        <v>3116</v>
      </c>
      <c r="E35" s="770"/>
      <c r="F35" s="771"/>
      <c r="G35" s="769" t="s">
        <v>3116</v>
      </c>
      <c r="H35" s="770"/>
      <c r="I35" s="771"/>
      <c r="J35" s="38"/>
    </row>
    <row r="36" spans="1:10" ht="11.25" customHeight="1">
      <c r="A36" s="65" t="s">
        <v>605</v>
      </c>
      <c r="B36" s="67"/>
      <c r="C36" s="67"/>
      <c r="D36" s="67"/>
      <c r="E36" s="67"/>
      <c r="F36" s="67"/>
      <c r="G36" s="67"/>
      <c r="H36" s="67"/>
      <c r="I36" s="67"/>
    </row>
    <row r="37" spans="1:10">
      <c r="A37" s="764"/>
      <c r="B37" s="765"/>
      <c r="C37" s="765"/>
      <c r="D37" s="765"/>
      <c r="E37" s="765"/>
      <c r="F37" s="765"/>
      <c r="G37" s="765"/>
      <c r="H37" s="765"/>
      <c r="I37" s="765"/>
    </row>
  </sheetData>
  <mergeCells count="83">
    <mergeCell ref="C1:I1"/>
    <mergeCell ref="A2:B3"/>
    <mergeCell ref="C2:D3"/>
    <mergeCell ref="E2:E3"/>
    <mergeCell ref="F2:G3"/>
    <mergeCell ref="H2:H3"/>
    <mergeCell ref="I2:I3"/>
    <mergeCell ref="I6:I7"/>
    <mergeCell ref="A4:B5"/>
    <mergeCell ref="C4:D5"/>
    <mergeCell ref="E4:E5"/>
    <mergeCell ref="F4:G5"/>
    <mergeCell ref="H4:H5"/>
    <mergeCell ref="I4:I5"/>
    <mergeCell ref="A6:B7"/>
    <mergeCell ref="C6:D7"/>
    <mergeCell ref="E6:E7"/>
    <mergeCell ref="F6:G7"/>
    <mergeCell ref="H6:H7"/>
    <mergeCell ref="I10:I11"/>
    <mergeCell ref="A8:B9"/>
    <mergeCell ref="C8:D9"/>
    <mergeCell ref="E8:E9"/>
    <mergeCell ref="F8:G9"/>
    <mergeCell ref="H8:H9"/>
    <mergeCell ref="I8:I9"/>
    <mergeCell ref="A10:B11"/>
    <mergeCell ref="C10:D11"/>
    <mergeCell ref="E10:E11"/>
    <mergeCell ref="F10:G11"/>
    <mergeCell ref="H10:H11"/>
    <mergeCell ref="A12:I12"/>
    <mergeCell ref="B13:C13"/>
    <mergeCell ref="E13:F13"/>
    <mergeCell ref="H13:I13"/>
    <mergeCell ref="D14:E14"/>
    <mergeCell ref="G14:H14"/>
    <mergeCell ref="D15:E15"/>
    <mergeCell ref="G15:H15"/>
    <mergeCell ref="D16:E16"/>
    <mergeCell ref="G16:H16"/>
    <mergeCell ref="D17:E17"/>
    <mergeCell ref="G17:H17"/>
    <mergeCell ref="D18:E18"/>
    <mergeCell ref="G18:H18"/>
    <mergeCell ref="D19:E19"/>
    <mergeCell ref="G19:H19"/>
    <mergeCell ref="A20:B20"/>
    <mergeCell ref="D20:E20"/>
    <mergeCell ref="G20:H20"/>
    <mergeCell ref="A28:B28"/>
    <mergeCell ref="D28:E28"/>
    <mergeCell ref="G28:H28"/>
    <mergeCell ref="A21:B21"/>
    <mergeCell ref="D21:E21"/>
    <mergeCell ref="G21:H21"/>
    <mergeCell ref="A22:B22"/>
    <mergeCell ref="D22:E22"/>
    <mergeCell ref="G22:H22"/>
    <mergeCell ref="D23:E23"/>
    <mergeCell ref="G23:H23"/>
    <mergeCell ref="G24:H24"/>
    <mergeCell ref="G25:H25"/>
    <mergeCell ref="A27:B27"/>
    <mergeCell ref="A29:B29"/>
    <mergeCell ref="D29:E29"/>
    <mergeCell ref="G29:H29"/>
    <mergeCell ref="A31:C31"/>
    <mergeCell ref="D31:F31"/>
    <mergeCell ref="G31:I31"/>
    <mergeCell ref="A32:C32"/>
    <mergeCell ref="D32:F32"/>
    <mergeCell ref="G32:I32"/>
    <mergeCell ref="A33:C33"/>
    <mergeCell ref="D33:F33"/>
    <mergeCell ref="G33:I33"/>
    <mergeCell ref="A37:I37"/>
    <mergeCell ref="A34:C34"/>
    <mergeCell ref="D34:F34"/>
    <mergeCell ref="G34:I34"/>
    <mergeCell ref="A35:C35"/>
    <mergeCell ref="D35:F35"/>
    <mergeCell ref="G35:I35"/>
  </mergeCells>
  <pageMargins left="0.39400000000000002" right="0.39400000000000002" top="0.59099999999999997" bottom="0.59099999999999997" header="0.5" footer="0.5"/>
  <pageSetup paperSize="0" orientation="landscape"/>
  <headerFooter alignWithMargins="0"/>
  <drawing r:id="rId1"/>
</worksheet>
</file>

<file path=xl/worksheets/sheet10.xml><?xml version="1.0" encoding="utf-8"?>
<worksheet xmlns="http://schemas.openxmlformats.org/spreadsheetml/2006/main" xmlns:r="http://schemas.openxmlformats.org/officeDocument/2006/relationships">
  <dimension ref="A1:U316"/>
  <sheetViews>
    <sheetView zoomScaleNormal="100" workbookViewId="0"/>
  </sheetViews>
  <sheetFormatPr defaultColWidth="8" defaultRowHeight="13.2"/>
  <cols>
    <col min="1" max="1" width="12.5546875" style="296" customWidth="1"/>
    <col min="2" max="2" width="10.109375" style="296" customWidth="1"/>
    <col min="3" max="3" width="10.5546875" style="296" customWidth="1"/>
    <col min="4" max="4" width="57" style="296" customWidth="1"/>
    <col min="5" max="5" width="4.5546875" style="296" customWidth="1"/>
    <col min="6" max="6" width="8" style="296"/>
    <col min="7" max="7" width="8.6640625" style="296" customWidth="1"/>
    <col min="8" max="8" width="10" style="339" customWidth="1"/>
    <col min="9" max="9" width="11.5546875" style="339" customWidth="1"/>
    <col min="10" max="10" width="8" style="303"/>
    <col min="11" max="16384" width="8" style="98"/>
  </cols>
  <sheetData>
    <row r="1" spans="1:21" ht="27.75" customHeight="1">
      <c r="A1" s="736" t="s">
        <v>5855</v>
      </c>
      <c r="B1" s="295"/>
      <c r="C1" s="295"/>
      <c r="F1" s="295"/>
      <c r="G1" s="295"/>
      <c r="H1" s="297"/>
      <c r="I1" s="298"/>
      <c r="J1" s="293"/>
      <c r="K1" s="294"/>
      <c r="L1" s="294"/>
      <c r="M1" s="294"/>
      <c r="N1" s="294"/>
      <c r="O1" s="294"/>
      <c r="P1" s="294"/>
      <c r="Q1" s="294"/>
      <c r="R1" s="294"/>
      <c r="S1" s="294"/>
      <c r="T1" s="294"/>
      <c r="U1" s="294"/>
    </row>
    <row r="2" spans="1:21" ht="34.5" customHeight="1">
      <c r="A2" s="299" t="s">
        <v>5853</v>
      </c>
      <c r="B2" s="300" t="s">
        <v>5854</v>
      </c>
      <c r="C2" s="300" t="s">
        <v>4289</v>
      </c>
      <c r="D2" s="300" t="s">
        <v>4290</v>
      </c>
      <c r="E2" s="300" t="s">
        <v>1937</v>
      </c>
      <c r="F2" s="300" t="s">
        <v>4291</v>
      </c>
      <c r="G2" s="300" t="s">
        <v>4292</v>
      </c>
      <c r="H2" s="301" t="s">
        <v>5847</v>
      </c>
      <c r="I2" s="302" t="s">
        <v>4293</v>
      </c>
    </row>
    <row r="3" spans="1:21" ht="20.100000000000001" customHeight="1">
      <c r="A3" s="299"/>
      <c r="B3" s="304"/>
      <c r="C3" s="305"/>
      <c r="D3" s="306" t="s">
        <v>4294</v>
      </c>
      <c r="E3" s="300" t="s">
        <v>4295</v>
      </c>
      <c r="F3" s="300"/>
      <c r="G3" s="300"/>
      <c r="H3" s="307"/>
      <c r="I3" s="308" t="s">
        <v>4295</v>
      </c>
    </row>
    <row r="4" spans="1:21" ht="61.8">
      <c r="A4" s="309">
        <v>1</v>
      </c>
      <c r="B4" s="310" t="s">
        <v>4296</v>
      </c>
      <c r="C4" s="311" t="s">
        <v>4297</v>
      </c>
      <c r="D4" s="312" t="s">
        <v>4298</v>
      </c>
      <c r="E4" s="313" t="s">
        <v>3226</v>
      </c>
      <c r="F4" s="313">
        <v>1</v>
      </c>
      <c r="G4" s="313"/>
      <c r="H4" s="718">
        <v>0</v>
      </c>
      <c r="I4" s="308">
        <f>F4*H4</f>
        <v>0</v>
      </c>
    </row>
    <row r="5" spans="1:21" ht="31.2">
      <c r="A5" s="314" t="s">
        <v>4299</v>
      </c>
      <c r="B5" s="310" t="s">
        <v>4300</v>
      </c>
      <c r="C5" s="311" t="s">
        <v>4301</v>
      </c>
      <c r="D5" s="312" t="s">
        <v>4302</v>
      </c>
      <c r="E5" s="313" t="s">
        <v>3226</v>
      </c>
      <c r="F5" s="313">
        <v>2</v>
      </c>
      <c r="G5" s="313"/>
      <c r="H5" s="718">
        <v>0</v>
      </c>
      <c r="I5" s="308">
        <f t="shared" ref="I5:I68" si="0">F5*H5</f>
        <v>0</v>
      </c>
    </row>
    <row r="6" spans="1:21" ht="20.100000000000001" customHeight="1">
      <c r="A6" s="314" t="s">
        <v>3963</v>
      </c>
      <c r="B6" s="310" t="s">
        <v>4303</v>
      </c>
      <c r="C6" s="311" t="s">
        <v>4304</v>
      </c>
      <c r="D6" s="300" t="s">
        <v>4305</v>
      </c>
      <c r="E6" s="313" t="s">
        <v>1939</v>
      </c>
      <c r="F6" s="313">
        <v>15</v>
      </c>
      <c r="G6" s="313"/>
      <c r="H6" s="718">
        <v>0</v>
      </c>
      <c r="I6" s="308">
        <f t="shared" si="0"/>
        <v>0</v>
      </c>
    </row>
    <row r="7" spans="1:21" ht="20.100000000000001" customHeight="1">
      <c r="A7" s="314" t="s">
        <v>3943</v>
      </c>
      <c r="B7" s="310" t="s">
        <v>4306</v>
      </c>
      <c r="C7" s="311" t="s">
        <v>4307</v>
      </c>
      <c r="D7" s="300" t="s">
        <v>4308</v>
      </c>
      <c r="E7" s="313" t="s">
        <v>3233</v>
      </c>
      <c r="F7" s="313">
        <v>2</v>
      </c>
      <c r="G7" s="313"/>
      <c r="H7" s="718">
        <v>0</v>
      </c>
      <c r="I7" s="308">
        <f t="shared" si="0"/>
        <v>0</v>
      </c>
    </row>
    <row r="8" spans="1:21" ht="20.100000000000001" customHeight="1">
      <c r="A8" s="314" t="s">
        <v>4309</v>
      </c>
      <c r="B8" s="310" t="s">
        <v>4306</v>
      </c>
      <c r="C8" s="311" t="s">
        <v>4310</v>
      </c>
      <c r="D8" s="300" t="s">
        <v>4311</v>
      </c>
      <c r="E8" s="313" t="s">
        <v>3233</v>
      </c>
      <c r="F8" s="313">
        <v>2</v>
      </c>
      <c r="G8" s="313"/>
      <c r="H8" s="718">
        <v>0</v>
      </c>
      <c r="I8" s="308">
        <f t="shared" si="0"/>
        <v>0</v>
      </c>
    </row>
    <row r="9" spans="1:21" ht="20.100000000000001" customHeight="1">
      <c r="A9" s="315"/>
      <c r="B9" s="310"/>
      <c r="C9" s="311"/>
      <c r="D9" s="300" t="s">
        <v>4295</v>
      </c>
      <c r="E9" s="313" t="s">
        <v>4295</v>
      </c>
      <c r="F9" s="313"/>
      <c r="G9" s="313"/>
      <c r="H9" s="307"/>
      <c r="I9" s="308"/>
    </row>
    <row r="10" spans="1:21" ht="20.100000000000001" customHeight="1">
      <c r="A10" s="314"/>
      <c r="B10" s="310"/>
      <c r="C10" s="311"/>
      <c r="D10" s="316" t="s">
        <v>4312</v>
      </c>
      <c r="E10" s="313" t="s">
        <v>4295</v>
      </c>
      <c r="F10" s="313"/>
      <c r="G10" s="313"/>
      <c r="H10" s="307"/>
      <c r="I10" s="308"/>
    </row>
    <row r="11" spans="1:21" ht="20.100000000000001" customHeight="1">
      <c r="A11" s="314" t="s">
        <v>4313</v>
      </c>
      <c r="B11" s="310" t="s">
        <v>4314</v>
      </c>
      <c r="C11" s="311" t="s">
        <v>4315</v>
      </c>
      <c r="D11" s="300" t="s">
        <v>4316</v>
      </c>
      <c r="E11" s="313" t="s">
        <v>3226</v>
      </c>
      <c r="F11" s="313">
        <v>1</v>
      </c>
      <c r="G11" s="313"/>
      <c r="H11" s="718">
        <v>0</v>
      </c>
      <c r="I11" s="308">
        <f t="shared" si="0"/>
        <v>0</v>
      </c>
    </row>
    <row r="12" spans="1:21" ht="20.100000000000001" customHeight="1">
      <c r="A12" s="314" t="s">
        <v>4317</v>
      </c>
      <c r="B12" s="310" t="s">
        <v>4318</v>
      </c>
      <c r="C12" s="311" t="s">
        <v>4319</v>
      </c>
      <c r="D12" s="300" t="s">
        <v>4320</v>
      </c>
      <c r="E12" s="313" t="s">
        <v>3226</v>
      </c>
      <c r="F12" s="313">
        <v>1</v>
      </c>
      <c r="G12" s="313"/>
      <c r="H12" s="718">
        <v>0</v>
      </c>
      <c r="I12" s="308">
        <f t="shared" si="0"/>
        <v>0</v>
      </c>
    </row>
    <row r="13" spans="1:21" ht="20.100000000000001" customHeight="1">
      <c r="A13" s="314" t="s">
        <v>4321</v>
      </c>
      <c r="B13" s="310" t="s">
        <v>4322</v>
      </c>
      <c r="C13" s="311" t="s">
        <v>4323</v>
      </c>
      <c r="D13" s="300" t="s">
        <v>4324</v>
      </c>
      <c r="E13" s="313" t="s">
        <v>3226</v>
      </c>
      <c r="F13" s="313">
        <v>1</v>
      </c>
      <c r="G13" s="313"/>
      <c r="H13" s="718">
        <v>0</v>
      </c>
      <c r="I13" s="308">
        <f t="shared" si="0"/>
        <v>0</v>
      </c>
    </row>
    <row r="14" spans="1:21" ht="20.100000000000001" customHeight="1">
      <c r="A14" s="315"/>
      <c r="B14" s="310"/>
      <c r="C14" s="311"/>
      <c r="D14" s="300" t="s">
        <v>4295</v>
      </c>
      <c r="E14" s="313" t="s">
        <v>4295</v>
      </c>
      <c r="F14" s="313"/>
      <c r="G14" s="313"/>
      <c r="H14" s="307"/>
      <c r="I14" s="308"/>
    </row>
    <row r="15" spans="1:21" ht="20.100000000000001" customHeight="1">
      <c r="A15" s="314"/>
      <c r="B15" s="310"/>
      <c r="C15" s="311"/>
      <c r="D15" s="316" t="s">
        <v>4325</v>
      </c>
      <c r="E15" s="313" t="s">
        <v>4295</v>
      </c>
      <c r="F15" s="313"/>
      <c r="G15" s="313"/>
      <c r="H15" s="307"/>
      <c r="I15" s="308"/>
    </row>
    <row r="16" spans="1:21" ht="20.100000000000001" customHeight="1">
      <c r="A16" s="314" t="s">
        <v>4326</v>
      </c>
      <c r="B16" s="310" t="s">
        <v>4327</v>
      </c>
      <c r="C16" s="311" t="s">
        <v>4328</v>
      </c>
      <c r="D16" s="300" t="s">
        <v>4329</v>
      </c>
      <c r="E16" s="313" t="s">
        <v>1939</v>
      </c>
      <c r="F16" s="313">
        <v>9</v>
      </c>
      <c r="G16" s="313"/>
      <c r="H16" s="719">
        <v>0</v>
      </c>
      <c r="I16" s="308">
        <f t="shared" si="0"/>
        <v>0</v>
      </c>
    </row>
    <row r="17" spans="1:9" ht="20.100000000000001" customHeight="1">
      <c r="A17" s="314" t="s">
        <v>4330</v>
      </c>
      <c r="B17" s="310" t="s">
        <v>4331</v>
      </c>
      <c r="C17" s="311" t="s">
        <v>4332</v>
      </c>
      <c r="D17" s="300" t="s">
        <v>4333</v>
      </c>
      <c r="E17" s="313" t="s">
        <v>1939</v>
      </c>
      <c r="F17" s="313">
        <v>35</v>
      </c>
      <c r="G17" s="313"/>
      <c r="H17" s="719">
        <v>0</v>
      </c>
      <c r="I17" s="308">
        <f t="shared" si="0"/>
        <v>0</v>
      </c>
    </row>
    <row r="18" spans="1:9" ht="20.100000000000001" customHeight="1">
      <c r="A18" s="314" t="s">
        <v>4334</v>
      </c>
      <c r="B18" s="310" t="s">
        <v>4335</v>
      </c>
      <c r="C18" s="311" t="s">
        <v>4336</v>
      </c>
      <c r="D18" s="300" t="s">
        <v>4337</v>
      </c>
      <c r="E18" s="313" t="s">
        <v>1939</v>
      </c>
      <c r="F18" s="313">
        <v>14</v>
      </c>
      <c r="G18" s="313"/>
      <c r="H18" s="719">
        <v>0</v>
      </c>
      <c r="I18" s="308">
        <f t="shared" si="0"/>
        <v>0</v>
      </c>
    </row>
    <row r="19" spans="1:9" ht="20.100000000000001" customHeight="1">
      <c r="A19" s="314" t="s">
        <v>4338</v>
      </c>
      <c r="B19" s="310" t="s">
        <v>4339</v>
      </c>
      <c r="C19" s="311" t="s">
        <v>4340</v>
      </c>
      <c r="D19" s="300" t="s">
        <v>4341</v>
      </c>
      <c r="E19" s="313" t="s">
        <v>1939</v>
      </c>
      <c r="F19" s="313">
        <v>17</v>
      </c>
      <c r="G19" s="313"/>
      <c r="H19" s="719">
        <v>0</v>
      </c>
      <c r="I19" s="308">
        <f t="shared" si="0"/>
        <v>0</v>
      </c>
    </row>
    <row r="20" spans="1:9" ht="20.100000000000001" customHeight="1">
      <c r="A20" s="314" t="s">
        <v>4342</v>
      </c>
      <c r="B20" s="310" t="s">
        <v>4343</v>
      </c>
      <c r="C20" s="311" t="s">
        <v>4344</v>
      </c>
      <c r="D20" s="300" t="s">
        <v>4345</v>
      </c>
      <c r="E20" s="313" t="s">
        <v>1939</v>
      </c>
      <c r="F20" s="313">
        <v>11</v>
      </c>
      <c r="G20" s="313"/>
      <c r="H20" s="719">
        <v>0</v>
      </c>
      <c r="I20" s="308">
        <f t="shared" si="0"/>
        <v>0</v>
      </c>
    </row>
    <row r="21" spans="1:9" ht="20.100000000000001" customHeight="1">
      <c r="A21" s="314" t="s">
        <v>4346</v>
      </c>
      <c r="B21" s="310" t="s">
        <v>4347</v>
      </c>
      <c r="C21" s="311">
        <v>4298150145</v>
      </c>
      <c r="D21" s="300" t="s">
        <v>4348</v>
      </c>
      <c r="E21" s="313" t="s">
        <v>1939</v>
      </c>
      <c r="F21" s="313">
        <v>25</v>
      </c>
      <c r="G21" s="313"/>
      <c r="H21" s="719">
        <v>0</v>
      </c>
      <c r="I21" s="308">
        <f t="shared" si="0"/>
        <v>0</v>
      </c>
    </row>
    <row r="22" spans="1:9" ht="20.100000000000001" customHeight="1">
      <c r="A22" s="314" t="s">
        <v>4349</v>
      </c>
      <c r="B22" s="310" t="s">
        <v>4350</v>
      </c>
      <c r="C22" s="311">
        <v>4298150144</v>
      </c>
      <c r="D22" s="300" t="s">
        <v>4351</v>
      </c>
      <c r="E22" s="313" t="s">
        <v>1939</v>
      </c>
      <c r="F22" s="313">
        <v>2</v>
      </c>
      <c r="G22" s="313"/>
      <c r="H22" s="719">
        <v>0</v>
      </c>
      <c r="I22" s="308">
        <f t="shared" si="0"/>
        <v>0</v>
      </c>
    </row>
    <row r="23" spans="1:9" ht="20.100000000000001" customHeight="1">
      <c r="A23" s="314" t="s">
        <v>4352</v>
      </c>
      <c r="B23" s="310" t="s">
        <v>4353</v>
      </c>
      <c r="C23" s="311">
        <v>4298150141</v>
      </c>
      <c r="D23" s="300" t="s">
        <v>4354</v>
      </c>
      <c r="E23" s="313" t="s">
        <v>1939</v>
      </c>
      <c r="F23" s="313">
        <v>12</v>
      </c>
      <c r="G23" s="313"/>
      <c r="H23" s="719">
        <v>0</v>
      </c>
      <c r="I23" s="308">
        <f t="shared" si="0"/>
        <v>0</v>
      </c>
    </row>
    <row r="24" spans="1:9" ht="20.100000000000001" customHeight="1">
      <c r="A24" s="314" t="s">
        <v>4355</v>
      </c>
      <c r="B24" s="310" t="s">
        <v>4356</v>
      </c>
      <c r="C24" s="311">
        <v>4298150140</v>
      </c>
      <c r="D24" s="300" t="s">
        <v>4357</v>
      </c>
      <c r="E24" s="313" t="s">
        <v>1939</v>
      </c>
      <c r="F24" s="313">
        <v>8</v>
      </c>
      <c r="G24" s="313"/>
      <c r="H24" s="719">
        <v>0</v>
      </c>
      <c r="I24" s="308">
        <f t="shared" si="0"/>
        <v>0</v>
      </c>
    </row>
    <row r="25" spans="1:9" ht="20.100000000000001" customHeight="1">
      <c r="A25" s="315"/>
      <c r="B25" s="310"/>
      <c r="C25" s="311"/>
      <c r="D25" s="300"/>
      <c r="E25" s="313"/>
      <c r="F25" s="313"/>
      <c r="G25" s="313"/>
      <c r="H25" s="307"/>
      <c r="I25" s="308"/>
    </row>
    <row r="26" spans="1:9" ht="20.100000000000001" customHeight="1">
      <c r="A26" s="314"/>
      <c r="B26" s="310"/>
      <c r="C26" s="311"/>
      <c r="D26" s="316" t="s">
        <v>4358</v>
      </c>
      <c r="E26" s="313" t="s">
        <v>4295</v>
      </c>
      <c r="F26" s="313"/>
      <c r="G26" s="313"/>
      <c r="H26" s="307"/>
      <c r="I26" s="308"/>
    </row>
    <row r="27" spans="1:9" ht="25.5" customHeight="1">
      <c r="A27" s="314" t="s">
        <v>4359</v>
      </c>
      <c r="B27" s="310" t="s">
        <v>4360</v>
      </c>
      <c r="C27" s="311" t="s">
        <v>4361</v>
      </c>
      <c r="D27" s="317" t="s">
        <v>4362</v>
      </c>
      <c r="E27" s="313" t="s">
        <v>1940</v>
      </c>
      <c r="F27" s="313">
        <v>19</v>
      </c>
      <c r="G27" s="313"/>
      <c r="H27" s="719">
        <v>0</v>
      </c>
      <c r="I27" s="308">
        <f t="shared" si="0"/>
        <v>0</v>
      </c>
    </row>
    <row r="28" spans="1:9" ht="25.5" customHeight="1">
      <c r="A28" s="314" t="s">
        <v>4363</v>
      </c>
      <c r="B28" s="310" t="s">
        <v>4364</v>
      </c>
      <c r="C28" s="311" t="s">
        <v>4365</v>
      </c>
      <c r="D28" s="317" t="s">
        <v>4366</v>
      </c>
      <c r="E28" s="313" t="s">
        <v>1940</v>
      </c>
      <c r="F28" s="313">
        <v>92</v>
      </c>
      <c r="G28" s="313"/>
      <c r="H28" s="719">
        <v>0</v>
      </c>
      <c r="I28" s="308">
        <f t="shared" si="0"/>
        <v>0</v>
      </c>
    </row>
    <row r="29" spans="1:9" ht="25.5" customHeight="1">
      <c r="A29" s="314" t="s">
        <v>4367</v>
      </c>
      <c r="B29" s="310" t="s">
        <v>4360</v>
      </c>
      <c r="C29" s="311" t="s">
        <v>4368</v>
      </c>
      <c r="D29" s="317" t="s">
        <v>4369</v>
      </c>
      <c r="E29" s="313" t="s">
        <v>1940</v>
      </c>
      <c r="F29" s="313">
        <v>10</v>
      </c>
      <c r="G29" s="313"/>
      <c r="H29" s="719">
        <v>0</v>
      </c>
      <c r="I29" s="308">
        <f t="shared" si="0"/>
        <v>0</v>
      </c>
    </row>
    <row r="30" spans="1:9" ht="25.5" customHeight="1">
      <c r="A30" s="314" t="s">
        <v>4370</v>
      </c>
      <c r="B30" s="310" t="s">
        <v>4364</v>
      </c>
      <c r="C30" s="311" t="s">
        <v>4371</v>
      </c>
      <c r="D30" s="317" t="s">
        <v>4372</v>
      </c>
      <c r="E30" s="313" t="s">
        <v>1940</v>
      </c>
      <c r="F30" s="313">
        <v>51</v>
      </c>
      <c r="G30" s="313"/>
      <c r="H30" s="719">
        <v>0</v>
      </c>
      <c r="I30" s="308">
        <f t="shared" si="0"/>
        <v>0</v>
      </c>
    </row>
    <row r="31" spans="1:9" ht="20.100000000000001" customHeight="1">
      <c r="A31" s="315"/>
      <c r="B31" s="310"/>
      <c r="C31" s="318"/>
      <c r="D31" s="300" t="s">
        <v>4295</v>
      </c>
      <c r="E31" s="313" t="s">
        <v>4295</v>
      </c>
      <c r="F31" s="313"/>
      <c r="G31" s="313"/>
      <c r="H31" s="307"/>
      <c r="I31" s="308"/>
    </row>
    <row r="32" spans="1:9" ht="20.100000000000001" customHeight="1">
      <c r="A32" s="314"/>
      <c r="B32" s="310"/>
      <c r="C32" s="311"/>
      <c r="D32" s="316" t="s">
        <v>4373</v>
      </c>
      <c r="E32" s="313" t="s">
        <v>4295</v>
      </c>
      <c r="F32" s="313"/>
      <c r="G32" s="313"/>
      <c r="H32" s="307"/>
      <c r="I32" s="308"/>
    </row>
    <row r="33" spans="1:9" ht="19.5" customHeight="1">
      <c r="A33" s="314" t="s">
        <v>4374</v>
      </c>
      <c r="B33" s="310" t="s">
        <v>4375</v>
      </c>
      <c r="C33" s="311" t="s">
        <v>4376</v>
      </c>
      <c r="D33" s="317" t="s">
        <v>4377</v>
      </c>
      <c r="E33" s="313" t="s">
        <v>3226</v>
      </c>
      <c r="F33" s="313">
        <v>1</v>
      </c>
      <c r="G33" s="313"/>
      <c r="H33" s="719">
        <v>0</v>
      </c>
      <c r="I33" s="308">
        <f t="shared" si="0"/>
        <v>0</v>
      </c>
    </row>
    <row r="34" spans="1:9" ht="20.399999999999999">
      <c r="A34" s="314" t="s">
        <v>4378</v>
      </c>
      <c r="B34" s="310" t="s">
        <v>4379</v>
      </c>
      <c r="C34" s="311" t="s">
        <v>4380</v>
      </c>
      <c r="D34" s="317" t="s">
        <v>4381</v>
      </c>
      <c r="E34" s="313" t="s">
        <v>3226</v>
      </c>
      <c r="F34" s="313">
        <v>1</v>
      </c>
      <c r="G34" s="313"/>
      <c r="H34" s="719">
        <v>0</v>
      </c>
      <c r="I34" s="308">
        <f t="shared" si="0"/>
        <v>0</v>
      </c>
    </row>
    <row r="35" spans="1:9" ht="20.399999999999999">
      <c r="A35" s="314" t="s">
        <v>4382</v>
      </c>
      <c r="B35" s="310" t="s">
        <v>4383</v>
      </c>
      <c r="C35" s="311" t="s">
        <v>4384</v>
      </c>
      <c r="D35" s="317" t="s">
        <v>4381</v>
      </c>
      <c r="E35" s="313" t="s">
        <v>3226</v>
      </c>
      <c r="F35" s="313">
        <v>1</v>
      </c>
      <c r="G35" s="313"/>
      <c r="H35" s="719">
        <v>0</v>
      </c>
      <c r="I35" s="308">
        <f t="shared" si="0"/>
        <v>0</v>
      </c>
    </row>
    <row r="36" spans="1:9" ht="20.100000000000001" customHeight="1">
      <c r="A36" s="315"/>
      <c r="B36" s="310"/>
      <c r="C36" s="318"/>
      <c r="D36" s="300"/>
      <c r="E36" s="313"/>
      <c r="F36" s="313"/>
      <c r="G36" s="313"/>
      <c r="H36" s="307"/>
      <c r="I36" s="308"/>
    </row>
    <row r="37" spans="1:9" ht="20.100000000000001" customHeight="1">
      <c r="A37" s="314"/>
      <c r="B37" s="310"/>
      <c r="C37" s="311"/>
      <c r="D37" s="316" t="s">
        <v>2054</v>
      </c>
      <c r="E37" s="313" t="s">
        <v>4295</v>
      </c>
      <c r="F37" s="313"/>
      <c r="G37" s="313"/>
      <c r="H37" s="307"/>
      <c r="I37" s="308"/>
    </row>
    <row r="38" spans="1:9" ht="19.5" customHeight="1">
      <c r="A38" s="314" t="s">
        <v>4385</v>
      </c>
      <c r="B38" s="310" t="s">
        <v>4386</v>
      </c>
      <c r="C38" s="311" t="s">
        <v>4387</v>
      </c>
      <c r="D38" s="300" t="s">
        <v>4388</v>
      </c>
      <c r="E38" s="313" t="s">
        <v>1940</v>
      </c>
      <c r="F38" s="313">
        <v>48</v>
      </c>
      <c r="G38" s="313"/>
      <c r="H38" s="719">
        <v>0</v>
      </c>
      <c r="I38" s="308">
        <f t="shared" si="0"/>
        <v>0</v>
      </c>
    </row>
    <row r="39" spans="1:9" ht="19.5" customHeight="1">
      <c r="A39" s="314" t="s">
        <v>4389</v>
      </c>
      <c r="B39" s="310" t="s">
        <v>4390</v>
      </c>
      <c r="C39" s="311" t="s">
        <v>4391</v>
      </c>
      <c r="D39" s="300" t="s">
        <v>4392</v>
      </c>
      <c r="E39" s="313" t="s">
        <v>1940</v>
      </c>
      <c r="F39" s="313">
        <v>91</v>
      </c>
      <c r="G39" s="313"/>
      <c r="H39" s="719">
        <v>0</v>
      </c>
      <c r="I39" s="308">
        <f t="shared" si="0"/>
        <v>0</v>
      </c>
    </row>
    <row r="40" spans="1:9" ht="19.5" customHeight="1">
      <c r="A40" s="315"/>
      <c r="B40" s="310"/>
      <c r="C40" s="318"/>
      <c r="D40" s="300" t="s">
        <v>4295</v>
      </c>
      <c r="E40" s="313" t="s">
        <v>4295</v>
      </c>
      <c r="F40" s="313"/>
      <c r="G40" s="313"/>
      <c r="H40" s="307"/>
      <c r="I40" s="308"/>
    </row>
    <row r="41" spans="1:9" ht="19.5" customHeight="1">
      <c r="A41" s="314"/>
      <c r="B41" s="310"/>
      <c r="C41" s="311"/>
      <c r="D41" s="316" t="s">
        <v>4393</v>
      </c>
      <c r="E41" s="313" t="s">
        <v>4295</v>
      </c>
      <c r="F41" s="313"/>
      <c r="G41" s="313"/>
      <c r="H41" s="307"/>
      <c r="I41" s="308"/>
    </row>
    <row r="42" spans="1:9" ht="20.100000000000001" customHeight="1">
      <c r="A42" s="314" t="s">
        <v>4394</v>
      </c>
      <c r="B42" s="310" t="s">
        <v>4395</v>
      </c>
      <c r="C42" s="311" t="s">
        <v>4396</v>
      </c>
      <c r="D42" s="300" t="s">
        <v>4397</v>
      </c>
      <c r="E42" s="313" t="s">
        <v>3226</v>
      </c>
      <c r="F42" s="313">
        <v>1</v>
      </c>
      <c r="G42" s="313"/>
      <c r="H42" s="719">
        <v>0</v>
      </c>
      <c r="I42" s="308">
        <f t="shared" si="0"/>
        <v>0</v>
      </c>
    </row>
    <row r="43" spans="1:9" ht="25.5" customHeight="1">
      <c r="A43" s="314" t="s">
        <v>4398</v>
      </c>
      <c r="B43" s="310" t="s">
        <v>4399</v>
      </c>
      <c r="C43" s="311" t="s">
        <v>4400</v>
      </c>
      <c r="D43" s="312" t="s">
        <v>4401</v>
      </c>
      <c r="E43" s="313" t="s">
        <v>3226</v>
      </c>
      <c r="F43" s="313">
        <v>10</v>
      </c>
      <c r="G43" s="313"/>
      <c r="H43" s="719">
        <v>0</v>
      </c>
      <c r="I43" s="308">
        <f t="shared" si="0"/>
        <v>0</v>
      </c>
    </row>
    <row r="44" spans="1:9" ht="19.5" customHeight="1">
      <c r="A44" s="314" t="s">
        <v>4402</v>
      </c>
      <c r="B44" s="319" t="s">
        <v>4403</v>
      </c>
      <c r="C44" s="311" t="s">
        <v>4404</v>
      </c>
      <c r="D44" s="300" t="s">
        <v>4405</v>
      </c>
      <c r="E44" s="313" t="s">
        <v>3226</v>
      </c>
      <c r="F44" s="313">
        <v>3</v>
      </c>
      <c r="G44" s="313"/>
      <c r="H44" s="719">
        <v>0</v>
      </c>
      <c r="I44" s="308">
        <f t="shared" si="0"/>
        <v>0</v>
      </c>
    </row>
    <row r="45" spans="1:9" ht="19.5" customHeight="1">
      <c r="A45" s="314" t="s">
        <v>4406</v>
      </c>
      <c r="B45" s="319" t="s">
        <v>4407</v>
      </c>
      <c r="C45" s="311" t="s">
        <v>4404</v>
      </c>
      <c r="D45" s="300" t="s">
        <v>4408</v>
      </c>
      <c r="E45" s="313" t="s">
        <v>3226</v>
      </c>
      <c r="F45" s="313">
        <v>5</v>
      </c>
      <c r="G45" s="313"/>
      <c r="H45" s="719">
        <v>0</v>
      </c>
      <c r="I45" s="308">
        <f t="shared" si="0"/>
        <v>0</v>
      </c>
    </row>
    <row r="46" spans="1:9" ht="19.5" customHeight="1">
      <c r="A46" s="314" t="s">
        <v>4409</v>
      </c>
      <c r="B46" s="319" t="s">
        <v>4410</v>
      </c>
      <c r="C46" s="311" t="s">
        <v>4404</v>
      </c>
      <c r="D46" s="300" t="s">
        <v>4411</v>
      </c>
      <c r="E46" s="313" t="s">
        <v>3226</v>
      </c>
      <c r="F46" s="313">
        <v>1</v>
      </c>
      <c r="G46" s="313"/>
      <c r="H46" s="719">
        <v>0</v>
      </c>
      <c r="I46" s="308">
        <f t="shared" si="0"/>
        <v>0</v>
      </c>
    </row>
    <row r="47" spans="1:9" ht="25.5" customHeight="1">
      <c r="A47" s="314" t="s">
        <v>4412</v>
      </c>
      <c r="B47" s="310" t="s">
        <v>4413</v>
      </c>
      <c r="C47" s="311" t="s">
        <v>4414</v>
      </c>
      <c r="D47" s="312" t="s">
        <v>4415</v>
      </c>
      <c r="E47" s="313" t="s">
        <v>3226</v>
      </c>
      <c r="F47" s="313">
        <v>1</v>
      </c>
      <c r="G47" s="313"/>
      <c r="H47" s="719">
        <v>0</v>
      </c>
      <c r="I47" s="308">
        <f t="shared" si="0"/>
        <v>0</v>
      </c>
    </row>
    <row r="48" spans="1:9" ht="25.5" customHeight="1">
      <c r="A48" s="314" t="s">
        <v>4416</v>
      </c>
      <c r="B48" s="310" t="s">
        <v>4417</v>
      </c>
      <c r="C48" s="311" t="s">
        <v>4418</v>
      </c>
      <c r="D48" s="312" t="s">
        <v>4419</v>
      </c>
      <c r="E48" s="313" t="s">
        <v>3226</v>
      </c>
      <c r="F48" s="313">
        <v>1</v>
      </c>
      <c r="G48" s="313"/>
      <c r="H48" s="719">
        <v>0</v>
      </c>
      <c r="I48" s="308">
        <f t="shared" si="0"/>
        <v>0</v>
      </c>
    </row>
    <row r="49" spans="1:9" ht="25.5" customHeight="1">
      <c r="A49" s="314" t="s">
        <v>4420</v>
      </c>
      <c r="B49" s="310" t="s">
        <v>4421</v>
      </c>
      <c r="C49" s="311" t="s">
        <v>4422</v>
      </c>
      <c r="D49" s="312" t="s">
        <v>4423</v>
      </c>
      <c r="E49" s="313" t="s">
        <v>3226</v>
      </c>
      <c r="F49" s="313">
        <v>1</v>
      </c>
      <c r="G49" s="313"/>
      <c r="H49" s="719">
        <v>0</v>
      </c>
      <c r="I49" s="308">
        <f t="shared" si="0"/>
        <v>0</v>
      </c>
    </row>
    <row r="50" spans="1:9" ht="25.5" customHeight="1">
      <c r="A50" s="314" t="s">
        <v>4424</v>
      </c>
      <c r="B50" s="310" t="s">
        <v>4425</v>
      </c>
      <c r="C50" s="311" t="s">
        <v>4426</v>
      </c>
      <c r="D50" s="312" t="s">
        <v>4423</v>
      </c>
      <c r="E50" s="313" t="s">
        <v>3226</v>
      </c>
      <c r="F50" s="313">
        <v>1</v>
      </c>
      <c r="G50" s="313"/>
      <c r="H50" s="719">
        <v>0</v>
      </c>
      <c r="I50" s="308">
        <f t="shared" si="0"/>
        <v>0</v>
      </c>
    </row>
    <row r="51" spans="1:9" ht="25.5" customHeight="1">
      <c r="A51" s="314" t="s">
        <v>4427</v>
      </c>
      <c r="B51" s="310" t="s">
        <v>4428</v>
      </c>
      <c r="C51" s="311" t="s">
        <v>4429</v>
      </c>
      <c r="D51" s="312" t="s">
        <v>4430</v>
      </c>
      <c r="E51" s="313" t="s">
        <v>3226</v>
      </c>
      <c r="F51" s="313">
        <v>1</v>
      </c>
      <c r="G51" s="313"/>
      <c r="H51" s="719">
        <v>0</v>
      </c>
      <c r="I51" s="308">
        <f t="shared" si="0"/>
        <v>0</v>
      </c>
    </row>
    <row r="52" spans="1:9" ht="20.100000000000001" customHeight="1">
      <c r="A52" s="314" t="s">
        <v>4431</v>
      </c>
      <c r="B52" s="310" t="s">
        <v>4432</v>
      </c>
      <c r="C52" s="311" t="s">
        <v>4433</v>
      </c>
      <c r="D52" s="300" t="s">
        <v>4434</v>
      </c>
      <c r="E52" s="313" t="s">
        <v>3226</v>
      </c>
      <c r="F52" s="313">
        <v>2</v>
      </c>
      <c r="G52" s="313"/>
      <c r="H52" s="719">
        <v>0</v>
      </c>
      <c r="I52" s="308">
        <f t="shared" si="0"/>
        <v>0</v>
      </c>
    </row>
    <row r="53" spans="1:9" ht="20.100000000000001" customHeight="1">
      <c r="A53" s="314" t="s">
        <v>4435</v>
      </c>
      <c r="B53" s="310" t="s">
        <v>4436</v>
      </c>
      <c r="C53" s="311" t="s">
        <v>4433</v>
      </c>
      <c r="D53" s="300" t="s">
        <v>4437</v>
      </c>
      <c r="E53" s="313" t="s">
        <v>3226</v>
      </c>
      <c r="F53" s="313">
        <v>2</v>
      </c>
      <c r="G53" s="313"/>
      <c r="H53" s="719">
        <v>0</v>
      </c>
      <c r="I53" s="308">
        <f t="shared" si="0"/>
        <v>0</v>
      </c>
    </row>
    <row r="54" spans="1:9" ht="20.100000000000001" customHeight="1">
      <c r="A54" s="315"/>
      <c r="B54" s="310"/>
      <c r="C54" s="98"/>
      <c r="D54" s="300" t="s">
        <v>4295</v>
      </c>
      <c r="E54" s="313" t="s">
        <v>4295</v>
      </c>
      <c r="F54" s="313"/>
      <c r="G54" s="313"/>
      <c r="H54" s="307"/>
      <c r="I54" s="308"/>
    </row>
    <row r="55" spans="1:9" ht="20.100000000000001" customHeight="1">
      <c r="A55" s="314"/>
      <c r="B55" s="310"/>
      <c r="C55" s="311"/>
      <c r="D55" s="316" t="s">
        <v>4438</v>
      </c>
      <c r="E55" s="313" t="s">
        <v>4295</v>
      </c>
      <c r="F55" s="313"/>
      <c r="G55" s="313"/>
      <c r="H55" s="307"/>
      <c r="I55" s="308"/>
    </row>
    <row r="56" spans="1:9" ht="20.100000000000001" customHeight="1">
      <c r="A56" s="314" t="s">
        <v>4439</v>
      </c>
      <c r="B56" s="310" t="s">
        <v>4440</v>
      </c>
      <c r="C56" s="311" t="s">
        <v>4441</v>
      </c>
      <c r="D56" s="300" t="s">
        <v>4442</v>
      </c>
      <c r="E56" s="313" t="s">
        <v>3226</v>
      </c>
      <c r="F56" s="313">
        <v>4</v>
      </c>
      <c r="G56" s="313"/>
      <c r="H56" s="719">
        <v>0</v>
      </c>
      <c r="I56" s="308">
        <f t="shared" si="0"/>
        <v>0</v>
      </c>
    </row>
    <row r="57" spans="1:9" ht="20.100000000000001" customHeight="1">
      <c r="A57" s="314" t="s">
        <v>4443</v>
      </c>
      <c r="B57" s="310" t="s">
        <v>4444</v>
      </c>
      <c r="C57" s="311" t="s">
        <v>4445</v>
      </c>
      <c r="D57" s="300" t="s">
        <v>4446</v>
      </c>
      <c r="E57" s="313" t="s">
        <v>3226</v>
      </c>
      <c r="F57" s="313">
        <v>1</v>
      </c>
      <c r="G57" s="313"/>
      <c r="H57" s="719">
        <v>0</v>
      </c>
      <c r="I57" s="308">
        <f t="shared" si="0"/>
        <v>0</v>
      </c>
    </row>
    <row r="58" spans="1:9" ht="20.100000000000001" customHeight="1">
      <c r="A58" s="315"/>
      <c r="B58" s="310"/>
      <c r="C58" s="318"/>
      <c r="D58" s="300" t="s">
        <v>4295</v>
      </c>
      <c r="E58" s="313" t="s">
        <v>4295</v>
      </c>
      <c r="F58" s="313"/>
      <c r="G58" s="313"/>
      <c r="H58" s="307"/>
      <c r="I58" s="308"/>
    </row>
    <row r="59" spans="1:9" ht="20.100000000000001" customHeight="1">
      <c r="A59" s="314"/>
      <c r="B59" s="310"/>
      <c r="C59" s="311"/>
      <c r="D59" s="316" t="s">
        <v>3131</v>
      </c>
      <c r="E59" s="313" t="s">
        <v>4295</v>
      </c>
      <c r="F59" s="313"/>
      <c r="G59" s="313"/>
      <c r="H59" s="307"/>
      <c r="I59" s="308"/>
    </row>
    <row r="60" spans="1:9" ht="25.5" customHeight="1">
      <c r="A60" s="314" t="s">
        <v>4447</v>
      </c>
      <c r="B60" s="310" t="s">
        <v>4448</v>
      </c>
      <c r="C60" s="311" t="s">
        <v>4449</v>
      </c>
      <c r="D60" s="312" t="s">
        <v>4450</v>
      </c>
      <c r="E60" s="313" t="s">
        <v>1940</v>
      </c>
      <c r="F60" s="313">
        <v>45</v>
      </c>
      <c r="G60" s="313"/>
      <c r="H60" s="719">
        <v>0</v>
      </c>
      <c r="I60" s="308">
        <f t="shared" si="0"/>
        <v>0</v>
      </c>
    </row>
    <row r="61" spans="1:9" ht="20.100000000000001" customHeight="1">
      <c r="A61" s="314" t="s">
        <v>4451</v>
      </c>
      <c r="B61" s="310" t="s">
        <v>4452</v>
      </c>
      <c r="C61" s="311" t="s">
        <v>4453</v>
      </c>
      <c r="D61" s="300" t="s">
        <v>4454</v>
      </c>
      <c r="E61" s="313" t="s">
        <v>4455</v>
      </c>
      <c r="F61" s="313">
        <v>5</v>
      </c>
      <c r="G61" s="313"/>
      <c r="H61" s="719">
        <v>0</v>
      </c>
      <c r="I61" s="308">
        <f t="shared" si="0"/>
        <v>0</v>
      </c>
    </row>
    <row r="62" spans="1:9" ht="36.75" customHeight="1">
      <c r="A62" s="314" t="s">
        <v>4456</v>
      </c>
      <c r="B62" s="310" t="s">
        <v>4457</v>
      </c>
      <c r="C62" s="311" t="s">
        <v>4458</v>
      </c>
      <c r="D62" s="317" t="s">
        <v>4459</v>
      </c>
      <c r="E62" s="313" t="s">
        <v>3233</v>
      </c>
      <c r="F62" s="313">
        <v>1</v>
      </c>
      <c r="G62" s="313"/>
      <c r="H62" s="719">
        <v>0</v>
      </c>
      <c r="I62" s="308">
        <f t="shared" si="0"/>
        <v>0</v>
      </c>
    </row>
    <row r="63" spans="1:9" ht="20.100000000000001" customHeight="1">
      <c r="A63" s="314"/>
      <c r="B63" s="310"/>
      <c r="C63" s="98"/>
      <c r="D63" s="300"/>
      <c r="E63" s="313"/>
      <c r="F63" s="313"/>
      <c r="G63" s="313"/>
      <c r="H63" s="307"/>
      <c r="I63" s="308"/>
    </row>
    <row r="64" spans="1:9" ht="20.100000000000001" customHeight="1">
      <c r="A64" s="320"/>
      <c r="B64" s="310"/>
      <c r="C64" s="311"/>
      <c r="D64" s="306" t="s">
        <v>4460</v>
      </c>
      <c r="E64" s="313" t="s">
        <v>4295</v>
      </c>
      <c r="F64" s="313"/>
      <c r="G64" s="313"/>
      <c r="H64" s="307"/>
      <c r="I64" s="308"/>
    </row>
    <row r="65" spans="1:9" ht="61.8">
      <c r="A65" s="309" t="s">
        <v>4461</v>
      </c>
      <c r="B65" s="310" t="s">
        <v>4462</v>
      </c>
      <c r="C65" s="311" t="s">
        <v>4463</v>
      </c>
      <c r="D65" s="312" t="s">
        <v>4464</v>
      </c>
      <c r="E65" s="313" t="s">
        <v>3226</v>
      </c>
      <c r="F65" s="313">
        <v>1</v>
      </c>
      <c r="G65" s="313"/>
      <c r="H65" s="719">
        <v>0</v>
      </c>
      <c r="I65" s="308">
        <f t="shared" si="0"/>
        <v>0</v>
      </c>
    </row>
    <row r="66" spans="1:9" ht="36.75" customHeight="1">
      <c r="A66" s="314" t="s">
        <v>4465</v>
      </c>
      <c r="B66" s="310" t="s">
        <v>4466</v>
      </c>
      <c r="C66" s="311" t="s">
        <v>4467</v>
      </c>
      <c r="D66" s="312" t="s">
        <v>4468</v>
      </c>
      <c r="E66" s="313" t="s">
        <v>3226</v>
      </c>
      <c r="F66" s="313">
        <v>2</v>
      </c>
      <c r="G66" s="313"/>
      <c r="H66" s="719">
        <v>0</v>
      </c>
      <c r="I66" s="308">
        <f t="shared" si="0"/>
        <v>0</v>
      </c>
    </row>
    <row r="67" spans="1:9" ht="61.8">
      <c r="A67" s="309" t="s">
        <v>4469</v>
      </c>
      <c r="B67" s="310" t="s">
        <v>4462</v>
      </c>
      <c r="C67" s="311" t="s">
        <v>4470</v>
      </c>
      <c r="D67" s="312" t="s">
        <v>4471</v>
      </c>
      <c r="E67" s="313" t="s">
        <v>3226</v>
      </c>
      <c r="F67" s="313">
        <v>1</v>
      </c>
      <c r="G67" s="313"/>
      <c r="H67" s="719">
        <v>0</v>
      </c>
      <c r="I67" s="308">
        <f t="shared" si="0"/>
        <v>0</v>
      </c>
    </row>
    <row r="68" spans="1:9" ht="36.75" customHeight="1">
      <c r="A68" s="314" t="s">
        <v>4472</v>
      </c>
      <c r="B68" s="310" t="s">
        <v>4466</v>
      </c>
      <c r="C68" s="311" t="s">
        <v>4473</v>
      </c>
      <c r="D68" s="312" t="s">
        <v>4468</v>
      </c>
      <c r="E68" s="313" t="s">
        <v>3226</v>
      </c>
      <c r="F68" s="313">
        <v>2</v>
      </c>
      <c r="G68" s="313"/>
      <c r="H68" s="719">
        <v>0</v>
      </c>
      <c r="I68" s="308">
        <f t="shared" si="0"/>
        <v>0</v>
      </c>
    </row>
    <row r="69" spans="1:9" ht="20.100000000000001" customHeight="1">
      <c r="A69" s="314" t="s">
        <v>4474</v>
      </c>
      <c r="B69" s="310" t="s">
        <v>4306</v>
      </c>
      <c r="C69" s="311" t="s">
        <v>4475</v>
      </c>
      <c r="D69" s="300" t="s">
        <v>4308</v>
      </c>
      <c r="E69" s="313" t="s">
        <v>3233</v>
      </c>
      <c r="F69" s="313">
        <v>4</v>
      </c>
      <c r="G69" s="313"/>
      <c r="H69" s="719">
        <v>0</v>
      </c>
      <c r="I69" s="308">
        <f t="shared" ref="I69:I132" si="1">F69*H69</f>
        <v>0</v>
      </c>
    </row>
    <row r="70" spans="1:9" ht="20.100000000000001" customHeight="1">
      <c r="A70" s="314" t="s">
        <v>4476</v>
      </c>
      <c r="B70" s="310" t="s">
        <v>4306</v>
      </c>
      <c r="C70" s="311" t="s">
        <v>4477</v>
      </c>
      <c r="D70" s="300" t="s">
        <v>4311</v>
      </c>
      <c r="E70" s="313" t="s">
        <v>3233</v>
      </c>
      <c r="F70" s="313">
        <v>4</v>
      </c>
      <c r="G70" s="313"/>
      <c r="H70" s="719">
        <v>0</v>
      </c>
      <c r="I70" s="308">
        <f t="shared" si="1"/>
        <v>0</v>
      </c>
    </row>
    <row r="71" spans="1:9" ht="20.100000000000001" customHeight="1">
      <c r="A71" s="314" t="s">
        <v>4478</v>
      </c>
      <c r="B71" s="310" t="s">
        <v>4479</v>
      </c>
      <c r="C71" s="311" t="s">
        <v>4480</v>
      </c>
      <c r="D71" s="300" t="s">
        <v>4481</v>
      </c>
      <c r="E71" s="313" t="s">
        <v>1939</v>
      </c>
      <c r="F71" s="313">
        <v>75</v>
      </c>
      <c r="G71" s="313"/>
      <c r="H71" s="719">
        <v>0</v>
      </c>
      <c r="I71" s="308">
        <f t="shared" si="1"/>
        <v>0</v>
      </c>
    </row>
    <row r="72" spans="1:9" ht="20.100000000000001" customHeight="1">
      <c r="A72" s="315"/>
      <c r="B72" s="310"/>
      <c r="C72" s="98"/>
      <c r="D72" s="300" t="s">
        <v>4295</v>
      </c>
      <c r="E72" s="313" t="s">
        <v>4295</v>
      </c>
      <c r="F72" s="313"/>
      <c r="G72" s="313"/>
      <c r="H72" s="307"/>
      <c r="I72" s="308"/>
    </row>
    <row r="73" spans="1:9" ht="19.5" customHeight="1">
      <c r="A73" s="314"/>
      <c r="B73" s="310"/>
      <c r="C73" s="311"/>
      <c r="D73" s="316" t="s">
        <v>4312</v>
      </c>
      <c r="E73" s="313" t="s">
        <v>4295</v>
      </c>
      <c r="F73" s="313"/>
      <c r="G73" s="313"/>
      <c r="H73" s="307"/>
      <c r="I73" s="308"/>
    </row>
    <row r="74" spans="1:9" ht="20.100000000000001" customHeight="1">
      <c r="A74" s="314" t="s">
        <v>4482</v>
      </c>
      <c r="B74" s="310" t="s">
        <v>4483</v>
      </c>
      <c r="C74" s="311" t="s">
        <v>4484</v>
      </c>
      <c r="D74" s="300" t="s">
        <v>4485</v>
      </c>
      <c r="E74" s="313" t="s">
        <v>3226</v>
      </c>
      <c r="F74" s="313">
        <v>2</v>
      </c>
      <c r="G74" s="313"/>
      <c r="H74" s="719">
        <v>0</v>
      </c>
      <c r="I74" s="308">
        <f t="shared" si="1"/>
        <v>0</v>
      </c>
    </row>
    <row r="75" spans="1:9" ht="20.100000000000001" customHeight="1">
      <c r="A75" s="314" t="s">
        <v>4486</v>
      </c>
      <c r="B75" s="310" t="s">
        <v>4487</v>
      </c>
      <c r="C75" s="311" t="s">
        <v>4488</v>
      </c>
      <c r="D75" s="300" t="s">
        <v>4489</v>
      </c>
      <c r="E75" s="313" t="s">
        <v>3226</v>
      </c>
      <c r="F75" s="313">
        <v>4</v>
      </c>
      <c r="G75" s="313"/>
      <c r="H75" s="719">
        <v>0</v>
      </c>
      <c r="I75" s="308">
        <f t="shared" si="1"/>
        <v>0</v>
      </c>
    </row>
    <row r="76" spans="1:9" ht="20.100000000000001" customHeight="1">
      <c r="A76" s="314" t="s">
        <v>4490</v>
      </c>
      <c r="B76" s="310" t="s">
        <v>4491</v>
      </c>
      <c r="C76" s="311" t="s">
        <v>4488</v>
      </c>
      <c r="D76" s="300" t="s">
        <v>4492</v>
      </c>
      <c r="E76" s="313" t="s">
        <v>3226</v>
      </c>
      <c r="F76" s="313">
        <v>2</v>
      </c>
      <c r="G76" s="313"/>
      <c r="H76" s="719">
        <v>0</v>
      </c>
      <c r="I76" s="308">
        <f t="shared" si="1"/>
        <v>0</v>
      </c>
    </row>
    <row r="77" spans="1:9" ht="20.100000000000001" customHeight="1">
      <c r="A77" s="315"/>
      <c r="B77" s="310"/>
      <c r="C77" s="98"/>
      <c r="D77" s="300" t="s">
        <v>4295</v>
      </c>
      <c r="E77" s="313" t="s">
        <v>4295</v>
      </c>
      <c r="F77" s="313"/>
      <c r="G77" s="313"/>
      <c r="H77" s="307"/>
      <c r="I77" s="308"/>
    </row>
    <row r="78" spans="1:9" ht="20.100000000000001" customHeight="1">
      <c r="A78" s="314"/>
      <c r="B78" s="310"/>
      <c r="C78" s="311"/>
      <c r="D78" s="316" t="s">
        <v>4325</v>
      </c>
      <c r="E78" s="313" t="s">
        <v>4295</v>
      </c>
      <c r="F78" s="313"/>
      <c r="G78" s="313"/>
      <c r="H78" s="307"/>
      <c r="I78" s="308"/>
    </row>
    <row r="79" spans="1:9" ht="20.100000000000001" customHeight="1">
      <c r="A79" s="314" t="s">
        <v>4493</v>
      </c>
      <c r="B79" s="310" t="s">
        <v>4327</v>
      </c>
      <c r="C79" s="311" t="s">
        <v>4328</v>
      </c>
      <c r="D79" s="300" t="s">
        <v>4494</v>
      </c>
      <c r="E79" s="313" t="s">
        <v>1939</v>
      </c>
      <c r="F79" s="313">
        <v>12</v>
      </c>
      <c r="G79" s="313"/>
      <c r="H79" s="719">
        <v>0</v>
      </c>
      <c r="I79" s="308">
        <f t="shared" si="1"/>
        <v>0</v>
      </c>
    </row>
    <row r="80" spans="1:9" ht="20.100000000000001" customHeight="1">
      <c r="A80" s="314" t="s">
        <v>4495</v>
      </c>
      <c r="B80" s="310" t="s">
        <v>4331</v>
      </c>
      <c r="C80" s="311" t="s">
        <v>4332</v>
      </c>
      <c r="D80" s="300" t="s">
        <v>4496</v>
      </c>
      <c r="E80" s="313" t="s">
        <v>1939</v>
      </c>
      <c r="F80" s="313">
        <v>7</v>
      </c>
      <c r="G80" s="313"/>
      <c r="H80" s="719">
        <v>0</v>
      </c>
      <c r="I80" s="308">
        <f t="shared" si="1"/>
        <v>0</v>
      </c>
    </row>
    <row r="81" spans="1:9" ht="20.100000000000001" customHeight="1">
      <c r="A81" s="314" t="s">
        <v>4497</v>
      </c>
      <c r="B81" s="310" t="s">
        <v>4335</v>
      </c>
      <c r="C81" s="311" t="s">
        <v>4336</v>
      </c>
      <c r="D81" s="300" t="s">
        <v>4498</v>
      </c>
      <c r="E81" s="313" t="s">
        <v>1939</v>
      </c>
      <c r="F81" s="313">
        <v>3</v>
      </c>
      <c r="G81" s="313"/>
      <c r="H81" s="719">
        <v>0</v>
      </c>
      <c r="I81" s="308">
        <f t="shared" si="1"/>
        <v>0</v>
      </c>
    </row>
    <row r="82" spans="1:9" ht="20.100000000000001" customHeight="1">
      <c r="A82" s="314" t="s">
        <v>4499</v>
      </c>
      <c r="B82" s="310" t="s">
        <v>4500</v>
      </c>
      <c r="C82" s="311" t="s">
        <v>4501</v>
      </c>
      <c r="D82" s="300" t="s">
        <v>4502</v>
      </c>
      <c r="E82" s="313" t="s">
        <v>1939</v>
      </c>
      <c r="F82" s="313">
        <v>22</v>
      </c>
      <c r="G82" s="313"/>
      <c r="H82" s="719">
        <v>0</v>
      </c>
      <c r="I82" s="308">
        <f t="shared" si="1"/>
        <v>0</v>
      </c>
    </row>
    <row r="83" spans="1:9" ht="20.100000000000001" customHeight="1">
      <c r="A83" s="314" t="s">
        <v>4503</v>
      </c>
      <c r="B83" s="310" t="s">
        <v>4339</v>
      </c>
      <c r="C83" s="311" t="s">
        <v>4340</v>
      </c>
      <c r="D83" s="300" t="s">
        <v>4341</v>
      </c>
      <c r="E83" s="313" t="s">
        <v>1939</v>
      </c>
      <c r="F83" s="313">
        <v>12</v>
      </c>
      <c r="G83" s="313"/>
      <c r="H83" s="719">
        <v>0</v>
      </c>
      <c r="I83" s="308">
        <f t="shared" si="1"/>
        <v>0</v>
      </c>
    </row>
    <row r="84" spans="1:9" ht="20.100000000000001" customHeight="1">
      <c r="A84" s="314" t="s">
        <v>4504</v>
      </c>
      <c r="B84" s="310" t="s">
        <v>4353</v>
      </c>
      <c r="C84" s="311">
        <v>4298150141</v>
      </c>
      <c r="D84" s="300" t="s">
        <v>4354</v>
      </c>
      <c r="E84" s="313" t="s">
        <v>1939</v>
      </c>
      <c r="F84" s="313">
        <v>4</v>
      </c>
      <c r="G84" s="313"/>
      <c r="H84" s="719">
        <v>0</v>
      </c>
      <c r="I84" s="308">
        <f t="shared" si="1"/>
        <v>0</v>
      </c>
    </row>
    <row r="85" spans="1:9" ht="20.100000000000001" customHeight="1">
      <c r="A85" s="314" t="s">
        <v>4505</v>
      </c>
      <c r="B85" s="310" t="s">
        <v>4356</v>
      </c>
      <c r="C85" s="311">
        <v>4298150140</v>
      </c>
      <c r="D85" s="300" t="s">
        <v>4357</v>
      </c>
      <c r="E85" s="313" t="s">
        <v>1939</v>
      </c>
      <c r="F85" s="313">
        <v>6</v>
      </c>
      <c r="G85" s="313"/>
      <c r="H85" s="719">
        <v>0</v>
      </c>
      <c r="I85" s="308">
        <f t="shared" si="1"/>
        <v>0</v>
      </c>
    </row>
    <row r="86" spans="1:9" ht="20.100000000000001" customHeight="1">
      <c r="A86" s="315"/>
      <c r="B86" s="310"/>
      <c r="C86" s="98"/>
      <c r="D86" s="300" t="s">
        <v>4295</v>
      </c>
      <c r="E86" s="313" t="s">
        <v>4295</v>
      </c>
      <c r="F86" s="313"/>
      <c r="G86" s="313"/>
      <c r="H86" s="307"/>
      <c r="I86" s="308"/>
    </row>
    <row r="87" spans="1:9" ht="20.100000000000001" customHeight="1">
      <c r="A87" s="314"/>
      <c r="B87" s="310"/>
      <c r="C87" s="311"/>
      <c r="D87" s="316" t="s">
        <v>4358</v>
      </c>
      <c r="E87" s="313" t="s">
        <v>4295</v>
      </c>
      <c r="F87" s="313"/>
      <c r="G87" s="313"/>
      <c r="H87" s="307"/>
      <c r="I87" s="308"/>
    </row>
    <row r="88" spans="1:9" ht="25.5" customHeight="1">
      <c r="A88" s="314" t="s">
        <v>4506</v>
      </c>
      <c r="B88" s="310" t="s">
        <v>4364</v>
      </c>
      <c r="C88" s="311" t="s">
        <v>4507</v>
      </c>
      <c r="D88" s="317" t="s">
        <v>4366</v>
      </c>
      <c r="E88" s="313" t="s">
        <v>1940</v>
      </c>
      <c r="F88" s="313">
        <v>29</v>
      </c>
      <c r="G88" s="313"/>
      <c r="H88" s="719">
        <v>0</v>
      </c>
      <c r="I88" s="308">
        <f t="shared" si="1"/>
        <v>0</v>
      </c>
    </row>
    <row r="89" spans="1:9" ht="25.5" customHeight="1">
      <c r="A89" s="314" t="s">
        <v>4508</v>
      </c>
      <c r="B89" s="310" t="s">
        <v>4509</v>
      </c>
      <c r="C89" s="311" t="s">
        <v>4510</v>
      </c>
      <c r="D89" s="317" t="s">
        <v>4511</v>
      </c>
      <c r="E89" s="313" t="s">
        <v>1940</v>
      </c>
      <c r="F89" s="313">
        <v>151</v>
      </c>
      <c r="G89" s="313"/>
      <c r="H89" s="719">
        <v>0</v>
      </c>
      <c r="I89" s="308">
        <f t="shared" si="1"/>
        <v>0</v>
      </c>
    </row>
    <row r="90" spans="1:9" ht="25.5" customHeight="1">
      <c r="A90" s="314" t="s">
        <v>4512</v>
      </c>
      <c r="B90" s="310" t="s">
        <v>4360</v>
      </c>
      <c r="C90" s="311" t="s">
        <v>4513</v>
      </c>
      <c r="D90" s="317" t="s">
        <v>4369</v>
      </c>
      <c r="E90" s="313" t="s">
        <v>1940</v>
      </c>
      <c r="F90" s="313">
        <v>35</v>
      </c>
      <c r="G90" s="313"/>
      <c r="H90" s="719">
        <v>0</v>
      </c>
      <c r="I90" s="308">
        <f t="shared" si="1"/>
        <v>0</v>
      </c>
    </row>
    <row r="91" spans="1:9" ht="25.5" customHeight="1">
      <c r="A91" s="314" t="s">
        <v>4514</v>
      </c>
      <c r="B91" s="310" t="s">
        <v>4364</v>
      </c>
      <c r="C91" s="311" t="s">
        <v>4515</v>
      </c>
      <c r="D91" s="317" t="s">
        <v>4372</v>
      </c>
      <c r="E91" s="313" t="s">
        <v>1940</v>
      </c>
      <c r="F91" s="313">
        <v>28</v>
      </c>
      <c r="G91" s="313"/>
      <c r="H91" s="719">
        <v>0</v>
      </c>
      <c r="I91" s="308">
        <f t="shared" si="1"/>
        <v>0</v>
      </c>
    </row>
    <row r="92" spans="1:9" ht="25.5" customHeight="1">
      <c r="A92" s="314" t="s">
        <v>4516</v>
      </c>
      <c r="B92" s="310" t="s">
        <v>4509</v>
      </c>
      <c r="C92" s="311" t="s">
        <v>4517</v>
      </c>
      <c r="D92" s="317" t="s">
        <v>4518</v>
      </c>
      <c r="E92" s="313" t="s">
        <v>1940</v>
      </c>
      <c r="F92" s="313">
        <v>44</v>
      </c>
      <c r="G92" s="313"/>
      <c r="H92" s="719">
        <v>0</v>
      </c>
      <c r="I92" s="308">
        <f t="shared" si="1"/>
        <v>0</v>
      </c>
    </row>
    <row r="93" spans="1:9" ht="20.100000000000001" customHeight="1">
      <c r="A93" s="315"/>
      <c r="B93" s="310"/>
      <c r="C93" s="98"/>
      <c r="D93" s="300" t="s">
        <v>4295</v>
      </c>
      <c r="E93" s="313" t="s">
        <v>4295</v>
      </c>
      <c r="F93" s="313"/>
      <c r="G93" s="313"/>
      <c r="H93" s="307"/>
      <c r="I93" s="308"/>
    </row>
    <row r="94" spans="1:9" ht="20.100000000000001" customHeight="1">
      <c r="A94" s="314"/>
      <c r="B94" s="310"/>
      <c r="C94" s="311"/>
      <c r="D94" s="316" t="s">
        <v>2054</v>
      </c>
      <c r="E94" s="313" t="s">
        <v>4295</v>
      </c>
      <c r="F94" s="313"/>
      <c r="G94" s="313"/>
      <c r="H94" s="307"/>
      <c r="I94" s="308"/>
    </row>
    <row r="95" spans="1:9" ht="19.5" customHeight="1">
      <c r="A95" s="314" t="s">
        <v>4519</v>
      </c>
      <c r="B95" s="310" t="s">
        <v>4386</v>
      </c>
      <c r="C95" s="311" t="s">
        <v>4387</v>
      </c>
      <c r="D95" s="300" t="s">
        <v>4388</v>
      </c>
      <c r="E95" s="313" t="s">
        <v>1940</v>
      </c>
      <c r="F95" s="313">
        <v>14</v>
      </c>
      <c r="G95" s="313"/>
      <c r="H95" s="719">
        <v>0</v>
      </c>
      <c r="I95" s="308">
        <f t="shared" si="1"/>
        <v>0</v>
      </c>
    </row>
    <row r="96" spans="1:9" ht="20.100000000000001" customHeight="1">
      <c r="A96" s="315"/>
      <c r="B96" s="310"/>
      <c r="C96" s="98"/>
      <c r="D96" s="300" t="s">
        <v>4295</v>
      </c>
      <c r="E96" s="313" t="s">
        <v>4295</v>
      </c>
      <c r="F96" s="313"/>
      <c r="G96" s="313"/>
      <c r="H96" s="307"/>
      <c r="I96" s="308"/>
    </row>
    <row r="97" spans="1:9" ht="20.100000000000001" customHeight="1">
      <c r="A97" s="314"/>
      <c r="B97" s="310"/>
      <c r="C97" s="311"/>
      <c r="D97" s="316" t="s">
        <v>4393</v>
      </c>
      <c r="E97" s="313" t="s">
        <v>4295</v>
      </c>
      <c r="F97" s="313"/>
      <c r="G97" s="313"/>
      <c r="H97" s="307"/>
      <c r="I97" s="308"/>
    </row>
    <row r="98" spans="1:9" ht="20.100000000000001" customHeight="1">
      <c r="A98" s="314" t="s">
        <v>4520</v>
      </c>
      <c r="B98" s="310" t="s">
        <v>4521</v>
      </c>
      <c r="C98" s="311" t="s">
        <v>4522</v>
      </c>
      <c r="D98" s="300" t="s">
        <v>4523</v>
      </c>
      <c r="E98" s="313" t="s">
        <v>3226</v>
      </c>
      <c r="F98" s="313">
        <v>1</v>
      </c>
      <c r="G98" s="313"/>
      <c r="H98" s="719">
        <v>0</v>
      </c>
      <c r="I98" s="308">
        <f t="shared" si="1"/>
        <v>0</v>
      </c>
    </row>
    <row r="99" spans="1:9" ht="20.100000000000001" customHeight="1">
      <c r="A99" s="314" t="s">
        <v>4524</v>
      </c>
      <c r="B99" s="310" t="s">
        <v>4525</v>
      </c>
      <c r="C99" s="311" t="s">
        <v>4522</v>
      </c>
      <c r="D99" s="300" t="s">
        <v>4523</v>
      </c>
      <c r="E99" s="313" t="s">
        <v>3226</v>
      </c>
      <c r="F99" s="313">
        <v>1</v>
      </c>
      <c r="G99" s="313"/>
      <c r="H99" s="719">
        <v>0</v>
      </c>
      <c r="I99" s="308">
        <f t="shared" si="1"/>
        <v>0</v>
      </c>
    </row>
    <row r="100" spans="1:9" ht="25.5" customHeight="1">
      <c r="A100" s="314" t="s">
        <v>4526</v>
      </c>
      <c r="B100" s="310" t="s">
        <v>4527</v>
      </c>
      <c r="C100" s="311" t="s">
        <v>4528</v>
      </c>
      <c r="D100" s="312" t="s">
        <v>4529</v>
      </c>
      <c r="E100" s="313" t="s">
        <v>3226</v>
      </c>
      <c r="F100" s="313">
        <v>1</v>
      </c>
      <c r="G100" s="313"/>
      <c r="H100" s="719">
        <v>0</v>
      </c>
      <c r="I100" s="308">
        <f t="shared" si="1"/>
        <v>0</v>
      </c>
    </row>
    <row r="101" spans="1:9" ht="25.5" customHeight="1">
      <c r="A101" s="314" t="s">
        <v>4530</v>
      </c>
      <c r="B101" s="310" t="s">
        <v>4531</v>
      </c>
      <c r="C101" s="311" t="s">
        <v>4532</v>
      </c>
      <c r="D101" s="312" t="s">
        <v>4533</v>
      </c>
      <c r="E101" s="313" t="s">
        <v>3226</v>
      </c>
      <c r="F101" s="313">
        <v>1</v>
      </c>
      <c r="G101" s="313"/>
      <c r="H101" s="719">
        <v>0</v>
      </c>
      <c r="I101" s="308">
        <f t="shared" si="1"/>
        <v>0</v>
      </c>
    </row>
    <row r="102" spans="1:9" ht="25.5" customHeight="1">
      <c r="A102" s="314" t="s">
        <v>4534</v>
      </c>
      <c r="B102" s="310" t="s">
        <v>4535</v>
      </c>
      <c r="C102" s="311" t="s">
        <v>4528</v>
      </c>
      <c r="D102" s="312" t="s">
        <v>4536</v>
      </c>
      <c r="E102" s="313" t="s">
        <v>3226</v>
      </c>
      <c r="F102" s="313">
        <v>1</v>
      </c>
      <c r="G102" s="313"/>
      <c r="H102" s="719">
        <v>0</v>
      </c>
      <c r="I102" s="308">
        <f t="shared" si="1"/>
        <v>0</v>
      </c>
    </row>
    <row r="103" spans="1:9" ht="25.5" customHeight="1">
      <c r="A103" s="314" t="s">
        <v>4537</v>
      </c>
      <c r="B103" s="310" t="s">
        <v>4538</v>
      </c>
      <c r="C103" s="311" t="s">
        <v>4532</v>
      </c>
      <c r="D103" s="312" t="s">
        <v>4539</v>
      </c>
      <c r="E103" s="313" t="s">
        <v>3226</v>
      </c>
      <c r="F103" s="313">
        <v>1</v>
      </c>
      <c r="G103" s="313"/>
      <c r="H103" s="719">
        <v>0</v>
      </c>
      <c r="I103" s="308">
        <f t="shared" si="1"/>
        <v>0</v>
      </c>
    </row>
    <row r="104" spans="1:9" ht="25.5" customHeight="1">
      <c r="A104" s="314" t="s">
        <v>4540</v>
      </c>
      <c r="B104" s="310" t="s">
        <v>4399</v>
      </c>
      <c r="C104" s="311" t="s">
        <v>4400</v>
      </c>
      <c r="D104" s="312" t="s">
        <v>4401</v>
      </c>
      <c r="E104" s="313" t="s">
        <v>3226</v>
      </c>
      <c r="F104" s="313">
        <v>1</v>
      </c>
      <c r="G104" s="313"/>
      <c r="H104" s="719">
        <v>0</v>
      </c>
      <c r="I104" s="308">
        <f t="shared" si="1"/>
        <v>0</v>
      </c>
    </row>
    <row r="105" spans="1:9" ht="25.5" customHeight="1">
      <c r="A105" s="314" t="s">
        <v>4541</v>
      </c>
      <c r="B105" s="310" t="s">
        <v>4542</v>
      </c>
      <c r="C105" s="311" t="s">
        <v>4400</v>
      </c>
      <c r="D105" s="312" t="s">
        <v>4543</v>
      </c>
      <c r="E105" s="313" t="s">
        <v>3226</v>
      </c>
      <c r="F105" s="313">
        <v>1</v>
      </c>
      <c r="G105" s="313"/>
      <c r="H105" s="719">
        <v>0</v>
      </c>
      <c r="I105" s="308">
        <f t="shared" si="1"/>
        <v>0</v>
      </c>
    </row>
    <row r="106" spans="1:9" ht="20.100000000000001" customHeight="1">
      <c r="A106" s="314" t="s">
        <v>4544</v>
      </c>
      <c r="B106" s="319" t="s">
        <v>4403</v>
      </c>
      <c r="C106" s="311" t="s">
        <v>4404</v>
      </c>
      <c r="D106" s="300" t="s">
        <v>4405</v>
      </c>
      <c r="E106" s="313" t="s">
        <v>3226</v>
      </c>
      <c r="F106" s="313">
        <v>2</v>
      </c>
      <c r="G106" s="313"/>
      <c r="H106" s="719">
        <v>0</v>
      </c>
      <c r="I106" s="308">
        <f t="shared" si="1"/>
        <v>0</v>
      </c>
    </row>
    <row r="107" spans="1:9" ht="20.100000000000001" customHeight="1">
      <c r="A107" s="314" t="s">
        <v>4545</v>
      </c>
      <c r="B107" s="319" t="s">
        <v>4407</v>
      </c>
      <c r="C107" s="311" t="s">
        <v>4404</v>
      </c>
      <c r="D107" s="300" t="s">
        <v>4408</v>
      </c>
      <c r="E107" s="313" t="s">
        <v>3226</v>
      </c>
      <c r="F107" s="313">
        <v>1</v>
      </c>
      <c r="G107" s="313"/>
      <c r="H107" s="719">
        <v>0</v>
      </c>
      <c r="I107" s="308">
        <f t="shared" si="1"/>
        <v>0</v>
      </c>
    </row>
    <row r="108" spans="1:9" ht="20.100000000000001" customHeight="1">
      <c r="A108" s="314" t="s">
        <v>4546</v>
      </c>
      <c r="B108" s="310" t="s">
        <v>4547</v>
      </c>
      <c r="C108" s="311" t="s">
        <v>4404</v>
      </c>
      <c r="D108" s="300" t="s">
        <v>4548</v>
      </c>
      <c r="E108" s="313" t="s">
        <v>3226</v>
      </c>
      <c r="F108" s="313">
        <v>2</v>
      </c>
      <c r="G108" s="313"/>
      <c r="H108" s="719">
        <v>0</v>
      </c>
      <c r="I108" s="308">
        <f t="shared" si="1"/>
        <v>0</v>
      </c>
    </row>
    <row r="109" spans="1:9" ht="25.5" customHeight="1">
      <c r="A109" s="314" t="s">
        <v>4549</v>
      </c>
      <c r="B109" s="310" t="s">
        <v>4550</v>
      </c>
      <c r="C109" s="311" t="s">
        <v>4400</v>
      </c>
      <c r="D109" s="312" t="s">
        <v>4551</v>
      </c>
      <c r="E109" s="313" t="s">
        <v>3226</v>
      </c>
      <c r="F109" s="313">
        <v>1</v>
      </c>
      <c r="G109" s="313"/>
      <c r="H109" s="719">
        <v>0</v>
      </c>
      <c r="I109" s="308">
        <f t="shared" si="1"/>
        <v>0</v>
      </c>
    </row>
    <row r="110" spans="1:9" ht="20.100000000000001" customHeight="1">
      <c r="A110" s="314" t="s">
        <v>4552</v>
      </c>
      <c r="B110" s="310" t="s">
        <v>4432</v>
      </c>
      <c r="C110" s="311" t="s">
        <v>4433</v>
      </c>
      <c r="D110" s="300" t="s">
        <v>4434</v>
      </c>
      <c r="E110" s="313" t="s">
        <v>3226</v>
      </c>
      <c r="F110" s="313">
        <v>2</v>
      </c>
      <c r="G110" s="313"/>
      <c r="H110" s="719">
        <v>0</v>
      </c>
      <c r="I110" s="308">
        <f t="shared" si="1"/>
        <v>0</v>
      </c>
    </row>
    <row r="111" spans="1:9" ht="20.100000000000001" customHeight="1">
      <c r="A111" s="314" t="s">
        <v>4553</v>
      </c>
      <c r="B111" s="310" t="s">
        <v>4554</v>
      </c>
      <c r="C111" s="311" t="s">
        <v>4396</v>
      </c>
      <c r="D111" s="300" t="s">
        <v>4555</v>
      </c>
      <c r="E111" s="313" t="s">
        <v>3226</v>
      </c>
      <c r="F111" s="313">
        <v>1</v>
      </c>
      <c r="G111" s="313"/>
      <c r="H111" s="719">
        <v>0</v>
      </c>
      <c r="I111" s="308">
        <f t="shared" si="1"/>
        <v>0</v>
      </c>
    </row>
    <row r="112" spans="1:9" ht="20.100000000000001" customHeight="1">
      <c r="A112" s="315"/>
      <c r="B112" s="310"/>
      <c r="C112" s="98"/>
      <c r="D112" s="300" t="s">
        <v>4295</v>
      </c>
      <c r="E112" s="313" t="s">
        <v>4295</v>
      </c>
      <c r="F112" s="313"/>
      <c r="G112" s="313"/>
      <c r="H112" s="307"/>
      <c r="I112" s="308"/>
    </row>
    <row r="113" spans="1:9" ht="20.100000000000001" customHeight="1">
      <c r="A113" s="314"/>
      <c r="B113" s="310"/>
      <c r="C113" s="311"/>
      <c r="D113" s="316" t="s">
        <v>4438</v>
      </c>
      <c r="E113" s="313" t="s">
        <v>4295</v>
      </c>
      <c r="F113" s="313"/>
      <c r="G113" s="313"/>
      <c r="H113" s="307"/>
      <c r="I113" s="308"/>
    </row>
    <row r="114" spans="1:9" ht="20.100000000000001" customHeight="1">
      <c r="A114" s="314" t="s">
        <v>4556</v>
      </c>
      <c r="B114" s="310" t="s">
        <v>4557</v>
      </c>
      <c r="C114" s="311" t="s">
        <v>4558</v>
      </c>
      <c r="D114" s="300" t="s">
        <v>4559</v>
      </c>
      <c r="E114" s="313" t="s">
        <v>3226</v>
      </c>
      <c r="F114" s="313">
        <v>2</v>
      </c>
      <c r="G114" s="313"/>
      <c r="H114" s="719">
        <v>0</v>
      </c>
      <c r="I114" s="308">
        <f t="shared" si="1"/>
        <v>0</v>
      </c>
    </row>
    <row r="115" spans="1:9" ht="20.100000000000001" customHeight="1">
      <c r="A115" s="314" t="s">
        <v>4560</v>
      </c>
      <c r="B115" s="310" t="s">
        <v>4561</v>
      </c>
      <c r="C115" s="311" t="s">
        <v>4562</v>
      </c>
      <c r="D115" s="300" t="s">
        <v>4563</v>
      </c>
      <c r="E115" s="313" t="s">
        <v>3226</v>
      </c>
      <c r="F115" s="313">
        <v>2</v>
      </c>
      <c r="G115" s="313"/>
      <c r="H115" s="719">
        <v>0</v>
      </c>
      <c r="I115" s="308">
        <f t="shared" si="1"/>
        <v>0</v>
      </c>
    </row>
    <row r="116" spans="1:9" ht="20.100000000000001" customHeight="1">
      <c r="A116" s="314" t="s">
        <v>4564</v>
      </c>
      <c r="B116" s="310" t="s">
        <v>4565</v>
      </c>
      <c r="C116" s="311" t="s">
        <v>4441</v>
      </c>
      <c r="D116" s="300" t="s">
        <v>4566</v>
      </c>
      <c r="E116" s="313" t="s">
        <v>3226</v>
      </c>
      <c r="F116" s="313">
        <v>1</v>
      </c>
      <c r="G116" s="313"/>
      <c r="H116" s="719">
        <v>0</v>
      </c>
      <c r="I116" s="308">
        <f t="shared" si="1"/>
        <v>0</v>
      </c>
    </row>
    <row r="117" spans="1:9" ht="20.100000000000001" customHeight="1">
      <c r="A117" s="314" t="s">
        <v>4567</v>
      </c>
      <c r="B117" s="310" t="s">
        <v>4440</v>
      </c>
      <c r="C117" s="311" t="s">
        <v>4441</v>
      </c>
      <c r="D117" s="300" t="s">
        <v>4442</v>
      </c>
      <c r="E117" s="313" t="s">
        <v>3226</v>
      </c>
      <c r="F117" s="313">
        <v>1</v>
      </c>
      <c r="G117" s="313"/>
      <c r="H117" s="719">
        <v>0</v>
      </c>
      <c r="I117" s="308">
        <f t="shared" si="1"/>
        <v>0</v>
      </c>
    </row>
    <row r="118" spans="1:9" ht="20.100000000000001" customHeight="1">
      <c r="A118" s="314" t="s">
        <v>4568</v>
      </c>
      <c r="B118" s="310" t="s">
        <v>4444</v>
      </c>
      <c r="C118" s="311" t="s">
        <v>4445</v>
      </c>
      <c r="D118" s="300" t="s">
        <v>4446</v>
      </c>
      <c r="E118" s="313" t="s">
        <v>3226</v>
      </c>
      <c r="F118" s="313">
        <v>1</v>
      </c>
      <c r="G118" s="313"/>
      <c r="H118" s="719">
        <v>0</v>
      </c>
      <c r="I118" s="308">
        <f t="shared" si="1"/>
        <v>0</v>
      </c>
    </row>
    <row r="119" spans="1:9" ht="20.100000000000001" customHeight="1">
      <c r="A119" s="314" t="s">
        <v>4569</v>
      </c>
      <c r="B119" s="310" t="s">
        <v>4570</v>
      </c>
      <c r="C119" s="311" t="s">
        <v>4445</v>
      </c>
      <c r="D119" s="300" t="s">
        <v>4571</v>
      </c>
      <c r="E119" s="313" t="s">
        <v>3226</v>
      </c>
      <c r="F119" s="313">
        <v>2</v>
      </c>
      <c r="G119" s="313"/>
      <c r="H119" s="719">
        <v>0</v>
      </c>
      <c r="I119" s="308">
        <f t="shared" si="1"/>
        <v>0</v>
      </c>
    </row>
    <row r="120" spans="1:9" ht="20.100000000000001" customHeight="1">
      <c r="A120" s="315"/>
      <c r="B120" s="310"/>
      <c r="C120" s="98"/>
      <c r="D120" s="300" t="s">
        <v>4295</v>
      </c>
      <c r="E120" s="313" t="s">
        <v>4295</v>
      </c>
      <c r="F120" s="313"/>
      <c r="G120" s="313"/>
      <c r="H120" s="307"/>
      <c r="I120" s="308"/>
    </row>
    <row r="121" spans="1:9" ht="20.100000000000001" customHeight="1">
      <c r="A121" s="314"/>
      <c r="B121" s="310"/>
      <c r="C121" s="311"/>
      <c r="D121" s="316" t="s">
        <v>3131</v>
      </c>
      <c r="E121" s="313" t="s">
        <v>4295</v>
      </c>
      <c r="F121" s="313"/>
      <c r="G121" s="313"/>
      <c r="H121" s="307"/>
      <c r="I121" s="308"/>
    </row>
    <row r="122" spans="1:9" ht="20.100000000000001" customHeight="1">
      <c r="A122" s="314" t="s">
        <v>4572</v>
      </c>
      <c r="B122" s="310" t="s">
        <v>4452</v>
      </c>
      <c r="C122" s="311" t="s">
        <v>4573</v>
      </c>
      <c r="D122" s="300" t="s">
        <v>4454</v>
      </c>
      <c r="E122" s="313" t="s">
        <v>4455</v>
      </c>
      <c r="F122" s="313">
        <v>2</v>
      </c>
      <c r="G122" s="313"/>
      <c r="H122" s="719">
        <v>0</v>
      </c>
      <c r="I122" s="308">
        <f t="shared" si="1"/>
        <v>0</v>
      </c>
    </row>
    <row r="123" spans="1:9" ht="36.75" customHeight="1">
      <c r="A123" s="314" t="s">
        <v>4574</v>
      </c>
      <c r="B123" s="310" t="s">
        <v>4457</v>
      </c>
      <c r="C123" s="311" t="s">
        <v>4575</v>
      </c>
      <c r="D123" s="317" t="s">
        <v>4459</v>
      </c>
      <c r="E123" s="313" t="s">
        <v>3233</v>
      </c>
      <c r="F123" s="313">
        <v>1</v>
      </c>
      <c r="G123" s="313"/>
      <c r="H123" s="719">
        <v>0</v>
      </c>
      <c r="I123" s="308">
        <f t="shared" si="1"/>
        <v>0</v>
      </c>
    </row>
    <row r="124" spans="1:9" ht="20.100000000000001" customHeight="1">
      <c r="A124" s="314"/>
      <c r="B124" s="310"/>
      <c r="C124" s="318"/>
      <c r="D124" s="300" t="s">
        <v>4295</v>
      </c>
      <c r="E124" s="313" t="s">
        <v>4295</v>
      </c>
      <c r="F124" s="313"/>
      <c r="G124" s="313"/>
      <c r="H124" s="307"/>
      <c r="I124" s="308"/>
    </row>
    <row r="125" spans="1:9" ht="20.100000000000001" customHeight="1">
      <c r="A125" s="309"/>
      <c r="B125" s="310"/>
      <c r="C125" s="311"/>
      <c r="D125" s="306" t="s">
        <v>4576</v>
      </c>
      <c r="E125" s="313" t="s">
        <v>4295</v>
      </c>
      <c r="F125" s="313"/>
      <c r="G125" s="313"/>
      <c r="H125" s="307"/>
      <c r="I125" s="308"/>
    </row>
    <row r="126" spans="1:9" ht="61.8">
      <c r="A126" s="309">
        <v>3</v>
      </c>
      <c r="B126" s="310" t="s">
        <v>4577</v>
      </c>
      <c r="C126" s="311" t="s">
        <v>4578</v>
      </c>
      <c r="D126" s="312" t="s">
        <v>4579</v>
      </c>
      <c r="E126" s="313" t="s">
        <v>3226</v>
      </c>
      <c r="F126" s="313">
        <v>1</v>
      </c>
      <c r="G126" s="313"/>
      <c r="H126" s="719">
        <v>0</v>
      </c>
      <c r="I126" s="308">
        <f t="shared" si="1"/>
        <v>0</v>
      </c>
    </row>
    <row r="127" spans="1:9" ht="20.100000000000001" customHeight="1">
      <c r="A127" s="314"/>
      <c r="B127" s="310" t="s">
        <v>4580</v>
      </c>
      <c r="C127" s="311" t="s">
        <v>4581</v>
      </c>
      <c r="D127" s="300" t="s">
        <v>4582</v>
      </c>
      <c r="E127" s="313" t="s">
        <v>3233</v>
      </c>
      <c r="F127" s="313">
        <v>1</v>
      </c>
      <c r="G127" s="313"/>
      <c r="H127" s="719">
        <v>0</v>
      </c>
      <c r="I127" s="308">
        <f t="shared" si="1"/>
        <v>0</v>
      </c>
    </row>
    <row r="128" spans="1:9" ht="20.100000000000001" customHeight="1">
      <c r="A128" s="314" t="s">
        <v>4583</v>
      </c>
      <c r="B128" s="310" t="s">
        <v>4584</v>
      </c>
      <c r="C128" s="311" t="s">
        <v>4585</v>
      </c>
      <c r="D128" s="300" t="s">
        <v>4586</v>
      </c>
      <c r="E128" s="313" t="s">
        <v>3226</v>
      </c>
      <c r="F128" s="313">
        <v>2</v>
      </c>
      <c r="G128" s="313"/>
      <c r="H128" s="719">
        <v>0</v>
      </c>
      <c r="I128" s="308">
        <f t="shared" si="1"/>
        <v>0</v>
      </c>
    </row>
    <row r="129" spans="1:10" ht="20.100000000000001" customHeight="1">
      <c r="A129" s="314" t="s">
        <v>4587</v>
      </c>
      <c r="B129" s="310" t="s">
        <v>4588</v>
      </c>
      <c r="C129" s="311" t="s">
        <v>4589</v>
      </c>
      <c r="D129" s="300" t="s">
        <v>4590</v>
      </c>
      <c r="E129" s="313" t="s">
        <v>3226</v>
      </c>
      <c r="F129" s="313">
        <v>2</v>
      </c>
      <c r="G129" s="313"/>
      <c r="H129" s="719">
        <v>0</v>
      </c>
      <c r="I129" s="308">
        <f t="shared" si="1"/>
        <v>0</v>
      </c>
    </row>
    <row r="130" spans="1:10" ht="36.75" customHeight="1">
      <c r="A130" s="314" t="s">
        <v>4591</v>
      </c>
      <c r="B130" s="310" t="s">
        <v>4592</v>
      </c>
      <c r="C130" s="311" t="s">
        <v>4593</v>
      </c>
      <c r="D130" s="312" t="s">
        <v>4594</v>
      </c>
      <c r="E130" s="313" t="s">
        <v>3226</v>
      </c>
      <c r="F130" s="313">
        <v>1</v>
      </c>
      <c r="G130" s="313"/>
      <c r="H130" s="719">
        <v>0</v>
      </c>
      <c r="I130" s="308">
        <f t="shared" si="1"/>
        <v>0</v>
      </c>
    </row>
    <row r="131" spans="1:10" ht="20.100000000000001" customHeight="1">
      <c r="A131" s="314" t="s">
        <v>4595</v>
      </c>
      <c r="B131" s="310" t="s">
        <v>4303</v>
      </c>
      <c r="C131" s="311" t="s">
        <v>4596</v>
      </c>
      <c r="D131" s="300" t="s">
        <v>4305</v>
      </c>
      <c r="E131" s="313" t="s">
        <v>1939</v>
      </c>
      <c r="F131" s="313">
        <v>40</v>
      </c>
      <c r="G131" s="313"/>
      <c r="H131" s="719">
        <v>0</v>
      </c>
      <c r="I131" s="308">
        <f t="shared" si="1"/>
        <v>0</v>
      </c>
    </row>
    <row r="132" spans="1:10" ht="20.100000000000001" customHeight="1">
      <c r="A132" s="314" t="s">
        <v>4597</v>
      </c>
      <c r="B132" s="310" t="s">
        <v>4598</v>
      </c>
      <c r="C132" s="311" t="s">
        <v>4599</v>
      </c>
      <c r="D132" s="300" t="s">
        <v>4600</v>
      </c>
      <c r="E132" s="313" t="s">
        <v>1944</v>
      </c>
      <c r="F132" s="313">
        <v>1</v>
      </c>
      <c r="G132" s="313"/>
      <c r="H132" s="719">
        <v>0</v>
      </c>
      <c r="I132" s="308">
        <f t="shared" si="1"/>
        <v>0</v>
      </c>
    </row>
    <row r="133" spans="1:10" ht="20.100000000000001" customHeight="1">
      <c r="A133" s="314" t="s">
        <v>4601</v>
      </c>
      <c r="B133" s="310" t="s">
        <v>4306</v>
      </c>
      <c r="C133" s="311" t="s">
        <v>4602</v>
      </c>
      <c r="D133" s="300" t="s">
        <v>4308</v>
      </c>
      <c r="E133" s="313" t="s">
        <v>3233</v>
      </c>
      <c r="F133" s="313">
        <v>1</v>
      </c>
      <c r="G133" s="313"/>
      <c r="H133" s="719">
        <v>0</v>
      </c>
      <c r="I133" s="308">
        <f t="shared" ref="I133:I195" si="2">F133*H133</f>
        <v>0</v>
      </c>
    </row>
    <row r="134" spans="1:10" ht="20.100000000000001" customHeight="1">
      <c r="A134" s="314" t="s">
        <v>4603</v>
      </c>
      <c r="B134" s="310" t="s">
        <v>4306</v>
      </c>
      <c r="C134" s="311" t="s">
        <v>4604</v>
      </c>
      <c r="D134" s="300" t="s">
        <v>4311</v>
      </c>
      <c r="E134" s="313" t="s">
        <v>3233</v>
      </c>
      <c r="F134" s="313">
        <v>1</v>
      </c>
      <c r="G134" s="313"/>
      <c r="H134" s="719">
        <v>0</v>
      </c>
      <c r="I134" s="308">
        <f t="shared" si="2"/>
        <v>0</v>
      </c>
    </row>
    <row r="135" spans="1:10" ht="20.100000000000001" customHeight="1">
      <c r="A135" s="314" t="s">
        <v>4605</v>
      </c>
      <c r="B135" s="321" t="s">
        <v>4606</v>
      </c>
      <c r="C135" s="311" t="s">
        <v>4607</v>
      </c>
      <c r="D135" s="300" t="s">
        <v>4608</v>
      </c>
      <c r="E135" s="313" t="s">
        <v>3226</v>
      </c>
      <c r="F135" s="313">
        <v>2</v>
      </c>
      <c r="G135" s="313"/>
      <c r="H135" s="719">
        <v>0</v>
      </c>
      <c r="I135" s="308">
        <f t="shared" si="2"/>
        <v>0</v>
      </c>
      <c r="J135" s="98"/>
    </row>
    <row r="136" spans="1:10" ht="20.100000000000001" customHeight="1">
      <c r="A136" s="322"/>
      <c r="B136" s="310"/>
      <c r="C136" s="318"/>
      <c r="D136" s="300" t="s">
        <v>4295</v>
      </c>
      <c r="E136" s="313" t="s">
        <v>4295</v>
      </c>
      <c r="F136" s="313"/>
      <c r="G136" s="313"/>
      <c r="H136" s="307"/>
      <c r="I136" s="308"/>
    </row>
    <row r="137" spans="1:10" ht="20.100000000000001" customHeight="1">
      <c r="A137" s="314"/>
      <c r="B137" s="310"/>
      <c r="C137" s="311"/>
      <c r="D137" s="316" t="s">
        <v>4312</v>
      </c>
      <c r="E137" s="313" t="s">
        <v>4295</v>
      </c>
      <c r="F137" s="313"/>
      <c r="G137" s="313"/>
      <c r="H137" s="307"/>
      <c r="I137" s="308"/>
    </row>
    <row r="138" spans="1:10" ht="20.100000000000001" customHeight="1">
      <c r="A138" s="314" t="s">
        <v>4609</v>
      </c>
      <c r="B138" s="310" t="s">
        <v>4610</v>
      </c>
      <c r="C138" s="311" t="s">
        <v>4611</v>
      </c>
      <c r="D138" s="300" t="s">
        <v>4612</v>
      </c>
      <c r="E138" s="313" t="s">
        <v>3226</v>
      </c>
      <c r="F138" s="313">
        <v>1</v>
      </c>
      <c r="G138" s="313"/>
      <c r="H138" s="719">
        <v>0</v>
      </c>
      <c r="I138" s="308">
        <f t="shared" si="2"/>
        <v>0</v>
      </c>
    </row>
    <row r="139" spans="1:10" ht="20.100000000000001" customHeight="1">
      <c r="A139" s="314" t="s">
        <v>4613</v>
      </c>
      <c r="B139" s="310" t="s">
        <v>4614</v>
      </c>
      <c r="C139" s="311" t="s">
        <v>4615</v>
      </c>
      <c r="D139" s="300" t="s">
        <v>4616</v>
      </c>
      <c r="E139" s="313" t="s">
        <v>3226</v>
      </c>
      <c r="F139" s="313">
        <v>1</v>
      </c>
      <c r="G139" s="313"/>
      <c r="H139" s="719">
        <v>0</v>
      </c>
      <c r="I139" s="308">
        <f t="shared" si="2"/>
        <v>0</v>
      </c>
    </row>
    <row r="140" spans="1:10" ht="20.100000000000001" customHeight="1">
      <c r="A140" s="314" t="s">
        <v>4617</v>
      </c>
      <c r="B140" s="310" t="s">
        <v>4618</v>
      </c>
      <c r="C140" s="311" t="s">
        <v>4615</v>
      </c>
      <c r="D140" s="300" t="s">
        <v>4619</v>
      </c>
      <c r="E140" s="313" t="s">
        <v>3226</v>
      </c>
      <c r="F140" s="313">
        <v>1</v>
      </c>
      <c r="G140" s="313"/>
      <c r="H140" s="719">
        <v>0</v>
      </c>
      <c r="I140" s="308">
        <f t="shared" si="2"/>
        <v>0</v>
      </c>
    </row>
    <row r="141" spans="1:10" ht="20.100000000000001" customHeight="1">
      <c r="A141" s="322"/>
      <c r="B141" s="310"/>
      <c r="C141" s="318"/>
      <c r="D141" s="300" t="s">
        <v>4295</v>
      </c>
      <c r="E141" s="313" t="s">
        <v>4295</v>
      </c>
      <c r="F141" s="313"/>
      <c r="G141" s="313"/>
      <c r="H141" s="307"/>
      <c r="I141" s="308"/>
      <c r="J141" s="98"/>
    </row>
    <row r="142" spans="1:10" ht="20.100000000000001" customHeight="1">
      <c r="A142" s="314"/>
      <c r="B142" s="310"/>
      <c r="C142" s="311"/>
      <c r="D142" s="316" t="s">
        <v>4325</v>
      </c>
      <c r="E142" s="313" t="s">
        <v>4295</v>
      </c>
      <c r="F142" s="313"/>
      <c r="G142" s="313"/>
      <c r="H142" s="307"/>
      <c r="I142" s="308"/>
    </row>
    <row r="143" spans="1:10" ht="20.100000000000001" customHeight="1">
      <c r="A143" s="314" t="s">
        <v>4620</v>
      </c>
      <c r="B143" s="310" t="s">
        <v>4331</v>
      </c>
      <c r="C143" s="311" t="s">
        <v>4332</v>
      </c>
      <c r="D143" s="300" t="s">
        <v>4333</v>
      </c>
      <c r="E143" s="313" t="s">
        <v>1939</v>
      </c>
      <c r="F143" s="313">
        <v>55</v>
      </c>
      <c r="G143" s="313"/>
      <c r="H143" s="719">
        <v>0</v>
      </c>
      <c r="I143" s="308">
        <f t="shared" si="2"/>
        <v>0</v>
      </c>
    </row>
    <row r="144" spans="1:10" ht="20.100000000000001" customHeight="1">
      <c r="A144" s="314" t="s">
        <v>4621</v>
      </c>
      <c r="B144" s="310" t="s">
        <v>4335</v>
      </c>
      <c r="C144" s="311" t="s">
        <v>4336</v>
      </c>
      <c r="D144" s="300" t="s">
        <v>4622</v>
      </c>
      <c r="E144" s="313" t="s">
        <v>1939</v>
      </c>
      <c r="F144" s="313">
        <v>9</v>
      </c>
      <c r="G144" s="313"/>
      <c r="H144" s="719">
        <v>0</v>
      </c>
      <c r="I144" s="308">
        <f t="shared" si="2"/>
        <v>0</v>
      </c>
    </row>
    <row r="145" spans="1:9" ht="20.100000000000001" customHeight="1">
      <c r="A145" s="314" t="s">
        <v>4623</v>
      </c>
      <c r="B145" s="310" t="s">
        <v>4500</v>
      </c>
      <c r="C145" s="311" t="s">
        <v>4501</v>
      </c>
      <c r="D145" s="300" t="s">
        <v>4502</v>
      </c>
      <c r="E145" s="313" t="s">
        <v>1939</v>
      </c>
      <c r="F145" s="313">
        <v>7</v>
      </c>
      <c r="G145" s="313"/>
      <c r="H145" s="719">
        <v>0</v>
      </c>
      <c r="I145" s="308">
        <f t="shared" si="2"/>
        <v>0</v>
      </c>
    </row>
    <row r="146" spans="1:9" ht="20.100000000000001" customHeight="1">
      <c r="A146" s="314" t="s">
        <v>4624</v>
      </c>
      <c r="B146" s="310" t="s">
        <v>4339</v>
      </c>
      <c r="C146" s="311" t="s">
        <v>4340</v>
      </c>
      <c r="D146" s="300" t="s">
        <v>4341</v>
      </c>
      <c r="E146" s="313" t="s">
        <v>1939</v>
      </c>
      <c r="F146" s="313">
        <v>35</v>
      </c>
      <c r="G146" s="313"/>
      <c r="H146" s="719">
        <v>0</v>
      </c>
      <c r="I146" s="308">
        <f t="shared" si="2"/>
        <v>0</v>
      </c>
    </row>
    <row r="147" spans="1:9" ht="20.100000000000001" customHeight="1">
      <c r="A147" s="314" t="s">
        <v>4625</v>
      </c>
      <c r="B147" s="310" t="s">
        <v>4347</v>
      </c>
      <c r="C147" s="311">
        <v>4298150145</v>
      </c>
      <c r="D147" s="300" t="s">
        <v>4348</v>
      </c>
      <c r="E147" s="313" t="s">
        <v>1939</v>
      </c>
      <c r="F147" s="313">
        <v>6</v>
      </c>
      <c r="G147" s="313"/>
      <c r="H147" s="719">
        <v>0</v>
      </c>
      <c r="I147" s="308">
        <f t="shared" si="2"/>
        <v>0</v>
      </c>
    </row>
    <row r="148" spans="1:9" ht="20.100000000000001" customHeight="1">
      <c r="A148" s="314" t="s">
        <v>4626</v>
      </c>
      <c r="B148" s="310" t="s">
        <v>4350</v>
      </c>
      <c r="C148" s="311">
        <v>4298150144</v>
      </c>
      <c r="D148" s="300" t="s">
        <v>4351</v>
      </c>
      <c r="E148" s="313" t="s">
        <v>1939</v>
      </c>
      <c r="F148" s="313">
        <v>17</v>
      </c>
      <c r="G148" s="313"/>
      <c r="H148" s="719">
        <v>0</v>
      </c>
      <c r="I148" s="308">
        <f t="shared" si="2"/>
        <v>0</v>
      </c>
    </row>
    <row r="149" spans="1:9" ht="20.100000000000001" customHeight="1">
      <c r="A149" s="314" t="s">
        <v>4627</v>
      </c>
      <c r="B149" s="310" t="s">
        <v>4353</v>
      </c>
      <c r="C149" s="311">
        <v>4298150141</v>
      </c>
      <c r="D149" s="300" t="s">
        <v>4354</v>
      </c>
      <c r="E149" s="313" t="s">
        <v>1939</v>
      </c>
      <c r="F149" s="313">
        <v>7</v>
      </c>
      <c r="G149" s="313"/>
      <c r="H149" s="719">
        <v>0</v>
      </c>
      <c r="I149" s="308">
        <f t="shared" si="2"/>
        <v>0</v>
      </c>
    </row>
    <row r="150" spans="1:9" ht="20.100000000000001" customHeight="1">
      <c r="A150" s="314" t="s">
        <v>4628</v>
      </c>
      <c r="B150" s="310" t="s">
        <v>4356</v>
      </c>
      <c r="C150" s="311">
        <v>4298150140</v>
      </c>
      <c r="D150" s="300" t="s">
        <v>4357</v>
      </c>
      <c r="E150" s="313" t="s">
        <v>1939</v>
      </c>
      <c r="F150" s="313">
        <v>14</v>
      </c>
      <c r="G150" s="313"/>
      <c r="H150" s="719">
        <v>0</v>
      </c>
      <c r="I150" s="308">
        <f t="shared" si="2"/>
        <v>0</v>
      </c>
    </row>
    <row r="151" spans="1:9" ht="20.100000000000001" customHeight="1">
      <c r="A151" s="322"/>
      <c r="B151" s="310"/>
      <c r="C151" s="311"/>
      <c r="D151" s="300" t="s">
        <v>4295</v>
      </c>
      <c r="E151" s="313" t="s">
        <v>4295</v>
      </c>
      <c r="F151" s="313"/>
      <c r="G151" s="313"/>
      <c r="H151" s="307"/>
      <c r="I151" s="308"/>
    </row>
    <row r="152" spans="1:9" ht="20.100000000000001" customHeight="1">
      <c r="A152" s="314"/>
      <c r="B152" s="310"/>
      <c r="C152" s="311"/>
      <c r="D152" s="316" t="s">
        <v>4358</v>
      </c>
      <c r="E152" s="313" t="s">
        <v>4295</v>
      </c>
      <c r="F152" s="313"/>
      <c r="G152" s="313"/>
      <c r="H152" s="307"/>
      <c r="I152" s="308"/>
    </row>
    <row r="153" spans="1:9" ht="25.5" customHeight="1">
      <c r="A153" s="314" t="s">
        <v>4629</v>
      </c>
      <c r="B153" s="310" t="s">
        <v>4360</v>
      </c>
      <c r="C153" s="311" t="s">
        <v>4630</v>
      </c>
      <c r="D153" s="317" t="s">
        <v>4362</v>
      </c>
      <c r="E153" s="313" t="s">
        <v>1940</v>
      </c>
      <c r="F153" s="313">
        <v>26</v>
      </c>
      <c r="G153" s="313"/>
      <c r="H153" s="719">
        <v>0</v>
      </c>
      <c r="I153" s="308">
        <f t="shared" si="2"/>
        <v>0</v>
      </c>
    </row>
    <row r="154" spans="1:9" ht="25.5" customHeight="1">
      <c r="A154" s="314" t="s">
        <v>4631</v>
      </c>
      <c r="B154" s="310" t="s">
        <v>4364</v>
      </c>
      <c r="C154" s="311" t="s">
        <v>4632</v>
      </c>
      <c r="D154" s="317" t="s">
        <v>4366</v>
      </c>
      <c r="E154" s="313" t="s">
        <v>1940</v>
      </c>
      <c r="F154" s="313">
        <v>25</v>
      </c>
      <c r="G154" s="313"/>
      <c r="H154" s="719">
        <v>0</v>
      </c>
      <c r="I154" s="308">
        <f t="shared" si="2"/>
        <v>0</v>
      </c>
    </row>
    <row r="155" spans="1:9" ht="20.100000000000001" customHeight="1">
      <c r="A155" s="322"/>
      <c r="B155" s="310"/>
      <c r="C155" s="318"/>
      <c r="D155" s="300" t="s">
        <v>4295</v>
      </c>
      <c r="E155" s="313" t="s">
        <v>4295</v>
      </c>
      <c r="F155" s="313"/>
      <c r="G155" s="313"/>
      <c r="H155" s="307"/>
      <c r="I155" s="308"/>
    </row>
    <row r="156" spans="1:9" ht="20.100000000000001" customHeight="1">
      <c r="A156" s="314"/>
      <c r="B156" s="310"/>
      <c r="C156" s="311"/>
      <c r="D156" s="316" t="s">
        <v>4373</v>
      </c>
      <c r="E156" s="313" t="s">
        <v>4295</v>
      </c>
      <c r="F156" s="313"/>
      <c r="G156" s="313"/>
      <c r="H156" s="307"/>
      <c r="I156" s="308"/>
    </row>
    <row r="157" spans="1:9" ht="19.5" customHeight="1">
      <c r="A157" s="314" t="s">
        <v>4633</v>
      </c>
      <c r="B157" s="310" t="s">
        <v>4634</v>
      </c>
      <c r="C157" s="311" t="s">
        <v>4635</v>
      </c>
      <c r="D157" s="317" t="s">
        <v>4636</v>
      </c>
      <c r="E157" s="313" t="s">
        <v>3226</v>
      </c>
      <c r="F157" s="313">
        <v>1</v>
      </c>
      <c r="G157" s="313"/>
      <c r="H157" s="719">
        <v>0</v>
      </c>
      <c r="I157" s="308">
        <f t="shared" si="2"/>
        <v>0</v>
      </c>
    </row>
    <row r="158" spans="1:9" ht="19.5" customHeight="1">
      <c r="A158" s="314" t="s">
        <v>4637</v>
      </c>
      <c r="B158" s="310" t="s">
        <v>4638</v>
      </c>
      <c r="C158" s="311" t="s">
        <v>4639</v>
      </c>
      <c r="D158" s="317" t="s">
        <v>4640</v>
      </c>
      <c r="E158" s="313" t="s">
        <v>3226</v>
      </c>
      <c r="F158" s="313">
        <v>1</v>
      </c>
      <c r="G158" s="313"/>
      <c r="H158" s="719">
        <v>0</v>
      </c>
      <c r="I158" s="308">
        <f t="shared" si="2"/>
        <v>0</v>
      </c>
    </row>
    <row r="159" spans="1:9" ht="25.5" customHeight="1">
      <c r="A159" s="314" t="s">
        <v>4641</v>
      </c>
      <c r="B159" s="310" t="s">
        <v>4642</v>
      </c>
      <c r="C159" s="311" t="s">
        <v>4639</v>
      </c>
      <c r="D159" s="317" t="s">
        <v>4643</v>
      </c>
      <c r="E159" s="313" t="s">
        <v>3226</v>
      </c>
      <c r="F159" s="313">
        <v>1</v>
      </c>
      <c r="G159" s="313"/>
      <c r="H159" s="719">
        <v>0</v>
      </c>
      <c r="I159" s="308">
        <f t="shared" si="2"/>
        <v>0</v>
      </c>
    </row>
    <row r="160" spans="1:9" ht="20.100000000000001" customHeight="1">
      <c r="A160" s="322"/>
      <c r="B160" s="310"/>
      <c r="C160" s="318"/>
      <c r="D160" s="300" t="s">
        <v>4295</v>
      </c>
      <c r="E160" s="313" t="s">
        <v>4295</v>
      </c>
      <c r="F160" s="313"/>
      <c r="G160" s="313"/>
      <c r="H160" s="307"/>
      <c r="I160" s="308"/>
    </row>
    <row r="161" spans="1:9" ht="20.100000000000001" customHeight="1">
      <c r="A161" s="314"/>
      <c r="B161" s="310"/>
      <c r="C161" s="311"/>
      <c r="D161" s="316" t="s">
        <v>2054</v>
      </c>
      <c r="E161" s="313" t="s">
        <v>4295</v>
      </c>
      <c r="F161" s="313"/>
      <c r="G161" s="313"/>
      <c r="H161" s="307"/>
      <c r="I161" s="308"/>
    </row>
    <row r="162" spans="1:9" ht="19.5" customHeight="1">
      <c r="A162" s="314" t="s">
        <v>4644</v>
      </c>
      <c r="B162" s="310" t="s">
        <v>4390</v>
      </c>
      <c r="C162" s="311" t="s">
        <v>4391</v>
      </c>
      <c r="D162" s="300" t="s">
        <v>4392</v>
      </c>
      <c r="E162" s="313" t="s">
        <v>1940</v>
      </c>
      <c r="F162" s="313">
        <v>59</v>
      </c>
      <c r="G162" s="313"/>
      <c r="H162" s="719">
        <v>0</v>
      </c>
      <c r="I162" s="308">
        <f t="shared" si="2"/>
        <v>0</v>
      </c>
    </row>
    <row r="163" spans="1:9" ht="19.5" customHeight="1">
      <c r="A163" s="322"/>
      <c r="B163" s="310"/>
      <c r="C163" s="318"/>
      <c r="D163" s="300" t="s">
        <v>4295</v>
      </c>
      <c r="E163" s="313" t="s">
        <v>4295</v>
      </c>
      <c r="F163" s="313"/>
      <c r="G163" s="313"/>
      <c r="H163" s="307"/>
      <c r="I163" s="308"/>
    </row>
    <row r="164" spans="1:9" ht="19.5" customHeight="1">
      <c r="A164" s="314"/>
      <c r="B164" s="310"/>
      <c r="C164" s="311"/>
      <c r="D164" s="316" t="s">
        <v>4393</v>
      </c>
      <c r="E164" s="313" t="s">
        <v>4295</v>
      </c>
      <c r="F164" s="313"/>
      <c r="G164" s="313"/>
      <c r="H164" s="307"/>
      <c r="I164" s="308"/>
    </row>
    <row r="165" spans="1:9" ht="25.5" customHeight="1">
      <c r="A165" s="314" t="s">
        <v>4645</v>
      </c>
      <c r="B165" s="310" t="s">
        <v>4646</v>
      </c>
      <c r="C165" s="311" t="s">
        <v>4400</v>
      </c>
      <c r="D165" s="312" t="s">
        <v>4647</v>
      </c>
      <c r="E165" s="313" t="s">
        <v>3226</v>
      </c>
      <c r="F165" s="313">
        <v>8</v>
      </c>
      <c r="G165" s="313"/>
      <c r="H165" s="719">
        <v>0</v>
      </c>
      <c r="I165" s="308">
        <f t="shared" si="2"/>
        <v>0</v>
      </c>
    </row>
    <row r="166" spans="1:9" ht="25.5" customHeight="1">
      <c r="A166" s="314" t="s">
        <v>4648</v>
      </c>
      <c r="B166" s="310" t="s">
        <v>4649</v>
      </c>
      <c r="C166" s="311" t="s">
        <v>4650</v>
      </c>
      <c r="D166" s="312" t="s">
        <v>4651</v>
      </c>
      <c r="E166" s="313" t="s">
        <v>3226</v>
      </c>
      <c r="F166" s="313">
        <v>2</v>
      </c>
      <c r="G166" s="313"/>
      <c r="H166" s="719">
        <v>0</v>
      </c>
      <c r="I166" s="308">
        <f t="shared" si="2"/>
        <v>0</v>
      </c>
    </row>
    <row r="167" spans="1:9" ht="25.5" customHeight="1">
      <c r="A167" s="314" t="s">
        <v>4652</v>
      </c>
      <c r="B167" s="310" t="s">
        <v>4653</v>
      </c>
      <c r="C167" s="311" t="s">
        <v>4654</v>
      </c>
      <c r="D167" s="317" t="s">
        <v>4655</v>
      </c>
      <c r="E167" s="313" t="s">
        <v>3226</v>
      </c>
      <c r="F167" s="313">
        <v>1</v>
      </c>
      <c r="G167" s="313"/>
      <c r="H167" s="719">
        <v>0</v>
      </c>
      <c r="I167" s="308">
        <f t="shared" si="2"/>
        <v>0</v>
      </c>
    </row>
    <row r="168" spans="1:9" ht="20.100000000000001" customHeight="1">
      <c r="A168" s="314" t="s">
        <v>4656</v>
      </c>
      <c r="B168" s="319" t="s">
        <v>4410</v>
      </c>
      <c r="C168" s="311" t="s">
        <v>4657</v>
      </c>
      <c r="D168" s="300" t="s">
        <v>4411</v>
      </c>
      <c r="E168" s="313" t="s">
        <v>3226</v>
      </c>
      <c r="F168" s="313">
        <v>3</v>
      </c>
      <c r="G168" s="313"/>
      <c r="H168" s="719">
        <v>0</v>
      </c>
      <c r="I168" s="308">
        <f t="shared" si="2"/>
        <v>0</v>
      </c>
    </row>
    <row r="169" spans="1:9" ht="20.100000000000001" customHeight="1">
      <c r="A169" s="314" t="s">
        <v>4658</v>
      </c>
      <c r="B169" s="319" t="s">
        <v>4407</v>
      </c>
      <c r="C169" s="311" t="s">
        <v>4659</v>
      </c>
      <c r="D169" s="300" t="s">
        <v>4408</v>
      </c>
      <c r="E169" s="313" t="s">
        <v>3226</v>
      </c>
      <c r="F169" s="313">
        <v>4</v>
      </c>
      <c r="G169" s="313"/>
      <c r="H169" s="719">
        <v>0</v>
      </c>
      <c r="I169" s="308">
        <f t="shared" si="2"/>
        <v>0</v>
      </c>
    </row>
    <row r="170" spans="1:9" ht="20.100000000000001" customHeight="1">
      <c r="A170" s="314" t="s">
        <v>4660</v>
      </c>
      <c r="B170" s="319" t="s">
        <v>4403</v>
      </c>
      <c r="C170" s="311" t="s">
        <v>4661</v>
      </c>
      <c r="D170" s="300" t="s">
        <v>4405</v>
      </c>
      <c r="E170" s="313" t="s">
        <v>3226</v>
      </c>
      <c r="F170" s="313">
        <v>7</v>
      </c>
      <c r="G170" s="313"/>
      <c r="H170" s="719">
        <v>0</v>
      </c>
      <c r="I170" s="308">
        <f t="shared" si="2"/>
        <v>0</v>
      </c>
    </row>
    <row r="171" spans="1:9" ht="20.100000000000001" customHeight="1">
      <c r="A171" s="314" t="s">
        <v>4662</v>
      </c>
      <c r="B171" s="323" t="s">
        <v>4663</v>
      </c>
      <c r="C171" s="311" t="s">
        <v>4657</v>
      </c>
      <c r="D171" s="300" t="s">
        <v>4664</v>
      </c>
      <c r="E171" s="313" t="s">
        <v>3226</v>
      </c>
      <c r="F171" s="313">
        <v>1</v>
      </c>
      <c r="G171" s="313"/>
      <c r="H171" s="719">
        <v>0</v>
      </c>
      <c r="I171" s="308">
        <f t="shared" si="2"/>
        <v>0</v>
      </c>
    </row>
    <row r="172" spans="1:9" ht="20.100000000000001" customHeight="1">
      <c r="A172" s="314" t="s">
        <v>4665</v>
      </c>
      <c r="B172" s="323" t="s">
        <v>4666</v>
      </c>
      <c r="C172" s="311" t="s">
        <v>4657</v>
      </c>
      <c r="D172" s="300" t="s">
        <v>4667</v>
      </c>
      <c r="E172" s="313" t="s">
        <v>3226</v>
      </c>
      <c r="F172" s="313">
        <v>1</v>
      </c>
      <c r="G172" s="313"/>
      <c r="H172" s="719">
        <v>0</v>
      </c>
      <c r="I172" s="308">
        <f t="shared" si="2"/>
        <v>0</v>
      </c>
    </row>
    <row r="173" spans="1:9" ht="20.100000000000001" customHeight="1">
      <c r="A173" s="314" t="s">
        <v>4668</v>
      </c>
      <c r="B173" s="310" t="s">
        <v>4436</v>
      </c>
      <c r="C173" s="311" t="s">
        <v>4433</v>
      </c>
      <c r="D173" s="300" t="s">
        <v>4437</v>
      </c>
      <c r="E173" s="313" t="s">
        <v>3226</v>
      </c>
      <c r="F173" s="313">
        <v>8</v>
      </c>
      <c r="G173" s="313"/>
      <c r="H173" s="719">
        <v>0</v>
      </c>
      <c r="I173" s="308">
        <f t="shared" si="2"/>
        <v>0</v>
      </c>
    </row>
    <row r="174" spans="1:9" ht="20.100000000000001" customHeight="1">
      <c r="A174" s="322"/>
      <c r="B174" s="310"/>
      <c r="C174" s="98"/>
      <c r="D174" s="300"/>
      <c r="E174" s="313"/>
      <c r="F174" s="313"/>
      <c r="G174" s="313"/>
      <c r="H174" s="307"/>
      <c r="I174" s="308"/>
    </row>
    <row r="175" spans="1:9" ht="20.100000000000001" customHeight="1">
      <c r="A175" s="314"/>
      <c r="B175" s="310"/>
      <c r="C175" s="311"/>
      <c r="D175" s="316" t="s">
        <v>3131</v>
      </c>
      <c r="E175" s="313" t="s">
        <v>4295</v>
      </c>
      <c r="F175" s="313"/>
      <c r="G175" s="313"/>
      <c r="H175" s="307"/>
      <c r="I175" s="308"/>
    </row>
    <row r="176" spans="1:9" ht="20.100000000000001" customHeight="1">
      <c r="A176" s="314" t="s">
        <v>4669</v>
      </c>
      <c r="B176" s="310" t="s">
        <v>4452</v>
      </c>
      <c r="C176" s="311" t="s">
        <v>4670</v>
      </c>
      <c r="D176" s="300" t="s">
        <v>4454</v>
      </c>
      <c r="E176" s="313" t="s">
        <v>4455</v>
      </c>
      <c r="F176" s="313">
        <v>11</v>
      </c>
      <c r="G176" s="313"/>
      <c r="H176" s="719">
        <v>0</v>
      </c>
      <c r="I176" s="308">
        <f t="shared" si="2"/>
        <v>0</v>
      </c>
    </row>
    <row r="177" spans="1:9" ht="36.75" customHeight="1">
      <c r="A177" s="314" t="s">
        <v>4671</v>
      </c>
      <c r="B177" s="310" t="s">
        <v>4457</v>
      </c>
      <c r="C177" s="311" t="s">
        <v>4672</v>
      </c>
      <c r="D177" s="317" t="s">
        <v>4459</v>
      </c>
      <c r="E177" s="313" t="s">
        <v>3233</v>
      </c>
      <c r="F177" s="313">
        <v>1</v>
      </c>
      <c r="G177" s="313"/>
      <c r="H177" s="719">
        <v>0</v>
      </c>
      <c r="I177" s="308">
        <f t="shared" si="2"/>
        <v>0</v>
      </c>
    </row>
    <row r="178" spans="1:9" ht="36.75" customHeight="1">
      <c r="A178" s="314"/>
      <c r="B178" s="310"/>
      <c r="C178" s="98"/>
      <c r="D178" s="317"/>
      <c r="E178" s="313"/>
      <c r="F178" s="313"/>
      <c r="G178" s="313"/>
      <c r="H178" s="307"/>
      <c r="I178" s="308"/>
    </row>
    <row r="179" spans="1:9" ht="20.100000000000001" customHeight="1">
      <c r="A179" s="320"/>
      <c r="B179" s="310"/>
      <c r="C179" s="311"/>
      <c r="D179" s="306" t="s">
        <v>4673</v>
      </c>
      <c r="E179" s="313"/>
      <c r="F179" s="313"/>
      <c r="G179" s="313"/>
      <c r="H179" s="307"/>
      <c r="I179" s="308"/>
    </row>
    <row r="180" spans="1:9" ht="61.8">
      <c r="A180" s="309">
        <v>4</v>
      </c>
      <c r="B180" s="310" t="s">
        <v>4674</v>
      </c>
      <c r="C180" s="311" t="s">
        <v>4675</v>
      </c>
      <c r="D180" s="312" t="s">
        <v>4676</v>
      </c>
      <c r="E180" s="313" t="s">
        <v>3226</v>
      </c>
      <c r="F180" s="313">
        <v>1</v>
      </c>
      <c r="G180" s="313"/>
      <c r="H180" s="719">
        <v>0</v>
      </c>
      <c r="I180" s="308">
        <f t="shared" si="2"/>
        <v>0</v>
      </c>
    </row>
    <row r="181" spans="1:9" ht="20.100000000000001" customHeight="1">
      <c r="A181" s="314" t="s">
        <v>3971</v>
      </c>
      <c r="B181" s="310" t="s">
        <v>4306</v>
      </c>
      <c r="C181" s="311" t="s">
        <v>4677</v>
      </c>
      <c r="D181" s="300" t="s">
        <v>4308</v>
      </c>
      <c r="E181" s="313" t="s">
        <v>3233</v>
      </c>
      <c r="F181" s="313">
        <v>1</v>
      </c>
      <c r="G181" s="313"/>
      <c r="H181" s="719">
        <v>0</v>
      </c>
      <c r="I181" s="308">
        <f t="shared" si="2"/>
        <v>0</v>
      </c>
    </row>
    <row r="182" spans="1:9" ht="20.100000000000001" customHeight="1">
      <c r="A182" s="322"/>
      <c r="B182" s="310"/>
      <c r="C182" s="98"/>
      <c r="D182" s="300" t="s">
        <v>4295</v>
      </c>
      <c r="E182" s="313" t="s">
        <v>4295</v>
      </c>
      <c r="F182" s="313"/>
      <c r="G182" s="313"/>
      <c r="H182" s="307"/>
      <c r="I182" s="308"/>
    </row>
    <row r="183" spans="1:9" ht="20.100000000000001" customHeight="1">
      <c r="A183" s="314"/>
      <c r="B183" s="310"/>
      <c r="C183" s="311"/>
      <c r="D183" s="316" t="s">
        <v>4312</v>
      </c>
      <c r="E183" s="313" t="s">
        <v>4295</v>
      </c>
      <c r="F183" s="313"/>
      <c r="G183" s="313"/>
      <c r="H183" s="307"/>
      <c r="I183" s="308"/>
    </row>
    <row r="184" spans="1:9" ht="20.100000000000001" customHeight="1">
      <c r="A184" s="314" t="s">
        <v>3972</v>
      </c>
      <c r="B184" s="310" t="s">
        <v>4678</v>
      </c>
      <c r="C184" s="311" t="s">
        <v>4679</v>
      </c>
      <c r="D184" s="300" t="s">
        <v>4680</v>
      </c>
      <c r="E184" s="313" t="s">
        <v>3226</v>
      </c>
      <c r="F184" s="313">
        <v>2</v>
      </c>
      <c r="G184" s="313"/>
      <c r="H184" s="719">
        <v>0</v>
      </c>
      <c r="I184" s="308">
        <f t="shared" si="2"/>
        <v>0</v>
      </c>
    </row>
    <row r="185" spans="1:9" ht="20.100000000000001" customHeight="1">
      <c r="A185" s="322"/>
      <c r="B185" s="310"/>
      <c r="C185" s="98"/>
      <c r="D185" s="300" t="s">
        <v>4295</v>
      </c>
      <c r="E185" s="313" t="s">
        <v>4295</v>
      </c>
      <c r="F185" s="313"/>
      <c r="G185" s="313"/>
      <c r="H185" s="307"/>
      <c r="I185" s="308"/>
    </row>
    <row r="186" spans="1:9" ht="20.100000000000001" customHeight="1">
      <c r="A186" s="314"/>
      <c r="B186" s="310"/>
      <c r="C186" s="311"/>
      <c r="D186" s="316" t="s">
        <v>4325</v>
      </c>
      <c r="E186" s="313" t="s">
        <v>4295</v>
      </c>
      <c r="F186" s="313"/>
      <c r="G186" s="313"/>
      <c r="H186" s="307"/>
      <c r="I186" s="308"/>
    </row>
    <row r="187" spans="1:9" ht="20.100000000000001" customHeight="1">
      <c r="A187" s="314" t="s">
        <v>4681</v>
      </c>
      <c r="B187" s="310" t="s">
        <v>4331</v>
      </c>
      <c r="C187" s="311" t="s">
        <v>4332</v>
      </c>
      <c r="D187" s="300" t="s">
        <v>4333</v>
      </c>
      <c r="E187" s="313" t="s">
        <v>1939</v>
      </c>
      <c r="F187" s="313">
        <v>43</v>
      </c>
      <c r="G187" s="313"/>
      <c r="H187" s="719">
        <v>0</v>
      </c>
      <c r="I187" s="308">
        <f t="shared" si="2"/>
        <v>0</v>
      </c>
    </row>
    <row r="188" spans="1:9" ht="20.100000000000001" customHeight="1">
      <c r="A188" s="314" t="s">
        <v>4682</v>
      </c>
      <c r="B188" s="310" t="s">
        <v>4335</v>
      </c>
      <c r="C188" s="311" t="s">
        <v>4336</v>
      </c>
      <c r="D188" s="300" t="s">
        <v>4337</v>
      </c>
      <c r="E188" s="313" t="s">
        <v>1939</v>
      </c>
      <c r="F188" s="313">
        <v>31</v>
      </c>
      <c r="G188" s="313"/>
      <c r="H188" s="719">
        <v>0</v>
      </c>
      <c r="I188" s="308">
        <f t="shared" si="2"/>
        <v>0</v>
      </c>
    </row>
    <row r="189" spans="1:9" ht="20.100000000000001" customHeight="1">
      <c r="A189" s="314" t="s">
        <v>4683</v>
      </c>
      <c r="B189" s="310" t="s">
        <v>4500</v>
      </c>
      <c r="C189" s="311" t="s">
        <v>4501</v>
      </c>
      <c r="D189" s="300" t="s">
        <v>4502</v>
      </c>
      <c r="E189" s="313" t="s">
        <v>1939</v>
      </c>
      <c r="F189" s="313">
        <v>34</v>
      </c>
      <c r="G189" s="313"/>
      <c r="H189" s="719">
        <v>0</v>
      </c>
      <c r="I189" s="308">
        <f t="shared" si="2"/>
        <v>0</v>
      </c>
    </row>
    <row r="190" spans="1:9" ht="20.100000000000001" customHeight="1">
      <c r="A190" s="314" t="s">
        <v>4684</v>
      </c>
      <c r="B190" s="310" t="s">
        <v>4339</v>
      </c>
      <c r="C190" s="311" t="s">
        <v>4340</v>
      </c>
      <c r="D190" s="300" t="s">
        <v>4341</v>
      </c>
      <c r="E190" s="313" t="s">
        <v>1939</v>
      </c>
      <c r="F190" s="313">
        <v>8</v>
      </c>
      <c r="G190" s="313"/>
      <c r="H190" s="719">
        <v>0</v>
      </c>
      <c r="I190" s="308">
        <f t="shared" si="2"/>
        <v>0</v>
      </c>
    </row>
    <row r="191" spans="1:9" ht="20.100000000000001" customHeight="1">
      <c r="A191" s="314" t="s">
        <v>4685</v>
      </c>
      <c r="B191" s="310" t="s">
        <v>4343</v>
      </c>
      <c r="C191" s="311" t="s">
        <v>4344</v>
      </c>
      <c r="D191" s="300" t="s">
        <v>4686</v>
      </c>
      <c r="E191" s="313" t="s">
        <v>1939</v>
      </c>
      <c r="F191" s="313">
        <v>3</v>
      </c>
      <c r="G191" s="313"/>
      <c r="H191" s="719">
        <v>0</v>
      </c>
      <c r="I191" s="308">
        <f t="shared" si="2"/>
        <v>0</v>
      </c>
    </row>
    <row r="192" spans="1:9" ht="20.100000000000001" customHeight="1">
      <c r="A192" s="314" t="s">
        <v>4687</v>
      </c>
      <c r="B192" s="310" t="s">
        <v>4350</v>
      </c>
      <c r="C192" s="311">
        <v>4298150144</v>
      </c>
      <c r="D192" s="300" t="s">
        <v>4351</v>
      </c>
      <c r="E192" s="313" t="s">
        <v>1939</v>
      </c>
      <c r="F192" s="313">
        <v>12</v>
      </c>
      <c r="G192" s="313"/>
      <c r="H192" s="719">
        <v>0</v>
      </c>
      <c r="I192" s="308">
        <f t="shared" si="2"/>
        <v>0</v>
      </c>
    </row>
    <row r="193" spans="1:9" ht="20.100000000000001" customHeight="1">
      <c r="A193" s="314" t="s">
        <v>4688</v>
      </c>
      <c r="B193" s="310" t="s">
        <v>4689</v>
      </c>
      <c r="C193" s="311">
        <v>4298150143</v>
      </c>
      <c r="D193" s="300" t="s">
        <v>4690</v>
      </c>
      <c r="E193" s="313" t="s">
        <v>1939</v>
      </c>
      <c r="F193" s="313">
        <v>14</v>
      </c>
      <c r="G193" s="313"/>
      <c r="H193" s="719">
        <v>0</v>
      </c>
      <c r="I193" s="308">
        <f t="shared" si="2"/>
        <v>0</v>
      </c>
    </row>
    <row r="194" spans="1:9" ht="20.100000000000001" customHeight="1">
      <c r="A194" s="314" t="s">
        <v>4691</v>
      </c>
      <c r="B194" s="310" t="s">
        <v>4353</v>
      </c>
      <c r="C194" s="311">
        <v>4298150141</v>
      </c>
      <c r="D194" s="300" t="s">
        <v>4354</v>
      </c>
      <c r="E194" s="313" t="s">
        <v>1939</v>
      </c>
      <c r="F194" s="313">
        <v>6</v>
      </c>
      <c r="G194" s="313"/>
      <c r="H194" s="719">
        <v>0</v>
      </c>
      <c r="I194" s="308">
        <f t="shared" si="2"/>
        <v>0</v>
      </c>
    </row>
    <row r="195" spans="1:9" ht="20.100000000000001" customHeight="1">
      <c r="A195" s="314" t="s">
        <v>4692</v>
      </c>
      <c r="B195" s="310" t="s">
        <v>4356</v>
      </c>
      <c r="C195" s="311">
        <v>4298150140</v>
      </c>
      <c r="D195" s="300" t="s">
        <v>4357</v>
      </c>
      <c r="E195" s="313" t="s">
        <v>1939</v>
      </c>
      <c r="F195" s="313">
        <v>19</v>
      </c>
      <c r="G195" s="313"/>
      <c r="H195" s="719">
        <v>0</v>
      </c>
      <c r="I195" s="308">
        <f t="shared" si="2"/>
        <v>0</v>
      </c>
    </row>
    <row r="196" spans="1:9" ht="19.5" customHeight="1">
      <c r="A196" s="322"/>
      <c r="B196" s="310"/>
      <c r="C196" s="311"/>
      <c r="D196" s="300"/>
      <c r="E196" s="313"/>
      <c r="F196" s="313"/>
      <c r="G196" s="313"/>
      <c r="H196" s="307"/>
      <c r="I196" s="308"/>
    </row>
    <row r="197" spans="1:9" ht="20.100000000000001" customHeight="1">
      <c r="A197" s="314"/>
      <c r="B197" s="310"/>
      <c r="C197" s="311"/>
      <c r="D197" s="316" t="s">
        <v>4358</v>
      </c>
      <c r="E197" s="313" t="s">
        <v>4295</v>
      </c>
      <c r="F197" s="313"/>
      <c r="G197" s="313"/>
      <c r="H197" s="307"/>
      <c r="I197" s="308"/>
    </row>
    <row r="198" spans="1:9" ht="25.5" customHeight="1">
      <c r="A198" s="314" t="s">
        <v>4693</v>
      </c>
      <c r="B198" s="310" t="s">
        <v>4360</v>
      </c>
      <c r="C198" s="311" t="s">
        <v>4694</v>
      </c>
      <c r="D198" s="317" t="s">
        <v>4362</v>
      </c>
      <c r="E198" s="313" t="s">
        <v>1940</v>
      </c>
      <c r="F198" s="313">
        <v>94</v>
      </c>
      <c r="G198" s="313"/>
      <c r="H198" s="719">
        <v>0</v>
      </c>
      <c r="I198" s="308">
        <f t="shared" ref="I198:I258" si="3">F198*H198</f>
        <v>0</v>
      </c>
    </row>
    <row r="199" spans="1:9" ht="20.100000000000001" customHeight="1">
      <c r="A199" s="322"/>
      <c r="B199" s="310"/>
      <c r="C199" s="98"/>
      <c r="D199" s="300" t="s">
        <v>4295</v>
      </c>
      <c r="E199" s="313" t="s">
        <v>4295</v>
      </c>
      <c r="F199" s="313"/>
      <c r="G199" s="313"/>
      <c r="H199" s="307"/>
      <c r="I199" s="308"/>
    </row>
    <row r="200" spans="1:9" ht="20.100000000000001" customHeight="1">
      <c r="A200" s="314"/>
      <c r="B200" s="310"/>
      <c r="C200" s="311"/>
      <c r="D200" s="316" t="s">
        <v>4373</v>
      </c>
      <c r="E200" s="313" t="s">
        <v>4295</v>
      </c>
      <c r="F200" s="313"/>
      <c r="G200" s="313"/>
      <c r="H200" s="307"/>
      <c r="I200" s="308"/>
    </row>
    <row r="201" spans="1:9" ht="19.5" customHeight="1">
      <c r="A201" s="314" t="s">
        <v>4695</v>
      </c>
      <c r="B201" s="310" t="s">
        <v>4696</v>
      </c>
      <c r="C201" s="311" t="s">
        <v>4697</v>
      </c>
      <c r="D201" s="317" t="s">
        <v>4698</v>
      </c>
      <c r="E201" s="313" t="s">
        <v>3226</v>
      </c>
      <c r="F201" s="313">
        <v>1</v>
      </c>
      <c r="G201" s="313"/>
      <c r="H201" s="719">
        <v>0</v>
      </c>
      <c r="I201" s="308">
        <f t="shared" si="3"/>
        <v>0</v>
      </c>
    </row>
    <row r="202" spans="1:9" ht="19.5" customHeight="1">
      <c r="A202" s="314" t="s">
        <v>4699</v>
      </c>
      <c r="B202" s="310" t="s">
        <v>4700</v>
      </c>
      <c r="C202" s="311" t="s">
        <v>4701</v>
      </c>
      <c r="D202" s="317" t="s">
        <v>4698</v>
      </c>
      <c r="E202" s="313" t="s">
        <v>3226</v>
      </c>
      <c r="F202" s="313">
        <v>1</v>
      </c>
      <c r="G202" s="313"/>
      <c r="H202" s="719">
        <v>0</v>
      </c>
      <c r="I202" s="308">
        <f t="shared" si="3"/>
        <v>0</v>
      </c>
    </row>
    <row r="203" spans="1:9" ht="19.5" customHeight="1">
      <c r="A203" s="322"/>
      <c r="B203" s="310"/>
      <c r="C203" s="98"/>
      <c r="D203" s="300" t="s">
        <v>4295</v>
      </c>
      <c r="E203" s="313" t="s">
        <v>4295</v>
      </c>
      <c r="F203" s="313"/>
      <c r="G203" s="313"/>
      <c r="H203" s="307"/>
      <c r="I203" s="308"/>
    </row>
    <row r="204" spans="1:9" ht="19.5" customHeight="1">
      <c r="A204" s="314"/>
      <c r="B204" s="310"/>
      <c r="C204" s="311"/>
      <c r="D204" s="316" t="s">
        <v>4393</v>
      </c>
      <c r="E204" s="313" t="s">
        <v>4295</v>
      </c>
      <c r="F204" s="313"/>
      <c r="G204" s="313"/>
      <c r="H204" s="307"/>
      <c r="I204" s="308"/>
    </row>
    <row r="205" spans="1:9" ht="19.5" customHeight="1">
      <c r="A205" s="314" t="s">
        <v>4702</v>
      </c>
      <c r="B205" s="319" t="s">
        <v>4547</v>
      </c>
      <c r="C205" s="311" t="s">
        <v>4703</v>
      </c>
      <c r="D205" s="300" t="s">
        <v>4548</v>
      </c>
      <c r="E205" s="313" t="s">
        <v>3226</v>
      </c>
      <c r="F205" s="313">
        <v>6</v>
      </c>
      <c r="G205" s="313"/>
      <c r="H205" s="719">
        <v>0</v>
      </c>
      <c r="I205" s="308">
        <f t="shared" si="3"/>
        <v>0</v>
      </c>
    </row>
    <row r="206" spans="1:9" ht="19.5" customHeight="1">
      <c r="A206" s="314" t="s">
        <v>4704</v>
      </c>
      <c r="B206" s="319" t="s">
        <v>4666</v>
      </c>
      <c r="C206" s="311" t="s">
        <v>4703</v>
      </c>
      <c r="D206" s="300" t="s">
        <v>4667</v>
      </c>
      <c r="E206" s="313" t="s">
        <v>3226</v>
      </c>
      <c r="F206" s="313">
        <v>1</v>
      </c>
      <c r="G206" s="313"/>
      <c r="H206" s="719">
        <v>0</v>
      </c>
      <c r="I206" s="308">
        <f t="shared" si="3"/>
        <v>0</v>
      </c>
    </row>
    <row r="207" spans="1:9" ht="19.5" customHeight="1">
      <c r="A207" s="314" t="s">
        <v>4705</v>
      </c>
      <c r="B207" s="319" t="s">
        <v>4410</v>
      </c>
      <c r="C207" s="311" t="s">
        <v>4706</v>
      </c>
      <c r="D207" s="300" t="s">
        <v>4411</v>
      </c>
      <c r="E207" s="313" t="s">
        <v>3226</v>
      </c>
      <c r="F207" s="313">
        <v>2</v>
      </c>
      <c r="G207" s="313"/>
      <c r="H207" s="719">
        <v>0</v>
      </c>
      <c r="I207" s="308">
        <f t="shared" si="3"/>
        <v>0</v>
      </c>
    </row>
    <row r="208" spans="1:9" ht="19.5" customHeight="1">
      <c r="A208" s="314" t="s">
        <v>4707</v>
      </c>
      <c r="B208" s="319" t="s">
        <v>4708</v>
      </c>
      <c r="C208" s="311" t="s">
        <v>4709</v>
      </c>
      <c r="D208" s="300" t="s">
        <v>4710</v>
      </c>
      <c r="E208" s="313" t="s">
        <v>3226</v>
      </c>
      <c r="F208" s="313">
        <v>1</v>
      </c>
      <c r="G208" s="313"/>
      <c r="H208" s="719">
        <v>0</v>
      </c>
      <c r="I208" s="308">
        <f t="shared" si="3"/>
        <v>0</v>
      </c>
    </row>
    <row r="209" spans="1:9" ht="20.100000000000001" customHeight="1">
      <c r="A209" s="314" t="s">
        <v>4711</v>
      </c>
      <c r="B209" s="319" t="s">
        <v>4407</v>
      </c>
      <c r="C209" s="311" t="s">
        <v>4712</v>
      </c>
      <c r="D209" s="300" t="s">
        <v>4408</v>
      </c>
      <c r="E209" s="313" t="s">
        <v>3226</v>
      </c>
      <c r="F209" s="313">
        <v>2</v>
      </c>
      <c r="G209" s="313"/>
      <c r="H209" s="719">
        <v>0</v>
      </c>
      <c r="I209" s="308">
        <f t="shared" si="3"/>
        <v>0</v>
      </c>
    </row>
    <row r="210" spans="1:9" ht="20.100000000000001" customHeight="1">
      <c r="A210" s="314" t="s">
        <v>4713</v>
      </c>
      <c r="B210" s="319" t="s">
        <v>4403</v>
      </c>
      <c r="C210" s="311" t="s">
        <v>4714</v>
      </c>
      <c r="D210" s="300" t="s">
        <v>4405</v>
      </c>
      <c r="E210" s="313" t="s">
        <v>3226</v>
      </c>
      <c r="F210" s="313">
        <v>5</v>
      </c>
      <c r="G210" s="313"/>
      <c r="H210" s="719">
        <v>0</v>
      </c>
      <c r="I210" s="308">
        <f t="shared" si="3"/>
        <v>0</v>
      </c>
    </row>
    <row r="211" spans="1:9" ht="25.5" customHeight="1">
      <c r="A211" s="314" t="s">
        <v>4715</v>
      </c>
      <c r="B211" s="310" t="s">
        <v>4653</v>
      </c>
      <c r="C211" s="311" t="s">
        <v>4716</v>
      </c>
      <c r="D211" s="317" t="s">
        <v>4717</v>
      </c>
      <c r="E211" s="313" t="s">
        <v>3226</v>
      </c>
      <c r="F211" s="313">
        <v>3</v>
      </c>
      <c r="G211" s="313"/>
      <c r="H211" s="719">
        <v>0</v>
      </c>
      <c r="I211" s="308">
        <f t="shared" si="3"/>
        <v>0</v>
      </c>
    </row>
    <row r="212" spans="1:9" ht="25.5" customHeight="1">
      <c r="A212" s="314" t="s">
        <v>4718</v>
      </c>
      <c r="B212" s="310" t="s">
        <v>4719</v>
      </c>
      <c r="C212" s="311" t="s">
        <v>4400</v>
      </c>
      <c r="D212" s="312" t="s">
        <v>4720</v>
      </c>
      <c r="E212" s="313" t="s">
        <v>3226</v>
      </c>
      <c r="F212" s="313">
        <v>2</v>
      </c>
      <c r="G212" s="313"/>
      <c r="H212" s="719">
        <v>0</v>
      </c>
      <c r="I212" s="308">
        <f t="shared" si="3"/>
        <v>0</v>
      </c>
    </row>
    <row r="213" spans="1:9" ht="25.5" customHeight="1">
      <c r="A213" s="314" t="s">
        <v>4721</v>
      </c>
      <c r="B213" s="310" t="s">
        <v>4722</v>
      </c>
      <c r="C213" s="311" t="s">
        <v>4400</v>
      </c>
      <c r="D213" s="312" t="s">
        <v>4723</v>
      </c>
      <c r="E213" s="313" t="s">
        <v>3226</v>
      </c>
      <c r="F213" s="313">
        <v>2</v>
      </c>
      <c r="G213" s="313"/>
      <c r="H213" s="719">
        <v>0</v>
      </c>
      <c r="I213" s="308">
        <f t="shared" si="3"/>
        <v>0</v>
      </c>
    </row>
    <row r="214" spans="1:9" ht="19.5" customHeight="1">
      <c r="A214" s="314" t="s">
        <v>4724</v>
      </c>
      <c r="B214" s="310" t="s">
        <v>4725</v>
      </c>
      <c r="C214" s="311" t="s">
        <v>4400</v>
      </c>
      <c r="D214" s="317" t="s">
        <v>4726</v>
      </c>
      <c r="E214" s="313" t="s">
        <v>3226</v>
      </c>
      <c r="F214" s="313">
        <v>3</v>
      </c>
      <c r="G214" s="313"/>
      <c r="H214" s="719">
        <v>0</v>
      </c>
      <c r="I214" s="308">
        <f t="shared" si="3"/>
        <v>0</v>
      </c>
    </row>
    <row r="215" spans="1:9" ht="25.5" customHeight="1">
      <c r="A215" s="314" t="s">
        <v>4727</v>
      </c>
      <c r="B215" s="310" t="s">
        <v>4728</v>
      </c>
      <c r="C215" s="311" t="s">
        <v>4729</v>
      </c>
      <c r="D215" s="312" t="s">
        <v>4419</v>
      </c>
      <c r="E215" s="313" t="s">
        <v>3226</v>
      </c>
      <c r="F215" s="313">
        <v>1</v>
      </c>
      <c r="G215" s="313"/>
      <c r="H215" s="719">
        <v>0</v>
      </c>
      <c r="I215" s="308">
        <f t="shared" si="3"/>
        <v>0</v>
      </c>
    </row>
    <row r="216" spans="1:9" ht="20.100000000000001" customHeight="1">
      <c r="A216" s="314" t="s">
        <v>4730</v>
      </c>
      <c r="B216" s="310" t="s">
        <v>4432</v>
      </c>
      <c r="C216" s="311" t="s">
        <v>4731</v>
      </c>
      <c r="D216" s="300" t="s">
        <v>4434</v>
      </c>
      <c r="E216" s="313" t="s">
        <v>3226</v>
      </c>
      <c r="F216" s="313">
        <v>10</v>
      </c>
      <c r="G216" s="313"/>
      <c r="H216" s="719">
        <v>0</v>
      </c>
      <c r="I216" s="308">
        <f t="shared" si="3"/>
        <v>0</v>
      </c>
    </row>
    <row r="217" spans="1:9" ht="20.100000000000001" customHeight="1">
      <c r="A217" s="314" t="s">
        <v>4732</v>
      </c>
      <c r="B217" s="310" t="s">
        <v>4436</v>
      </c>
      <c r="C217" s="311" t="s">
        <v>4733</v>
      </c>
      <c r="D217" s="300" t="s">
        <v>4437</v>
      </c>
      <c r="E217" s="313" t="s">
        <v>3226</v>
      </c>
      <c r="F217" s="313">
        <v>4</v>
      </c>
      <c r="G217" s="313"/>
      <c r="H217" s="719">
        <v>0</v>
      </c>
      <c r="I217" s="308">
        <f t="shared" si="3"/>
        <v>0</v>
      </c>
    </row>
    <row r="218" spans="1:9" ht="20.100000000000001" customHeight="1">
      <c r="A218" s="322"/>
      <c r="B218" s="310"/>
      <c r="C218" s="98"/>
      <c r="D218" s="300" t="s">
        <v>4295</v>
      </c>
      <c r="E218" s="313" t="s">
        <v>4295</v>
      </c>
      <c r="F218" s="313"/>
      <c r="G218" s="313"/>
      <c r="H218" s="307"/>
      <c r="I218" s="308"/>
    </row>
    <row r="219" spans="1:9" ht="20.100000000000001" customHeight="1">
      <c r="A219" s="314"/>
      <c r="B219" s="310"/>
      <c r="C219" s="311"/>
      <c r="D219" s="316" t="s">
        <v>4438</v>
      </c>
      <c r="E219" s="313" t="s">
        <v>4295</v>
      </c>
      <c r="F219" s="313"/>
      <c r="G219" s="313"/>
      <c r="H219" s="307"/>
      <c r="I219" s="308"/>
    </row>
    <row r="220" spans="1:9" ht="20.100000000000001" customHeight="1">
      <c r="A220" s="314" t="s">
        <v>4734</v>
      </c>
      <c r="B220" s="310" t="s">
        <v>4570</v>
      </c>
      <c r="C220" s="311" t="s">
        <v>4735</v>
      </c>
      <c r="D220" s="300" t="s">
        <v>4571</v>
      </c>
      <c r="E220" s="313" t="s">
        <v>3226</v>
      </c>
      <c r="F220" s="313">
        <v>1</v>
      </c>
      <c r="G220" s="313"/>
      <c r="H220" s="719">
        <v>0</v>
      </c>
      <c r="I220" s="308">
        <f t="shared" si="3"/>
        <v>0</v>
      </c>
    </row>
    <row r="221" spans="1:9" ht="20.100000000000001" customHeight="1">
      <c r="A221" s="322"/>
      <c r="B221" s="310"/>
      <c r="C221" s="98"/>
      <c r="D221" s="300" t="s">
        <v>4295</v>
      </c>
      <c r="E221" s="313" t="s">
        <v>4295</v>
      </c>
      <c r="F221" s="313"/>
      <c r="G221" s="313"/>
      <c r="H221" s="307"/>
      <c r="I221" s="308"/>
    </row>
    <row r="222" spans="1:9" ht="20.100000000000001" customHeight="1">
      <c r="A222" s="314"/>
      <c r="B222" s="310"/>
      <c r="C222" s="311"/>
      <c r="D222" s="316" t="s">
        <v>3131</v>
      </c>
      <c r="E222" s="313" t="s">
        <v>4295</v>
      </c>
      <c r="F222" s="313"/>
      <c r="G222" s="313"/>
      <c r="H222" s="307"/>
      <c r="I222" s="308"/>
    </row>
    <row r="223" spans="1:9" ht="20.100000000000001" customHeight="1">
      <c r="A223" s="314" t="s">
        <v>4736</v>
      </c>
      <c r="B223" s="310" t="s">
        <v>4452</v>
      </c>
      <c r="C223" s="311" t="s">
        <v>4737</v>
      </c>
      <c r="D223" s="300" t="s">
        <v>4454</v>
      </c>
      <c r="E223" s="313" t="s">
        <v>4455</v>
      </c>
      <c r="F223" s="313">
        <v>2</v>
      </c>
      <c r="G223" s="313"/>
      <c r="H223" s="719">
        <v>0</v>
      </c>
      <c r="I223" s="308">
        <f t="shared" si="3"/>
        <v>0</v>
      </c>
    </row>
    <row r="224" spans="1:9" ht="36.75" customHeight="1">
      <c r="A224" s="314" t="s">
        <v>4738</v>
      </c>
      <c r="B224" s="310" t="s">
        <v>4457</v>
      </c>
      <c r="C224" s="311" t="s">
        <v>4739</v>
      </c>
      <c r="D224" s="317" t="s">
        <v>4740</v>
      </c>
      <c r="E224" s="313" t="s">
        <v>3233</v>
      </c>
      <c r="F224" s="313">
        <v>1</v>
      </c>
      <c r="G224" s="313"/>
      <c r="H224" s="719">
        <v>0</v>
      </c>
      <c r="I224" s="308">
        <f t="shared" si="3"/>
        <v>0</v>
      </c>
    </row>
    <row r="225" spans="1:9" ht="20.100000000000001" customHeight="1">
      <c r="A225" s="322"/>
      <c r="B225" s="310"/>
      <c r="C225" s="98"/>
      <c r="D225" s="300" t="s">
        <v>4295</v>
      </c>
      <c r="E225" s="313" t="s">
        <v>4295</v>
      </c>
      <c r="F225" s="313"/>
      <c r="G225" s="313"/>
      <c r="H225" s="307"/>
      <c r="I225" s="308"/>
    </row>
    <row r="226" spans="1:9" ht="20.100000000000001" customHeight="1">
      <c r="A226" s="309"/>
      <c r="B226" s="310"/>
      <c r="C226" s="311"/>
      <c r="D226" s="306" t="s">
        <v>4741</v>
      </c>
      <c r="E226" s="313" t="s">
        <v>4295</v>
      </c>
      <c r="F226" s="313"/>
      <c r="G226" s="313"/>
      <c r="H226" s="307"/>
      <c r="I226" s="308"/>
    </row>
    <row r="227" spans="1:9" ht="20.100000000000001" customHeight="1">
      <c r="A227" s="314"/>
      <c r="B227" s="310"/>
      <c r="C227" s="311"/>
      <c r="D227" s="316" t="s">
        <v>4312</v>
      </c>
      <c r="E227" s="313" t="s">
        <v>4295</v>
      </c>
      <c r="F227" s="313"/>
      <c r="G227" s="313"/>
      <c r="H227" s="307"/>
      <c r="I227" s="308"/>
    </row>
    <row r="228" spans="1:9" ht="20.100000000000001" customHeight="1">
      <c r="A228" s="314" t="s">
        <v>4742</v>
      </c>
      <c r="B228" s="310" t="s">
        <v>4318</v>
      </c>
      <c r="C228" s="311" t="s">
        <v>4743</v>
      </c>
      <c r="D228" s="300" t="s">
        <v>4320</v>
      </c>
      <c r="E228" s="313" t="s">
        <v>3226</v>
      </c>
      <c r="F228" s="313">
        <v>2</v>
      </c>
      <c r="G228" s="313"/>
      <c r="H228" s="719">
        <v>0</v>
      </c>
      <c r="I228" s="308">
        <f t="shared" si="3"/>
        <v>0</v>
      </c>
    </row>
    <row r="229" spans="1:9" ht="20.100000000000001" customHeight="1">
      <c r="A229" s="322"/>
      <c r="B229" s="310"/>
      <c r="C229" s="98"/>
      <c r="D229" s="300" t="s">
        <v>4295</v>
      </c>
      <c r="E229" s="313" t="s">
        <v>4295</v>
      </c>
      <c r="F229" s="313"/>
      <c r="G229" s="313"/>
      <c r="H229" s="307"/>
      <c r="I229" s="308"/>
    </row>
    <row r="230" spans="1:9" ht="20.100000000000001" customHeight="1">
      <c r="A230" s="314"/>
      <c r="B230" s="310"/>
      <c r="C230" s="311"/>
      <c r="D230" s="316" t="s">
        <v>4358</v>
      </c>
      <c r="E230" s="313" t="s">
        <v>4295</v>
      </c>
      <c r="F230" s="313"/>
      <c r="G230" s="313"/>
      <c r="H230" s="307"/>
      <c r="I230" s="308"/>
    </row>
    <row r="231" spans="1:9" ht="25.5" customHeight="1">
      <c r="A231" s="314" t="s">
        <v>4744</v>
      </c>
      <c r="B231" s="310" t="s">
        <v>4360</v>
      </c>
      <c r="C231" s="311" t="s">
        <v>4694</v>
      </c>
      <c r="D231" s="317" t="s">
        <v>4362</v>
      </c>
      <c r="E231" s="313" t="s">
        <v>1940</v>
      </c>
      <c r="F231" s="313">
        <v>17</v>
      </c>
      <c r="G231" s="313"/>
      <c r="H231" s="719">
        <v>0</v>
      </c>
      <c r="I231" s="308">
        <f t="shared" si="3"/>
        <v>0</v>
      </c>
    </row>
    <row r="232" spans="1:9" ht="25.5" customHeight="1">
      <c r="A232" s="314" t="s">
        <v>4745</v>
      </c>
      <c r="B232" s="310" t="s">
        <v>4364</v>
      </c>
      <c r="C232" s="311" t="s">
        <v>4746</v>
      </c>
      <c r="D232" s="317" t="s">
        <v>4366</v>
      </c>
      <c r="E232" s="313" t="s">
        <v>1940</v>
      </c>
      <c r="F232" s="313">
        <v>140</v>
      </c>
      <c r="G232" s="313"/>
      <c r="H232" s="719">
        <v>0</v>
      </c>
      <c r="I232" s="308">
        <f t="shared" si="3"/>
        <v>0</v>
      </c>
    </row>
    <row r="233" spans="1:9" ht="20.100000000000001" customHeight="1">
      <c r="A233" s="322"/>
      <c r="B233" s="310"/>
      <c r="C233" s="98"/>
      <c r="D233" s="300" t="s">
        <v>4295</v>
      </c>
      <c r="E233" s="313" t="s">
        <v>4295</v>
      </c>
      <c r="F233" s="313"/>
      <c r="G233" s="313"/>
      <c r="H233" s="307"/>
      <c r="I233" s="308"/>
    </row>
    <row r="234" spans="1:9" ht="19.5" customHeight="1">
      <c r="A234" s="314"/>
      <c r="B234" s="310"/>
      <c r="C234" s="311"/>
      <c r="D234" s="316" t="s">
        <v>4393</v>
      </c>
      <c r="E234" s="313" t="s">
        <v>4295</v>
      </c>
      <c r="F234" s="313"/>
      <c r="G234" s="313"/>
      <c r="H234" s="307"/>
      <c r="I234" s="308"/>
    </row>
    <row r="235" spans="1:9" ht="19.5" customHeight="1">
      <c r="A235" s="314" t="s">
        <v>4747</v>
      </c>
      <c r="B235" s="310" t="s">
        <v>4748</v>
      </c>
      <c r="C235" s="311" t="s">
        <v>4749</v>
      </c>
      <c r="D235" s="300" t="s">
        <v>4750</v>
      </c>
      <c r="E235" s="313" t="s">
        <v>3226</v>
      </c>
      <c r="F235" s="313">
        <v>1</v>
      </c>
      <c r="G235" s="313"/>
      <c r="H235" s="719">
        <v>0</v>
      </c>
      <c r="I235" s="308">
        <f t="shared" si="3"/>
        <v>0</v>
      </c>
    </row>
    <row r="236" spans="1:9" ht="20.100000000000001" customHeight="1">
      <c r="A236" s="314" t="s">
        <v>4751</v>
      </c>
      <c r="B236" s="310" t="s">
        <v>4395</v>
      </c>
      <c r="C236" s="311" t="s">
        <v>4396</v>
      </c>
      <c r="D236" s="300" t="s">
        <v>4397</v>
      </c>
      <c r="E236" s="313" t="s">
        <v>3226</v>
      </c>
      <c r="F236" s="313">
        <v>1</v>
      </c>
      <c r="G236" s="313"/>
      <c r="H236" s="719">
        <v>0</v>
      </c>
      <c r="I236" s="308">
        <f t="shared" si="3"/>
        <v>0</v>
      </c>
    </row>
    <row r="237" spans="1:9" ht="20.100000000000001" customHeight="1">
      <c r="A237" s="322"/>
      <c r="B237" s="310"/>
      <c r="C237" s="98"/>
      <c r="D237" s="300"/>
      <c r="E237" s="313"/>
      <c r="F237" s="313"/>
      <c r="G237" s="313"/>
      <c r="H237" s="307"/>
      <c r="I237" s="308"/>
    </row>
    <row r="238" spans="1:9" ht="20.100000000000001" customHeight="1">
      <c r="A238" s="314"/>
      <c r="B238" s="310"/>
      <c r="C238" s="311"/>
      <c r="D238" s="316" t="s">
        <v>2054</v>
      </c>
      <c r="E238" s="313" t="s">
        <v>4295</v>
      </c>
      <c r="F238" s="313"/>
      <c r="G238" s="313"/>
      <c r="H238" s="307"/>
      <c r="I238" s="308"/>
    </row>
    <row r="239" spans="1:9" ht="25.5" customHeight="1">
      <c r="A239" s="314" t="s">
        <v>4752</v>
      </c>
      <c r="B239" s="310" t="s">
        <v>4753</v>
      </c>
      <c r="C239" s="311" t="s">
        <v>4391</v>
      </c>
      <c r="D239" s="312" t="s">
        <v>4754</v>
      </c>
      <c r="E239" s="313" t="s">
        <v>1940</v>
      </c>
      <c r="F239" s="313">
        <v>98</v>
      </c>
      <c r="G239" s="313"/>
      <c r="H239" s="719">
        <v>0</v>
      </c>
      <c r="I239" s="308">
        <f t="shared" si="3"/>
        <v>0</v>
      </c>
    </row>
    <row r="240" spans="1:9" ht="25.5" customHeight="1">
      <c r="A240" s="314" t="s">
        <v>4755</v>
      </c>
      <c r="B240" s="310" t="s">
        <v>4756</v>
      </c>
      <c r="C240" s="311" t="s">
        <v>4757</v>
      </c>
      <c r="D240" s="317" t="s">
        <v>4758</v>
      </c>
      <c r="E240" s="313" t="s">
        <v>1940</v>
      </c>
      <c r="F240" s="313">
        <v>27</v>
      </c>
      <c r="G240" s="313"/>
      <c r="H240" s="719">
        <v>0</v>
      </c>
      <c r="I240" s="308">
        <f t="shared" si="3"/>
        <v>0</v>
      </c>
    </row>
    <row r="241" spans="1:9" ht="25.5" customHeight="1">
      <c r="A241" s="314" t="s">
        <v>4759</v>
      </c>
      <c r="B241" s="310" t="s">
        <v>4760</v>
      </c>
      <c r="C241" s="311" t="s">
        <v>4757</v>
      </c>
      <c r="D241" s="317" t="s">
        <v>4761</v>
      </c>
      <c r="E241" s="313" t="s">
        <v>1940</v>
      </c>
      <c r="F241" s="313">
        <v>24</v>
      </c>
      <c r="G241" s="313"/>
      <c r="H241" s="719">
        <v>0</v>
      </c>
      <c r="I241" s="308">
        <f t="shared" si="3"/>
        <v>0</v>
      </c>
    </row>
    <row r="242" spans="1:9" ht="19.5" customHeight="1">
      <c r="A242" s="322"/>
      <c r="B242" s="310"/>
      <c r="C242" s="98"/>
      <c r="D242" s="300" t="s">
        <v>4295</v>
      </c>
      <c r="E242" s="313" t="s">
        <v>4295</v>
      </c>
      <c r="F242" s="313"/>
      <c r="G242" s="313"/>
      <c r="H242" s="307"/>
      <c r="I242" s="308"/>
    </row>
    <row r="243" spans="1:9" ht="20.100000000000001" customHeight="1">
      <c r="A243" s="314"/>
      <c r="B243" s="310"/>
      <c r="C243" s="311"/>
      <c r="D243" s="316" t="s">
        <v>4373</v>
      </c>
      <c r="E243" s="313" t="s">
        <v>4295</v>
      </c>
      <c r="F243" s="313"/>
      <c r="G243" s="313"/>
      <c r="H243" s="307"/>
      <c r="I243" s="308"/>
    </row>
    <row r="244" spans="1:9" ht="25.5" customHeight="1">
      <c r="A244" s="314" t="s">
        <v>4762</v>
      </c>
      <c r="B244" s="310" t="s">
        <v>4763</v>
      </c>
      <c r="C244" s="311" t="s">
        <v>4639</v>
      </c>
      <c r="D244" s="317" t="s">
        <v>4764</v>
      </c>
      <c r="E244" s="313" t="s">
        <v>3226</v>
      </c>
      <c r="F244" s="313">
        <v>1</v>
      </c>
      <c r="G244" s="313"/>
      <c r="H244" s="719">
        <v>0</v>
      </c>
      <c r="I244" s="308">
        <f t="shared" si="3"/>
        <v>0</v>
      </c>
    </row>
    <row r="245" spans="1:9" ht="19.5" customHeight="1">
      <c r="A245" s="314" t="s">
        <v>4765</v>
      </c>
      <c r="B245" s="310" t="s">
        <v>4766</v>
      </c>
      <c r="C245" s="311" t="s">
        <v>4639</v>
      </c>
      <c r="D245" s="317" t="s">
        <v>4767</v>
      </c>
      <c r="E245" s="313" t="s">
        <v>3226</v>
      </c>
      <c r="F245" s="313">
        <v>1</v>
      </c>
      <c r="G245" s="313"/>
      <c r="H245" s="719">
        <v>0</v>
      </c>
      <c r="I245" s="308">
        <f t="shared" si="3"/>
        <v>0</v>
      </c>
    </row>
    <row r="246" spans="1:9" ht="25.5" customHeight="1">
      <c r="A246" s="314" t="s">
        <v>4768</v>
      </c>
      <c r="B246" s="310" t="s">
        <v>4769</v>
      </c>
      <c r="C246" s="311" t="s">
        <v>4639</v>
      </c>
      <c r="D246" s="317" t="s">
        <v>4764</v>
      </c>
      <c r="E246" s="313" t="s">
        <v>3226</v>
      </c>
      <c r="F246" s="313">
        <v>1</v>
      </c>
      <c r="G246" s="313"/>
      <c r="H246" s="719">
        <v>0</v>
      </c>
      <c r="I246" s="308">
        <f t="shared" si="3"/>
        <v>0</v>
      </c>
    </row>
    <row r="247" spans="1:9" ht="19.5" customHeight="1">
      <c r="A247" s="322"/>
      <c r="B247" s="310"/>
      <c r="C247" s="98"/>
      <c r="D247" s="300" t="s">
        <v>4295</v>
      </c>
      <c r="E247" s="313" t="s">
        <v>4295</v>
      </c>
      <c r="F247" s="313"/>
      <c r="G247" s="313"/>
      <c r="H247" s="307"/>
      <c r="I247" s="308"/>
    </row>
    <row r="248" spans="1:9" ht="20.100000000000001" customHeight="1">
      <c r="A248" s="314"/>
      <c r="B248" s="310"/>
      <c r="C248" s="311"/>
      <c r="D248" s="316" t="s">
        <v>3131</v>
      </c>
      <c r="E248" s="313" t="s">
        <v>4295</v>
      </c>
      <c r="F248" s="313"/>
      <c r="G248" s="313"/>
      <c r="H248" s="307"/>
      <c r="I248" s="308"/>
    </row>
    <row r="249" spans="1:9" ht="20.100000000000001" customHeight="1">
      <c r="A249" s="314" t="s">
        <v>4770</v>
      </c>
      <c r="B249" s="310" t="s">
        <v>4452</v>
      </c>
      <c r="C249" s="311" t="s">
        <v>4737</v>
      </c>
      <c r="D249" s="300" t="s">
        <v>4454</v>
      </c>
      <c r="E249" s="313" t="s">
        <v>4455</v>
      </c>
      <c r="F249" s="313">
        <v>4</v>
      </c>
      <c r="G249" s="313"/>
      <c r="H249" s="719">
        <v>0</v>
      </c>
      <c r="I249" s="308">
        <f t="shared" si="3"/>
        <v>0</v>
      </c>
    </row>
    <row r="250" spans="1:9" ht="20.100000000000001" customHeight="1">
      <c r="A250" s="314" t="s">
        <v>4771</v>
      </c>
      <c r="B250" s="310" t="s">
        <v>4772</v>
      </c>
      <c r="C250" s="311" t="s">
        <v>4602</v>
      </c>
      <c r="D250" s="300" t="s">
        <v>4773</v>
      </c>
      <c r="E250" s="313" t="s">
        <v>4455</v>
      </c>
      <c r="F250" s="313">
        <v>1</v>
      </c>
      <c r="G250" s="313"/>
      <c r="H250" s="719">
        <v>0</v>
      </c>
      <c r="I250" s="308">
        <f t="shared" si="3"/>
        <v>0</v>
      </c>
    </row>
    <row r="251" spans="1:9" ht="36.75" customHeight="1">
      <c r="A251" s="314" t="s">
        <v>4774</v>
      </c>
      <c r="B251" s="310" t="s">
        <v>4457</v>
      </c>
      <c r="C251" s="311" t="s">
        <v>4775</v>
      </c>
      <c r="D251" s="317" t="s">
        <v>4459</v>
      </c>
      <c r="E251" s="313" t="s">
        <v>3233</v>
      </c>
      <c r="F251" s="313">
        <v>1</v>
      </c>
      <c r="G251" s="313"/>
      <c r="H251" s="719">
        <v>0</v>
      </c>
      <c r="I251" s="308">
        <f t="shared" si="3"/>
        <v>0</v>
      </c>
    </row>
    <row r="252" spans="1:9" ht="19.5" customHeight="1">
      <c r="A252" s="309"/>
      <c r="B252" s="310"/>
      <c r="C252" s="98"/>
      <c r="D252" s="300" t="s">
        <v>4295</v>
      </c>
      <c r="E252" s="313" t="s">
        <v>4295</v>
      </c>
      <c r="F252" s="313"/>
      <c r="G252" s="313"/>
      <c r="H252" s="307"/>
      <c r="I252" s="308"/>
    </row>
    <row r="253" spans="1:9" ht="20.100000000000001" customHeight="1">
      <c r="A253" s="309"/>
      <c r="B253" s="310"/>
      <c r="C253" s="311"/>
      <c r="D253" s="306" t="s">
        <v>4776</v>
      </c>
      <c r="E253" s="313" t="s">
        <v>4295</v>
      </c>
      <c r="F253" s="313"/>
      <c r="G253" s="313"/>
      <c r="H253" s="307"/>
      <c r="I253" s="308"/>
    </row>
    <row r="254" spans="1:9" ht="19.5" customHeight="1">
      <c r="A254" s="314">
        <v>5</v>
      </c>
      <c r="B254" s="310" t="s">
        <v>4777</v>
      </c>
      <c r="C254" s="311" t="s">
        <v>4778</v>
      </c>
      <c r="D254" s="300" t="s">
        <v>4779</v>
      </c>
      <c r="E254" s="313" t="s">
        <v>3226</v>
      </c>
      <c r="F254" s="313">
        <v>1</v>
      </c>
      <c r="G254" s="313"/>
      <c r="H254" s="719">
        <v>0</v>
      </c>
      <c r="I254" s="308">
        <f t="shared" si="3"/>
        <v>0</v>
      </c>
    </row>
    <row r="255" spans="1:9" ht="19.5" customHeight="1">
      <c r="A255" s="314" t="s">
        <v>4780</v>
      </c>
      <c r="B255" s="310" t="s">
        <v>4781</v>
      </c>
      <c r="C255" s="311"/>
      <c r="D255" s="300" t="s">
        <v>4782</v>
      </c>
      <c r="E255" s="313" t="s">
        <v>3226</v>
      </c>
      <c r="F255" s="313">
        <v>1</v>
      </c>
      <c r="G255" s="313"/>
      <c r="H255" s="719">
        <v>0</v>
      </c>
      <c r="I255" s="308">
        <f t="shared" si="3"/>
        <v>0</v>
      </c>
    </row>
    <row r="256" spans="1:9" ht="19.5" customHeight="1">
      <c r="A256" s="314" t="s">
        <v>4783</v>
      </c>
      <c r="B256" s="310" t="s">
        <v>4784</v>
      </c>
      <c r="C256" s="311"/>
      <c r="D256" s="300" t="s">
        <v>4785</v>
      </c>
      <c r="E256" s="313" t="s">
        <v>3226</v>
      </c>
      <c r="F256" s="313">
        <v>1</v>
      </c>
      <c r="G256" s="313"/>
      <c r="H256" s="719">
        <v>0</v>
      </c>
      <c r="I256" s="308">
        <f t="shared" si="3"/>
        <v>0</v>
      </c>
    </row>
    <row r="257" spans="1:9" ht="19.5" customHeight="1">
      <c r="A257" s="314" t="s">
        <v>3976</v>
      </c>
      <c r="B257" s="310" t="s">
        <v>4786</v>
      </c>
      <c r="C257" s="311"/>
      <c r="D257" s="300" t="s">
        <v>4787</v>
      </c>
      <c r="E257" s="313" t="s">
        <v>3226</v>
      </c>
      <c r="F257" s="313">
        <v>1</v>
      </c>
      <c r="G257" s="313"/>
      <c r="H257" s="719">
        <v>0</v>
      </c>
      <c r="I257" s="308">
        <f t="shared" si="3"/>
        <v>0</v>
      </c>
    </row>
    <row r="258" spans="1:9" ht="19.5" customHeight="1">
      <c r="A258" s="314" t="s">
        <v>4788</v>
      </c>
      <c r="B258" s="323" t="s">
        <v>4789</v>
      </c>
      <c r="C258" s="311"/>
      <c r="D258" s="300" t="s">
        <v>4790</v>
      </c>
      <c r="E258" s="313" t="s">
        <v>3233</v>
      </c>
      <c r="F258" s="313">
        <v>1</v>
      </c>
      <c r="G258" s="313"/>
      <c r="H258" s="719">
        <v>0</v>
      </c>
      <c r="I258" s="308">
        <f t="shared" si="3"/>
        <v>0</v>
      </c>
    </row>
    <row r="259" spans="1:9" ht="19.5" customHeight="1">
      <c r="A259" s="322"/>
      <c r="B259" s="323"/>
      <c r="C259" s="311"/>
      <c r="D259" s="300"/>
      <c r="E259" s="313"/>
      <c r="F259" s="313"/>
      <c r="G259" s="313"/>
      <c r="H259" s="307"/>
      <c r="I259" s="308"/>
    </row>
    <row r="260" spans="1:9" ht="20.100000000000001" customHeight="1">
      <c r="A260" s="314"/>
      <c r="B260" s="310"/>
      <c r="C260" s="311"/>
      <c r="D260" s="316" t="s">
        <v>4325</v>
      </c>
      <c r="E260" s="313" t="s">
        <v>4295</v>
      </c>
      <c r="F260" s="313"/>
      <c r="G260" s="313"/>
      <c r="H260" s="307"/>
      <c r="I260" s="308"/>
    </row>
    <row r="261" spans="1:9" ht="20.100000000000001" customHeight="1">
      <c r="A261" s="314" t="s">
        <v>4791</v>
      </c>
      <c r="B261" s="310" t="s">
        <v>4335</v>
      </c>
      <c r="C261" s="311" t="s">
        <v>4336</v>
      </c>
      <c r="D261" s="300" t="s">
        <v>4337</v>
      </c>
      <c r="E261" s="313" t="s">
        <v>1939</v>
      </c>
      <c r="F261" s="313">
        <v>18</v>
      </c>
      <c r="G261" s="313"/>
      <c r="H261" s="719">
        <v>0</v>
      </c>
      <c r="I261" s="308">
        <f t="shared" ref="I261:I313" si="4">F261*H261</f>
        <v>0</v>
      </c>
    </row>
    <row r="262" spans="1:9" ht="20.100000000000001" customHeight="1">
      <c r="A262" s="314" t="s">
        <v>4792</v>
      </c>
      <c r="B262" s="310" t="s">
        <v>4500</v>
      </c>
      <c r="C262" s="311" t="s">
        <v>4501</v>
      </c>
      <c r="D262" s="300" t="s">
        <v>4502</v>
      </c>
      <c r="E262" s="313" t="s">
        <v>1939</v>
      </c>
      <c r="F262" s="313">
        <v>5</v>
      </c>
      <c r="G262" s="313"/>
      <c r="H262" s="719">
        <v>0</v>
      </c>
      <c r="I262" s="308">
        <f t="shared" si="4"/>
        <v>0</v>
      </c>
    </row>
    <row r="263" spans="1:9" ht="19.5" customHeight="1">
      <c r="A263" s="322"/>
      <c r="B263" s="310"/>
      <c r="C263" s="311"/>
      <c r="D263" s="300" t="s">
        <v>4295</v>
      </c>
      <c r="E263" s="313" t="s">
        <v>4295</v>
      </c>
      <c r="F263" s="313"/>
      <c r="G263" s="313"/>
      <c r="H263" s="307"/>
      <c r="I263" s="308"/>
    </row>
    <row r="264" spans="1:9" ht="20.100000000000001" customHeight="1">
      <c r="A264" s="314"/>
      <c r="B264" s="310"/>
      <c r="C264" s="311"/>
      <c r="D264" s="316" t="s">
        <v>2054</v>
      </c>
      <c r="E264" s="313" t="s">
        <v>4295</v>
      </c>
      <c r="F264" s="313"/>
      <c r="G264" s="313"/>
      <c r="H264" s="307"/>
      <c r="I264" s="308"/>
    </row>
    <row r="265" spans="1:9" ht="25.5" customHeight="1">
      <c r="A265" s="314" t="s">
        <v>4793</v>
      </c>
      <c r="B265" s="310" t="s">
        <v>4753</v>
      </c>
      <c r="C265" s="311" t="s">
        <v>4391</v>
      </c>
      <c r="D265" s="312" t="s">
        <v>4754</v>
      </c>
      <c r="E265" s="313" t="s">
        <v>1940</v>
      </c>
      <c r="F265" s="313">
        <v>8</v>
      </c>
      <c r="G265" s="313"/>
      <c r="H265" s="719">
        <v>0</v>
      </c>
      <c r="I265" s="308">
        <f t="shared" si="4"/>
        <v>0</v>
      </c>
    </row>
    <row r="266" spans="1:9" ht="20.100000000000001" customHeight="1">
      <c r="A266" s="322"/>
      <c r="B266" s="310"/>
      <c r="C266" s="98"/>
      <c r="D266" s="300" t="s">
        <v>4295</v>
      </c>
      <c r="E266" s="313" t="s">
        <v>4295</v>
      </c>
      <c r="F266" s="313"/>
      <c r="G266" s="313"/>
      <c r="H266" s="307"/>
      <c r="I266" s="308"/>
    </row>
    <row r="267" spans="1:9" ht="19.5" customHeight="1">
      <c r="A267" s="314"/>
      <c r="B267" s="310"/>
      <c r="C267" s="311"/>
      <c r="D267" s="316" t="s">
        <v>4393</v>
      </c>
      <c r="E267" s="313" t="s">
        <v>4295</v>
      </c>
      <c r="F267" s="313"/>
      <c r="G267" s="313"/>
      <c r="H267" s="307"/>
      <c r="I267" s="308"/>
    </row>
    <row r="268" spans="1:9" ht="19.5" customHeight="1">
      <c r="A268" s="314" t="s">
        <v>4794</v>
      </c>
      <c r="B268" s="323" t="s">
        <v>4663</v>
      </c>
      <c r="C268" s="311"/>
      <c r="D268" s="300" t="s">
        <v>4664</v>
      </c>
      <c r="E268" s="313" t="s">
        <v>3226</v>
      </c>
      <c r="F268" s="313">
        <v>1</v>
      </c>
      <c r="G268" s="313"/>
      <c r="H268" s="719">
        <v>0</v>
      </c>
      <c r="I268" s="308">
        <f t="shared" si="4"/>
        <v>0</v>
      </c>
    </row>
    <row r="269" spans="1:9" ht="19.5" customHeight="1">
      <c r="A269" s="314" t="s">
        <v>4795</v>
      </c>
      <c r="B269" s="319" t="s">
        <v>4410</v>
      </c>
      <c r="C269" s="311" t="s">
        <v>4706</v>
      </c>
      <c r="D269" s="300" t="s">
        <v>4411</v>
      </c>
      <c r="E269" s="313" t="s">
        <v>3226</v>
      </c>
      <c r="F269" s="313">
        <v>1</v>
      </c>
      <c r="G269" s="313"/>
      <c r="H269" s="719">
        <v>0</v>
      </c>
      <c r="I269" s="308">
        <f t="shared" si="4"/>
        <v>0</v>
      </c>
    </row>
    <row r="270" spans="1:9" ht="20.100000000000001" customHeight="1">
      <c r="A270" s="314" t="s">
        <v>4796</v>
      </c>
      <c r="B270" s="310" t="s">
        <v>4797</v>
      </c>
      <c r="C270" s="311" t="s">
        <v>4798</v>
      </c>
      <c r="D270" s="300" t="s">
        <v>4799</v>
      </c>
      <c r="E270" s="313" t="s">
        <v>3226</v>
      </c>
      <c r="F270" s="313">
        <v>1</v>
      </c>
      <c r="G270" s="313"/>
      <c r="H270" s="719">
        <v>0</v>
      </c>
      <c r="I270" s="308">
        <f t="shared" si="4"/>
        <v>0</v>
      </c>
    </row>
    <row r="271" spans="1:9" ht="20.100000000000001" customHeight="1">
      <c r="A271" s="322"/>
      <c r="B271" s="310"/>
      <c r="C271" s="98"/>
      <c r="D271" s="300" t="s">
        <v>4295</v>
      </c>
      <c r="E271" s="313" t="s">
        <v>4295</v>
      </c>
      <c r="F271" s="313"/>
      <c r="G271" s="313"/>
      <c r="H271" s="307"/>
      <c r="I271" s="308">
        <f t="shared" si="4"/>
        <v>0</v>
      </c>
    </row>
    <row r="272" spans="1:9" ht="20.100000000000001" customHeight="1">
      <c r="A272" s="314"/>
      <c r="B272" s="310"/>
      <c r="C272" s="311"/>
      <c r="D272" s="316" t="s">
        <v>4438</v>
      </c>
      <c r="E272" s="313" t="s">
        <v>4295</v>
      </c>
      <c r="F272" s="313"/>
      <c r="G272" s="313"/>
      <c r="H272" s="307"/>
      <c r="I272" s="308">
        <f t="shared" si="4"/>
        <v>0</v>
      </c>
    </row>
    <row r="273" spans="1:9" ht="20.100000000000001" customHeight="1">
      <c r="A273" s="314" t="s">
        <v>4800</v>
      </c>
      <c r="B273" s="310" t="s">
        <v>4801</v>
      </c>
      <c r="C273" s="311" t="s">
        <v>4802</v>
      </c>
      <c r="D273" s="300" t="s">
        <v>4803</v>
      </c>
      <c r="E273" s="313" t="s">
        <v>3226</v>
      </c>
      <c r="F273" s="313">
        <v>1</v>
      </c>
      <c r="G273" s="313"/>
      <c r="H273" s="719">
        <v>0</v>
      </c>
      <c r="I273" s="308">
        <f t="shared" si="4"/>
        <v>0</v>
      </c>
    </row>
    <row r="274" spans="1:9" ht="19.5" customHeight="1">
      <c r="A274" s="322"/>
      <c r="B274" s="310"/>
      <c r="C274" s="311"/>
      <c r="D274" s="300" t="s">
        <v>4295</v>
      </c>
      <c r="E274" s="313" t="s">
        <v>4295</v>
      </c>
      <c r="F274" s="313"/>
      <c r="G274" s="313"/>
      <c r="H274" s="307"/>
      <c r="I274" s="308"/>
    </row>
    <row r="275" spans="1:9" ht="20.100000000000001" customHeight="1">
      <c r="A275" s="314"/>
      <c r="B275" s="310"/>
      <c r="C275" s="311"/>
      <c r="D275" s="316" t="s">
        <v>3131</v>
      </c>
      <c r="E275" s="313" t="s">
        <v>4295</v>
      </c>
      <c r="F275" s="313"/>
      <c r="G275" s="313"/>
      <c r="H275" s="307"/>
      <c r="I275" s="308"/>
    </row>
    <row r="276" spans="1:9" ht="20.100000000000001" customHeight="1">
      <c r="A276" s="314" t="s">
        <v>4804</v>
      </c>
      <c r="B276" s="310" t="s">
        <v>4452</v>
      </c>
      <c r="C276" s="311" t="s">
        <v>4737</v>
      </c>
      <c r="D276" s="300" t="s">
        <v>4454</v>
      </c>
      <c r="E276" s="313" t="s">
        <v>4455</v>
      </c>
      <c r="F276" s="313">
        <v>1</v>
      </c>
      <c r="G276" s="313"/>
      <c r="H276" s="719">
        <v>0</v>
      </c>
      <c r="I276" s="308">
        <f t="shared" si="4"/>
        <v>0</v>
      </c>
    </row>
    <row r="277" spans="1:9" ht="20.100000000000001" customHeight="1">
      <c r="A277" s="314" t="s">
        <v>4805</v>
      </c>
      <c r="B277" s="310" t="s">
        <v>4772</v>
      </c>
      <c r="C277" s="311" t="s">
        <v>4602</v>
      </c>
      <c r="D277" s="300" t="s">
        <v>4773</v>
      </c>
      <c r="E277" s="313" t="s">
        <v>4455</v>
      </c>
      <c r="F277" s="313">
        <v>1</v>
      </c>
      <c r="G277" s="313"/>
      <c r="H277" s="719">
        <v>0</v>
      </c>
      <c r="I277" s="308">
        <f t="shared" si="4"/>
        <v>0</v>
      </c>
    </row>
    <row r="278" spans="1:9" ht="36.75" customHeight="1">
      <c r="A278" s="314" t="s">
        <v>4806</v>
      </c>
      <c r="B278" s="310" t="s">
        <v>4457</v>
      </c>
      <c r="C278" s="311" t="s">
        <v>4775</v>
      </c>
      <c r="D278" s="317" t="s">
        <v>4459</v>
      </c>
      <c r="E278" s="313" t="s">
        <v>3233</v>
      </c>
      <c r="F278" s="313">
        <v>1</v>
      </c>
      <c r="G278" s="313"/>
      <c r="H278" s="719">
        <v>0</v>
      </c>
      <c r="I278" s="308">
        <f t="shared" si="4"/>
        <v>0</v>
      </c>
    </row>
    <row r="279" spans="1:9" ht="19.5" customHeight="1">
      <c r="A279" s="322"/>
      <c r="B279" s="310"/>
      <c r="C279" s="98"/>
      <c r="D279" s="300" t="s">
        <v>4295</v>
      </c>
      <c r="E279" s="313" t="s">
        <v>4295</v>
      </c>
      <c r="F279" s="313"/>
      <c r="G279" s="313"/>
      <c r="H279" s="307"/>
      <c r="I279" s="308"/>
    </row>
    <row r="280" spans="1:9" ht="20.100000000000001" customHeight="1">
      <c r="A280" s="309"/>
      <c r="B280" s="310"/>
      <c r="C280" s="311"/>
      <c r="D280" s="306" t="s">
        <v>4807</v>
      </c>
      <c r="E280" s="313" t="s">
        <v>4295</v>
      </c>
      <c r="F280" s="313"/>
      <c r="G280" s="313"/>
      <c r="H280" s="307"/>
      <c r="I280" s="308"/>
    </row>
    <row r="281" spans="1:9" ht="20.100000000000001" customHeight="1">
      <c r="A281" s="314">
        <v>6</v>
      </c>
      <c r="B281" s="310" t="s">
        <v>4808</v>
      </c>
      <c r="C281" s="311" t="s">
        <v>4809</v>
      </c>
      <c r="D281" s="300" t="s">
        <v>4810</v>
      </c>
      <c r="E281" s="313" t="s">
        <v>3226</v>
      </c>
      <c r="F281" s="313">
        <v>1</v>
      </c>
      <c r="G281" s="313"/>
      <c r="H281" s="719">
        <v>0</v>
      </c>
      <c r="I281" s="308">
        <f t="shared" si="4"/>
        <v>0</v>
      </c>
    </row>
    <row r="282" spans="1:9" ht="20.100000000000001" customHeight="1">
      <c r="A282" s="314"/>
      <c r="B282" s="310"/>
      <c r="C282" s="98"/>
      <c r="D282" s="300"/>
      <c r="E282" s="313"/>
      <c r="F282" s="313"/>
      <c r="G282" s="313"/>
      <c r="H282" s="307"/>
      <c r="I282" s="308"/>
    </row>
    <row r="283" spans="1:9" ht="20.100000000000001" customHeight="1">
      <c r="A283" s="309"/>
      <c r="B283" s="310"/>
      <c r="C283" s="311"/>
      <c r="D283" s="316" t="s">
        <v>4325</v>
      </c>
      <c r="E283" s="313" t="s">
        <v>4295</v>
      </c>
      <c r="F283" s="313"/>
      <c r="G283" s="313"/>
      <c r="H283" s="307"/>
      <c r="I283" s="308"/>
    </row>
    <row r="284" spans="1:9" ht="20.100000000000001" customHeight="1">
      <c r="A284" s="314" t="s">
        <v>3981</v>
      </c>
      <c r="B284" s="310" t="s">
        <v>4500</v>
      </c>
      <c r="C284" s="311" t="s">
        <v>4501</v>
      </c>
      <c r="D284" s="300" t="s">
        <v>4502</v>
      </c>
      <c r="E284" s="313" t="s">
        <v>1939</v>
      </c>
      <c r="F284" s="313">
        <v>30</v>
      </c>
      <c r="G284" s="313"/>
      <c r="H284" s="719">
        <v>0</v>
      </c>
      <c r="I284" s="308">
        <f t="shared" si="4"/>
        <v>0</v>
      </c>
    </row>
    <row r="285" spans="1:9" ht="20.100000000000001" customHeight="1">
      <c r="A285" s="314" t="s">
        <v>4811</v>
      </c>
      <c r="B285" s="310" t="s">
        <v>4350</v>
      </c>
      <c r="C285" s="311">
        <v>4298150144</v>
      </c>
      <c r="D285" s="300" t="s">
        <v>4351</v>
      </c>
      <c r="E285" s="313" t="s">
        <v>1939</v>
      </c>
      <c r="F285" s="313">
        <v>4</v>
      </c>
      <c r="G285" s="313"/>
      <c r="H285" s="719">
        <v>0</v>
      </c>
      <c r="I285" s="308">
        <f t="shared" si="4"/>
        <v>0</v>
      </c>
    </row>
    <row r="286" spans="1:9" ht="20.100000000000001" customHeight="1">
      <c r="A286" s="322"/>
      <c r="B286" s="310"/>
      <c r="C286" s="98"/>
      <c r="D286" s="300"/>
      <c r="E286" s="313"/>
      <c r="F286" s="313"/>
      <c r="G286" s="313"/>
      <c r="H286" s="307"/>
      <c r="I286" s="308"/>
    </row>
    <row r="287" spans="1:9" ht="20.100000000000001" customHeight="1">
      <c r="A287" s="314"/>
      <c r="B287" s="310"/>
      <c r="C287" s="311"/>
      <c r="D287" s="316" t="s">
        <v>2054</v>
      </c>
      <c r="E287" s="313" t="s">
        <v>4295</v>
      </c>
      <c r="F287" s="313"/>
      <c r="G287" s="313"/>
      <c r="H287" s="307"/>
      <c r="I287" s="308"/>
    </row>
    <row r="288" spans="1:9" ht="19.5" customHeight="1">
      <c r="A288" s="314" t="s">
        <v>4812</v>
      </c>
      <c r="B288" s="310" t="s">
        <v>4813</v>
      </c>
      <c r="C288" s="311" t="s">
        <v>4391</v>
      </c>
      <c r="D288" s="317" t="s">
        <v>4814</v>
      </c>
      <c r="E288" s="313" t="s">
        <v>1940</v>
      </c>
      <c r="F288" s="313">
        <v>18</v>
      </c>
      <c r="G288" s="313"/>
      <c r="H288" s="719">
        <v>0</v>
      </c>
      <c r="I288" s="308">
        <f t="shared" si="4"/>
        <v>0</v>
      </c>
    </row>
    <row r="289" spans="1:9" ht="19.5" customHeight="1">
      <c r="A289" s="322"/>
      <c r="B289" s="310"/>
      <c r="C289" s="98"/>
      <c r="D289" s="300" t="s">
        <v>4295</v>
      </c>
      <c r="E289" s="313" t="s">
        <v>4295</v>
      </c>
      <c r="F289" s="313"/>
      <c r="G289" s="313"/>
      <c r="H289" s="307"/>
      <c r="I289" s="308"/>
    </row>
    <row r="290" spans="1:9" ht="20.100000000000001" customHeight="1">
      <c r="A290" s="314"/>
      <c r="B290" s="310"/>
      <c r="C290" s="311"/>
      <c r="D290" s="316" t="s">
        <v>4393</v>
      </c>
      <c r="E290" s="313" t="s">
        <v>4295</v>
      </c>
      <c r="F290" s="313"/>
      <c r="G290" s="313"/>
      <c r="H290" s="307"/>
      <c r="I290" s="308"/>
    </row>
    <row r="291" spans="1:9" ht="20.100000000000001" customHeight="1">
      <c r="A291" s="314" t="s">
        <v>4815</v>
      </c>
      <c r="B291" s="319" t="s">
        <v>4410</v>
      </c>
      <c r="C291" s="311" t="s">
        <v>4816</v>
      </c>
      <c r="D291" s="300" t="s">
        <v>4411</v>
      </c>
      <c r="E291" s="313" t="s">
        <v>3226</v>
      </c>
      <c r="F291" s="313">
        <v>1</v>
      </c>
      <c r="G291" s="313"/>
      <c r="H291" s="719">
        <v>0</v>
      </c>
      <c r="I291" s="308">
        <f t="shared" si="4"/>
        <v>0</v>
      </c>
    </row>
    <row r="292" spans="1:9" ht="20.100000000000001" customHeight="1">
      <c r="A292" s="322"/>
      <c r="B292" s="319"/>
      <c r="C292" s="324"/>
      <c r="D292" s="300"/>
      <c r="E292" s="313"/>
      <c r="F292" s="313"/>
      <c r="G292" s="313"/>
      <c r="H292" s="307"/>
      <c r="I292" s="308"/>
    </row>
    <row r="293" spans="1:9" ht="20.100000000000001" customHeight="1">
      <c r="A293" s="314"/>
      <c r="B293" s="310"/>
      <c r="C293" s="311"/>
      <c r="D293" s="316" t="s">
        <v>3131</v>
      </c>
      <c r="E293" s="313" t="s">
        <v>4295</v>
      </c>
      <c r="F293" s="313"/>
      <c r="G293" s="313"/>
      <c r="H293" s="307"/>
      <c r="I293" s="308"/>
    </row>
    <row r="294" spans="1:9" ht="20.100000000000001" customHeight="1">
      <c r="A294" s="314" t="s">
        <v>4817</v>
      </c>
      <c r="B294" s="310" t="s">
        <v>4452</v>
      </c>
      <c r="C294" s="311" t="s">
        <v>4818</v>
      </c>
      <c r="D294" s="300" t="s">
        <v>4454</v>
      </c>
      <c r="E294" s="313" t="s">
        <v>4455</v>
      </c>
      <c r="F294" s="313">
        <v>2</v>
      </c>
      <c r="G294" s="313"/>
      <c r="H294" s="719">
        <v>0</v>
      </c>
      <c r="I294" s="308">
        <f t="shared" si="4"/>
        <v>0</v>
      </c>
    </row>
    <row r="295" spans="1:9" ht="20.100000000000001" customHeight="1">
      <c r="A295" s="314" t="s">
        <v>4819</v>
      </c>
      <c r="B295" s="310" t="s">
        <v>4772</v>
      </c>
      <c r="C295" s="311" t="s">
        <v>4602</v>
      </c>
      <c r="D295" s="300" t="s">
        <v>4773</v>
      </c>
      <c r="E295" s="313" t="s">
        <v>4455</v>
      </c>
      <c r="F295" s="313">
        <v>1</v>
      </c>
      <c r="G295" s="313"/>
      <c r="H295" s="719">
        <v>0</v>
      </c>
      <c r="I295" s="308">
        <f t="shared" si="4"/>
        <v>0</v>
      </c>
    </row>
    <row r="296" spans="1:9" ht="36.75" customHeight="1">
      <c r="A296" s="314" t="s">
        <v>4820</v>
      </c>
      <c r="B296" s="310" t="s">
        <v>4457</v>
      </c>
      <c r="C296" s="311" t="s">
        <v>4821</v>
      </c>
      <c r="D296" s="317" t="s">
        <v>4459</v>
      </c>
      <c r="E296" s="313" t="s">
        <v>3233</v>
      </c>
      <c r="F296" s="313">
        <v>1</v>
      </c>
      <c r="G296" s="313"/>
      <c r="H296" s="719">
        <v>0</v>
      </c>
      <c r="I296" s="308">
        <f t="shared" si="4"/>
        <v>0</v>
      </c>
    </row>
    <row r="297" spans="1:9" ht="19.5" customHeight="1">
      <c r="A297" s="309"/>
      <c r="B297" s="310"/>
      <c r="C297" s="98"/>
      <c r="D297" s="300" t="s">
        <v>4295</v>
      </c>
      <c r="E297" s="313" t="s">
        <v>4295</v>
      </c>
      <c r="F297" s="313"/>
      <c r="G297" s="313"/>
      <c r="H297" s="307"/>
      <c r="I297" s="308"/>
    </row>
    <row r="298" spans="1:9" ht="20.100000000000001" customHeight="1">
      <c r="A298" s="314"/>
      <c r="B298" s="325"/>
      <c r="C298" s="326"/>
      <c r="D298" s="978" t="s">
        <v>4822</v>
      </c>
      <c r="E298" s="979"/>
      <c r="F298" s="300"/>
      <c r="G298" s="300"/>
      <c r="H298" s="307"/>
      <c r="I298" s="308"/>
    </row>
    <row r="299" spans="1:9" ht="20.100000000000001" customHeight="1">
      <c r="A299" s="314" t="s">
        <v>4823</v>
      </c>
      <c r="B299" s="325" t="s">
        <v>4824</v>
      </c>
      <c r="C299" s="311" t="s">
        <v>4825</v>
      </c>
      <c r="D299" s="300" t="s">
        <v>4826</v>
      </c>
      <c r="E299" s="313" t="s">
        <v>3233</v>
      </c>
      <c r="F299" s="313">
        <v>1</v>
      </c>
      <c r="G299" s="313"/>
      <c r="H299" s="719">
        <v>0</v>
      </c>
      <c r="I299" s="308">
        <f t="shared" si="4"/>
        <v>0</v>
      </c>
    </row>
    <row r="300" spans="1:9" ht="20.100000000000001" customHeight="1">
      <c r="A300" s="314" t="s">
        <v>4827</v>
      </c>
      <c r="B300" s="325" t="s">
        <v>4828</v>
      </c>
      <c r="C300" s="311" t="s">
        <v>4829</v>
      </c>
      <c r="D300" s="300" t="s">
        <v>4830</v>
      </c>
      <c r="E300" s="313" t="s">
        <v>3233</v>
      </c>
      <c r="F300" s="313">
        <v>1</v>
      </c>
      <c r="G300" s="313"/>
      <c r="H300" s="719">
        <v>0</v>
      </c>
      <c r="I300" s="308">
        <f t="shared" si="4"/>
        <v>0</v>
      </c>
    </row>
    <row r="301" spans="1:9" ht="20.100000000000001" customHeight="1">
      <c r="A301" s="314" t="s">
        <v>4831</v>
      </c>
      <c r="B301" s="325" t="s">
        <v>4832</v>
      </c>
      <c r="C301" s="311" t="s">
        <v>4833</v>
      </c>
      <c r="D301" s="300" t="s">
        <v>4834</v>
      </c>
      <c r="E301" s="313" t="s">
        <v>3233</v>
      </c>
      <c r="F301" s="313">
        <v>1</v>
      </c>
      <c r="G301" s="313"/>
      <c r="H301" s="719">
        <v>0</v>
      </c>
      <c r="I301" s="308">
        <f t="shared" si="4"/>
        <v>0</v>
      </c>
    </row>
    <row r="302" spans="1:9" ht="20.100000000000001" customHeight="1">
      <c r="A302" s="314" t="s">
        <v>4835</v>
      </c>
      <c r="B302" s="325" t="s">
        <v>4836</v>
      </c>
      <c r="C302" s="311" t="s">
        <v>4837</v>
      </c>
      <c r="D302" s="300" t="s">
        <v>4838</v>
      </c>
      <c r="E302" s="313" t="s">
        <v>3226</v>
      </c>
      <c r="F302" s="313">
        <v>4</v>
      </c>
      <c r="G302" s="313"/>
      <c r="H302" s="719">
        <v>0</v>
      </c>
      <c r="I302" s="308">
        <f t="shared" si="4"/>
        <v>0</v>
      </c>
    </row>
    <row r="303" spans="1:9" ht="20.100000000000001" customHeight="1">
      <c r="A303" s="314" t="s">
        <v>4839</v>
      </c>
      <c r="B303" s="325" t="s">
        <v>4840</v>
      </c>
      <c r="C303" s="311" t="s">
        <v>4841</v>
      </c>
      <c r="D303" s="300" t="s">
        <v>4842</v>
      </c>
      <c r="E303" s="313" t="s">
        <v>3226</v>
      </c>
      <c r="F303" s="313">
        <v>5</v>
      </c>
      <c r="G303" s="313"/>
      <c r="H303" s="719">
        <v>0</v>
      </c>
      <c r="I303" s="308">
        <f t="shared" si="4"/>
        <v>0</v>
      </c>
    </row>
    <row r="304" spans="1:9" ht="20.100000000000001" customHeight="1">
      <c r="A304" s="314" t="s">
        <v>4843</v>
      </c>
      <c r="B304" s="325" t="s">
        <v>4844</v>
      </c>
      <c r="C304" s="311" t="s">
        <v>4845</v>
      </c>
      <c r="D304" s="300" t="s">
        <v>4846</v>
      </c>
      <c r="E304" s="313" t="s">
        <v>3226</v>
      </c>
      <c r="F304" s="313">
        <v>2</v>
      </c>
      <c r="G304" s="313"/>
      <c r="H304" s="719">
        <v>0</v>
      </c>
      <c r="I304" s="308">
        <f t="shared" si="4"/>
        <v>0</v>
      </c>
    </row>
    <row r="305" spans="1:9" ht="20.100000000000001" customHeight="1">
      <c r="A305" s="314" t="s">
        <v>4847</v>
      </c>
      <c r="B305" s="325" t="s">
        <v>4848</v>
      </c>
      <c r="C305" s="311" t="s">
        <v>4849</v>
      </c>
      <c r="D305" s="300" t="s">
        <v>4850</v>
      </c>
      <c r="E305" s="313" t="s">
        <v>3226</v>
      </c>
      <c r="F305" s="313">
        <v>4</v>
      </c>
      <c r="G305" s="313"/>
      <c r="H305" s="719">
        <v>0</v>
      </c>
      <c r="I305" s="308">
        <f t="shared" si="4"/>
        <v>0</v>
      </c>
    </row>
    <row r="306" spans="1:9" ht="20.100000000000001" customHeight="1">
      <c r="A306" s="314" t="s">
        <v>4851</v>
      </c>
      <c r="B306" s="325" t="s">
        <v>4852</v>
      </c>
      <c r="C306" s="311" t="s">
        <v>4853</v>
      </c>
      <c r="D306" s="300" t="s">
        <v>4854</v>
      </c>
      <c r="E306" s="313" t="s">
        <v>3233</v>
      </c>
      <c r="F306" s="313">
        <v>1</v>
      </c>
      <c r="G306" s="313"/>
      <c r="H306" s="719">
        <v>0</v>
      </c>
      <c r="I306" s="308">
        <f t="shared" si="4"/>
        <v>0</v>
      </c>
    </row>
    <row r="307" spans="1:9" ht="20.100000000000001" customHeight="1">
      <c r="A307" s="314" t="s">
        <v>4855</v>
      </c>
      <c r="B307" s="325" t="s">
        <v>4856</v>
      </c>
      <c r="C307" s="311" t="s">
        <v>4857</v>
      </c>
      <c r="D307" s="300" t="s">
        <v>4858</v>
      </c>
      <c r="E307" s="313" t="s">
        <v>3233</v>
      </c>
      <c r="F307" s="313">
        <v>1</v>
      </c>
      <c r="G307" s="313"/>
      <c r="H307" s="719">
        <v>0</v>
      </c>
      <c r="I307" s="308">
        <f t="shared" si="4"/>
        <v>0</v>
      </c>
    </row>
    <row r="308" spans="1:9" ht="20.100000000000001" customHeight="1">
      <c r="A308" s="314" t="s">
        <v>4859</v>
      </c>
      <c r="B308" s="325" t="s">
        <v>4860</v>
      </c>
      <c r="C308" s="311" t="s">
        <v>4861</v>
      </c>
      <c r="D308" s="300" t="s">
        <v>4862</v>
      </c>
      <c r="E308" s="313" t="s">
        <v>3233</v>
      </c>
      <c r="F308" s="313">
        <v>1</v>
      </c>
      <c r="G308" s="313"/>
      <c r="H308" s="719">
        <v>0</v>
      </c>
      <c r="I308" s="308">
        <f t="shared" si="4"/>
        <v>0</v>
      </c>
    </row>
    <row r="309" spans="1:9" ht="20.100000000000001" customHeight="1">
      <c r="A309" s="314" t="s">
        <v>4863</v>
      </c>
      <c r="B309" s="325" t="s">
        <v>4864</v>
      </c>
      <c r="C309" s="311" t="s">
        <v>4865</v>
      </c>
      <c r="D309" s="300" t="s">
        <v>4866</v>
      </c>
      <c r="E309" s="313" t="s">
        <v>3233</v>
      </c>
      <c r="F309" s="313">
        <v>1</v>
      </c>
      <c r="G309" s="313"/>
      <c r="H309" s="719">
        <v>0</v>
      </c>
      <c r="I309" s="308">
        <f t="shared" si="4"/>
        <v>0</v>
      </c>
    </row>
    <row r="310" spans="1:9" ht="20.100000000000001" customHeight="1">
      <c r="A310" s="314" t="s">
        <v>4867</v>
      </c>
      <c r="B310" s="325" t="s">
        <v>4832</v>
      </c>
      <c r="C310" s="311" t="s">
        <v>4868</v>
      </c>
      <c r="D310" s="300" t="s">
        <v>3159</v>
      </c>
      <c r="E310" s="313" t="s">
        <v>3233</v>
      </c>
      <c r="F310" s="313">
        <v>1</v>
      </c>
      <c r="G310" s="313"/>
      <c r="H310" s="719">
        <v>0</v>
      </c>
      <c r="I310" s="308">
        <f t="shared" si="4"/>
        <v>0</v>
      </c>
    </row>
    <row r="311" spans="1:9" ht="20.100000000000001" customHeight="1">
      <c r="A311" s="314" t="s">
        <v>4869</v>
      </c>
      <c r="B311" s="325" t="s">
        <v>4870</v>
      </c>
      <c r="C311" s="311" t="s">
        <v>4871</v>
      </c>
      <c r="D311" s="300" t="s">
        <v>4872</v>
      </c>
      <c r="E311" s="313" t="s">
        <v>3233</v>
      </c>
      <c r="F311" s="313">
        <v>1</v>
      </c>
      <c r="G311" s="313"/>
      <c r="H311" s="719">
        <v>0</v>
      </c>
      <c r="I311" s="308">
        <f t="shared" si="4"/>
        <v>0</v>
      </c>
    </row>
    <row r="312" spans="1:9" ht="20.100000000000001" customHeight="1">
      <c r="A312" s="314" t="s">
        <v>4873</v>
      </c>
      <c r="B312" s="325" t="s">
        <v>4874</v>
      </c>
      <c r="C312" s="311" t="s">
        <v>4875</v>
      </c>
      <c r="D312" s="300" t="s">
        <v>3453</v>
      </c>
      <c r="E312" s="313" t="s">
        <v>3233</v>
      </c>
      <c r="F312" s="313">
        <v>1</v>
      </c>
      <c r="G312" s="313"/>
      <c r="H312" s="719">
        <v>0</v>
      </c>
      <c r="I312" s="308">
        <f t="shared" si="4"/>
        <v>0</v>
      </c>
    </row>
    <row r="313" spans="1:9" ht="20.100000000000001" customHeight="1">
      <c r="A313" s="327" t="s">
        <v>4876</v>
      </c>
      <c r="B313" s="328" t="s">
        <v>4877</v>
      </c>
      <c r="C313" s="329" t="s">
        <v>4878</v>
      </c>
      <c r="D313" s="330" t="s">
        <v>5842</v>
      </c>
      <c r="E313" s="331" t="s">
        <v>3233</v>
      </c>
      <c r="F313" s="331">
        <v>1</v>
      </c>
      <c r="G313" s="331"/>
      <c r="H313" s="720">
        <v>0</v>
      </c>
      <c r="I313" s="308">
        <f t="shared" si="4"/>
        <v>0</v>
      </c>
    </row>
    <row r="314" spans="1:9" ht="20.100000000000001" customHeight="1">
      <c r="A314" s="332"/>
      <c r="B314" s="333"/>
      <c r="C314" s="333"/>
      <c r="D314" s="334"/>
      <c r="E314" s="334"/>
      <c r="F314" s="334"/>
      <c r="G314" s="334"/>
      <c r="H314" s="335"/>
      <c r="I314" s="336"/>
    </row>
    <row r="315" spans="1:9" ht="20.100000000000001" customHeight="1">
      <c r="A315" s="332"/>
      <c r="B315" s="333"/>
      <c r="C315" s="333"/>
      <c r="D315" s="337" t="s">
        <v>4879</v>
      </c>
      <c r="E315" s="334" t="s">
        <v>4295</v>
      </c>
      <c r="F315" s="334"/>
      <c r="G315" s="334"/>
      <c r="H315" s="335"/>
      <c r="I315" s="338">
        <f>SUM(I4:I313)</f>
        <v>0</v>
      </c>
    </row>
    <row r="316" spans="1:9" ht="20.100000000000001" customHeight="1">
      <c r="A316" s="332"/>
      <c r="B316" s="333"/>
      <c r="C316" s="333"/>
      <c r="D316" s="337" t="s">
        <v>4880</v>
      </c>
      <c r="E316" s="334" t="s">
        <v>4295</v>
      </c>
      <c r="F316" s="334"/>
      <c r="G316" s="334"/>
      <c r="H316" s="335"/>
      <c r="I316" s="338">
        <f>1.21*I315</f>
        <v>0</v>
      </c>
    </row>
  </sheetData>
  <mergeCells count="1">
    <mergeCell ref="D298:E298"/>
  </mergeCells>
  <pageMargins left="0.7" right="0.7" top="0.78740157499999996" bottom="0.78740157499999996" header="0.3" footer="0.3"/>
  <pageSetup paperSize="9" scale="69" orientation="portrait" verticalDpi="0" r:id="rId1"/>
</worksheet>
</file>

<file path=xl/worksheets/sheet11.xml><?xml version="1.0" encoding="utf-8"?>
<worksheet xmlns="http://schemas.openxmlformats.org/spreadsheetml/2006/main" xmlns:r="http://schemas.openxmlformats.org/officeDocument/2006/relationships">
  <dimension ref="A1:J154"/>
  <sheetViews>
    <sheetView zoomScaleNormal="100" workbookViewId="0">
      <selection activeCell="M28" sqref="M28"/>
    </sheetView>
  </sheetViews>
  <sheetFormatPr defaultColWidth="9.109375" defaultRowHeight="10.199999999999999"/>
  <cols>
    <col min="1" max="1" width="5.109375" style="735" customWidth="1"/>
    <col min="2" max="2" width="66.44140625" style="279" customWidth="1"/>
    <col min="3" max="3" width="4.44140625" style="265" bestFit="1" customWidth="1"/>
    <col min="4" max="4" width="10.44140625" style="280" bestFit="1" customWidth="1"/>
    <col min="5" max="5" width="10.33203125" style="274" customWidth="1"/>
    <col min="6" max="6" width="11.88671875" style="274" bestFit="1" customWidth="1"/>
    <col min="7" max="7" width="10" style="275" bestFit="1" customWidth="1"/>
    <col min="8" max="9" width="9.109375" style="265"/>
    <col min="10" max="10" width="10.44140625" style="266" bestFit="1" customWidth="1"/>
    <col min="11" max="16384" width="9.109375" style="265"/>
  </cols>
  <sheetData>
    <row r="1" spans="1:9" ht="16.2" thickBot="1">
      <c r="A1" s="980" t="s">
        <v>5856</v>
      </c>
      <c r="B1" s="981"/>
      <c r="C1" s="981"/>
      <c r="D1" s="981"/>
      <c r="E1" s="981"/>
      <c r="F1" s="981"/>
      <c r="G1" s="981"/>
    </row>
    <row r="2" spans="1:9" ht="26.4" customHeight="1" thickBot="1">
      <c r="A2" s="728" t="s">
        <v>4288</v>
      </c>
      <c r="B2" s="267" t="s">
        <v>4155</v>
      </c>
      <c r="C2" s="507" t="s">
        <v>4156</v>
      </c>
      <c r="D2" s="268" t="s">
        <v>4157</v>
      </c>
      <c r="E2" s="269" t="s">
        <v>5846</v>
      </c>
      <c r="F2" s="508" t="s">
        <v>4158</v>
      </c>
      <c r="G2" s="270" t="s">
        <v>4159</v>
      </c>
    </row>
    <row r="3" spans="1:9">
      <c r="A3" s="730"/>
      <c r="B3" s="271"/>
      <c r="C3" s="272"/>
      <c r="D3" s="273"/>
    </row>
    <row r="4" spans="1:9">
      <c r="A4" s="730"/>
      <c r="B4" s="271"/>
      <c r="C4" s="272"/>
      <c r="D4" s="273"/>
    </row>
    <row r="5" spans="1:9">
      <c r="A5" s="730"/>
      <c r="B5" s="494" t="s">
        <v>4160</v>
      </c>
      <c r="C5" s="495"/>
      <c r="D5" s="496"/>
      <c r="E5" s="497"/>
      <c r="F5" s="497"/>
      <c r="G5" s="498"/>
    </row>
    <row r="6" spans="1:9">
      <c r="A6" s="729" t="s">
        <v>5</v>
      </c>
      <c r="B6" s="499" t="s">
        <v>4161</v>
      </c>
      <c r="C6" s="498" t="s">
        <v>3226</v>
      </c>
      <c r="D6" s="500">
        <v>20</v>
      </c>
      <c r="E6" s="501">
        <v>0</v>
      </c>
      <c r="F6" s="516">
        <f t="shared" ref="F6:F19" si="0">D6*E6</f>
        <v>0</v>
      </c>
      <c r="G6" s="498" t="s">
        <v>4162</v>
      </c>
      <c r="H6" s="266"/>
      <c r="I6" s="266"/>
    </row>
    <row r="7" spans="1:9">
      <c r="A7" s="729">
        <f>A6+1</f>
        <v>2</v>
      </c>
      <c r="B7" s="499" t="s">
        <v>4163</v>
      </c>
      <c r="C7" s="498" t="s">
        <v>3226</v>
      </c>
      <c r="D7" s="500">
        <v>42</v>
      </c>
      <c r="E7" s="501">
        <v>0</v>
      </c>
      <c r="F7" s="516">
        <f t="shared" si="0"/>
        <v>0</v>
      </c>
      <c r="G7" s="498" t="s">
        <v>4162</v>
      </c>
      <c r="H7" s="266"/>
      <c r="I7" s="266"/>
    </row>
    <row r="8" spans="1:9">
      <c r="A8" s="729">
        <f t="shared" ref="A8:A19" si="1">A7+1</f>
        <v>3</v>
      </c>
      <c r="B8" s="499" t="s">
        <v>4164</v>
      </c>
      <c r="C8" s="498" t="s">
        <v>3226</v>
      </c>
      <c r="D8" s="500">
        <v>12</v>
      </c>
      <c r="E8" s="501">
        <v>0</v>
      </c>
      <c r="F8" s="516">
        <f t="shared" si="0"/>
        <v>0</v>
      </c>
      <c r="G8" s="498" t="s">
        <v>4162</v>
      </c>
      <c r="H8" s="266"/>
      <c r="I8" s="266"/>
    </row>
    <row r="9" spans="1:9">
      <c r="A9" s="729">
        <f t="shared" si="1"/>
        <v>4</v>
      </c>
      <c r="B9" s="499" t="s">
        <v>4165</v>
      </c>
      <c r="C9" s="498" t="s">
        <v>3226</v>
      </c>
      <c r="D9" s="500">
        <v>24</v>
      </c>
      <c r="E9" s="501">
        <v>0</v>
      </c>
      <c r="F9" s="516">
        <f t="shared" si="0"/>
        <v>0</v>
      </c>
      <c r="G9" s="498" t="s">
        <v>4162</v>
      </c>
      <c r="H9" s="266"/>
      <c r="I9" s="266"/>
    </row>
    <row r="10" spans="1:9">
      <c r="A10" s="729">
        <f t="shared" si="1"/>
        <v>5</v>
      </c>
      <c r="B10" s="499" t="s">
        <v>4166</v>
      </c>
      <c r="C10" s="498" t="s">
        <v>3226</v>
      </c>
      <c r="D10" s="500">
        <v>2</v>
      </c>
      <c r="E10" s="501">
        <v>0</v>
      </c>
      <c r="F10" s="516">
        <f t="shared" si="0"/>
        <v>0</v>
      </c>
      <c r="G10" s="498" t="s">
        <v>4162</v>
      </c>
      <c r="H10" s="266"/>
      <c r="I10" s="266"/>
    </row>
    <row r="11" spans="1:9">
      <c r="A11" s="729">
        <f t="shared" si="1"/>
        <v>6</v>
      </c>
      <c r="B11" s="499" t="s">
        <v>4167</v>
      </c>
      <c r="C11" s="498" t="s">
        <v>3226</v>
      </c>
      <c r="D11" s="500">
        <v>20</v>
      </c>
      <c r="E11" s="501">
        <v>0</v>
      </c>
      <c r="F11" s="516">
        <f t="shared" si="0"/>
        <v>0</v>
      </c>
      <c r="G11" s="498" t="s">
        <v>4162</v>
      </c>
      <c r="H11" s="266"/>
      <c r="I11" s="266"/>
    </row>
    <row r="12" spans="1:9">
      <c r="A12" s="729">
        <f t="shared" si="1"/>
        <v>7</v>
      </c>
      <c r="B12" s="499" t="s">
        <v>4168</v>
      </c>
      <c r="C12" s="498" t="s">
        <v>3226</v>
      </c>
      <c r="D12" s="500">
        <v>17</v>
      </c>
      <c r="E12" s="501">
        <v>0</v>
      </c>
      <c r="F12" s="516">
        <f t="shared" si="0"/>
        <v>0</v>
      </c>
      <c r="G12" s="498" t="s">
        <v>4162</v>
      </c>
      <c r="H12" s="266"/>
      <c r="I12" s="266"/>
    </row>
    <row r="13" spans="1:9">
      <c r="A13" s="729">
        <f t="shared" si="1"/>
        <v>8</v>
      </c>
      <c r="B13" s="499" t="s">
        <v>4169</v>
      </c>
      <c r="C13" s="498" t="s">
        <v>3226</v>
      </c>
      <c r="D13" s="500">
        <v>4</v>
      </c>
      <c r="E13" s="501">
        <v>0</v>
      </c>
      <c r="F13" s="516">
        <f t="shared" si="0"/>
        <v>0</v>
      </c>
      <c r="G13" s="498" t="s">
        <v>4162</v>
      </c>
      <c r="H13" s="266"/>
      <c r="I13" s="266"/>
    </row>
    <row r="14" spans="1:9">
      <c r="A14" s="729">
        <f t="shared" si="1"/>
        <v>9</v>
      </c>
      <c r="B14" s="499" t="s">
        <v>4170</v>
      </c>
      <c r="C14" s="498" t="s">
        <v>3226</v>
      </c>
      <c r="D14" s="500">
        <v>19</v>
      </c>
      <c r="E14" s="501">
        <v>0</v>
      </c>
      <c r="F14" s="516">
        <f t="shared" si="0"/>
        <v>0</v>
      </c>
      <c r="G14" s="498" t="s">
        <v>4162</v>
      </c>
      <c r="H14" s="266"/>
      <c r="I14" s="266"/>
    </row>
    <row r="15" spans="1:9">
      <c r="A15" s="729">
        <f t="shared" si="1"/>
        <v>10</v>
      </c>
      <c r="B15" s="499" t="s">
        <v>4171</v>
      </c>
      <c r="C15" s="498" t="s">
        <v>3226</v>
      </c>
      <c r="D15" s="500">
        <v>3</v>
      </c>
      <c r="E15" s="501">
        <v>0</v>
      </c>
      <c r="F15" s="516">
        <f t="shared" si="0"/>
        <v>0</v>
      </c>
      <c r="G15" s="498" t="s">
        <v>4162</v>
      </c>
      <c r="H15" s="266"/>
      <c r="I15" s="266"/>
    </row>
    <row r="16" spans="1:9">
      <c r="A16" s="729">
        <f t="shared" si="1"/>
        <v>11</v>
      </c>
      <c r="B16" s="499" t="s">
        <v>4172</v>
      </c>
      <c r="C16" s="498" t="s">
        <v>3226</v>
      </c>
      <c r="D16" s="500">
        <v>8</v>
      </c>
      <c r="E16" s="501">
        <v>0</v>
      </c>
      <c r="F16" s="516">
        <f t="shared" si="0"/>
        <v>0</v>
      </c>
      <c r="G16" s="498" t="s">
        <v>4162</v>
      </c>
      <c r="H16" s="266"/>
      <c r="I16" s="266"/>
    </row>
    <row r="17" spans="1:9">
      <c r="A17" s="729">
        <f t="shared" si="1"/>
        <v>12</v>
      </c>
      <c r="B17" s="499" t="s">
        <v>4173</v>
      </c>
      <c r="C17" s="498" t="s">
        <v>3226</v>
      </c>
      <c r="D17" s="500">
        <v>111</v>
      </c>
      <c r="E17" s="501">
        <v>0</v>
      </c>
      <c r="F17" s="516">
        <f t="shared" si="0"/>
        <v>0</v>
      </c>
      <c r="G17" s="498" t="s">
        <v>4162</v>
      </c>
      <c r="H17" s="266"/>
      <c r="I17" s="266"/>
    </row>
    <row r="18" spans="1:9">
      <c r="A18" s="729">
        <f t="shared" si="1"/>
        <v>13</v>
      </c>
      <c r="B18" s="499" t="s">
        <v>4174</v>
      </c>
      <c r="C18" s="498" t="s">
        <v>3226</v>
      </c>
      <c r="D18" s="500">
        <v>34</v>
      </c>
      <c r="E18" s="501">
        <v>0</v>
      </c>
      <c r="F18" s="516">
        <f t="shared" si="0"/>
        <v>0</v>
      </c>
      <c r="G18" s="498" t="s">
        <v>4162</v>
      </c>
      <c r="H18" s="266"/>
      <c r="I18" s="266"/>
    </row>
    <row r="19" spans="1:9">
      <c r="A19" s="729">
        <f t="shared" si="1"/>
        <v>14</v>
      </c>
      <c r="B19" s="499" t="s">
        <v>4175</v>
      </c>
      <c r="C19" s="498" t="s">
        <v>3226</v>
      </c>
      <c r="D19" s="500">
        <v>5</v>
      </c>
      <c r="E19" s="501">
        <v>0</v>
      </c>
      <c r="F19" s="516">
        <f t="shared" si="0"/>
        <v>0</v>
      </c>
      <c r="G19" s="498" t="s">
        <v>4162</v>
      </c>
      <c r="H19" s="266"/>
      <c r="I19" s="266"/>
    </row>
    <row r="20" spans="1:9">
      <c r="A20" s="731"/>
      <c r="C20" s="275"/>
      <c r="E20" s="266"/>
      <c r="F20" s="517"/>
      <c r="H20" s="266"/>
    </row>
    <row r="21" spans="1:9">
      <c r="A21" s="731"/>
      <c r="C21" s="275"/>
      <c r="E21" s="266"/>
      <c r="F21" s="517"/>
      <c r="H21" s="266"/>
    </row>
    <row r="22" spans="1:9">
      <c r="A22" s="730"/>
      <c r="B22" s="494" t="s">
        <v>4176</v>
      </c>
      <c r="C22" s="498"/>
      <c r="D22" s="500"/>
      <c r="E22" s="502"/>
      <c r="F22" s="516"/>
      <c r="G22" s="498"/>
      <c r="H22" s="266"/>
    </row>
    <row r="23" spans="1:9" ht="20.399999999999999">
      <c r="A23" s="729">
        <f>A19+1</f>
        <v>15</v>
      </c>
      <c r="B23" s="499" t="s">
        <v>4177</v>
      </c>
      <c r="C23" s="498" t="s">
        <v>3226</v>
      </c>
      <c r="D23" s="500">
        <v>3</v>
      </c>
      <c r="E23" s="501">
        <v>0</v>
      </c>
      <c r="F23" s="516">
        <f t="shared" ref="F23:F28" si="2">D23*E23</f>
        <v>0</v>
      </c>
      <c r="G23" s="498" t="s">
        <v>4162</v>
      </c>
      <c r="H23" s="266"/>
      <c r="I23" s="266"/>
    </row>
    <row r="24" spans="1:9" ht="20.399999999999999">
      <c r="A24" s="729">
        <f>A23+1</f>
        <v>16</v>
      </c>
      <c r="B24" s="499" t="s">
        <v>4178</v>
      </c>
      <c r="C24" s="498" t="s">
        <v>3226</v>
      </c>
      <c r="D24" s="500">
        <v>3</v>
      </c>
      <c r="E24" s="501">
        <v>0</v>
      </c>
      <c r="F24" s="516">
        <f t="shared" si="2"/>
        <v>0</v>
      </c>
      <c r="G24" s="498" t="s">
        <v>4162</v>
      </c>
      <c r="H24" s="266"/>
      <c r="I24" s="266"/>
    </row>
    <row r="25" spans="1:9">
      <c r="A25" s="729">
        <f>A24+1</f>
        <v>17</v>
      </c>
      <c r="B25" s="499" t="s">
        <v>4179</v>
      </c>
      <c r="C25" s="498" t="s">
        <v>3226</v>
      </c>
      <c r="D25" s="500">
        <v>36</v>
      </c>
      <c r="E25" s="501">
        <v>0</v>
      </c>
      <c r="F25" s="516">
        <f t="shared" si="2"/>
        <v>0</v>
      </c>
      <c r="G25" s="498" t="s">
        <v>4162</v>
      </c>
      <c r="H25" s="266"/>
      <c r="I25" s="266"/>
    </row>
    <row r="26" spans="1:9">
      <c r="A26" s="729">
        <f>A25+1</f>
        <v>18</v>
      </c>
      <c r="B26" s="499" t="s">
        <v>4180</v>
      </c>
      <c r="C26" s="498" t="s">
        <v>3226</v>
      </c>
      <c r="D26" s="500">
        <v>8</v>
      </c>
      <c r="E26" s="501">
        <v>0</v>
      </c>
      <c r="F26" s="516">
        <f t="shared" si="2"/>
        <v>0</v>
      </c>
      <c r="G26" s="498" t="s">
        <v>4162</v>
      </c>
      <c r="H26" s="266"/>
      <c r="I26" s="266"/>
    </row>
    <row r="27" spans="1:9">
      <c r="A27" s="729">
        <f>A26+1</f>
        <v>19</v>
      </c>
      <c r="B27" s="499" t="s">
        <v>4181</v>
      </c>
      <c r="C27" s="498" t="s">
        <v>3226</v>
      </c>
      <c r="D27" s="500">
        <v>11</v>
      </c>
      <c r="E27" s="501">
        <v>0</v>
      </c>
      <c r="F27" s="516">
        <f t="shared" si="2"/>
        <v>0</v>
      </c>
      <c r="G27" s="498" t="s">
        <v>4162</v>
      </c>
      <c r="H27" s="266"/>
      <c r="I27" s="266"/>
    </row>
    <row r="28" spans="1:9" ht="20.399999999999999">
      <c r="A28" s="729">
        <f>A27+1</f>
        <v>20</v>
      </c>
      <c r="B28" s="499" t="s">
        <v>4182</v>
      </c>
      <c r="C28" s="498" t="s">
        <v>3226</v>
      </c>
      <c r="D28" s="500">
        <v>49</v>
      </c>
      <c r="E28" s="501">
        <v>0</v>
      </c>
      <c r="F28" s="516">
        <f t="shared" si="2"/>
        <v>0</v>
      </c>
      <c r="G28" s="498" t="s">
        <v>4162</v>
      </c>
      <c r="H28" s="266"/>
      <c r="I28" s="266"/>
    </row>
    <row r="29" spans="1:9">
      <c r="A29" s="731"/>
      <c r="C29" s="275"/>
      <c r="D29" s="278"/>
      <c r="E29" s="266"/>
      <c r="F29" s="517"/>
      <c r="H29" s="266"/>
    </row>
    <row r="30" spans="1:9">
      <c r="A30" s="731"/>
      <c r="C30" s="275"/>
      <c r="D30" s="278"/>
      <c r="E30" s="266"/>
      <c r="F30" s="517"/>
      <c r="H30" s="266"/>
    </row>
    <row r="31" spans="1:9">
      <c r="A31" s="730"/>
      <c r="B31" s="494" t="s">
        <v>4183</v>
      </c>
      <c r="C31" s="498"/>
      <c r="D31" s="496"/>
      <c r="E31" s="502"/>
      <c r="F31" s="516"/>
      <c r="G31" s="498"/>
      <c r="H31" s="266"/>
    </row>
    <row r="32" spans="1:9">
      <c r="A32" s="729">
        <f>A28+1</f>
        <v>21</v>
      </c>
      <c r="B32" s="503" t="s">
        <v>4184</v>
      </c>
      <c r="C32" s="498" t="s">
        <v>3226</v>
      </c>
      <c r="D32" s="504">
        <v>83</v>
      </c>
      <c r="E32" s="501">
        <v>0</v>
      </c>
      <c r="F32" s="516">
        <f t="shared" ref="F32:F58" si="3">D32*E32</f>
        <v>0</v>
      </c>
      <c r="G32" s="498" t="s">
        <v>4162</v>
      </c>
      <c r="H32" s="266"/>
      <c r="I32" s="266"/>
    </row>
    <row r="33" spans="1:9">
      <c r="A33" s="729">
        <f t="shared" ref="A33:A58" si="4">A32+1</f>
        <v>22</v>
      </c>
      <c r="B33" s="503" t="s">
        <v>4185</v>
      </c>
      <c r="C33" s="498" t="s">
        <v>3226</v>
      </c>
      <c r="D33" s="504">
        <v>20</v>
      </c>
      <c r="E33" s="501">
        <v>0</v>
      </c>
      <c r="F33" s="516">
        <f t="shared" si="3"/>
        <v>0</v>
      </c>
      <c r="G33" s="498" t="s">
        <v>4162</v>
      </c>
      <c r="H33" s="266"/>
      <c r="I33" s="266"/>
    </row>
    <row r="34" spans="1:9">
      <c r="A34" s="729">
        <f t="shared" si="4"/>
        <v>23</v>
      </c>
      <c r="B34" s="503" t="s">
        <v>4186</v>
      </c>
      <c r="C34" s="498" t="s">
        <v>3226</v>
      </c>
      <c r="D34" s="504">
        <v>16</v>
      </c>
      <c r="E34" s="501">
        <v>0</v>
      </c>
      <c r="F34" s="516">
        <f t="shared" si="3"/>
        <v>0</v>
      </c>
      <c r="G34" s="498" t="s">
        <v>4162</v>
      </c>
      <c r="H34" s="266"/>
      <c r="I34" s="266"/>
    </row>
    <row r="35" spans="1:9">
      <c r="A35" s="729">
        <f t="shared" si="4"/>
        <v>24</v>
      </c>
      <c r="B35" s="503" t="s">
        <v>4187</v>
      </c>
      <c r="C35" s="498" t="s">
        <v>3226</v>
      </c>
      <c r="D35" s="504">
        <v>7</v>
      </c>
      <c r="E35" s="501">
        <v>0</v>
      </c>
      <c r="F35" s="516">
        <f t="shared" si="3"/>
        <v>0</v>
      </c>
      <c r="G35" s="498" t="s">
        <v>4162</v>
      </c>
      <c r="H35" s="266"/>
      <c r="I35" s="266"/>
    </row>
    <row r="36" spans="1:9">
      <c r="A36" s="729">
        <f t="shared" si="4"/>
        <v>25</v>
      </c>
      <c r="B36" s="503" t="s">
        <v>4188</v>
      </c>
      <c r="C36" s="498" t="s">
        <v>3226</v>
      </c>
      <c r="D36" s="504">
        <v>30</v>
      </c>
      <c r="E36" s="501">
        <v>0</v>
      </c>
      <c r="F36" s="516">
        <f t="shared" si="3"/>
        <v>0</v>
      </c>
      <c r="G36" s="498" t="s">
        <v>4162</v>
      </c>
      <c r="H36" s="266"/>
      <c r="I36" s="266"/>
    </row>
    <row r="37" spans="1:9">
      <c r="A37" s="729">
        <f t="shared" si="4"/>
        <v>26</v>
      </c>
      <c r="B37" s="503" t="s">
        <v>4189</v>
      </c>
      <c r="C37" s="498" t="s">
        <v>3226</v>
      </c>
      <c r="D37" s="504">
        <v>21</v>
      </c>
      <c r="E37" s="501">
        <v>0</v>
      </c>
      <c r="F37" s="516">
        <f t="shared" si="3"/>
        <v>0</v>
      </c>
      <c r="G37" s="498" t="s">
        <v>4162</v>
      </c>
      <c r="H37" s="266"/>
      <c r="I37" s="266"/>
    </row>
    <row r="38" spans="1:9">
      <c r="A38" s="729">
        <f t="shared" si="4"/>
        <v>27</v>
      </c>
      <c r="B38" s="505" t="s">
        <v>4190</v>
      </c>
      <c r="C38" s="498" t="s">
        <v>3226</v>
      </c>
      <c r="D38" s="506">
        <v>71</v>
      </c>
      <c r="E38" s="501">
        <v>0</v>
      </c>
      <c r="F38" s="516">
        <f t="shared" si="3"/>
        <v>0</v>
      </c>
      <c r="G38" s="498" t="s">
        <v>4162</v>
      </c>
      <c r="H38" s="266"/>
      <c r="I38" s="266"/>
    </row>
    <row r="39" spans="1:9">
      <c r="A39" s="729">
        <f t="shared" si="4"/>
        <v>28</v>
      </c>
      <c r="B39" s="505" t="s">
        <v>4191</v>
      </c>
      <c r="C39" s="498" t="s">
        <v>3226</v>
      </c>
      <c r="D39" s="506">
        <v>1</v>
      </c>
      <c r="E39" s="501">
        <v>0</v>
      </c>
      <c r="F39" s="516">
        <f t="shared" si="3"/>
        <v>0</v>
      </c>
      <c r="G39" s="498" t="s">
        <v>4162</v>
      </c>
      <c r="H39" s="266"/>
      <c r="I39" s="266"/>
    </row>
    <row r="40" spans="1:9" ht="20.399999999999999">
      <c r="A40" s="729">
        <f t="shared" si="4"/>
        <v>29</v>
      </c>
      <c r="B40" s="505" t="s">
        <v>4192</v>
      </c>
      <c r="C40" s="498" t="s">
        <v>3226</v>
      </c>
      <c r="D40" s="506">
        <v>1</v>
      </c>
      <c r="E40" s="501">
        <v>0</v>
      </c>
      <c r="F40" s="516">
        <f t="shared" si="3"/>
        <v>0</v>
      </c>
      <c r="G40" s="498" t="s">
        <v>4162</v>
      </c>
      <c r="H40" s="266"/>
      <c r="I40" s="266"/>
    </row>
    <row r="41" spans="1:9">
      <c r="A41" s="729">
        <f t="shared" si="4"/>
        <v>30</v>
      </c>
      <c r="B41" s="505" t="s">
        <v>4193</v>
      </c>
      <c r="C41" s="498" t="s">
        <v>3226</v>
      </c>
      <c r="D41" s="506">
        <v>5</v>
      </c>
      <c r="E41" s="501">
        <v>0</v>
      </c>
      <c r="F41" s="516">
        <f t="shared" si="3"/>
        <v>0</v>
      </c>
      <c r="G41" s="498" t="s">
        <v>4162</v>
      </c>
      <c r="H41" s="266"/>
      <c r="I41" s="266"/>
    </row>
    <row r="42" spans="1:9">
      <c r="A42" s="729">
        <f t="shared" si="4"/>
        <v>31</v>
      </c>
      <c r="B42" s="505" t="s">
        <v>4194</v>
      </c>
      <c r="C42" s="498" t="s">
        <v>3226</v>
      </c>
      <c r="D42" s="506">
        <v>7</v>
      </c>
      <c r="E42" s="501">
        <v>0</v>
      </c>
      <c r="F42" s="516">
        <f t="shared" si="3"/>
        <v>0</v>
      </c>
      <c r="G42" s="498" t="s">
        <v>4162</v>
      </c>
      <c r="H42" s="266"/>
      <c r="I42" s="266"/>
    </row>
    <row r="43" spans="1:9">
      <c r="A43" s="729">
        <f t="shared" si="4"/>
        <v>32</v>
      </c>
      <c r="B43" s="505" t="s">
        <v>4195</v>
      </c>
      <c r="C43" s="498" t="s">
        <v>3226</v>
      </c>
      <c r="D43" s="506">
        <v>27</v>
      </c>
      <c r="E43" s="501">
        <v>0</v>
      </c>
      <c r="F43" s="516">
        <f t="shared" si="3"/>
        <v>0</v>
      </c>
      <c r="G43" s="498" t="s">
        <v>4162</v>
      </c>
      <c r="H43" s="266"/>
      <c r="I43" s="266"/>
    </row>
    <row r="44" spans="1:9">
      <c r="A44" s="729">
        <f t="shared" si="4"/>
        <v>33</v>
      </c>
      <c r="B44" s="503" t="s">
        <v>4196</v>
      </c>
      <c r="C44" s="498" t="s">
        <v>3226</v>
      </c>
      <c r="D44" s="496">
        <v>1</v>
      </c>
      <c r="E44" s="501">
        <v>0</v>
      </c>
      <c r="F44" s="516">
        <f t="shared" si="3"/>
        <v>0</v>
      </c>
      <c r="G44" s="498" t="s">
        <v>4162</v>
      </c>
      <c r="H44" s="266"/>
      <c r="I44" s="266"/>
    </row>
    <row r="45" spans="1:9">
      <c r="A45" s="729">
        <f t="shared" si="4"/>
        <v>34</v>
      </c>
      <c r="B45" s="503" t="s">
        <v>4197</v>
      </c>
      <c r="C45" s="498" t="s">
        <v>3226</v>
      </c>
      <c r="D45" s="496">
        <v>4</v>
      </c>
      <c r="E45" s="501">
        <v>0</v>
      </c>
      <c r="F45" s="516">
        <f t="shared" si="3"/>
        <v>0</v>
      </c>
      <c r="G45" s="498" t="s">
        <v>4162</v>
      </c>
      <c r="H45" s="266"/>
      <c r="I45" s="266"/>
    </row>
    <row r="46" spans="1:9">
      <c r="A46" s="729">
        <f t="shared" si="4"/>
        <v>35</v>
      </c>
      <c r="B46" s="505" t="s">
        <v>4198</v>
      </c>
      <c r="C46" s="498" t="s">
        <v>3226</v>
      </c>
      <c r="D46" s="496">
        <v>4</v>
      </c>
      <c r="E46" s="501">
        <v>0</v>
      </c>
      <c r="F46" s="516">
        <f t="shared" si="3"/>
        <v>0</v>
      </c>
      <c r="G46" s="498" t="s">
        <v>4162</v>
      </c>
      <c r="H46" s="266"/>
      <c r="I46" s="266"/>
    </row>
    <row r="47" spans="1:9">
      <c r="A47" s="729">
        <f t="shared" si="4"/>
        <v>36</v>
      </c>
      <c r="B47" s="505" t="s">
        <v>4199</v>
      </c>
      <c r="C47" s="498" t="s">
        <v>3226</v>
      </c>
      <c r="D47" s="496">
        <v>3</v>
      </c>
      <c r="E47" s="501">
        <v>0</v>
      </c>
      <c r="F47" s="516">
        <f t="shared" si="3"/>
        <v>0</v>
      </c>
      <c r="G47" s="498" t="s">
        <v>4162</v>
      </c>
      <c r="H47" s="266"/>
      <c r="I47" s="266"/>
    </row>
    <row r="48" spans="1:9">
      <c r="A48" s="729">
        <f t="shared" si="4"/>
        <v>37</v>
      </c>
      <c r="B48" s="503" t="s">
        <v>4200</v>
      </c>
      <c r="C48" s="498" t="s">
        <v>3233</v>
      </c>
      <c r="D48" s="496">
        <v>2</v>
      </c>
      <c r="E48" s="501">
        <v>0</v>
      </c>
      <c r="F48" s="516">
        <f t="shared" si="3"/>
        <v>0</v>
      </c>
      <c r="G48" s="498" t="s">
        <v>4162</v>
      </c>
      <c r="H48" s="266"/>
      <c r="I48" s="266"/>
    </row>
    <row r="49" spans="1:9">
      <c r="A49" s="729">
        <f t="shared" si="4"/>
        <v>38</v>
      </c>
      <c r="B49" s="503" t="s">
        <v>4201</v>
      </c>
      <c r="C49" s="498" t="s">
        <v>3226</v>
      </c>
      <c r="D49" s="496">
        <v>1</v>
      </c>
      <c r="E49" s="501">
        <v>0</v>
      </c>
      <c r="F49" s="516">
        <f t="shared" si="3"/>
        <v>0</v>
      </c>
      <c r="G49" s="498" t="s">
        <v>4162</v>
      </c>
      <c r="H49" s="266"/>
      <c r="I49" s="266"/>
    </row>
    <row r="50" spans="1:9">
      <c r="A50" s="729">
        <f t="shared" si="4"/>
        <v>39</v>
      </c>
      <c r="B50" s="503" t="s">
        <v>4202</v>
      </c>
      <c r="C50" s="498" t="s">
        <v>3226</v>
      </c>
      <c r="D50" s="496">
        <v>2</v>
      </c>
      <c r="E50" s="501">
        <v>0</v>
      </c>
      <c r="F50" s="516">
        <f t="shared" si="3"/>
        <v>0</v>
      </c>
      <c r="G50" s="498" t="s">
        <v>4162</v>
      </c>
      <c r="H50" s="266"/>
      <c r="I50" s="266"/>
    </row>
    <row r="51" spans="1:9">
      <c r="A51" s="729">
        <f t="shared" si="4"/>
        <v>40</v>
      </c>
      <c r="B51" s="503" t="s">
        <v>4203</v>
      </c>
      <c r="C51" s="498" t="s">
        <v>3226</v>
      </c>
      <c r="D51" s="496">
        <v>1</v>
      </c>
      <c r="E51" s="501">
        <v>0</v>
      </c>
      <c r="F51" s="516">
        <f t="shared" si="3"/>
        <v>0</v>
      </c>
      <c r="G51" s="498" t="s">
        <v>4162</v>
      </c>
      <c r="H51" s="266"/>
      <c r="I51" s="266"/>
    </row>
    <row r="52" spans="1:9">
      <c r="A52" s="729">
        <f t="shared" si="4"/>
        <v>41</v>
      </c>
      <c r="B52" s="503" t="s">
        <v>4204</v>
      </c>
      <c r="C52" s="498" t="s">
        <v>3226</v>
      </c>
      <c r="D52" s="496">
        <v>2</v>
      </c>
      <c r="E52" s="501">
        <v>0</v>
      </c>
      <c r="F52" s="516">
        <f t="shared" si="3"/>
        <v>0</v>
      </c>
      <c r="G52" s="498" t="s">
        <v>4162</v>
      </c>
      <c r="H52" s="266"/>
      <c r="I52" s="266"/>
    </row>
    <row r="53" spans="1:9">
      <c r="A53" s="729">
        <f t="shared" si="4"/>
        <v>42</v>
      </c>
      <c r="B53" s="503" t="s">
        <v>4205</v>
      </c>
      <c r="C53" s="498" t="s">
        <v>3226</v>
      </c>
      <c r="D53" s="496">
        <v>2</v>
      </c>
      <c r="E53" s="501">
        <v>0</v>
      </c>
      <c r="F53" s="516">
        <f t="shared" si="3"/>
        <v>0</v>
      </c>
      <c r="G53" s="498" t="s">
        <v>4162</v>
      </c>
      <c r="H53" s="266"/>
      <c r="I53" s="266"/>
    </row>
    <row r="54" spans="1:9">
      <c r="A54" s="729">
        <f t="shared" si="4"/>
        <v>43</v>
      </c>
      <c r="B54" s="503" t="s">
        <v>4206</v>
      </c>
      <c r="C54" s="498" t="s">
        <v>3226</v>
      </c>
      <c r="D54" s="496">
        <v>3</v>
      </c>
      <c r="E54" s="501">
        <v>0</v>
      </c>
      <c r="F54" s="516">
        <f t="shared" si="3"/>
        <v>0</v>
      </c>
      <c r="G54" s="498" t="s">
        <v>4162</v>
      </c>
      <c r="H54" s="266"/>
      <c r="I54" s="266"/>
    </row>
    <row r="55" spans="1:9">
      <c r="A55" s="729">
        <f t="shared" si="4"/>
        <v>44</v>
      </c>
      <c r="B55" s="503" t="s">
        <v>4207</v>
      </c>
      <c r="C55" s="498" t="s">
        <v>3226</v>
      </c>
      <c r="D55" s="496">
        <v>4</v>
      </c>
      <c r="E55" s="501">
        <v>0</v>
      </c>
      <c r="F55" s="516">
        <f t="shared" si="3"/>
        <v>0</v>
      </c>
      <c r="G55" s="498" t="s">
        <v>4162</v>
      </c>
      <c r="H55" s="266"/>
      <c r="I55" s="266"/>
    </row>
    <row r="56" spans="1:9">
      <c r="A56" s="729">
        <f t="shared" si="4"/>
        <v>45</v>
      </c>
      <c r="B56" s="503" t="s">
        <v>4208</v>
      </c>
      <c r="C56" s="498" t="s">
        <v>3226</v>
      </c>
      <c r="D56" s="496">
        <v>2</v>
      </c>
      <c r="E56" s="501">
        <v>0</v>
      </c>
      <c r="F56" s="516">
        <f t="shared" si="3"/>
        <v>0</v>
      </c>
      <c r="G56" s="498" t="s">
        <v>4162</v>
      </c>
      <c r="H56" s="266"/>
      <c r="I56" s="266"/>
    </row>
    <row r="57" spans="1:9">
      <c r="A57" s="729">
        <f t="shared" si="4"/>
        <v>46</v>
      </c>
      <c r="B57" s="503" t="s">
        <v>4209</v>
      </c>
      <c r="C57" s="498" t="s">
        <v>3226</v>
      </c>
      <c r="D57" s="496">
        <v>5</v>
      </c>
      <c r="E57" s="501">
        <v>0</v>
      </c>
      <c r="F57" s="516">
        <f t="shared" si="3"/>
        <v>0</v>
      </c>
      <c r="G57" s="498" t="s">
        <v>4162</v>
      </c>
      <c r="H57" s="266"/>
      <c r="I57" s="266"/>
    </row>
    <row r="58" spans="1:9">
      <c r="A58" s="729">
        <f t="shared" si="4"/>
        <v>47</v>
      </c>
      <c r="B58" s="503" t="s">
        <v>4210</v>
      </c>
      <c r="C58" s="498" t="s">
        <v>3226</v>
      </c>
      <c r="D58" s="496">
        <v>6</v>
      </c>
      <c r="E58" s="501">
        <v>0</v>
      </c>
      <c r="F58" s="516">
        <f t="shared" si="3"/>
        <v>0</v>
      </c>
      <c r="G58" s="498" t="s">
        <v>4162</v>
      </c>
      <c r="H58" s="266"/>
      <c r="I58" s="266"/>
    </row>
    <row r="59" spans="1:9">
      <c r="A59" s="731"/>
      <c r="B59" s="281"/>
      <c r="C59" s="275"/>
      <c r="D59" s="278"/>
      <c r="E59" s="266"/>
      <c r="F59" s="517"/>
      <c r="H59" s="266"/>
    </row>
    <row r="60" spans="1:9">
      <c r="A60" s="731"/>
      <c r="C60" s="275"/>
      <c r="D60" s="278"/>
      <c r="E60" s="266"/>
      <c r="F60" s="517"/>
      <c r="H60" s="266"/>
    </row>
    <row r="61" spans="1:9">
      <c r="A61" s="730"/>
      <c r="B61" s="494" t="s">
        <v>4211</v>
      </c>
      <c r="C61" s="498"/>
      <c r="D61" s="496"/>
      <c r="E61" s="502"/>
      <c r="F61" s="516"/>
      <c r="G61" s="498"/>
      <c r="H61" s="266"/>
    </row>
    <row r="62" spans="1:9">
      <c r="A62" s="729">
        <f>A58+1</f>
        <v>48</v>
      </c>
      <c r="B62" s="499" t="s">
        <v>4212</v>
      </c>
      <c r="C62" s="498" t="s">
        <v>3226</v>
      </c>
      <c r="D62" s="496">
        <v>325</v>
      </c>
      <c r="E62" s="501">
        <v>0</v>
      </c>
      <c r="F62" s="516">
        <f t="shared" ref="F62:F74" si="5">D62*E62</f>
        <v>0</v>
      </c>
      <c r="G62" s="498" t="s">
        <v>4162</v>
      </c>
      <c r="H62" s="266"/>
      <c r="I62" s="266"/>
    </row>
    <row r="63" spans="1:9">
      <c r="A63" s="729">
        <f t="shared" ref="A63:A74" si="6">A62+1</f>
        <v>49</v>
      </c>
      <c r="B63" s="499" t="s">
        <v>4213</v>
      </c>
      <c r="C63" s="498" t="s">
        <v>3226</v>
      </c>
      <c r="D63" s="496">
        <v>85</v>
      </c>
      <c r="E63" s="501">
        <v>0</v>
      </c>
      <c r="F63" s="516">
        <f t="shared" si="5"/>
        <v>0</v>
      </c>
      <c r="G63" s="498" t="s">
        <v>4162</v>
      </c>
      <c r="H63" s="266"/>
      <c r="I63" s="266"/>
    </row>
    <row r="64" spans="1:9">
      <c r="A64" s="729">
        <f t="shared" si="6"/>
        <v>50</v>
      </c>
      <c r="B64" s="499" t="s">
        <v>4214</v>
      </c>
      <c r="C64" s="498" t="s">
        <v>3226</v>
      </c>
      <c r="D64" s="496">
        <v>113</v>
      </c>
      <c r="E64" s="501">
        <v>0</v>
      </c>
      <c r="F64" s="516">
        <f t="shared" si="5"/>
        <v>0</v>
      </c>
      <c r="G64" s="498" t="s">
        <v>4162</v>
      </c>
      <c r="H64" s="266"/>
      <c r="I64" s="266"/>
    </row>
    <row r="65" spans="1:9">
      <c r="A65" s="729">
        <f t="shared" si="6"/>
        <v>51</v>
      </c>
      <c r="B65" s="499" t="s">
        <v>4215</v>
      </c>
      <c r="C65" s="498" t="s">
        <v>3226</v>
      </c>
      <c r="D65" s="496">
        <v>10</v>
      </c>
      <c r="E65" s="501">
        <v>0</v>
      </c>
      <c r="F65" s="516">
        <f t="shared" si="5"/>
        <v>0</v>
      </c>
      <c r="G65" s="498" t="s">
        <v>4162</v>
      </c>
      <c r="H65" s="266"/>
      <c r="I65" s="266"/>
    </row>
    <row r="66" spans="1:9">
      <c r="A66" s="729">
        <f t="shared" si="6"/>
        <v>52</v>
      </c>
      <c r="B66" s="499" t="s">
        <v>4216</v>
      </c>
      <c r="C66" s="498" t="s">
        <v>1939</v>
      </c>
      <c r="D66" s="496">
        <v>20</v>
      </c>
      <c r="E66" s="501">
        <v>0</v>
      </c>
      <c r="F66" s="516">
        <f t="shared" si="5"/>
        <v>0</v>
      </c>
      <c r="G66" s="498" t="s">
        <v>4162</v>
      </c>
      <c r="H66" s="266"/>
      <c r="I66" s="266"/>
    </row>
    <row r="67" spans="1:9">
      <c r="A67" s="729">
        <f t="shared" si="6"/>
        <v>53</v>
      </c>
      <c r="B67" s="499" t="s">
        <v>4217</v>
      </c>
      <c r="C67" s="498" t="s">
        <v>1939</v>
      </c>
      <c r="D67" s="496">
        <v>30</v>
      </c>
      <c r="E67" s="501">
        <v>0</v>
      </c>
      <c r="F67" s="516">
        <f t="shared" si="5"/>
        <v>0</v>
      </c>
      <c r="G67" s="498" t="s">
        <v>4162</v>
      </c>
      <c r="H67" s="266"/>
      <c r="I67" s="266"/>
    </row>
    <row r="68" spans="1:9">
      <c r="A68" s="729">
        <f t="shared" si="6"/>
        <v>54</v>
      </c>
      <c r="B68" s="499" t="s">
        <v>4218</v>
      </c>
      <c r="C68" s="498" t="s">
        <v>1939</v>
      </c>
      <c r="D68" s="496">
        <v>100</v>
      </c>
      <c r="E68" s="501">
        <v>0</v>
      </c>
      <c r="F68" s="516">
        <f t="shared" si="5"/>
        <v>0</v>
      </c>
      <c r="G68" s="498" t="s">
        <v>4162</v>
      </c>
      <c r="H68" s="266"/>
      <c r="I68" s="266"/>
    </row>
    <row r="69" spans="1:9">
      <c r="A69" s="729">
        <f t="shared" si="6"/>
        <v>55</v>
      </c>
      <c r="B69" s="499" t="s">
        <v>4219</v>
      </c>
      <c r="C69" s="498" t="s">
        <v>1939</v>
      </c>
      <c r="D69" s="496">
        <v>150</v>
      </c>
      <c r="E69" s="501">
        <v>0</v>
      </c>
      <c r="F69" s="516">
        <f t="shared" si="5"/>
        <v>0</v>
      </c>
      <c r="G69" s="498" t="s">
        <v>4162</v>
      </c>
      <c r="H69" s="266"/>
      <c r="I69" s="266"/>
    </row>
    <row r="70" spans="1:9">
      <c r="A70" s="729">
        <f t="shared" si="6"/>
        <v>56</v>
      </c>
      <c r="B70" s="499" t="s">
        <v>4220</v>
      </c>
      <c r="C70" s="498" t="s">
        <v>1939</v>
      </c>
      <c r="D70" s="496">
        <v>50</v>
      </c>
      <c r="E70" s="501">
        <v>0</v>
      </c>
      <c r="F70" s="516">
        <f t="shared" si="5"/>
        <v>0</v>
      </c>
      <c r="G70" s="498" t="s">
        <v>4162</v>
      </c>
      <c r="H70" s="266"/>
      <c r="I70" s="266"/>
    </row>
    <row r="71" spans="1:9">
      <c r="A71" s="729">
        <f t="shared" si="6"/>
        <v>57</v>
      </c>
      <c r="B71" s="499" t="s">
        <v>4221</v>
      </c>
      <c r="C71" s="498" t="s">
        <v>1939</v>
      </c>
      <c r="D71" s="496">
        <v>30</v>
      </c>
      <c r="E71" s="501">
        <v>0</v>
      </c>
      <c r="F71" s="516">
        <f t="shared" si="5"/>
        <v>0</v>
      </c>
      <c r="G71" s="498" t="s">
        <v>4162</v>
      </c>
      <c r="H71" s="266"/>
      <c r="I71" s="266"/>
    </row>
    <row r="72" spans="1:9">
      <c r="A72" s="729">
        <f t="shared" si="6"/>
        <v>58</v>
      </c>
      <c r="B72" s="499" t="s">
        <v>4222</v>
      </c>
      <c r="C72" s="498" t="s">
        <v>1939</v>
      </c>
      <c r="D72" s="496">
        <v>30</v>
      </c>
      <c r="E72" s="501">
        <v>0</v>
      </c>
      <c r="F72" s="516">
        <f t="shared" si="5"/>
        <v>0</v>
      </c>
      <c r="G72" s="498" t="s">
        <v>4162</v>
      </c>
      <c r="H72" s="266"/>
      <c r="I72" s="266"/>
    </row>
    <row r="73" spans="1:9">
      <c r="A73" s="729">
        <f t="shared" si="6"/>
        <v>59</v>
      </c>
      <c r="B73" s="499" t="s">
        <v>4223</v>
      </c>
      <c r="C73" s="498" t="s">
        <v>3226</v>
      </c>
      <c r="D73" s="496">
        <v>1452</v>
      </c>
      <c r="E73" s="501">
        <v>0</v>
      </c>
      <c r="F73" s="516">
        <f t="shared" si="5"/>
        <v>0</v>
      </c>
      <c r="G73" s="498" t="s">
        <v>4162</v>
      </c>
      <c r="H73" s="266"/>
      <c r="I73" s="266"/>
    </row>
    <row r="74" spans="1:9">
      <c r="A74" s="729">
        <f t="shared" si="6"/>
        <v>60</v>
      </c>
      <c r="B74" s="499" t="s">
        <v>4224</v>
      </c>
      <c r="C74" s="498" t="s">
        <v>3226</v>
      </c>
      <c r="D74" s="496">
        <v>2</v>
      </c>
      <c r="E74" s="501">
        <v>0</v>
      </c>
      <c r="F74" s="516">
        <f t="shared" si="5"/>
        <v>0</v>
      </c>
      <c r="G74" s="498" t="s">
        <v>4162</v>
      </c>
      <c r="H74" s="266"/>
      <c r="I74" s="266"/>
    </row>
    <row r="75" spans="1:9">
      <c r="A75" s="731"/>
      <c r="C75" s="275"/>
      <c r="D75" s="278"/>
      <c r="E75" s="266"/>
      <c r="F75" s="517"/>
      <c r="H75" s="266"/>
    </row>
    <row r="76" spans="1:9">
      <c r="A76" s="731"/>
      <c r="C76" s="275"/>
      <c r="D76" s="278"/>
      <c r="E76" s="266"/>
      <c r="F76" s="517"/>
      <c r="H76" s="266"/>
    </row>
    <row r="77" spans="1:9">
      <c r="A77" s="730"/>
      <c r="B77" s="494" t="s">
        <v>4225</v>
      </c>
      <c r="C77" s="495"/>
      <c r="D77" s="509"/>
      <c r="E77" s="502"/>
      <c r="F77" s="516"/>
      <c r="G77" s="498"/>
      <c r="H77" s="266"/>
    </row>
    <row r="78" spans="1:9">
      <c r="A78" s="729">
        <f>A74+1</f>
        <v>61</v>
      </c>
      <c r="B78" s="499" t="s">
        <v>4226</v>
      </c>
      <c r="C78" s="498" t="s">
        <v>1939</v>
      </c>
      <c r="D78" s="496">
        <v>10</v>
      </c>
      <c r="E78" s="501">
        <v>0</v>
      </c>
      <c r="F78" s="516">
        <f t="shared" ref="F78:F102" si="7">D78*E78</f>
        <v>0</v>
      </c>
      <c r="G78" s="498" t="s">
        <v>4162</v>
      </c>
      <c r="H78" s="266"/>
      <c r="I78" s="266"/>
    </row>
    <row r="79" spans="1:9">
      <c r="A79" s="729">
        <f t="shared" ref="A79:A101" si="8">A78+1</f>
        <v>62</v>
      </c>
      <c r="B79" s="499" t="s">
        <v>4227</v>
      </c>
      <c r="C79" s="498" t="s">
        <v>1939</v>
      </c>
      <c r="D79" s="496">
        <v>10</v>
      </c>
      <c r="E79" s="501">
        <v>0</v>
      </c>
      <c r="F79" s="516">
        <f t="shared" si="7"/>
        <v>0</v>
      </c>
      <c r="G79" s="498" t="s">
        <v>4162</v>
      </c>
      <c r="H79" s="266"/>
      <c r="I79" s="266"/>
    </row>
    <row r="80" spans="1:9">
      <c r="A80" s="729">
        <f t="shared" si="8"/>
        <v>63</v>
      </c>
      <c r="B80" s="499" t="s">
        <v>4228</v>
      </c>
      <c r="C80" s="498" t="s">
        <v>1939</v>
      </c>
      <c r="D80" s="496">
        <v>40</v>
      </c>
      <c r="E80" s="501">
        <v>0</v>
      </c>
      <c r="F80" s="516">
        <f t="shared" si="7"/>
        <v>0</v>
      </c>
      <c r="G80" s="498" t="s">
        <v>4162</v>
      </c>
      <c r="H80" s="266"/>
      <c r="I80" s="266"/>
    </row>
    <row r="81" spans="1:9">
      <c r="A81" s="729">
        <f t="shared" si="8"/>
        <v>64</v>
      </c>
      <c r="B81" s="499" t="s">
        <v>4229</v>
      </c>
      <c r="C81" s="498" t="s">
        <v>1939</v>
      </c>
      <c r="D81" s="496">
        <v>160</v>
      </c>
      <c r="E81" s="501">
        <v>0</v>
      </c>
      <c r="F81" s="516">
        <f t="shared" si="7"/>
        <v>0</v>
      </c>
      <c r="G81" s="498" t="s">
        <v>4162</v>
      </c>
      <c r="H81" s="266"/>
      <c r="I81" s="266"/>
    </row>
    <row r="82" spans="1:9">
      <c r="A82" s="729">
        <f t="shared" si="8"/>
        <v>65</v>
      </c>
      <c r="B82" s="499" t="s">
        <v>4230</v>
      </c>
      <c r="C82" s="498" t="s">
        <v>1939</v>
      </c>
      <c r="D82" s="496">
        <v>640</v>
      </c>
      <c r="E82" s="501">
        <v>0</v>
      </c>
      <c r="F82" s="516">
        <f t="shared" si="7"/>
        <v>0</v>
      </c>
      <c r="G82" s="498" t="s">
        <v>4162</v>
      </c>
      <c r="H82" s="266"/>
      <c r="I82" s="266"/>
    </row>
    <row r="83" spans="1:9">
      <c r="A83" s="729">
        <f t="shared" si="8"/>
        <v>66</v>
      </c>
      <c r="B83" s="499" t="s">
        <v>4231</v>
      </c>
      <c r="C83" s="498" t="s">
        <v>1939</v>
      </c>
      <c r="D83" s="496">
        <v>30</v>
      </c>
      <c r="E83" s="501">
        <v>0</v>
      </c>
      <c r="F83" s="516">
        <f t="shared" si="7"/>
        <v>0</v>
      </c>
      <c r="G83" s="498" t="s">
        <v>4162</v>
      </c>
      <c r="H83" s="266"/>
      <c r="I83" s="266"/>
    </row>
    <row r="84" spans="1:9">
      <c r="A84" s="729">
        <f t="shared" si="8"/>
        <v>67</v>
      </c>
      <c r="B84" s="499" t="s">
        <v>4232</v>
      </c>
      <c r="C84" s="498" t="s">
        <v>1939</v>
      </c>
      <c r="D84" s="496">
        <v>3210</v>
      </c>
      <c r="E84" s="501">
        <v>0</v>
      </c>
      <c r="F84" s="516">
        <f t="shared" si="7"/>
        <v>0</v>
      </c>
      <c r="G84" s="498" t="s">
        <v>4162</v>
      </c>
      <c r="H84" s="266"/>
      <c r="I84" s="266"/>
    </row>
    <row r="85" spans="1:9">
      <c r="A85" s="729">
        <f t="shared" si="8"/>
        <v>68</v>
      </c>
      <c r="B85" s="499" t="s">
        <v>4233</v>
      </c>
      <c r="C85" s="498" t="s">
        <v>1939</v>
      </c>
      <c r="D85" s="496">
        <v>3320</v>
      </c>
      <c r="E85" s="501">
        <v>0</v>
      </c>
      <c r="F85" s="516">
        <f t="shared" si="7"/>
        <v>0</v>
      </c>
      <c r="G85" s="498" t="s">
        <v>4162</v>
      </c>
      <c r="H85" s="266"/>
      <c r="I85" s="266"/>
    </row>
    <row r="86" spans="1:9">
      <c r="A86" s="729">
        <f t="shared" si="8"/>
        <v>69</v>
      </c>
      <c r="B86" s="499" t="s">
        <v>4234</v>
      </c>
      <c r="C86" s="498" t="s">
        <v>1939</v>
      </c>
      <c r="D86" s="496">
        <v>630</v>
      </c>
      <c r="E86" s="501">
        <v>0</v>
      </c>
      <c r="F86" s="516">
        <f t="shared" si="7"/>
        <v>0</v>
      </c>
      <c r="G86" s="498" t="s">
        <v>4162</v>
      </c>
      <c r="H86" s="266"/>
      <c r="I86" s="266"/>
    </row>
    <row r="87" spans="1:9">
      <c r="A87" s="729">
        <f t="shared" si="8"/>
        <v>70</v>
      </c>
      <c r="B87" s="499" t="s">
        <v>4235</v>
      </c>
      <c r="C87" s="498" t="s">
        <v>1939</v>
      </c>
      <c r="D87" s="496">
        <v>380</v>
      </c>
      <c r="E87" s="501">
        <v>0</v>
      </c>
      <c r="F87" s="516">
        <f t="shared" si="7"/>
        <v>0</v>
      </c>
      <c r="G87" s="498" t="s">
        <v>4162</v>
      </c>
      <c r="H87" s="266"/>
      <c r="I87" s="266"/>
    </row>
    <row r="88" spans="1:9">
      <c r="A88" s="729">
        <f t="shared" si="8"/>
        <v>71</v>
      </c>
      <c r="B88" s="499" t="s">
        <v>4236</v>
      </c>
      <c r="C88" s="498" t="s">
        <v>1939</v>
      </c>
      <c r="D88" s="496">
        <v>30</v>
      </c>
      <c r="E88" s="501">
        <v>0</v>
      </c>
      <c r="F88" s="516">
        <f t="shared" si="7"/>
        <v>0</v>
      </c>
      <c r="G88" s="498" t="s">
        <v>4162</v>
      </c>
      <c r="H88" s="266"/>
      <c r="I88" s="266"/>
    </row>
    <row r="89" spans="1:9">
      <c r="A89" s="729">
        <f t="shared" si="8"/>
        <v>72</v>
      </c>
      <c r="B89" s="499" t="s">
        <v>4237</v>
      </c>
      <c r="C89" s="498" t="s">
        <v>1939</v>
      </c>
      <c r="D89" s="496">
        <v>90</v>
      </c>
      <c r="E89" s="501">
        <v>0</v>
      </c>
      <c r="F89" s="516">
        <f t="shared" si="7"/>
        <v>0</v>
      </c>
      <c r="G89" s="498" t="s">
        <v>4162</v>
      </c>
      <c r="H89" s="266"/>
      <c r="I89" s="266"/>
    </row>
    <row r="90" spans="1:9">
      <c r="A90" s="729">
        <f t="shared" si="8"/>
        <v>73</v>
      </c>
      <c r="B90" s="499" t="s">
        <v>4238</v>
      </c>
      <c r="C90" s="498" t="s">
        <v>1939</v>
      </c>
      <c r="D90" s="496">
        <v>160</v>
      </c>
      <c r="E90" s="501">
        <v>0</v>
      </c>
      <c r="F90" s="516">
        <f t="shared" si="7"/>
        <v>0</v>
      </c>
      <c r="G90" s="498" t="s">
        <v>4162</v>
      </c>
      <c r="H90" s="266"/>
      <c r="I90" s="266"/>
    </row>
    <row r="91" spans="1:9">
      <c r="A91" s="729">
        <f t="shared" si="8"/>
        <v>74</v>
      </c>
      <c r="B91" s="499" t="s">
        <v>4239</v>
      </c>
      <c r="C91" s="498" t="s">
        <v>1939</v>
      </c>
      <c r="D91" s="496">
        <v>320</v>
      </c>
      <c r="E91" s="501">
        <v>0</v>
      </c>
      <c r="F91" s="516">
        <f t="shared" si="7"/>
        <v>0</v>
      </c>
      <c r="G91" s="498" t="s">
        <v>4240</v>
      </c>
      <c r="H91" s="266"/>
      <c r="I91" s="266"/>
    </row>
    <row r="92" spans="1:9">
      <c r="A92" s="729">
        <f t="shared" si="8"/>
        <v>75</v>
      </c>
      <c r="B92" s="499" t="s">
        <v>4241</v>
      </c>
      <c r="C92" s="498" t="s">
        <v>1939</v>
      </c>
      <c r="D92" s="496">
        <v>50</v>
      </c>
      <c r="E92" s="501">
        <v>0</v>
      </c>
      <c r="F92" s="516">
        <f t="shared" si="7"/>
        <v>0</v>
      </c>
      <c r="G92" s="498" t="s">
        <v>4162</v>
      </c>
      <c r="H92" s="266"/>
      <c r="I92" s="266"/>
    </row>
    <row r="93" spans="1:9">
      <c r="A93" s="729">
        <f t="shared" si="8"/>
        <v>76</v>
      </c>
      <c r="B93" s="499" t="s">
        <v>4242</v>
      </c>
      <c r="C93" s="498" t="s">
        <v>1939</v>
      </c>
      <c r="D93" s="496">
        <v>260</v>
      </c>
      <c r="E93" s="501">
        <v>0</v>
      </c>
      <c r="F93" s="516">
        <f t="shared" si="7"/>
        <v>0</v>
      </c>
      <c r="G93" s="498" t="s">
        <v>4162</v>
      </c>
      <c r="H93" s="266"/>
      <c r="I93" s="266"/>
    </row>
    <row r="94" spans="1:9">
      <c r="A94" s="729">
        <f t="shared" si="8"/>
        <v>77</v>
      </c>
      <c r="B94" s="499" t="s">
        <v>4243</v>
      </c>
      <c r="C94" s="498" t="s">
        <v>1939</v>
      </c>
      <c r="D94" s="496">
        <v>90</v>
      </c>
      <c r="E94" s="501">
        <v>0</v>
      </c>
      <c r="F94" s="516">
        <f t="shared" si="7"/>
        <v>0</v>
      </c>
      <c r="G94" s="498" t="s">
        <v>4162</v>
      </c>
      <c r="H94" s="266"/>
      <c r="I94" s="266"/>
    </row>
    <row r="95" spans="1:9">
      <c r="A95" s="729">
        <f t="shared" si="8"/>
        <v>78</v>
      </c>
      <c r="B95" s="499" t="s">
        <v>4244</v>
      </c>
      <c r="C95" s="498" t="s">
        <v>1939</v>
      </c>
      <c r="D95" s="496">
        <v>10</v>
      </c>
      <c r="E95" s="501">
        <v>0</v>
      </c>
      <c r="F95" s="516">
        <f t="shared" si="7"/>
        <v>0</v>
      </c>
      <c r="G95" s="498" t="s">
        <v>4162</v>
      </c>
      <c r="H95" s="266"/>
      <c r="I95" s="266"/>
    </row>
    <row r="96" spans="1:9">
      <c r="A96" s="729">
        <f t="shared" si="8"/>
        <v>79</v>
      </c>
      <c r="B96" s="499" t="s">
        <v>4245</v>
      </c>
      <c r="C96" s="498" t="s">
        <v>1939</v>
      </c>
      <c r="D96" s="496">
        <v>630</v>
      </c>
      <c r="E96" s="501">
        <v>0</v>
      </c>
      <c r="F96" s="516">
        <f t="shared" si="7"/>
        <v>0</v>
      </c>
      <c r="G96" s="498" t="s">
        <v>4162</v>
      </c>
      <c r="H96" s="266"/>
      <c r="I96" s="266"/>
    </row>
    <row r="97" spans="1:10">
      <c r="A97" s="729">
        <f t="shared" si="8"/>
        <v>80</v>
      </c>
      <c r="B97" s="499" t="s">
        <v>4246</v>
      </c>
      <c r="C97" s="498" t="s">
        <v>1939</v>
      </c>
      <c r="D97" s="496">
        <v>120</v>
      </c>
      <c r="E97" s="501">
        <v>0</v>
      </c>
      <c r="F97" s="516">
        <f t="shared" si="7"/>
        <v>0</v>
      </c>
      <c r="G97" s="498" t="s">
        <v>4162</v>
      </c>
      <c r="H97" s="266"/>
      <c r="I97" s="266"/>
    </row>
    <row r="98" spans="1:10">
      <c r="A98" s="729">
        <f t="shared" si="8"/>
        <v>81</v>
      </c>
      <c r="B98" s="499" t="s">
        <v>4247</v>
      </c>
      <c r="C98" s="498" t="s">
        <v>1939</v>
      </c>
      <c r="D98" s="496">
        <v>100</v>
      </c>
      <c r="E98" s="501">
        <v>0</v>
      </c>
      <c r="F98" s="516">
        <f t="shared" si="7"/>
        <v>0</v>
      </c>
      <c r="G98" s="498" t="s">
        <v>4162</v>
      </c>
      <c r="H98" s="266"/>
      <c r="I98" s="266"/>
    </row>
    <row r="99" spans="1:10">
      <c r="A99" s="729">
        <f t="shared" si="8"/>
        <v>82</v>
      </c>
      <c r="B99" s="499" t="s">
        <v>4248</v>
      </c>
      <c r="C99" s="498" t="s">
        <v>1939</v>
      </c>
      <c r="D99" s="496">
        <v>140</v>
      </c>
      <c r="E99" s="501">
        <v>0</v>
      </c>
      <c r="F99" s="516">
        <f t="shared" si="7"/>
        <v>0</v>
      </c>
      <c r="G99" s="498" t="s">
        <v>4162</v>
      </c>
      <c r="H99" s="266"/>
      <c r="I99" s="266"/>
    </row>
    <row r="100" spans="1:10">
      <c r="A100" s="729">
        <f t="shared" si="8"/>
        <v>83</v>
      </c>
      <c r="B100" s="499" t="s">
        <v>4249</v>
      </c>
      <c r="C100" s="498" t="s">
        <v>1939</v>
      </c>
      <c r="D100" s="496">
        <v>60</v>
      </c>
      <c r="E100" s="501">
        <v>0</v>
      </c>
      <c r="F100" s="516">
        <f t="shared" si="7"/>
        <v>0</v>
      </c>
      <c r="G100" s="498" t="s">
        <v>4162</v>
      </c>
      <c r="H100" s="266"/>
      <c r="I100" s="266"/>
    </row>
    <row r="101" spans="1:10">
      <c r="A101" s="729">
        <f t="shared" si="8"/>
        <v>84</v>
      </c>
      <c r="B101" s="499" t="s">
        <v>4250</v>
      </c>
      <c r="C101" s="498" t="s">
        <v>1939</v>
      </c>
      <c r="D101" s="496">
        <v>80</v>
      </c>
      <c r="E101" s="501">
        <v>0</v>
      </c>
      <c r="F101" s="516">
        <f t="shared" si="7"/>
        <v>0</v>
      </c>
      <c r="G101" s="498" t="s">
        <v>4162</v>
      </c>
      <c r="H101" s="266"/>
      <c r="I101" s="266"/>
    </row>
    <row r="102" spans="1:10">
      <c r="A102" s="729">
        <f>A101+1</f>
        <v>85</v>
      </c>
      <c r="B102" s="499" t="s">
        <v>4251</v>
      </c>
      <c r="C102" s="498" t="s">
        <v>1939</v>
      </c>
      <c r="D102" s="496">
        <v>80</v>
      </c>
      <c r="E102" s="501">
        <v>0</v>
      </c>
      <c r="F102" s="516">
        <f t="shared" si="7"/>
        <v>0</v>
      </c>
      <c r="G102" s="498" t="s">
        <v>4162</v>
      </c>
      <c r="H102" s="266"/>
      <c r="I102" s="266"/>
    </row>
    <row r="103" spans="1:10">
      <c r="A103" s="731"/>
      <c r="C103" s="275"/>
      <c r="D103" s="278"/>
      <c r="E103" s="266"/>
      <c r="F103" s="517"/>
      <c r="H103" s="266"/>
    </row>
    <row r="104" spans="1:10" s="279" customFormat="1">
      <c r="A104" s="731"/>
      <c r="C104" s="283"/>
      <c r="D104" s="284"/>
      <c r="E104" s="285"/>
      <c r="F104" s="517"/>
      <c r="G104" s="283"/>
      <c r="H104" s="266"/>
      <c r="J104" s="285"/>
    </row>
    <row r="105" spans="1:10">
      <c r="A105" s="730"/>
      <c r="B105" s="494" t="s">
        <v>4252</v>
      </c>
      <c r="C105" s="495"/>
      <c r="D105" s="509"/>
      <c r="E105" s="502"/>
      <c r="F105" s="516"/>
      <c r="G105" s="498"/>
      <c r="H105" s="266"/>
    </row>
    <row r="106" spans="1:10" ht="20.399999999999999">
      <c r="A106" s="729">
        <f>A102+1</f>
        <v>86</v>
      </c>
      <c r="B106" s="499" t="s">
        <v>4253</v>
      </c>
      <c r="C106" s="498" t="s">
        <v>3233</v>
      </c>
      <c r="D106" s="496">
        <v>1</v>
      </c>
      <c r="E106" s="501">
        <v>0</v>
      </c>
      <c r="F106" s="516">
        <f>D106*E106</f>
        <v>0</v>
      </c>
      <c r="G106" s="498" t="s">
        <v>4254</v>
      </c>
      <c r="H106" s="266"/>
      <c r="I106" s="266"/>
    </row>
    <row r="107" spans="1:10" ht="20.399999999999999">
      <c r="A107" s="729">
        <f>A106+1</f>
        <v>87</v>
      </c>
      <c r="B107" s="499" t="s">
        <v>4255</v>
      </c>
      <c r="C107" s="498" t="s">
        <v>3233</v>
      </c>
      <c r="D107" s="496">
        <v>1</v>
      </c>
      <c r="E107" s="501">
        <v>0</v>
      </c>
      <c r="F107" s="516">
        <f>D107*E107</f>
        <v>0</v>
      </c>
      <c r="G107" s="498" t="s">
        <v>4256</v>
      </c>
      <c r="H107" s="266"/>
      <c r="I107" s="266"/>
    </row>
    <row r="108" spans="1:10" ht="30.6">
      <c r="A108" s="729">
        <f>A107+1</f>
        <v>88</v>
      </c>
      <c r="B108" s="499" t="s">
        <v>4257</v>
      </c>
      <c r="C108" s="498" t="s">
        <v>3233</v>
      </c>
      <c r="D108" s="496">
        <v>1</v>
      </c>
      <c r="E108" s="501">
        <v>0</v>
      </c>
      <c r="F108" s="516">
        <f>D108*E108</f>
        <v>0</v>
      </c>
      <c r="G108" s="498" t="s">
        <v>4258</v>
      </c>
      <c r="H108" s="266"/>
      <c r="I108" s="266"/>
    </row>
    <row r="109" spans="1:10" ht="20.399999999999999">
      <c r="A109" s="729">
        <f>A108+1</f>
        <v>89</v>
      </c>
      <c r="B109" s="499" t="s">
        <v>4259</v>
      </c>
      <c r="C109" s="498" t="s">
        <v>3233</v>
      </c>
      <c r="D109" s="496">
        <v>1</v>
      </c>
      <c r="E109" s="501">
        <v>0</v>
      </c>
      <c r="F109" s="516">
        <f>D109*E109</f>
        <v>0</v>
      </c>
      <c r="G109" s="498" t="s">
        <v>4260</v>
      </c>
      <c r="H109" s="266"/>
      <c r="I109" s="266"/>
    </row>
    <row r="110" spans="1:10" ht="20.399999999999999">
      <c r="A110" s="729">
        <f>A109+1</f>
        <v>90</v>
      </c>
      <c r="B110" s="499" t="s">
        <v>4261</v>
      </c>
      <c r="C110" s="498" t="s">
        <v>3233</v>
      </c>
      <c r="D110" s="496">
        <v>1</v>
      </c>
      <c r="E110" s="501">
        <v>0</v>
      </c>
      <c r="F110" s="516">
        <f>D110*E110</f>
        <v>0</v>
      </c>
      <c r="G110" s="498" t="s">
        <v>4262</v>
      </c>
      <c r="H110" s="266"/>
      <c r="I110" s="266"/>
    </row>
    <row r="111" spans="1:10">
      <c r="A111" s="731"/>
      <c r="C111" s="275"/>
      <c r="D111" s="278"/>
      <c r="E111" s="266"/>
      <c r="F111" s="517"/>
      <c r="H111" s="266"/>
    </row>
    <row r="112" spans="1:10">
      <c r="A112" s="731"/>
      <c r="C112" s="275"/>
      <c r="D112" s="278"/>
      <c r="E112" s="266"/>
      <c r="F112" s="517"/>
      <c r="H112" s="266"/>
    </row>
    <row r="113" spans="1:9">
      <c r="A113" s="730"/>
      <c r="B113" s="494" t="s">
        <v>4263</v>
      </c>
      <c r="C113" s="498"/>
      <c r="D113" s="496"/>
      <c r="E113" s="502"/>
      <c r="F113" s="516"/>
      <c r="G113" s="498"/>
      <c r="H113" s="266"/>
    </row>
    <row r="114" spans="1:9" ht="20.399999999999999">
      <c r="A114" s="729">
        <f>A110+1</f>
        <v>91</v>
      </c>
      <c r="B114" s="499" t="s">
        <v>4264</v>
      </c>
      <c r="C114" s="498" t="s">
        <v>3233</v>
      </c>
      <c r="D114" s="496">
        <v>1</v>
      </c>
      <c r="E114" s="501">
        <v>0</v>
      </c>
      <c r="F114" s="516">
        <f>D114*E114</f>
        <v>0</v>
      </c>
      <c r="G114" s="498">
        <v>102</v>
      </c>
      <c r="H114" s="266"/>
      <c r="I114" s="266"/>
    </row>
    <row r="115" spans="1:9">
      <c r="A115" s="731"/>
      <c r="C115" s="275"/>
      <c r="D115" s="278"/>
      <c r="E115" s="266"/>
      <c r="F115" s="517"/>
      <c r="H115" s="266"/>
    </row>
    <row r="116" spans="1:9">
      <c r="A116" s="731"/>
      <c r="C116" s="275"/>
      <c r="D116" s="278"/>
      <c r="E116" s="266"/>
      <c r="F116" s="517"/>
      <c r="H116" s="266"/>
    </row>
    <row r="117" spans="1:9">
      <c r="A117" s="730"/>
      <c r="B117" s="494" t="s">
        <v>4265</v>
      </c>
      <c r="C117" s="495"/>
      <c r="D117" s="509"/>
      <c r="E117" s="502"/>
      <c r="F117" s="516"/>
      <c r="G117" s="498"/>
      <c r="H117" s="266"/>
    </row>
    <row r="118" spans="1:9" ht="20.399999999999999">
      <c r="A118" s="729">
        <f>A114+1</f>
        <v>92</v>
      </c>
      <c r="B118" s="499" t="s">
        <v>4266</v>
      </c>
      <c r="C118" s="498" t="s">
        <v>3226</v>
      </c>
      <c r="D118" s="496">
        <v>6</v>
      </c>
      <c r="E118" s="501">
        <v>0</v>
      </c>
      <c r="F118" s="516">
        <f t="shared" ref="F118:F124" si="9">D118*E118</f>
        <v>0</v>
      </c>
      <c r="G118" s="498">
        <v>106</v>
      </c>
      <c r="H118" s="266"/>
      <c r="I118" s="266"/>
    </row>
    <row r="119" spans="1:9" ht="20.399999999999999">
      <c r="A119" s="729">
        <f t="shared" ref="A119:A124" si="10">A118+1</f>
        <v>93</v>
      </c>
      <c r="B119" s="499" t="s">
        <v>4267</v>
      </c>
      <c r="C119" s="498" t="s">
        <v>1939</v>
      </c>
      <c r="D119" s="496">
        <v>320</v>
      </c>
      <c r="E119" s="501">
        <v>0</v>
      </c>
      <c r="F119" s="516">
        <f>D119*E119</f>
        <v>0</v>
      </c>
      <c r="G119" s="498">
        <v>106</v>
      </c>
      <c r="H119" s="266"/>
      <c r="I119" s="266"/>
    </row>
    <row r="120" spans="1:9">
      <c r="A120" s="729">
        <f t="shared" si="10"/>
        <v>94</v>
      </c>
      <c r="B120" s="499" t="s">
        <v>4268</v>
      </c>
      <c r="C120" s="498" t="s">
        <v>1939</v>
      </c>
      <c r="D120" s="496">
        <v>70</v>
      </c>
      <c r="E120" s="501">
        <v>0</v>
      </c>
      <c r="F120" s="516">
        <f t="shared" si="9"/>
        <v>0</v>
      </c>
      <c r="G120" s="498" t="s">
        <v>4269</v>
      </c>
      <c r="H120" s="266"/>
      <c r="I120" s="266"/>
    </row>
    <row r="121" spans="1:9">
      <c r="A121" s="729">
        <f t="shared" si="10"/>
        <v>95</v>
      </c>
      <c r="B121" s="499" t="s">
        <v>4270</v>
      </c>
      <c r="C121" s="498" t="s">
        <v>1939</v>
      </c>
      <c r="D121" s="496">
        <v>540</v>
      </c>
      <c r="E121" s="501">
        <v>0</v>
      </c>
      <c r="F121" s="516">
        <f t="shared" si="9"/>
        <v>0</v>
      </c>
      <c r="G121" s="498">
        <v>101</v>
      </c>
      <c r="H121" s="266"/>
      <c r="I121" s="266"/>
    </row>
    <row r="122" spans="1:9">
      <c r="A122" s="729">
        <f t="shared" si="10"/>
        <v>96</v>
      </c>
      <c r="B122" s="499" t="s">
        <v>4271</v>
      </c>
      <c r="C122" s="498" t="s">
        <v>3226</v>
      </c>
      <c r="D122" s="496">
        <v>6</v>
      </c>
      <c r="E122" s="501">
        <v>0</v>
      </c>
      <c r="F122" s="516">
        <f t="shared" si="9"/>
        <v>0</v>
      </c>
      <c r="G122" s="498" t="s">
        <v>4269</v>
      </c>
      <c r="H122" s="266"/>
      <c r="I122" s="266"/>
    </row>
    <row r="123" spans="1:9">
      <c r="A123" s="729">
        <f t="shared" si="10"/>
        <v>97</v>
      </c>
      <c r="B123" s="499" t="s">
        <v>4272</v>
      </c>
      <c r="C123" s="498" t="s">
        <v>3226</v>
      </c>
      <c r="D123" s="496">
        <v>67</v>
      </c>
      <c r="E123" s="501">
        <v>0</v>
      </c>
      <c r="F123" s="516">
        <f t="shared" si="9"/>
        <v>0</v>
      </c>
      <c r="G123" s="498">
        <v>101</v>
      </c>
      <c r="H123" s="266"/>
      <c r="I123" s="266"/>
    </row>
    <row r="124" spans="1:9">
      <c r="A124" s="729">
        <f t="shared" si="10"/>
        <v>98</v>
      </c>
      <c r="B124" s="499" t="s">
        <v>4273</v>
      </c>
      <c r="C124" s="498" t="s">
        <v>1939</v>
      </c>
      <c r="D124" s="496">
        <v>260</v>
      </c>
      <c r="E124" s="501">
        <v>0</v>
      </c>
      <c r="F124" s="516">
        <f t="shared" si="9"/>
        <v>0</v>
      </c>
      <c r="G124" s="498">
        <v>106</v>
      </c>
      <c r="H124" s="266"/>
      <c r="I124" s="266"/>
    </row>
    <row r="125" spans="1:9">
      <c r="A125" s="731"/>
      <c r="C125" s="275"/>
      <c r="D125" s="278"/>
      <c r="E125" s="266"/>
      <c r="F125" s="517"/>
      <c r="H125" s="266"/>
    </row>
    <row r="126" spans="1:9">
      <c r="A126" s="731"/>
      <c r="C126" s="275"/>
      <c r="D126" s="278"/>
      <c r="E126" s="266"/>
      <c r="F126" s="517"/>
      <c r="H126" s="266"/>
    </row>
    <row r="127" spans="1:9">
      <c r="A127" s="730"/>
      <c r="B127" s="510" t="s">
        <v>4274</v>
      </c>
      <c r="C127" s="511"/>
      <c r="D127" s="512"/>
      <c r="E127" s="513"/>
      <c r="F127" s="518"/>
      <c r="G127" s="511"/>
      <c r="H127" s="266"/>
    </row>
    <row r="128" spans="1:9" ht="20.399999999999999">
      <c r="A128" s="729">
        <f>A124+1</f>
        <v>99</v>
      </c>
      <c r="B128" s="514" t="s">
        <v>4275</v>
      </c>
      <c r="C128" s="511" t="s">
        <v>3233</v>
      </c>
      <c r="D128" s="512">
        <v>1</v>
      </c>
      <c r="E128" s="501">
        <v>0</v>
      </c>
      <c r="F128" s="518">
        <f>D128*E128</f>
        <v>0</v>
      </c>
      <c r="G128" s="511">
        <v>201</v>
      </c>
      <c r="H128" s="266"/>
      <c r="I128" s="266"/>
    </row>
    <row r="129" spans="1:9">
      <c r="A129" s="731"/>
      <c r="C129" s="275"/>
      <c r="D129" s="278"/>
      <c r="E129" s="266"/>
      <c r="F129" s="517"/>
      <c r="H129" s="266"/>
    </row>
    <row r="130" spans="1:9">
      <c r="A130" s="731"/>
      <c r="C130" s="275"/>
      <c r="D130" s="278"/>
      <c r="E130" s="266"/>
      <c r="F130" s="517"/>
      <c r="H130" s="266"/>
    </row>
    <row r="131" spans="1:9">
      <c r="A131" s="730"/>
      <c r="B131" s="494" t="s">
        <v>4276</v>
      </c>
      <c r="C131" s="498"/>
      <c r="D131" s="496"/>
      <c r="E131" s="502"/>
      <c r="F131" s="516"/>
      <c r="G131" s="498"/>
      <c r="H131" s="266"/>
    </row>
    <row r="132" spans="1:9" ht="20.399999999999999">
      <c r="A132" s="729">
        <f>A128+1</f>
        <v>100</v>
      </c>
      <c r="B132" s="499" t="s">
        <v>4277</v>
      </c>
      <c r="C132" s="498" t="s">
        <v>1939</v>
      </c>
      <c r="D132" s="496">
        <v>4</v>
      </c>
      <c r="E132" s="501">
        <v>0</v>
      </c>
      <c r="F132" s="516">
        <f>D132*E132</f>
        <v>0</v>
      </c>
      <c r="G132" s="498" t="s">
        <v>4278</v>
      </c>
      <c r="H132" s="266"/>
      <c r="I132" s="266"/>
    </row>
    <row r="133" spans="1:9" ht="20.399999999999999">
      <c r="A133" s="729">
        <f>A132+1</f>
        <v>101</v>
      </c>
      <c r="B133" s="515" t="s">
        <v>4279</v>
      </c>
      <c r="C133" s="498" t="s">
        <v>1939</v>
      </c>
      <c r="D133" s="496">
        <v>96</v>
      </c>
      <c r="E133" s="501">
        <v>0</v>
      </c>
      <c r="F133" s="516">
        <f>D133*E133</f>
        <v>0</v>
      </c>
      <c r="G133" s="498" t="s">
        <v>4278</v>
      </c>
      <c r="H133" s="266"/>
      <c r="I133" s="266"/>
    </row>
    <row r="134" spans="1:9" ht="20.399999999999999">
      <c r="A134" s="729">
        <f>A133+1</f>
        <v>102</v>
      </c>
      <c r="B134" s="515" t="s">
        <v>4280</v>
      </c>
      <c r="C134" s="498" t="s">
        <v>1939</v>
      </c>
      <c r="D134" s="496">
        <v>20</v>
      </c>
      <c r="E134" s="501">
        <v>0</v>
      </c>
      <c r="F134" s="516">
        <f>D134*E134</f>
        <v>0</v>
      </c>
      <c r="G134" s="498" t="s">
        <v>4278</v>
      </c>
      <c r="H134" s="266"/>
      <c r="I134" s="266"/>
    </row>
    <row r="135" spans="1:9">
      <c r="A135" s="731"/>
      <c r="B135" s="276"/>
      <c r="C135" s="275"/>
      <c r="D135" s="278"/>
      <c r="E135" s="266"/>
      <c r="F135" s="517"/>
      <c r="H135" s="266"/>
    </row>
    <row r="136" spans="1:9">
      <c r="A136" s="731"/>
      <c r="C136" s="275"/>
      <c r="D136" s="282"/>
      <c r="E136" s="266"/>
      <c r="F136" s="517"/>
      <c r="H136" s="266"/>
    </row>
    <row r="137" spans="1:9">
      <c r="A137" s="730"/>
      <c r="B137" s="494" t="s">
        <v>4282</v>
      </c>
      <c r="C137" s="498"/>
      <c r="D137" s="509"/>
      <c r="E137" s="502"/>
      <c r="F137" s="516"/>
      <c r="G137" s="498"/>
      <c r="H137" s="266"/>
    </row>
    <row r="138" spans="1:9">
      <c r="A138" s="729">
        <f>A134+1</f>
        <v>103</v>
      </c>
      <c r="B138" s="499" t="s">
        <v>4283</v>
      </c>
      <c r="C138" s="498" t="s">
        <v>3233</v>
      </c>
      <c r="D138" s="496">
        <v>1</v>
      </c>
      <c r="E138" s="501">
        <v>0</v>
      </c>
      <c r="F138" s="516">
        <f>D138*E138</f>
        <v>0</v>
      </c>
      <c r="G138" s="498" t="s">
        <v>3902</v>
      </c>
      <c r="H138" s="266"/>
      <c r="I138" s="266"/>
    </row>
    <row r="139" spans="1:9">
      <c r="A139" s="729">
        <f>A138+1</f>
        <v>104</v>
      </c>
      <c r="B139" s="499" t="s">
        <v>4284</v>
      </c>
      <c r="C139" s="498" t="s">
        <v>3233</v>
      </c>
      <c r="D139" s="496">
        <v>1</v>
      </c>
      <c r="E139" s="501">
        <v>0</v>
      </c>
      <c r="F139" s="516">
        <f>D139*E139</f>
        <v>0</v>
      </c>
      <c r="G139" s="498" t="s">
        <v>3902</v>
      </c>
      <c r="H139" s="266"/>
      <c r="I139" s="266"/>
    </row>
    <row r="140" spans="1:9">
      <c r="A140" s="729">
        <f>A139+1</f>
        <v>105</v>
      </c>
      <c r="B140" s="499" t="s">
        <v>4285</v>
      </c>
      <c r="C140" s="498" t="s">
        <v>3233</v>
      </c>
      <c r="D140" s="496">
        <v>1</v>
      </c>
      <c r="E140" s="501">
        <v>0</v>
      </c>
      <c r="F140" s="516">
        <f>D140*E140</f>
        <v>0</v>
      </c>
      <c r="G140" s="498" t="s">
        <v>3902</v>
      </c>
      <c r="H140" s="266"/>
      <c r="I140" s="266"/>
    </row>
    <row r="141" spans="1:9" ht="10.8" thickBot="1">
      <c r="A141" s="732"/>
      <c r="B141" s="286"/>
      <c r="C141" s="277"/>
      <c r="D141" s="282"/>
      <c r="F141" s="517"/>
    </row>
    <row r="142" spans="1:9" ht="10.8" thickBot="1">
      <c r="A142" s="733"/>
      <c r="B142" s="287" t="s">
        <v>4286</v>
      </c>
      <c r="C142" s="288"/>
      <c r="D142" s="289"/>
      <c r="E142" s="290"/>
      <c r="F142" s="519">
        <f>SUM(F3:F141)</f>
        <v>0</v>
      </c>
    </row>
    <row r="143" spans="1:9" ht="10.8" thickBot="1">
      <c r="A143" s="731"/>
      <c r="C143" s="277"/>
      <c r="D143" s="282"/>
    </row>
    <row r="144" spans="1:9" ht="33.75" customHeight="1" thickBot="1">
      <c r="A144" s="982" t="s">
        <v>4287</v>
      </c>
      <c r="B144" s="983"/>
      <c r="C144" s="983"/>
      <c r="D144" s="983"/>
      <c r="E144" s="983"/>
      <c r="F144" s="984"/>
    </row>
    <row r="145" spans="1:4">
      <c r="A145" s="731"/>
      <c r="C145" s="277"/>
      <c r="D145" s="282"/>
    </row>
    <row r="146" spans="1:4">
      <c r="A146" s="734"/>
      <c r="B146" s="291"/>
      <c r="C146" s="277"/>
      <c r="D146" s="282"/>
    </row>
    <row r="147" spans="1:4">
      <c r="A147" s="734"/>
      <c r="B147" s="292"/>
      <c r="C147" s="277"/>
      <c r="D147" s="282"/>
    </row>
    <row r="148" spans="1:4">
      <c r="A148" s="734"/>
      <c r="B148" s="292"/>
      <c r="C148" s="277"/>
      <c r="D148" s="282"/>
    </row>
    <row r="149" spans="1:4">
      <c r="A149" s="734"/>
      <c r="B149" s="292"/>
      <c r="C149" s="277"/>
      <c r="D149" s="282"/>
    </row>
    <row r="150" spans="1:4">
      <c r="A150" s="731"/>
      <c r="C150" s="277"/>
      <c r="D150" s="282"/>
    </row>
    <row r="151" spans="1:4">
      <c r="A151" s="731"/>
      <c r="C151" s="275"/>
      <c r="D151" s="278"/>
    </row>
    <row r="152" spans="1:4">
      <c r="A152" s="731"/>
      <c r="C152" s="275"/>
      <c r="D152" s="278"/>
    </row>
    <row r="153" spans="1:4">
      <c r="A153" s="731"/>
      <c r="C153" s="275"/>
      <c r="D153" s="278"/>
    </row>
    <row r="154" spans="1:4">
      <c r="A154" s="731"/>
      <c r="C154" s="275"/>
      <c r="D154" s="278"/>
    </row>
  </sheetData>
  <mergeCells count="2">
    <mergeCell ref="A1:G1"/>
    <mergeCell ref="A144:F144"/>
  </mergeCells>
  <pageMargins left="0.7" right="0.7" top="0.78740157499999996" bottom="0.78740157499999996" header="0.3" footer="0.3"/>
  <pageSetup paperSize="9" scale="76" orientation="portrait" verticalDpi="0" r:id="rId1"/>
</worksheet>
</file>

<file path=xl/worksheets/sheet12.xml><?xml version="1.0" encoding="utf-8"?>
<worksheet xmlns="http://schemas.openxmlformats.org/spreadsheetml/2006/main" xmlns:r="http://schemas.openxmlformats.org/officeDocument/2006/relationships">
  <dimension ref="A1:L133"/>
  <sheetViews>
    <sheetView zoomScaleNormal="100" workbookViewId="0">
      <selection activeCell="H4" sqref="H4"/>
    </sheetView>
  </sheetViews>
  <sheetFormatPr defaultColWidth="9.109375" defaultRowHeight="13.2"/>
  <cols>
    <col min="1" max="1" width="9.6640625" style="455" customWidth="1"/>
    <col min="2" max="2" width="13" style="455" customWidth="1"/>
    <col min="3" max="3" width="56.109375" style="455" customWidth="1"/>
    <col min="4" max="4" width="13.88671875" style="491" customWidth="1"/>
    <col min="5" max="5" width="9.33203125" style="455" customWidth="1"/>
    <col min="6" max="6" width="10.5546875" style="455" customWidth="1"/>
    <col min="7" max="7" width="12.33203125" style="455" customWidth="1"/>
    <col min="8" max="8" width="17.33203125" style="455" customWidth="1"/>
    <col min="9" max="16384" width="9.109375" style="455"/>
  </cols>
  <sheetData>
    <row r="1" spans="1:12" ht="27" customHeight="1" thickBot="1">
      <c r="A1" s="987" t="s">
        <v>5857</v>
      </c>
      <c r="B1" s="987"/>
      <c r="C1" s="987"/>
      <c r="D1" s="987"/>
      <c r="E1" s="987"/>
      <c r="F1" s="987"/>
      <c r="G1" s="987"/>
      <c r="H1" s="987"/>
    </row>
    <row r="2" spans="1:12" ht="55.95" customHeight="1" thickBot="1">
      <c r="A2" s="456" t="s">
        <v>4036</v>
      </c>
      <c r="B2" s="457" t="s">
        <v>4037</v>
      </c>
      <c r="C2" s="457" t="s">
        <v>4038</v>
      </c>
      <c r="D2" s="457" t="s">
        <v>4039</v>
      </c>
      <c r="E2" s="457" t="s">
        <v>4040</v>
      </c>
      <c r="F2" s="457" t="s">
        <v>4041</v>
      </c>
      <c r="G2" s="457" t="s">
        <v>5845</v>
      </c>
      <c r="H2" s="458" t="s">
        <v>4042</v>
      </c>
      <c r="I2" s="459"/>
      <c r="J2" s="459"/>
      <c r="K2" s="459"/>
      <c r="L2" s="459"/>
    </row>
    <row r="3" spans="1:12" ht="13.8">
      <c r="A3" s="460"/>
      <c r="B3" s="985" t="s">
        <v>4043</v>
      </c>
      <c r="C3" s="986"/>
      <c r="D3" s="461"/>
      <c r="E3" s="462"/>
      <c r="F3" s="462"/>
      <c r="G3" s="462"/>
      <c r="H3" s="463"/>
    </row>
    <row r="4" spans="1:12" ht="276.60000000000002" customHeight="1">
      <c r="A4" s="460">
        <v>1</v>
      </c>
      <c r="B4" s="462"/>
      <c r="C4" s="464" t="s">
        <v>4044</v>
      </c>
      <c r="D4" s="465" t="s">
        <v>5843</v>
      </c>
      <c r="E4" s="465" t="s">
        <v>1943</v>
      </c>
      <c r="F4" s="465">
        <v>1</v>
      </c>
      <c r="G4" s="492">
        <v>0</v>
      </c>
      <c r="H4" s="466">
        <f>F4*G4</f>
        <v>0</v>
      </c>
    </row>
    <row r="5" spans="1:12" ht="41.4">
      <c r="A5" s="460">
        <v>2</v>
      </c>
      <c r="B5" s="462"/>
      <c r="C5" s="467" t="s">
        <v>4045</v>
      </c>
      <c r="D5" s="465" t="s">
        <v>5843</v>
      </c>
      <c r="E5" s="465" t="s">
        <v>1943</v>
      </c>
      <c r="F5" s="465">
        <v>1</v>
      </c>
      <c r="G5" s="492">
        <v>0</v>
      </c>
      <c r="H5" s="466">
        <f t="shared" ref="H5:H13" si="0">F5*G5</f>
        <v>0</v>
      </c>
    </row>
    <row r="6" spans="1:12" ht="27.6">
      <c r="A6" s="460">
        <v>3</v>
      </c>
      <c r="B6" s="462"/>
      <c r="C6" s="467" t="s">
        <v>4046</v>
      </c>
      <c r="D6" s="465" t="s">
        <v>5843</v>
      </c>
      <c r="E6" s="465" t="s">
        <v>1943</v>
      </c>
      <c r="F6" s="465">
        <v>2</v>
      </c>
      <c r="G6" s="492">
        <v>0</v>
      </c>
      <c r="H6" s="466">
        <f t="shared" si="0"/>
        <v>0</v>
      </c>
    </row>
    <row r="7" spans="1:12" ht="27.6">
      <c r="A7" s="460">
        <v>4</v>
      </c>
      <c r="B7" s="462"/>
      <c r="C7" s="467" t="s">
        <v>4047</v>
      </c>
      <c r="D7" s="465" t="s">
        <v>5843</v>
      </c>
      <c r="E7" s="465" t="s">
        <v>1943</v>
      </c>
      <c r="F7" s="465">
        <v>6</v>
      </c>
      <c r="G7" s="492">
        <v>0</v>
      </c>
      <c r="H7" s="466">
        <f t="shared" si="0"/>
        <v>0</v>
      </c>
    </row>
    <row r="8" spans="1:12" ht="27.6">
      <c r="A8" s="460">
        <v>5</v>
      </c>
      <c r="B8" s="462"/>
      <c r="C8" s="467" t="s">
        <v>4048</v>
      </c>
      <c r="D8" s="465" t="s">
        <v>5843</v>
      </c>
      <c r="E8" s="465" t="s">
        <v>1943</v>
      </c>
      <c r="F8" s="465">
        <v>1</v>
      </c>
      <c r="G8" s="492">
        <v>0</v>
      </c>
      <c r="H8" s="466">
        <f t="shared" si="0"/>
        <v>0</v>
      </c>
    </row>
    <row r="9" spans="1:12" ht="165.6">
      <c r="A9" s="460">
        <v>6</v>
      </c>
      <c r="B9" s="462"/>
      <c r="C9" s="467" t="s">
        <v>4049</v>
      </c>
      <c r="D9" s="465" t="s">
        <v>5843</v>
      </c>
      <c r="E9" s="465" t="s">
        <v>1943</v>
      </c>
      <c r="F9" s="465">
        <v>14</v>
      </c>
      <c r="G9" s="492">
        <v>0</v>
      </c>
      <c r="H9" s="466">
        <f t="shared" si="0"/>
        <v>0</v>
      </c>
    </row>
    <row r="10" spans="1:12" ht="193.2">
      <c r="A10" s="460">
        <v>7</v>
      </c>
      <c r="B10" s="462"/>
      <c r="C10" s="467" t="s">
        <v>4050</v>
      </c>
      <c r="D10" s="465" t="s">
        <v>5843</v>
      </c>
      <c r="E10" s="465" t="s">
        <v>1943</v>
      </c>
      <c r="F10" s="465">
        <v>37</v>
      </c>
      <c r="G10" s="492">
        <v>0</v>
      </c>
      <c r="H10" s="466">
        <f t="shared" si="0"/>
        <v>0</v>
      </c>
    </row>
    <row r="11" spans="1:12" ht="193.2">
      <c r="A11" s="460">
        <v>8</v>
      </c>
      <c r="B11" s="462"/>
      <c r="C11" s="467" t="s">
        <v>4051</v>
      </c>
      <c r="D11" s="465" t="s">
        <v>5843</v>
      </c>
      <c r="E11" s="465" t="s">
        <v>1943</v>
      </c>
      <c r="F11" s="465">
        <f>F9+F10</f>
        <v>51</v>
      </c>
      <c r="G11" s="492">
        <v>0</v>
      </c>
      <c r="H11" s="466">
        <f t="shared" si="0"/>
        <v>0</v>
      </c>
    </row>
    <row r="12" spans="1:12" ht="124.2">
      <c r="A12" s="460">
        <v>9</v>
      </c>
      <c r="B12" s="462"/>
      <c r="C12" s="467" t="s">
        <v>4052</v>
      </c>
      <c r="D12" s="465" t="s">
        <v>5843</v>
      </c>
      <c r="E12" s="465" t="s">
        <v>1943</v>
      </c>
      <c r="F12" s="465">
        <v>51</v>
      </c>
      <c r="G12" s="492">
        <v>0</v>
      </c>
      <c r="H12" s="466">
        <f t="shared" si="0"/>
        <v>0</v>
      </c>
    </row>
    <row r="13" spans="1:12" ht="27.6">
      <c r="A13" s="460">
        <v>10</v>
      </c>
      <c r="B13" s="462"/>
      <c r="C13" s="467" t="s">
        <v>4053</v>
      </c>
      <c r="D13" s="465" t="s">
        <v>5843</v>
      </c>
      <c r="E13" s="465" t="s">
        <v>1939</v>
      </c>
      <c r="F13" s="465">
        <v>700</v>
      </c>
      <c r="G13" s="492">
        <v>0</v>
      </c>
      <c r="H13" s="466">
        <f t="shared" si="0"/>
        <v>0</v>
      </c>
    </row>
    <row r="14" spans="1:12" ht="13.8">
      <c r="A14" s="460"/>
      <c r="B14" s="462"/>
      <c r="C14" s="467"/>
      <c r="D14" s="461"/>
      <c r="E14" s="465"/>
      <c r="F14" s="465"/>
      <c r="G14" s="465"/>
      <c r="H14" s="466"/>
    </row>
    <row r="15" spans="1:12" ht="13.8">
      <c r="A15" s="460"/>
      <c r="B15" s="985" t="s">
        <v>4054</v>
      </c>
      <c r="C15" s="986"/>
      <c r="D15" s="461"/>
      <c r="E15" s="465"/>
      <c r="F15" s="465"/>
      <c r="G15" s="465"/>
      <c r="H15" s="468"/>
    </row>
    <row r="16" spans="1:12" ht="13.8">
      <c r="A16" s="460">
        <v>11</v>
      </c>
      <c r="B16" s="462"/>
      <c r="C16" s="467" t="s">
        <v>4055</v>
      </c>
      <c r="D16" s="465" t="s">
        <v>5843</v>
      </c>
      <c r="E16" s="465" t="s">
        <v>1943</v>
      </c>
      <c r="F16" s="465">
        <v>1</v>
      </c>
      <c r="G16" s="492">
        <v>0</v>
      </c>
      <c r="H16" s="466">
        <f t="shared" ref="H16:H63" si="1">F16*G16</f>
        <v>0</v>
      </c>
    </row>
    <row r="17" spans="1:8" ht="41.4">
      <c r="A17" s="460">
        <v>12</v>
      </c>
      <c r="B17" s="462"/>
      <c r="C17" s="467" t="s">
        <v>4056</v>
      </c>
      <c r="D17" s="465" t="s">
        <v>5843</v>
      </c>
      <c r="E17" s="465" t="s">
        <v>1943</v>
      </c>
      <c r="F17" s="465">
        <v>8</v>
      </c>
      <c r="G17" s="492">
        <v>0</v>
      </c>
      <c r="H17" s="466">
        <f t="shared" si="1"/>
        <v>0</v>
      </c>
    </row>
    <row r="18" spans="1:8" ht="27.6">
      <c r="A18" s="460">
        <v>13</v>
      </c>
      <c r="B18" s="462"/>
      <c r="C18" s="467" t="s">
        <v>4057</v>
      </c>
      <c r="D18" s="465" t="s">
        <v>5843</v>
      </c>
      <c r="E18" s="465" t="s">
        <v>1943</v>
      </c>
      <c r="F18" s="465">
        <v>7</v>
      </c>
      <c r="G18" s="492">
        <v>0</v>
      </c>
      <c r="H18" s="466">
        <f t="shared" si="1"/>
        <v>0</v>
      </c>
    </row>
    <row r="19" spans="1:8" ht="41.4">
      <c r="A19" s="460">
        <v>14</v>
      </c>
      <c r="B19" s="462"/>
      <c r="C19" s="467" t="s">
        <v>4058</v>
      </c>
      <c r="D19" s="465" t="s">
        <v>5843</v>
      </c>
      <c r="E19" s="465" t="s">
        <v>1943</v>
      </c>
      <c r="F19" s="465">
        <v>1</v>
      </c>
      <c r="G19" s="492">
        <v>0</v>
      </c>
      <c r="H19" s="466">
        <f t="shared" si="1"/>
        <v>0</v>
      </c>
    </row>
    <row r="20" spans="1:8" ht="55.2">
      <c r="A20" s="460">
        <v>15</v>
      </c>
      <c r="B20" s="462"/>
      <c r="C20" s="467" t="s">
        <v>4059</v>
      </c>
      <c r="D20" s="465" t="s">
        <v>5843</v>
      </c>
      <c r="E20" s="465" t="s">
        <v>1943</v>
      </c>
      <c r="F20" s="465">
        <v>1</v>
      </c>
      <c r="G20" s="492">
        <v>0</v>
      </c>
      <c r="H20" s="466">
        <f t="shared" si="1"/>
        <v>0</v>
      </c>
    </row>
    <row r="21" spans="1:8" ht="27.6">
      <c r="A21" s="460">
        <v>16</v>
      </c>
      <c r="B21" s="462"/>
      <c r="C21" s="467" t="s">
        <v>4060</v>
      </c>
      <c r="D21" s="465" t="s">
        <v>5843</v>
      </c>
      <c r="E21" s="465"/>
      <c r="F21" s="465">
        <v>1</v>
      </c>
      <c r="G21" s="492">
        <v>0</v>
      </c>
      <c r="H21" s="466">
        <f t="shared" si="1"/>
        <v>0</v>
      </c>
    </row>
    <row r="22" spans="1:8" ht="27.6">
      <c r="A22" s="460">
        <v>17</v>
      </c>
      <c r="B22" s="462"/>
      <c r="C22" s="467" t="s">
        <v>4061</v>
      </c>
      <c r="D22" s="465" t="s">
        <v>5843</v>
      </c>
      <c r="E22" s="465"/>
      <c r="F22" s="465">
        <v>1</v>
      </c>
      <c r="G22" s="492">
        <v>0</v>
      </c>
      <c r="H22" s="466">
        <f t="shared" si="1"/>
        <v>0</v>
      </c>
    </row>
    <row r="23" spans="1:8" ht="13.8">
      <c r="A23" s="460">
        <v>18</v>
      </c>
      <c r="B23" s="462"/>
      <c r="C23" s="467" t="s">
        <v>4062</v>
      </c>
      <c r="D23" s="465" t="s">
        <v>5843</v>
      </c>
      <c r="E23" s="465"/>
      <c r="F23" s="465">
        <v>2</v>
      </c>
      <c r="G23" s="492">
        <v>0</v>
      </c>
      <c r="H23" s="466">
        <f t="shared" si="1"/>
        <v>0</v>
      </c>
    </row>
    <row r="24" spans="1:8" ht="41.4">
      <c r="A24" s="460">
        <v>19</v>
      </c>
      <c r="B24" s="462"/>
      <c r="C24" s="467" t="s">
        <v>4063</v>
      </c>
      <c r="D24" s="465" t="s">
        <v>5843</v>
      </c>
      <c r="E24" s="465"/>
      <c r="F24" s="465">
        <v>1</v>
      </c>
      <c r="G24" s="492">
        <v>0</v>
      </c>
      <c r="H24" s="466">
        <f t="shared" si="1"/>
        <v>0</v>
      </c>
    </row>
    <row r="25" spans="1:8" ht="41.4">
      <c r="A25" s="460">
        <v>20</v>
      </c>
      <c r="B25" s="462"/>
      <c r="C25" s="467" t="s">
        <v>4064</v>
      </c>
      <c r="D25" s="465" t="s">
        <v>5843</v>
      </c>
      <c r="E25" s="465" t="s">
        <v>1943</v>
      </c>
      <c r="F25" s="465">
        <v>32</v>
      </c>
      <c r="G25" s="492">
        <v>0</v>
      </c>
      <c r="H25" s="466">
        <f t="shared" si="1"/>
        <v>0</v>
      </c>
    </row>
    <row r="26" spans="1:8" ht="41.4">
      <c r="A26" s="460">
        <v>21</v>
      </c>
      <c r="B26" s="462"/>
      <c r="C26" s="467" t="s">
        <v>4065</v>
      </c>
      <c r="D26" s="465" t="s">
        <v>5843</v>
      </c>
      <c r="E26" s="465" t="s">
        <v>1943</v>
      </c>
      <c r="F26" s="465">
        <v>14</v>
      </c>
      <c r="G26" s="492">
        <v>0</v>
      </c>
      <c r="H26" s="466">
        <f t="shared" si="1"/>
        <v>0</v>
      </c>
    </row>
    <row r="27" spans="1:8" ht="27.6">
      <c r="A27" s="460">
        <v>22</v>
      </c>
      <c r="B27" s="462"/>
      <c r="C27" s="467" t="s">
        <v>4066</v>
      </c>
      <c r="D27" s="465" t="s">
        <v>5843</v>
      </c>
      <c r="E27" s="465" t="s">
        <v>1943</v>
      </c>
      <c r="F27" s="465">
        <v>4</v>
      </c>
      <c r="G27" s="492">
        <v>0</v>
      </c>
      <c r="H27" s="466">
        <f t="shared" si="1"/>
        <v>0</v>
      </c>
    </row>
    <row r="28" spans="1:8" ht="41.4">
      <c r="A28" s="460">
        <v>23</v>
      </c>
      <c r="B28" s="462"/>
      <c r="C28" s="467" t="s">
        <v>4067</v>
      </c>
      <c r="D28" s="465" t="s">
        <v>5843</v>
      </c>
      <c r="E28" s="465" t="s">
        <v>1943</v>
      </c>
      <c r="F28" s="465">
        <v>11</v>
      </c>
      <c r="G28" s="492">
        <v>0</v>
      </c>
      <c r="H28" s="466">
        <f t="shared" si="1"/>
        <v>0</v>
      </c>
    </row>
    <row r="29" spans="1:8" ht="41.4">
      <c r="A29" s="460">
        <v>24</v>
      </c>
      <c r="B29" s="462"/>
      <c r="C29" s="467" t="s">
        <v>4068</v>
      </c>
      <c r="D29" s="465" t="s">
        <v>5843</v>
      </c>
      <c r="E29" s="465" t="s">
        <v>1943</v>
      </c>
      <c r="F29" s="465">
        <v>14</v>
      </c>
      <c r="G29" s="492">
        <v>0</v>
      </c>
      <c r="H29" s="466">
        <f t="shared" si="1"/>
        <v>0</v>
      </c>
    </row>
    <row r="30" spans="1:8" ht="27.6">
      <c r="A30" s="460">
        <v>25</v>
      </c>
      <c r="B30" s="462"/>
      <c r="C30" s="467" t="s">
        <v>4069</v>
      </c>
      <c r="D30" s="465" t="s">
        <v>5843</v>
      </c>
      <c r="E30" s="465" t="s">
        <v>1943</v>
      </c>
      <c r="F30" s="465">
        <f>(F25*2)+F26+(F27*2)+F28+F29</f>
        <v>111</v>
      </c>
      <c r="G30" s="492">
        <v>0</v>
      </c>
      <c r="H30" s="466">
        <f t="shared" si="1"/>
        <v>0</v>
      </c>
    </row>
    <row r="31" spans="1:8" ht="27.6">
      <c r="A31" s="460">
        <v>26</v>
      </c>
      <c r="B31" s="462"/>
      <c r="C31" s="467" t="s">
        <v>4070</v>
      </c>
      <c r="D31" s="465" t="s">
        <v>5843</v>
      </c>
      <c r="E31" s="465" t="s">
        <v>1943</v>
      </c>
      <c r="F31" s="465">
        <v>50</v>
      </c>
      <c r="G31" s="492">
        <v>0</v>
      </c>
      <c r="H31" s="466">
        <f t="shared" si="1"/>
        <v>0</v>
      </c>
    </row>
    <row r="32" spans="1:8" ht="27.6">
      <c r="A32" s="460">
        <v>27</v>
      </c>
      <c r="B32" s="462"/>
      <c r="C32" s="467" t="s">
        <v>4071</v>
      </c>
      <c r="D32" s="465" t="s">
        <v>5843</v>
      </c>
      <c r="E32" s="465" t="s">
        <v>1943</v>
      </c>
      <c r="F32" s="465">
        <v>64</v>
      </c>
      <c r="G32" s="492">
        <v>0</v>
      </c>
      <c r="H32" s="466">
        <f t="shared" si="1"/>
        <v>0</v>
      </c>
    </row>
    <row r="33" spans="1:8" ht="13.8">
      <c r="A33" s="460">
        <v>28</v>
      </c>
      <c r="B33" s="462"/>
      <c r="C33" s="467" t="s">
        <v>4072</v>
      </c>
      <c r="D33" s="465" t="s">
        <v>5843</v>
      </c>
      <c r="E33" s="465" t="s">
        <v>1939</v>
      </c>
      <c r="F33" s="465">
        <v>4594</v>
      </c>
      <c r="G33" s="492">
        <v>0</v>
      </c>
      <c r="H33" s="466">
        <f t="shared" si="1"/>
        <v>0</v>
      </c>
    </row>
    <row r="34" spans="1:8" ht="13.8">
      <c r="A34" s="460">
        <v>29</v>
      </c>
      <c r="B34" s="462"/>
      <c r="C34" s="467" t="s">
        <v>4073</v>
      </c>
      <c r="D34" s="465" t="s">
        <v>5843</v>
      </c>
      <c r="E34" s="465" t="s">
        <v>1939</v>
      </c>
      <c r="F34" s="465">
        <v>120</v>
      </c>
      <c r="G34" s="492">
        <v>0</v>
      </c>
      <c r="H34" s="466">
        <f t="shared" si="1"/>
        <v>0</v>
      </c>
    </row>
    <row r="35" spans="1:8" ht="13.8">
      <c r="A35" s="460">
        <v>30</v>
      </c>
      <c r="B35" s="462"/>
      <c r="C35" s="467" t="s">
        <v>4074</v>
      </c>
      <c r="D35" s="465" t="s">
        <v>5843</v>
      </c>
      <c r="E35" s="465" t="s">
        <v>1939</v>
      </c>
      <c r="F35" s="465">
        <v>150</v>
      </c>
      <c r="G35" s="492">
        <v>0</v>
      </c>
      <c r="H35" s="466">
        <f t="shared" si="1"/>
        <v>0</v>
      </c>
    </row>
    <row r="36" spans="1:8" ht="13.8">
      <c r="A36" s="460">
        <v>31</v>
      </c>
      <c r="B36" s="462"/>
      <c r="C36" s="467" t="s">
        <v>4075</v>
      </c>
      <c r="D36" s="465" t="s">
        <v>5843</v>
      </c>
      <c r="E36" s="465" t="s">
        <v>1939</v>
      </c>
      <c r="F36" s="465">
        <v>150</v>
      </c>
      <c r="G36" s="492">
        <v>0</v>
      </c>
      <c r="H36" s="466">
        <f t="shared" si="1"/>
        <v>0</v>
      </c>
    </row>
    <row r="37" spans="1:8" ht="27.6">
      <c r="A37" s="460">
        <v>32</v>
      </c>
      <c r="B37" s="462"/>
      <c r="C37" s="467" t="s">
        <v>4076</v>
      </c>
      <c r="D37" s="465" t="s">
        <v>5843</v>
      </c>
      <c r="E37" s="465" t="s">
        <v>1939</v>
      </c>
      <c r="F37" s="465">
        <v>1150</v>
      </c>
      <c r="G37" s="492">
        <v>0</v>
      </c>
      <c r="H37" s="466">
        <f t="shared" si="1"/>
        <v>0</v>
      </c>
    </row>
    <row r="38" spans="1:8" ht="27.6">
      <c r="A38" s="460">
        <v>33</v>
      </c>
      <c r="B38" s="462"/>
      <c r="C38" s="467" t="s">
        <v>4077</v>
      </c>
      <c r="D38" s="465" t="s">
        <v>5843</v>
      </c>
      <c r="E38" s="465" t="s">
        <v>1939</v>
      </c>
      <c r="F38" s="465">
        <v>850</v>
      </c>
      <c r="G38" s="492">
        <v>0</v>
      </c>
      <c r="H38" s="466">
        <f t="shared" si="1"/>
        <v>0</v>
      </c>
    </row>
    <row r="39" spans="1:8" ht="41.4">
      <c r="A39" s="460">
        <v>34</v>
      </c>
      <c r="B39" s="462"/>
      <c r="C39" s="467" t="s">
        <v>4078</v>
      </c>
      <c r="D39" s="465" t="s">
        <v>5843</v>
      </c>
      <c r="E39" s="465" t="s">
        <v>1943</v>
      </c>
      <c r="F39" s="465">
        <v>1</v>
      </c>
      <c r="G39" s="492">
        <v>0</v>
      </c>
      <c r="H39" s="466">
        <f t="shared" si="1"/>
        <v>0</v>
      </c>
    </row>
    <row r="40" spans="1:8" ht="41.4">
      <c r="A40" s="469">
        <v>35</v>
      </c>
      <c r="B40" s="470"/>
      <c r="C40" s="471" t="s">
        <v>4079</v>
      </c>
      <c r="D40" s="465" t="s">
        <v>5843</v>
      </c>
      <c r="E40" s="472" t="s">
        <v>1943</v>
      </c>
      <c r="F40" s="472">
        <v>1</v>
      </c>
      <c r="G40" s="492">
        <v>0</v>
      </c>
      <c r="H40" s="473">
        <f t="shared" si="1"/>
        <v>0</v>
      </c>
    </row>
    <row r="41" spans="1:8" ht="55.2">
      <c r="A41" s="469">
        <v>36</v>
      </c>
      <c r="B41" s="470"/>
      <c r="C41" s="471" t="s">
        <v>4080</v>
      </c>
      <c r="D41" s="465" t="s">
        <v>5843</v>
      </c>
      <c r="E41" s="472" t="s">
        <v>1943</v>
      </c>
      <c r="F41" s="472">
        <v>7</v>
      </c>
      <c r="G41" s="492">
        <v>0</v>
      </c>
      <c r="H41" s="473">
        <f t="shared" si="1"/>
        <v>0</v>
      </c>
    </row>
    <row r="42" spans="1:8" ht="27.6">
      <c r="A42" s="469">
        <v>37</v>
      </c>
      <c r="B42" s="470"/>
      <c r="C42" s="471" t="s">
        <v>4081</v>
      </c>
      <c r="D42" s="465" t="s">
        <v>5843</v>
      </c>
      <c r="E42" s="472" t="s">
        <v>1943</v>
      </c>
      <c r="F42" s="472">
        <v>1</v>
      </c>
      <c r="G42" s="492">
        <v>0</v>
      </c>
      <c r="H42" s="473">
        <f t="shared" si="1"/>
        <v>0</v>
      </c>
    </row>
    <row r="43" spans="1:8" ht="13.8">
      <c r="A43" s="460"/>
      <c r="B43" s="462"/>
      <c r="C43" s="467"/>
      <c r="D43" s="461"/>
      <c r="E43" s="465"/>
      <c r="F43" s="465"/>
      <c r="G43" s="465"/>
      <c r="H43" s="466">
        <f t="shared" si="1"/>
        <v>0</v>
      </c>
    </row>
    <row r="44" spans="1:8" ht="13.8">
      <c r="A44" s="460"/>
      <c r="B44" s="985" t="s">
        <v>4082</v>
      </c>
      <c r="C44" s="986"/>
      <c r="D44" s="461"/>
      <c r="E44" s="465"/>
      <c r="F44" s="465"/>
      <c r="G44" s="465"/>
      <c r="H44" s="466">
        <f t="shared" si="1"/>
        <v>0</v>
      </c>
    </row>
    <row r="45" spans="1:8" ht="41.4">
      <c r="A45" s="460">
        <v>38</v>
      </c>
      <c r="B45" s="462"/>
      <c r="C45" s="467" t="s">
        <v>4083</v>
      </c>
      <c r="D45" s="465" t="s">
        <v>5843</v>
      </c>
      <c r="E45" s="465" t="s">
        <v>1943</v>
      </c>
      <c r="F45" s="465">
        <v>1</v>
      </c>
      <c r="G45" s="492">
        <v>0</v>
      </c>
      <c r="H45" s="466">
        <f t="shared" si="1"/>
        <v>0</v>
      </c>
    </row>
    <row r="46" spans="1:8" ht="27.6">
      <c r="A46" s="460">
        <v>39</v>
      </c>
      <c r="B46" s="462"/>
      <c r="C46" s="467" t="s">
        <v>4084</v>
      </c>
      <c r="D46" s="465" t="s">
        <v>5843</v>
      </c>
      <c r="E46" s="465" t="s">
        <v>1943</v>
      </c>
      <c r="F46" s="465">
        <v>3</v>
      </c>
      <c r="G46" s="492">
        <v>0</v>
      </c>
      <c r="H46" s="466">
        <f t="shared" si="1"/>
        <v>0</v>
      </c>
    </row>
    <row r="47" spans="1:8" ht="13.8">
      <c r="A47" s="460">
        <v>40</v>
      </c>
      <c r="B47" s="462"/>
      <c r="C47" s="467" t="s">
        <v>4085</v>
      </c>
      <c r="D47" s="465" t="s">
        <v>5843</v>
      </c>
      <c r="E47" s="465" t="s">
        <v>1943</v>
      </c>
      <c r="F47" s="465">
        <v>1</v>
      </c>
      <c r="G47" s="492">
        <v>0</v>
      </c>
      <c r="H47" s="466">
        <f t="shared" si="1"/>
        <v>0</v>
      </c>
    </row>
    <row r="48" spans="1:8" ht="27.6">
      <c r="A48" s="460">
        <v>41</v>
      </c>
      <c r="B48" s="462"/>
      <c r="C48" s="467" t="s">
        <v>4086</v>
      </c>
      <c r="D48" s="465" t="s">
        <v>5843</v>
      </c>
      <c r="E48" s="465" t="s">
        <v>1943</v>
      </c>
      <c r="F48" s="465">
        <v>3</v>
      </c>
      <c r="G48" s="492">
        <v>0</v>
      </c>
      <c r="H48" s="466">
        <f t="shared" si="1"/>
        <v>0</v>
      </c>
    </row>
    <row r="49" spans="1:8" ht="27.6">
      <c r="A49" s="460">
        <v>42</v>
      </c>
      <c r="B49" s="462"/>
      <c r="C49" s="467" t="s">
        <v>4087</v>
      </c>
      <c r="D49" s="465" t="s">
        <v>5843</v>
      </c>
      <c r="E49" s="465" t="s">
        <v>1943</v>
      </c>
      <c r="F49" s="465">
        <v>1</v>
      </c>
      <c r="G49" s="492">
        <v>0</v>
      </c>
      <c r="H49" s="466">
        <f t="shared" si="1"/>
        <v>0</v>
      </c>
    </row>
    <row r="50" spans="1:8" ht="27.6">
      <c r="A50" s="460">
        <v>43</v>
      </c>
      <c r="B50" s="462"/>
      <c r="C50" s="467" t="s">
        <v>4088</v>
      </c>
      <c r="D50" s="465" t="s">
        <v>5843</v>
      </c>
      <c r="E50" s="465" t="s">
        <v>1943</v>
      </c>
      <c r="F50" s="465">
        <v>1</v>
      </c>
      <c r="G50" s="492">
        <v>0</v>
      </c>
      <c r="H50" s="466">
        <f t="shared" si="1"/>
        <v>0</v>
      </c>
    </row>
    <row r="51" spans="1:8" ht="27.6">
      <c r="A51" s="460">
        <v>44</v>
      </c>
      <c r="B51" s="462"/>
      <c r="C51" s="467" t="s">
        <v>4089</v>
      </c>
      <c r="D51" s="465" t="s">
        <v>5843</v>
      </c>
      <c r="E51" s="465" t="s">
        <v>1943</v>
      </c>
      <c r="F51" s="465">
        <v>1</v>
      </c>
      <c r="G51" s="492">
        <v>0</v>
      </c>
      <c r="H51" s="466">
        <f t="shared" si="1"/>
        <v>0</v>
      </c>
    </row>
    <row r="52" spans="1:8" ht="41.4">
      <c r="A52" s="460">
        <v>45</v>
      </c>
      <c r="B52" s="462"/>
      <c r="C52" s="467" t="s">
        <v>4090</v>
      </c>
      <c r="D52" s="465" t="s">
        <v>5843</v>
      </c>
      <c r="E52" s="465" t="s">
        <v>1943</v>
      </c>
      <c r="F52" s="465">
        <v>6</v>
      </c>
      <c r="G52" s="492">
        <v>0</v>
      </c>
      <c r="H52" s="466">
        <f t="shared" si="1"/>
        <v>0</v>
      </c>
    </row>
    <row r="53" spans="1:8" ht="27.6">
      <c r="A53" s="460">
        <v>46</v>
      </c>
      <c r="B53" s="462"/>
      <c r="C53" s="467" t="s">
        <v>4091</v>
      </c>
      <c r="D53" s="465" t="s">
        <v>5843</v>
      </c>
      <c r="E53" s="465" t="s">
        <v>1943</v>
      </c>
      <c r="F53" s="465">
        <v>10</v>
      </c>
      <c r="G53" s="492">
        <v>0</v>
      </c>
      <c r="H53" s="466">
        <f t="shared" si="1"/>
        <v>0</v>
      </c>
    </row>
    <row r="54" spans="1:8" ht="27.6">
      <c r="A54" s="460">
        <v>47</v>
      </c>
      <c r="B54" s="462"/>
      <c r="C54" s="467" t="s">
        <v>4092</v>
      </c>
      <c r="D54" s="465" t="s">
        <v>5843</v>
      </c>
      <c r="E54" s="465" t="s">
        <v>1943</v>
      </c>
      <c r="F54" s="465">
        <v>7</v>
      </c>
      <c r="G54" s="492">
        <v>0</v>
      </c>
      <c r="H54" s="466">
        <f t="shared" si="1"/>
        <v>0</v>
      </c>
    </row>
    <row r="55" spans="1:8" ht="15.75" customHeight="1">
      <c r="A55" s="460">
        <v>48</v>
      </c>
      <c r="B55" s="462"/>
      <c r="C55" s="467" t="s">
        <v>4093</v>
      </c>
      <c r="D55" s="465" t="s">
        <v>5843</v>
      </c>
      <c r="E55" s="465" t="s">
        <v>1943</v>
      </c>
      <c r="F55" s="465">
        <v>2</v>
      </c>
      <c r="G55" s="492">
        <v>0</v>
      </c>
      <c r="H55" s="466">
        <f t="shared" si="1"/>
        <v>0</v>
      </c>
    </row>
    <row r="56" spans="1:8" ht="15.75" customHeight="1">
      <c r="A56" s="460">
        <v>49</v>
      </c>
      <c r="B56" s="462"/>
      <c r="C56" s="467" t="s">
        <v>4094</v>
      </c>
      <c r="D56" s="465" t="s">
        <v>5843</v>
      </c>
      <c r="E56" s="465" t="s">
        <v>1943</v>
      </c>
      <c r="F56" s="465">
        <v>1</v>
      </c>
      <c r="G56" s="492">
        <v>0</v>
      </c>
      <c r="H56" s="466">
        <f t="shared" si="1"/>
        <v>0</v>
      </c>
    </row>
    <row r="57" spans="1:8" ht="15.75" customHeight="1">
      <c r="A57" s="460">
        <v>50</v>
      </c>
      <c r="B57" s="462"/>
      <c r="C57" s="467" t="s">
        <v>4095</v>
      </c>
      <c r="D57" s="465" t="s">
        <v>5843</v>
      </c>
      <c r="E57" s="465" t="s">
        <v>1943</v>
      </c>
      <c r="F57" s="465">
        <v>1</v>
      </c>
      <c r="G57" s="492">
        <v>0</v>
      </c>
      <c r="H57" s="466">
        <f t="shared" si="1"/>
        <v>0</v>
      </c>
    </row>
    <row r="58" spans="1:8" ht="15.75" customHeight="1">
      <c r="A58" s="460">
        <v>51</v>
      </c>
      <c r="B58" s="462"/>
      <c r="C58" s="467" t="s">
        <v>4096</v>
      </c>
      <c r="D58" s="465" t="s">
        <v>5843</v>
      </c>
      <c r="E58" s="465" t="s">
        <v>1939</v>
      </c>
      <c r="F58" s="465">
        <v>150</v>
      </c>
      <c r="G58" s="492">
        <v>0</v>
      </c>
      <c r="H58" s="466">
        <f t="shared" si="1"/>
        <v>0</v>
      </c>
    </row>
    <row r="59" spans="1:8" ht="15.75" customHeight="1">
      <c r="A59" s="460">
        <v>52</v>
      </c>
      <c r="B59" s="462"/>
      <c r="C59" s="467" t="s">
        <v>4097</v>
      </c>
      <c r="D59" s="465" t="s">
        <v>5843</v>
      </c>
      <c r="E59" s="465" t="s">
        <v>1939</v>
      </c>
      <c r="F59" s="465">
        <v>150</v>
      </c>
      <c r="G59" s="492">
        <v>0</v>
      </c>
      <c r="H59" s="466">
        <f t="shared" si="1"/>
        <v>0</v>
      </c>
    </row>
    <row r="60" spans="1:8" ht="15.75" customHeight="1">
      <c r="A60" s="460">
        <v>53</v>
      </c>
      <c r="B60" s="462"/>
      <c r="C60" s="467" t="s">
        <v>4098</v>
      </c>
      <c r="D60" s="465" t="s">
        <v>5843</v>
      </c>
      <c r="E60" s="465" t="s">
        <v>1939</v>
      </c>
      <c r="F60" s="465">
        <v>160</v>
      </c>
      <c r="G60" s="492">
        <v>0</v>
      </c>
      <c r="H60" s="466">
        <f t="shared" si="1"/>
        <v>0</v>
      </c>
    </row>
    <row r="61" spans="1:8" ht="15.75" customHeight="1">
      <c r="A61" s="460">
        <v>54</v>
      </c>
      <c r="B61" s="462"/>
      <c r="C61" s="467" t="s">
        <v>4099</v>
      </c>
      <c r="D61" s="465" t="s">
        <v>5843</v>
      </c>
      <c r="E61" s="465" t="s">
        <v>1939</v>
      </c>
      <c r="F61" s="465">
        <v>150</v>
      </c>
      <c r="G61" s="492">
        <v>0</v>
      </c>
      <c r="H61" s="466">
        <f t="shared" si="1"/>
        <v>0</v>
      </c>
    </row>
    <row r="62" spans="1:8" ht="27.6">
      <c r="A62" s="460">
        <v>55</v>
      </c>
      <c r="B62" s="462"/>
      <c r="C62" s="467" t="s">
        <v>4076</v>
      </c>
      <c r="D62" s="465" t="s">
        <v>5843</v>
      </c>
      <c r="E62" s="465" t="s">
        <v>1939</v>
      </c>
      <c r="F62" s="465">
        <v>250</v>
      </c>
      <c r="G62" s="492">
        <v>0</v>
      </c>
      <c r="H62" s="466">
        <f t="shared" si="1"/>
        <v>0</v>
      </c>
    </row>
    <row r="63" spans="1:8" ht="27.6">
      <c r="A63" s="460">
        <v>56</v>
      </c>
      <c r="B63" s="462"/>
      <c r="C63" s="467" t="s">
        <v>4077</v>
      </c>
      <c r="D63" s="465" t="s">
        <v>5843</v>
      </c>
      <c r="E63" s="465" t="s">
        <v>1939</v>
      </c>
      <c r="F63" s="465">
        <v>150</v>
      </c>
      <c r="G63" s="492">
        <v>0</v>
      </c>
      <c r="H63" s="466">
        <f t="shared" si="1"/>
        <v>0</v>
      </c>
    </row>
    <row r="64" spans="1:8" ht="13.8">
      <c r="A64" s="460"/>
      <c r="B64" s="462"/>
      <c r="C64" s="467"/>
      <c r="D64" s="461"/>
      <c r="E64" s="465"/>
      <c r="F64" s="465"/>
      <c r="G64" s="465"/>
      <c r="H64" s="466"/>
    </row>
    <row r="65" spans="1:8" ht="13.8">
      <c r="A65" s="460"/>
      <c r="B65" s="985" t="s">
        <v>4100</v>
      </c>
      <c r="C65" s="986"/>
      <c r="D65" s="461"/>
      <c r="E65" s="465"/>
      <c r="F65" s="465"/>
      <c r="G65" s="465"/>
      <c r="H65" s="466"/>
    </row>
    <row r="66" spans="1:8" ht="55.2">
      <c r="A66" s="460">
        <v>57</v>
      </c>
      <c r="B66" s="470"/>
      <c r="C66" s="471" t="s">
        <v>4101</v>
      </c>
      <c r="D66" s="465" t="s">
        <v>5843</v>
      </c>
      <c r="E66" s="472" t="s">
        <v>1943</v>
      </c>
      <c r="F66" s="472">
        <v>8</v>
      </c>
      <c r="G66" s="492">
        <v>0</v>
      </c>
      <c r="H66" s="466">
        <f t="shared" ref="H66:H73" si="2">F66*G66</f>
        <v>0</v>
      </c>
    </row>
    <row r="67" spans="1:8" ht="41.4">
      <c r="A67" s="460">
        <v>58</v>
      </c>
      <c r="B67" s="470"/>
      <c r="C67" s="471" t="s">
        <v>4102</v>
      </c>
      <c r="D67" s="465" t="s">
        <v>5843</v>
      </c>
      <c r="E67" s="472" t="s">
        <v>1943</v>
      </c>
      <c r="F67" s="472">
        <v>6</v>
      </c>
      <c r="G67" s="492">
        <v>0</v>
      </c>
      <c r="H67" s="466">
        <f t="shared" si="2"/>
        <v>0</v>
      </c>
    </row>
    <row r="68" spans="1:8" ht="41.4">
      <c r="A68" s="460">
        <v>59</v>
      </c>
      <c r="B68" s="470"/>
      <c r="C68" s="471" t="s">
        <v>4103</v>
      </c>
      <c r="D68" s="465" t="s">
        <v>5843</v>
      </c>
      <c r="E68" s="472" t="s">
        <v>1943</v>
      </c>
      <c r="F68" s="472">
        <v>1</v>
      </c>
      <c r="G68" s="492">
        <v>0</v>
      </c>
      <c r="H68" s="466">
        <f t="shared" si="2"/>
        <v>0</v>
      </c>
    </row>
    <row r="69" spans="1:8" ht="13.8">
      <c r="A69" s="460">
        <v>60</v>
      </c>
      <c r="B69" s="470"/>
      <c r="C69" s="471" t="s">
        <v>4104</v>
      </c>
      <c r="D69" s="465" t="s">
        <v>5843</v>
      </c>
      <c r="E69" s="472" t="s">
        <v>1943</v>
      </c>
      <c r="F69" s="472">
        <v>2</v>
      </c>
      <c r="G69" s="492">
        <v>0</v>
      </c>
      <c r="H69" s="466">
        <f t="shared" si="2"/>
        <v>0</v>
      </c>
    </row>
    <row r="70" spans="1:8" ht="27.6">
      <c r="A70" s="460">
        <v>61</v>
      </c>
      <c r="B70" s="470"/>
      <c r="C70" s="471" t="s">
        <v>4105</v>
      </c>
      <c r="D70" s="465" t="s">
        <v>5843</v>
      </c>
      <c r="E70" s="472" t="s">
        <v>1943</v>
      </c>
      <c r="F70" s="472">
        <v>1</v>
      </c>
      <c r="G70" s="492">
        <v>0</v>
      </c>
      <c r="H70" s="466">
        <f t="shared" si="2"/>
        <v>0</v>
      </c>
    </row>
    <row r="71" spans="1:8" ht="69">
      <c r="A71" s="460">
        <v>62</v>
      </c>
      <c r="B71" s="470"/>
      <c r="C71" s="471" t="s">
        <v>4106</v>
      </c>
      <c r="D71" s="465" t="s">
        <v>5843</v>
      </c>
      <c r="E71" s="472" t="s">
        <v>1943</v>
      </c>
      <c r="F71" s="472">
        <v>1</v>
      </c>
      <c r="G71" s="492">
        <v>0</v>
      </c>
      <c r="H71" s="466">
        <f t="shared" si="2"/>
        <v>0</v>
      </c>
    </row>
    <row r="72" spans="1:8" ht="69">
      <c r="A72" s="460">
        <v>63</v>
      </c>
      <c r="B72" s="462"/>
      <c r="C72" s="467" t="s">
        <v>4107</v>
      </c>
      <c r="D72" s="465" t="s">
        <v>5843</v>
      </c>
      <c r="E72" s="465" t="s">
        <v>1943</v>
      </c>
      <c r="F72" s="465">
        <v>8</v>
      </c>
      <c r="G72" s="492">
        <v>0</v>
      </c>
      <c r="H72" s="466">
        <f t="shared" si="2"/>
        <v>0</v>
      </c>
    </row>
    <row r="73" spans="1:8" ht="27.6">
      <c r="A73" s="460">
        <v>64</v>
      </c>
      <c r="B73" s="462"/>
      <c r="C73" s="467" t="s">
        <v>4108</v>
      </c>
      <c r="D73" s="465" t="s">
        <v>5843</v>
      </c>
      <c r="E73" s="465" t="s">
        <v>1943</v>
      </c>
      <c r="F73" s="465">
        <v>8</v>
      </c>
      <c r="G73" s="492">
        <v>0</v>
      </c>
      <c r="H73" s="466">
        <f t="shared" si="2"/>
        <v>0</v>
      </c>
    </row>
    <row r="74" spans="1:8" ht="13.8">
      <c r="A74" s="460"/>
      <c r="B74" s="462"/>
      <c r="C74" s="467"/>
      <c r="D74" s="461"/>
      <c r="E74" s="465"/>
      <c r="F74" s="465"/>
      <c r="G74" s="465"/>
      <c r="H74" s="466"/>
    </row>
    <row r="75" spans="1:8" ht="13.8">
      <c r="A75" s="460"/>
      <c r="B75" s="985" t="s">
        <v>4109</v>
      </c>
      <c r="C75" s="986"/>
      <c r="D75" s="461"/>
      <c r="E75" s="465"/>
      <c r="F75" s="465"/>
      <c r="G75" s="465"/>
      <c r="H75" s="466"/>
    </row>
    <row r="76" spans="1:8" ht="69">
      <c r="A76" s="460">
        <v>65</v>
      </c>
      <c r="B76" s="462"/>
      <c r="C76" s="467" t="s">
        <v>4110</v>
      </c>
      <c r="D76" s="465" t="s">
        <v>5843</v>
      </c>
      <c r="E76" s="465" t="s">
        <v>1943</v>
      </c>
      <c r="F76" s="465">
        <v>3</v>
      </c>
      <c r="G76" s="492">
        <v>0</v>
      </c>
      <c r="H76" s="466">
        <f t="shared" ref="H76:H85" si="3">F76*G76</f>
        <v>0</v>
      </c>
    </row>
    <row r="77" spans="1:8" ht="13.8">
      <c r="A77" s="460">
        <v>66</v>
      </c>
      <c r="B77" s="462"/>
      <c r="C77" s="467" t="s">
        <v>4111</v>
      </c>
      <c r="D77" s="465" t="s">
        <v>5843</v>
      </c>
      <c r="E77" s="465" t="s">
        <v>1943</v>
      </c>
      <c r="F77" s="465">
        <v>3</v>
      </c>
      <c r="G77" s="492">
        <v>0</v>
      </c>
      <c r="H77" s="466">
        <f t="shared" si="3"/>
        <v>0</v>
      </c>
    </row>
    <row r="78" spans="1:8" ht="13.8">
      <c r="A78" s="460">
        <v>67</v>
      </c>
      <c r="B78" s="462"/>
      <c r="C78" s="467" t="s">
        <v>4112</v>
      </c>
      <c r="D78" s="465" t="s">
        <v>5843</v>
      </c>
      <c r="E78" s="465" t="s">
        <v>1943</v>
      </c>
      <c r="F78" s="465">
        <v>3</v>
      </c>
      <c r="G78" s="492">
        <v>0</v>
      </c>
      <c r="H78" s="466">
        <f t="shared" si="3"/>
        <v>0</v>
      </c>
    </row>
    <row r="79" spans="1:8" ht="13.8">
      <c r="A79" s="460">
        <v>68</v>
      </c>
      <c r="B79" s="462"/>
      <c r="C79" s="467" t="s">
        <v>4113</v>
      </c>
      <c r="D79" s="465" t="s">
        <v>5843</v>
      </c>
      <c r="E79" s="465" t="s">
        <v>1943</v>
      </c>
      <c r="F79" s="465">
        <v>3</v>
      </c>
      <c r="G79" s="492">
        <v>0</v>
      </c>
      <c r="H79" s="466">
        <f t="shared" si="3"/>
        <v>0</v>
      </c>
    </row>
    <row r="80" spans="1:8" ht="13.8">
      <c r="A80" s="460">
        <v>69</v>
      </c>
      <c r="B80" s="462"/>
      <c r="C80" s="467" t="s">
        <v>4114</v>
      </c>
      <c r="D80" s="465" t="s">
        <v>5843</v>
      </c>
      <c r="E80" s="465" t="s">
        <v>1943</v>
      </c>
      <c r="F80" s="465">
        <v>5</v>
      </c>
      <c r="G80" s="492">
        <v>0</v>
      </c>
      <c r="H80" s="466">
        <f t="shared" si="3"/>
        <v>0</v>
      </c>
    </row>
    <row r="81" spans="1:8" ht="27.6">
      <c r="A81" s="460">
        <v>70</v>
      </c>
      <c r="B81" s="462"/>
      <c r="C81" s="467" t="s">
        <v>4115</v>
      </c>
      <c r="D81" s="465" t="s">
        <v>5843</v>
      </c>
      <c r="E81" s="465" t="s">
        <v>1943</v>
      </c>
      <c r="F81" s="465">
        <v>1</v>
      </c>
      <c r="G81" s="492">
        <v>0</v>
      </c>
      <c r="H81" s="466">
        <f t="shared" si="3"/>
        <v>0</v>
      </c>
    </row>
    <row r="82" spans="1:8" ht="13.8">
      <c r="A82" s="460">
        <v>71</v>
      </c>
      <c r="B82" s="462"/>
      <c r="C82" s="467" t="s">
        <v>4116</v>
      </c>
      <c r="D82" s="465" t="s">
        <v>5843</v>
      </c>
      <c r="E82" s="465" t="s">
        <v>1943</v>
      </c>
      <c r="F82" s="465">
        <v>1</v>
      </c>
      <c r="G82" s="492">
        <v>0</v>
      </c>
      <c r="H82" s="466">
        <f t="shared" si="3"/>
        <v>0</v>
      </c>
    </row>
    <row r="83" spans="1:8" ht="27.6">
      <c r="A83" s="460">
        <v>72</v>
      </c>
      <c r="B83" s="462"/>
      <c r="C83" s="467" t="s">
        <v>4117</v>
      </c>
      <c r="D83" s="465" t="s">
        <v>5843</v>
      </c>
      <c r="E83" s="465" t="s">
        <v>1943</v>
      </c>
      <c r="F83" s="465">
        <v>3</v>
      </c>
      <c r="G83" s="492">
        <v>0</v>
      </c>
      <c r="H83" s="466">
        <f t="shared" si="3"/>
        <v>0</v>
      </c>
    </row>
    <row r="84" spans="1:8" ht="69">
      <c r="A84" s="460">
        <v>73</v>
      </c>
      <c r="B84" s="462"/>
      <c r="C84" s="467" t="s">
        <v>4107</v>
      </c>
      <c r="D84" s="465" t="s">
        <v>5843</v>
      </c>
      <c r="E84" s="465" t="s">
        <v>1943</v>
      </c>
      <c r="F84" s="465">
        <v>3</v>
      </c>
      <c r="G84" s="492">
        <v>0</v>
      </c>
      <c r="H84" s="466">
        <f t="shared" si="3"/>
        <v>0</v>
      </c>
    </row>
    <row r="85" spans="1:8" ht="27.6">
      <c r="A85" s="460">
        <v>74</v>
      </c>
      <c r="B85" s="462"/>
      <c r="C85" s="467" t="s">
        <v>4108</v>
      </c>
      <c r="D85" s="465" t="s">
        <v>5843</v>
      </c>
      <c r="E85" s="465" t="s">
        <v>1943</v>
      </c>
      <c r="F85" s="465">
        <v>3</v>
      </c>
      <c r="G85" s="492">
        <v>0</v>
      </c>
      <c r="H85" s="466">
        <f t="shared" si="3"/>
        <v>0</v>
      </c>
    </row>
    <row r="86" spans="1:8" ht="13.8">
      <c r="A86" s="460"/>
      <c r="B86" s="474"/>
      <c r="C86" s="475"/>
      <c r="D86" s="461"/>
      <c r="E86" s="465"/>
      <c r="F86" s="465"/>
      <c r="G86" s="493"/>
      <c r="H86" s="466"/>
    </row>
    <row r="87" spans="1:8" ht="13.8">
      <c r="A87" s="460"/>
      <c r="B87" s="985" t="s">
        <v>4118</v>
      </c>
      <c r="C87" s="986"/>
      <c r="D87" s="461"/>
      <c r="E87" s="465"/>
      <c r="F87" s="465"/>
      <c r="G87" s="493"/>
      <c r="H87" s="466"/>
    </row>
    <row r="88" spans="1:8" ht="138">
      <c r="A88" s="460">
        <v>75</v>
      </c>
      <c r="B88" s="462"/>
      <c r="C88" s="467" t="s">
        <v>4119</v>
      </c>
      <c r="D88" s="465" t="s">
        <v>5843</v>
      </c>
      <c r="E88" s="465" t="s">
        <v>1943</v>
      </c>
      <c r="F88" s="465">
        <v>3</v>
      </c>
      <c r="G88" s="492">
        <v>0</v>
      </c>
      <c r="H88" s="466">
        <f>F88*G88</f>
        <v>0</v>
      </c>
    </row>
    <row r="89" spans="1:8" ht="207">
      <c r="A89" s="460">
        <v>76</v>
      </c>
      <c r="B89" s="462"/>
      <c r="C89" s="467" t="s">
        <v>4120</v>
      </c>
      <c r="D89" s="465" t="s">
        <v>5843</v>
      </c>
      <c r="E89" s="465" t="s">
        <v>1943</v>
      </c>
      <c r="F89" s="465">
        <v>2</v>
      </c>
      <c r="G89" s="492">
        <v>0</v>
      </c>
      <c r="H89" s="466">
        <f>F89*G89</f>
        <v>0</v>
      </c>
    </row>
    <row r="90" spans="1:8" ht="69">
      <c r="A90" s="460">
        <v>77</v>
      </c>
      <c r="B90" s="462"/>
      <c r="C90" s="467" t="s">
        <v>4121</v>
      </c>
      <c r="D90" s="465" t="s">
        <v>5843</v>
      </c>
      <c r="E90" s="465" t="s">
        <v>1943</v>
      </c>
      <c r="F90" s="465">
        <v>1</v>
      </c>
      <c r="G90" s="492">
        <v>0</v>
      </c>
      <c r="H90" s="466">
        <f>F90*G90</f>
        <v>0</v>
      </c>
    </row>
    <row r="91" spans="1:8" ht="13.8">
      <c r="A91" s="460"/>
      <c r="B91" s="462"/>
      <c r="C91" s="467"/>
      <c r="D91" s="461"/>
      <c r="E91" s="465"/>
      <c r="F91" s="465"/>
      <c r="G91" s="465"/>
      <c r="H91" s="466">
        <f>PRODUCT(F91:G91)</f>
        <v>0</v>
      </c>
    </row>
    <row r="92" spans="1:8" ht="13.8">
      <c r="A92" s="460"/>
      <c r="B92" s="985" t="s">
        <v>4122</v>
      </c>
      <c r="C92" s="986"/>
      <c r="D92" s="461"/>
      <c r="E92" s="465"/>
      <c r="F92" s="465"/>
      <c r="G92" s="465"/>
      <c r="H92" s="466">
        <f>PRODUCT(F92:G92)</f>
        <v>0</v>
      </c>
    </row>
    <row r="93" spans="1:8" ht="55.2">
      <c r="A93" s="460">
        <v>78</v>
      </c>
      <c r="B93" s="470"/>
      <c r="C93" s="471" t="s">
        <v>4123</v>
      </c>
      <c r="D93" s="465" t="s">
        <v>5843</v>
      </c>
      <c r="E93" s="472" t="s">
        <v>3226</v>
      </c>
      <c r="F93" s="472">
        <v>1</v>
      </c>
      <c r="G93" s="492">
        <v>0</v>
      </c>
      <c r="H93" s="466">
        <f>F93*G93</f>
        <v>0</v>
      </c>
    </row>
    <row r="94" spans="1:8" ht="13.8">
      <c r="A94" s="460"/>
      <c r="B94" s="462"/>
      <c r="C94" s="467" t="s">
        <v>4</v>
      </c>
      <c r="D94" s="461"/>
      <c r="E94" s="465"/>
      <c r="F94" s="465"/>
      <c r="G94" s="465"/>
      <c r="H94" s="466"/>
    </row>
    <row r="95" spans="1:8" ht="13.8">
      <c r="A95" s="460"/>
      <c r="B95" s="985" t="s">
        <v>4124</v>
      </c>
      <c r="C95" s="986"/>
      <c r="D95" s="461"/>
      <c r="E95" s="465"/>
      <c r="F95" s="465"/>
      <c r="G95" s="465"/>
      <c r="H95" s="466">
        <f>PRODUCT(F95:G95)</f>
        <v>0</v>
      </c>
    </row>
    <row r="96" spans="1:8" ht="96.6">
      <c r="A96" s="460">
        <v>79</v>
      </c>
      <c r="B96" s="474"/>
      <c r="C96" s="475" t="s">
        <v>4125</v>
      </c>
      <c r="D96" s="465" t="s">
        <v>5843</v>
      </c>
      <c r="E96" s="465" t="s">
        <v>3226</v>
      </c>
      <c r="F96" s="465">
        <v>1</v>
      </c>
      <c r="G96" s="492">
        <v>0</v>
      </c>
      <c r="H96" s="466">
        <f t="shared" ref="H96:H108" si="4">F96*G96</f>
        <v>0</v>
      </c>
    </row>
    <row r="97" spans="1:8" ht="27.6">
      <c r="A97" s="460">
        <v>80</v>
      </c>
      <c r="B97" s="474"/>
      <c r="C97" s="475" t="s">
        <v>4126</v>
      </c>
      <c r="D97" s="465" t="s">
        <v>5843</v>
      </c>
      <c r="E97" s="465" t="s">
        <v>3226</v>
      </c>
      <c r="F97" s="465">
        <v>1</v>
      </c>
      <c r="G97" s="492">
        <v>0</v>
      </c>
      <c r="H97" s="466">
        <f t="shared" si="4"/>
        <v>0</v>
      </c>
    </row>
    <row r="98" spans="1:8" ht="13.8">
      <c r="A98" s="460">
        <v>81</v>
      </c>
      <c r="B98" s="474"/>
      <c r="C98" s="475" t="s">
        <v>4127</v>
      </c>
      <c r="D98" s="465" t="s">
        <v>5843</v>
      </c>
      <c r="E98" s="465" t="s">
        <v>3226</v>
      </c>
      <c r="F98" s="465">
        <v>6</v>
      </c>
      <c r="G98" s="492">
        <v>0</v>
      </c>
      <c r="H98" s="466">
        <f t="shared" si="4"/>
        <v>0</v>
      </c>
    </row>
    <row r="99" spans="1:8" ht="13.8">
      <c r="A99" s="460">
        <v>82</v>
      </c>
      <c r="B99" s="474"/>
      <c r="C99" s="475" t="s">
        <v>4128</v>
      </c>
      <c r="D99" s="465" t="s">
        <v>5843</v>
      </c>
      <c r="E99" s="465" t="s">
        <v>3226</v>
      </c>
      <c r="F99" s="465">
        <v>6</v>
      </c>
      <c r="G99" s="492">
        <v>0</v>
      </c>
      <c r="H99" s="466">
        <f t="shared" si="4"/>
        <v>0</v>
      </c>
    </row>
    <row r="100" spans="1:8" ht="13.8">
      <c r="A100" s="460">
        <v>83</v>
      </c>
      <c r="B100" s="474"/>
      <c r="C100" s="475" t="s">
        <v>4129</v>
      </c>
      <c r="D100" s="465" t="s">
        <v>5843</v>
      </c>
      <c r="E100" s="465" t="s">
        <v>3226</v>
      </c>
      <c r="F100" s="465">
        <v>6</v>
      </c>
      <c r="G100" s="492">
        <v>0</v>
      </c>
      <c r="H100" s="466">
        <f t="shared" si="4"/>
        <v>0</v>
      </c>
    </row>
    <row r="101" spans="1:8" ht="13.8">
      <c r="A101" s="460">
        <v>84</v>
      </c>
      <c r="B101" s="474"/>
      <c r="C101" s="475" t="s">
        <v>4130</v>
      </c>
      <c r="D101" s="465" t="s">
        <v>5843</v>
      </c>
      <c r="E101" s="465" t="s">
        <v>3226</v>
      </c>
      <c r="F101" s="465">
        <v>1</v>
      </c>
      <c r="G101" s="492">
        <v>0</v>
      </c>
      <c r="H101" s="466">
        <f t="shared" si="4"/>
        <v>0</v>
      </c>
    </row>
    <row r="102" spans="1:8" ht="13.8">
      <c r="A102" s="460">
        <v>85</v>
      </c>
      <c r="B102" s="474"/>
      <c r="C102" s="475" t="s">
        <v>4131</v>
      </c>
      <c r="D102" s="465" t="s">
        <v>5843</v>
      </c>
      <c r="E102" s="465" t="s">
        <v>3226</v>
      </c>
      <c r="F102" s="465">
        <v>1</v>
      </c>
      <c r="G102" s="492">
        <v>0</v>
      </c>
      <c r="H102" s="466">
        <f t="shared" si="4"/>
        <v>0</v>
      </c>
    </row>
    <row r="103" spans="1:8" ht="27.6">
      <c r="A103" s="460">
        <v>86</v>
      </c>
      <c r="B103" s="474"/>
      <c r="C103" s="475" t="s">
        <v>4132</v>
      </c>
      <c r="D103" s="465" t="s">
        <v>5843</v>
      </c>
      <c r="E103" s="465" t="s">
        <v>3226</v>
      </c>
      <c r="F103" s="465">
        <v>1</v>
      </c>
      <c r="G103" s="492">
        <v>0</v>
      </c>
      <c r="H103" s="466">
        <f t="shared" si="4"/>
        <v>0</v>
      </c>
    </row>
    <row r="104" spans="1:8" ht="13.8">
      <c r="A104" s="460">
        <v>87</v>
      </c>
      <c r="B104" s="474"/>
      <c r="C104" s="475" t="s">
        <v>4133</v>
      </c>
      <c r="D104" s="465" t="s">
        <v>5843</v>
      </c>
      <c r="E104" s="465" t="s">
        <v>3226</v>
      </c>
      <c r="F104" s="465">
        <v>1</v>
      </c>
      <c r="G104" s="492">
        <v>0</v>
      </c>
      <c r="H104" s="466">
        <f t="shared" si="4"/>
        <v>0</v>
      </c>
    </row>
    <row r="105" spans="1:8" ht="13.8">
      <c r="A105" s="460">
        <v>88</v>
      </c>
      <c r="B105" s="474"/>
      <c r="C105" s="475" t="s">
        <v>4134</v>
      </c>
      <c r="D105" s="465" t="s">
        <v>5843</v>
      </c>
      <c r="E105" s="465" t="s">
        <v>3226</v>
      </c>
      <c r="F105" s="465">
        <v>1</v>
      </c>
      <c r="G105" s="492">
        <v>0</v>
      </c>
      <c r="H105" s="466">
        <f t="shared" si="4"/>
        <v>0</v>
      </c>
    </row>
    <row r="106" spans="1:8" ht="27.6">
      <c r="A106" s="460">
        <v>89</v>
      </c>
      <c r="B106" s="474"/>
      <c r="C106" s="475" t="s">
        <v>4135</v>
      </c>
      <c r="D106" s="465" t="s">
        <v>5843</v>
      </c>
      <c r="E106" s="465" t="s">
        <v>1939</v>
      </c>
      <c r="F106" s="465">
        <v>100</v>
      </c>
      <c r="G106" s="492">
        <v>0</v>
      </c>
      <c r="H106" s="466">
        <f t="shared" si="4"/>
        <v>0</v>
      </c>
    </row>
    <row r="107" spans="1:8" ht="27.6">
      <c r="A107" s="460">
        <v>90</v>
      </c>
      <c r="B107" s="474"/>
      <c r="C107" s="475" t="s">
        <v>4136</v>
      </c>
      <c r="D107" s="465" t="s">
        <v>5843</v>
      </c>
      <c r="E107" s="465" t="s">
        <v>1939</v>
      </c>
      <c r="F107" s="465">
        <v>10</v>
      </c>
      <c r="G107" s="492">
        <v>0</v>
      </c>
      <c r="H107" s="466">
        <f t="shared" si="4"/>
        <v>0</v>
      </c>
    </row>
    <row r="108" spans="1:8" ht="13.8">
      <c r="A108" s="460">
        <v>91</v>
      </c>
      <c r="B108" s="474"/>
      <c r="C108" s="475" t="s">
        <v>4137</v>
      </c>
      <c r="D108" s="465" t="s">
        <v>5843</v>
      </c>
      <c r="E108" s="465" t="s">
        <v>1939</v>
      </c>
      <c r="F108" s="465">
        <v>100</v>
      </c>
      <c r="G108" s="492">
        <v>0</v>
      </c>
      <c r="H108" s="466">
        <f t="shared" si="4"/>
        <v>0</v>
      </c>
    </row>
    <row r="109" spans="1:8" ht="13.8">
      <c r="A109" s="460"/>
      <c r="B109" s="474"/>
      <c r="C109" s="475"/>
      <c r="D109" s="461"/>
      <c r="E109" s="465"/>
      <c r="F109" s="465"/>
      <c r="G109" s="465"/>
      <c r="H109" s="466"/>
    </row>
    <row r="110" spans="1:8" ht="13.8">
      <c r="A110" s="460"/>
      <c r="B110" s="985" t="s">
        <v>3131</v>
      </c>
      <c r="C110" s="986"/>
      <c r="D110" s="461"/>
      <c r="E110" s="465"/>
      <c r="F110" s="465"/>
      <c r="G110" s="465"/>
      <c r="H110" s="466"/>
    </row>
    <row r="111" spans="1:8" ht="27.6">
      <c r="A111" s="460">
        <v>92</v>
      </c>
      <c r="B111" s="462"/>
      <c r="C111" s="467" t="s">
        <v>4138</v>
      </c>
      <c r="D111" s="465" t="s">
        <v>5843</v>
      </c>
      <c r="E111" s="465" t="s">
        <v>1943</v>
      </c>
      <c r="F111" s="465">
        <v>12</v>
      </c>
      <c r="G111" s="492">
        <v>0</v>
      </c>
      <c r="H111" s="466">
        <f t="shared" ref="H111:H125" si="5">F111*G111</f>
        <v>0</v>
      </c>
    </row>
    <row r="112" spans="1:8" ht="27.6">
      <c r="A112" s="460">
        <v>93</v>
      </c>
      <c r="B112" s="462"/>
      <c r="C112" s="467" t="s">
        <v>4139</v>
      </c>
      <c r="D112" s="465" t="s">
        <v>5843</v>
      </c>
      <c r="E112" s="465" t="s">
        <v>1943</v>
      </c>
      <c r="F112" s="465">
        <v>4</v>
      </c>
      <c r="G112" s="492">
        <v>0</v>
      </c>
      <c r="H112" s="466">
        <f t="shared" si="5"/>
        <v>0</v>
      </c>
    </row>
    <row r="113" spans="1:8" ht="13.8">
      <c r="A113" s="460">
        <v>94</v>
      </c>
      <c r="B113" s="462"/>
      <c r="C113" s="467" t="s">
        <v>4140</v>
      </c>
      <c r="D113" s="465" t="s">
        <v>5843</v>
      </c>
      <c r="E113" s="465" t="s">
        <v>1943</v>
      </c>
      <c r="F113" s="465">
        <v>200</v>
      </c>
      <c r="G113" s="492">
        <v>0</v>
      </c>
      <c r="H113" s="466">
        <f t="shared" si="5"/>
        <v>0</v>
      </c>
    </row>
    <row r="114" spans="1:8" ht="13.8">
      <c r="A114" s="460">
        <v>95</v>
      </c>
      <c r="B114" s="462"/>
      <c r="C114" s="467" t="s">
        <v>4141</v>
      </c>
      <c r="D114" s="465" t="s">
        <v>5843</v>
      </c>
      <c r="E114" s="465" t="s">
        <v>4142</v>
      </c>
      <c r="F114" s="465">
        <v>40</v>
      </c>
      <c r="G114" s="492">
        <v>0</v>
      </c>
      <c r="H114" s="466">
        <f t="shared" si="5"/>
        <v>0</v>
      </c>
    </row>
    <row r="115" spans="1:8" ht="13.8">
      <c r="A115" s="460">
        <v>96</v>
      </c>
      <c r="B115" s="462"/>
      <c r="C115" s="467" t="s">
        <v>4143</v>
      </c>
      <c r="D115" s="465" t="s">
        <v>5843</v>
      </c>
      <c r="E115" s="465" t="s">
        <v>4142</v>
      </c>
      <c r="F115" s="465">
        <v>40</v>
      </c>
      <c r="G115" s="492">
        <v>0</v>
      </c>
      <c r="H115" s="466">
        <f t="shared" si="5"/>
        <v>0</v>
      </c>
    </row>
    <row r="116" spans="1:8" ht="13.8">
      <c r="A116" s="263">
        <v>97</v>
      </c>
      <c r="B116" s="264"/>
      <c r="C116" s="415" t="s">
        <v>4144</v>
      </c>
      <c r="D116" s="465" t="s">
        <v>5843</v>
      </c>
      <c r="E116" s="465" t="s">
        <v>4142</v>
      </c>
      <c r="F116" s="465">
        <v>40</v>
      </c>
      <c r="G116" s="492">
        <v>0</v>
      </c>
      <c r="H116" s="466">
        <f>F116*G116</f>
        <v>0</v>
      </c>
    </row>
    <row r="117" spans="1:8" ht="13.8">
      <c r="A117" s="460">
        <v>98</v>
      </c>
      <c r="B117" s="462"/>
      <c r="C117" s="467" t="s">
        <v>4145</v>
      </c>
      <c r="D117" s="465" t="s">
        <v>5843</v>
      </c>
      <c r="E117" s="465" t="s">
        <v>4142</v>
      </c>
      <c r="F117" s="465">
        <v>16</v>
      </c>
      <c r="G117" s="492">
        <v>0</v>
      </c>
      <c r="H117" s="466">
        <f t="shared" si="5"/>
        <v>0</v>
      </c>
    </row>
    <row r="118" spans="1:8" ht="13.8">
      <c r="A118" s="460">
        <v>99</v>
      </c>
      <c r="B118" s="462"/>
      <c r="C118" s="467" t="s">
        <v>4146</v>
      </c>
      <c r="D118" s="465" t="s">
        <v>5843</v>
      </c>
      <c r="E118" s="465" t="s">
        <v>4142</v>
      </c>
      <c r="F118" s="465">
        <v>16</v>
      </c>
      <c r="G118" s="492">
        <v>0</v>
      </c>
      <c r="H118" s="466">
        <f t="shared" si="5"/>
        <v>0</v>
      </c>
    </row>
    <row r="119" spans="1:8" ht="13.8">
      <c r="A119" s="460">
        <v>100</v>
      </c>
      <c r="B119" s="462"/>
      <c r="C119" s="467" t="s">
        <v>4147</v>
      </c>
      <c r="D119" s="465" t="s">
        <v>5843</v>
      </c>
      <c r="E119" s="465" t="s">
        <v>4142</v>
      </c>
      <c r="F119" s="465">
        <v>16</v>
      </c>
      <c r="G119" s="492">
        <v>0</v>
      </c>
      <c r="H119" s="466">
        <f t="shared" si="5"/>
        <v>0</v>
      </c>
    </row>
    <row r="120" spans="1:8" ht="13.8">
      <c r="A120" s="460">
        <v>101</v>
      </c>
      <c r="B120" s="462"/>
      <c r="C120" s="467" t="s">
        <v>4148</v>
      </c>
      <c r="D120" s="465" t="s">
        <v>5843</v>
      </c>
      <c r="E120" s="465" t="s">
        <v>1939</v>
      </c>
      <c r="F120" s="465">
        <v>200</v>
      </c>
      <c r="G120" s="492">
        <v>0</v>
      </c>
      <c r="H120" s="466">
        <f t="shared" si="5"/>
        <v>0</v>
      </c>
    </row>
    <row r="121" spans="1:8" ht="13.8">
      <c r="A121" s="460">
        <v>102</v>
      </c>
      <c r="B121" s="462"/>
      <c r="C121" s="467" t="s">
        <v>4149</v>
      </c>
      <c r="D121" s="465" t="s">
        <v>5843</v>
      </c>
      <c r="E121" s="465" t="s">
        <v>1939</v>
      </c>
      <c r="F121" s="465">
        <v>250</v>
      </c>
      <c r="G121" s="492">
        <v>0</v>
      </c>
      <c r="H121" s="466">
        <f t="shared" si="5"/>
        <v>0</v>
      </c>
    </row>
    <row r="122" spans="1:8" ht="27.6">
      <c r="A122" s="460">
        <v>103</v>
      </c>
      <c r="B122" s="462"/>
      <c r="C122" s="467" t="s">
        <v>4150</v>
      </c>
      <c r="D122" s="465" t="s">
        <v>5843</v>
      </c>
      <c r="E122" s="465" t="s">
        <v>1943</v>
      </c>
      <c r="F122" s="465">
        <v>20</v>
      </c>
      <c r="G122" s="492">
        <v>0</v>
      </c>
      <c r="H122" s="466">
        <f t="shared" si="5"/>
        <v>0</v>
      </c>
    </row>
    <row r="123" spans="1:8" ht="27.6">
      <c r="A123" s="460">
        <v>104</v>
      </c>
      <c r="B123" s="462"/>
      <c r="C123" s="467" t="s">
        <v>4151</v>
      </c>
      <c r="D123" s="465" t="s">
        <v>5843</v>
      </c>
      <c r="E123" s="465" t="s">
        <v>1943</v>
      </c>
      <c r="F123" s="465">
        <v>10</v>
      </c>
      <c r="G123" s="492">
        <v>0</v>
      </c>
      <c r="H123" s="466">
        <f t="shared" si="5"/>
        <v>0</v>
      </c>
    </row>
    <row r="124" spans="1:8" ht="27.6">
      <c r="A124" s="460">
        <v>105</v>
      </c>
      <c r="B124" s="462"/>
      <c r="C124" s="467" t="s">
        <v>4152</v>
      </c>
      <c r="D124" s="465" t="s">
        <v>5843</v>
      </c>
      <c r="E124" s="465" t="s">
        <v>1943</v>
      </c>
      <c r="F124" s="465">
        <v>4</v>
      </c>
      <c r="G124" s="492">
        <v>0</v>
      </c>
      <c r="H124" s="466">
        <f t="shared" si="5"/>
        <v>0</v>
      </c>
    </row>
    <row r="125" spans="1:8" ht="13.8">
      <c r="A125" s="460">
        <v>106</v>
      </c>
      <c r="B125" s="462"/>
      <c r="C125" s="467" t="s">
        <v>4153</v>
      </c>
      <c r="D125" s="465" t="s">
        <v>5843</v>
      </c>
      <c r="E125" s="465" t="s">
        <v>1940</v>
      </c>
      <c r="F125" s="465">
        <v>100</v>
      </c>
      <c r="G125" s="492">
        <v>0</v>
      </c>
      <c r="H125" s="466">
        <f t="shared" si="5"/>
        <v>0</v>
      </c>
    </row>
    <row r="126" spans="1:8" ht="14.4" thickBot="1">
      <c r="A126" s="476"/>
      <c r="B126" s="477"/>
      <c r="C126" s="478"/>
      <c r="D126" s="479"/>
      <c r="E126" s="480"/>
      <c r="F126" s="480"/>
      <c r="G126" s="480"/>
      <c r="H126" s="481"/>
    </row>
    <row r="127" spans="1:8" s="487" customFormat="1" ht="27" customHeight="1" thickBot="1">
      <c r="A127" s="482" t="s">
        <v>4154</v>
      </c>
      <c r="B127" s="483"/>
      <c r="C127" s="484"/>
      <c r="D127" s="485"/>
      <c r="E127" s="483"/>
      <c r="F127" s="483"/>
      <c r="G127" s="483"/>
      <c r="H127" s="486">
        <f>SUM(H3:H126)</f>
        <v>0</v>
      </c>
    </row>
    <row r="128" spans="1:8" ht="14.4">
      <c r="A128" s="488"/>
      <c r="B128" s="488"/>
      <c r="C128" s="489"/>
      <c r="D128" s="490"/>
      <c r="E128" s="488"/>
      <c r="F128" s="488"/>
      <c r="G128" s="488"/>
      <c r="H128" s="488"/>
    </row>
    <row r="129" spans="1:8" ht="14.4">
      <c r="A129" s="488"/>
      <c r="B129" s="488"/>
      <c r="C129" s="489"/>
      <c r="D129" s="490"/>
      <c r="E129" s="488"/>
      <c r="F129" s="488"/>
      <c r="G129" s="488"/>
      <c r="H129" s="488"/>
    </row>
    <row r="130" spans="1:8" ht="13.8">
      <c r="A130" s="722"/>
      <c r="B130" s="723"/>
      <c r="C130" s="724"/>
    </row>
    <row r="131" spans="1:8">
      <c r="C131" s="459"/>
    </row>
    <row r="132" spans="1:8">
      <c r="C132" s="459"/>
    </row>
    <row r="133" spans="1:8">
      <c r="C133" s="459"/>
    </row>
  </sheetData>
  <mergeCells count="10">
    <mergeCell ref="B87:C87"/>
    <mergeCell ref="B92:C92"/>
    <mergeCell ref="B95:C95"/>
    <mergeCell ref="B110:C110"/>
    <mergeCell ref="A1:H1"/>
    <mergeCell ref="B3:C3"/>
    <mergeCell ref="B15:C15"/>
    <mergeCell ref="B44:C44"/>
    <mergeCell ref="B65:C65"/>
    <mergeCell ref="B75:C75"/>
  </mergeCells>
  <pageMargins left="0.7" right="0.7" top="0.78740157499999996" bottom="0.78740157499999996" header="0.3" footer="0.3"/>
  <pageSetup paperSize="9" scale="62" orientation="portrait" verticalDpi="0" r:id="rId1"/>
</worksheet>
</file>

<file path=xl/worksheets/sheet13.xml><?xml version="1.0" encoding="utf-8"?>
<worksheet xmlns="http://schemas.openxmlformats.org/spreadsheetml/2006/main" xmlns:r="http://schemas.openxmlformats.org/officeDocument/2006/relationships">
  <dimension ref="A1:H119"/>
  <sheetViews>
    <sheetView zoomScale="70" zoomScaleNormal="70" workbookViewId="0">
      <selection activeCell="O8" sqref="O8"/>
    </sheetView>
  </sheetViews>
  <sheetFormatPr defaultColWidth="9.109375" defaultRowHeight="13.2"/>
  <cols>
    <col min="1" max="1" width="9.88671875" style="725" customWidth="1"/>
    <col min="2" max="2" width="16.33203125" style="444" customWidth="1"/>
    <col min="3" max="3" width="44.44140625" style="445" customWidth="1"/>
    <col min="4" max="4" width="22.5546875" style="445" customWidth="1"/>
    <col min="5" max="5" width="16.5546875" style="445" customWidth="1"/>
    <col min="6" max="6" width="10.6640625" style="445" customWidth="1"/>
    <col min="7" max="8" width="20.6640625" style="445" customWidth="1"/>
    <col min="9" max="16384" width="9.109375" style="446"/>
  </cols>
  <sheetData>
    <row r="1" spans="1:8" ht="33">
      <c r="A1" s="737" t="s">
        <v>5858</v>
      </c>
      <c r="B1" s="447"/>
    </row>
    <row r="2" spans="1:8" ht="26.4">
      <c r="A2" s="726" t="s">
        <v>5851</v>
      </c>
      <c r="B2" s="528" t="s">
        <v>3892</v>
      </c>
      <c r="C2" s="529" t="s">
        <v>3324</v>
      </c>
      <c r="D2" s="529" t="s">
        <v>3893</v>
      </c>
      <c r="E2" s="529" t="s">
        <v>3894</v>
      </c>
      <c r="F2" s="530" t="s">
        <v>3895</v>
      </c>
      <c r="G2" s="620" t="s">
        <v>5844</v>
      </c>
      <c r="H2" s="530" t="s">
        <v>3896</v>
      </c>
    </row>
    <row r="3" spans="1:8">
      <c r="B3" s="523" t="s">
        <v>4</v>
      </c>
      <c r="C3" s="531"/>
      <c r="D3" s="529" t="s">
        <v>3897</v>
      </c>
      <c r="E3" s="529" t="s">
        <v>3897</v>
      </c>
      <c r="F3" s="531"/>
      <c r="G3" s="531"/>
      <c r="H3" s="525"/>
    </row>
    <row r="4" spans="1:8" ht="15.6">
      <c r="B4" s="520" t="s">
        <v>4</v>
      </c>
      <c r="C4" s="521" t="s">
        <v>3898</v>
      </c>
      <c r="D4" s="521"/>
      <c r="E4" s="521"/>
      <c r="F4" s="522" t="s">
        <v>4</v>
      </c>
      <c r="G4" s="522"/>
      <c r="H4" s="521"/>
    </row>
    <row r="5" spans="1:8">
      <c r="B5" s="553"/>
      <c r="C5" s="554" t="s">
        <v>3899</v>
      </c>
      <c r="D5" s="555"/>
      <c r="E5" s="555"/>
      <c r="F5" s="555"/>
      <c r="G5" s="556"/>
      <c r="H5" s="556"/>
    </row>
    <row r="6" spans="1:8" ht="52.8">
      <c r="B6" s="535" t="s">
        <v>3900</v>
      </c>
      <c r="C6" s="536" t="s">
        <v>3901</v>
      </c>
      <c r="D6" s="537"/>
      <c r="E6" s="537"/>
      <c r="F6" s="525" t="s">
        <v>3902</v>
      </c>
      <c r="G6" s="538"/>
      <c r="H6" s="538" t="s">
        <v>3902</v>
      </c>
    </row>
    <row r="7" spans="1:8" ht="26.4">
      <c r="A7" s="727">
        <v>1</v>
      </c>
      <c r="B7" s="535" t="s">
        <v>3903</v>
      </c>
      <c r="C7" s="536" t="s">
        <v>3904</v>
      </c>
      <c r="D7" s="536"/>
      <c r="E7" s="536"/>
      <c r="F7" s="525">
        <v>3</v>
      </c>
      <c r="G7" s="539">
        <v>0</v>
      </c>
      <c r="H7" s="525">
        <f>F7*G7</f>
        <v>0</v>
      </c>
    </row>
    <row r="8" spans="1:8" ht="52.8">
      <c r="B8" s="535" t="s">
        <v>3905</v>
      </c>
      <c r="C8" s="536" t="s">
        <v>3906</v>
      </c>
      <c r="D8" s="537"/>
      <c r="E8" s="537"/>
      <c r="F8" s="525" t="s">
        <v>3902</v>
      </c>
      <c r="G8" s="538"/>
      <c r="H8" s="538"/>
    </row>
    <row r="9" spans="1:8" ht="52.8">
      <c r="B9" s="535" t="s">
        <v>3907</v>
      </c>
      <c r="C9" s="536" t="s">
        <v>3908</v>
      </c>
      <c r="D9" s="525"/>
      <c r="E9" s="525"/>
      <c r="F9" s="525" t="s">
        <v>3902</v>
      </c>
      <c r="G9" s="538"/>
      <c r="H9" s="538"/>
    </row>
    <row r="10" spans="1:8" ht="39.6">
      <c r="B10" s="535" t="s">
        <v>3909</v>
      </c>
      <c r="C10" s="536" t="s">
        <v>3910</v>
      </c>
      <c r="D10" s="525"/>
      <c r="E10" s="525"/>
      <c r="F10" s="525" t="s">
        <v>3902</v>
      </c>
      <c r="G10" s="538"/>
      <c r="H10" s="538"/>
    </row>
    <row r="11" spans="1:8" ht="39.6">
      <c r="B11" s="535" t="s">
        <v>3911</v>
      </c>
      <c r="C11" s="536" t="s">
        <v>3912</v>
      </c>
      <c r="D11" s="537"/>
      <c r="E11" s="537"/>
      <c r="F11" s="525" t="s">
        <v>3902</v>
      </c>
      <c r="G11" s="538"/>
      <c r="H11" s="538"/>
    </row>
    <row r="12" spans="1:8" ht="39.6">
      <c r="A12" s="727">
        <v>2</v>
      </c>
      <c r="B12" s="535" t="s">
        <v>3913</v>
      </c>
      <c r="C12" s="540" t="s">
        <v>3914</v>
      </c>
      <c r="D12" s="525"/>
      <c r="E12" s="525"/>
      <c r="F12" s="525">
        <v>1</v>
      </c>
      <c r="G12" s="541">
        <v>0</v>
      </c>
      <c r="H12" s="525">
        <f>F12*G12</f>
        <v>0</v>
      </c>
    </row>
    <row r="13" spans="1:8" ht="52.8">
      <c r="A13" s="727">
        <v>3</v>
      </c>
      <c r="B13" s="535" t="s">
        <v>3915</v>
      </c>
      <c r="C13" s="540" t="s">
        <v>3916</v>
      </c>
      <c r="D13" s="536"/>
      <c r="E13" s="525"/>
      <c r="F13" s="525">
        <v>2</v>
      </c>
      <c r="G13" s="541">
        <v>0</v>
      </c>
      <c r="H13" s="525">
        <f>F13*G13</f>
        <v>0</v>
      </c>
    </row>
    <row r="14" spans="1:8" ht="66">
      <c r="A14" s="727">
        <v>4</v>
      </c>
      <c r="B14" s="535" t="s">
        <v>3917</v>
      </c>
      <c r="C14" s="540" t="s">
        <v>3918</v>
      </c>
      <c r="D14" s="542"/>
      <c r="E14" s="542"/>
      <c r="F14" s="525">
        <v>1</v>
      </c>
      <c r="G14" s="541">
        <v>0</v>
      </c>
      <c r="H14" s="525">
        <f>F14*G14</f>
        <v>0</v>
      </c>
    </row>
    <row r="15" spans="1:8" ht="52.8">
      <c r="B15" s="535" t="s">
        <v>3919</v>
      </c>
      <c r="C15" s="543" t="s">
        <v>3920</v>
      </c>
      <c r="D15" s="537"/>
      <c r="E15" s="537"/>
      <c r="F15" s="525" t="s">
        <v>3902</v>
      </c>
      <c r="G15" s="538"/>
      <c r="H15" s="538"/>
    </row>
    <row r="16" spans="1:8" ht="26.4">
      <c r="A16" s="727">
        <v>5</v>
      </c>
      <c r="B16" s="535" t="s">
        <v>3921</v>
      </c>
      <c r="C16" s="536" t="s">
        <v>3922</v>
      </c>
      <c r="D16" s="536"/>
      <c r="E16" s="536"/>
      <c r="F16" s="525">
        <v>2</v>
      </c>
      <c r="G16" s="539">
        <v>0</v>
      </c>
      <c r="H16" s="525">
        <f t="shared" ref="H16:H22" si="0">F16*G16</f>
        <v>0</v>
      </c>
    </row>
    <row r="17" spans="1:8" ht="66">
      <c r="A17" s="727">
        <v>6</v>
      </c>
      <c r="B17" s="535" t="s">
        <v>3923</v>
      </c>
      <c r="C17" s="536" t="s">
        <v>3924</v>
      </c>
      <c r="D17" s="525"/>
      <c r="E17" s="525"/>
      <c r="F17" s="525">
        <v>1</v>
      </c>
      <c r="G17" s="541">
        <v>0</v>
      </c>
      <c r="H17" s="525">
        <f t="shared" si="0"/>
        <v>0</v>
      </c>
    </row>
    <row r="18" spans="1:8" ht="52.8">
      <c r="A18" s="727">
        <v>7</v>
      </c>
      <c r="B18" s="523" t="s">
        <v>3925</v>
      </c>
      <c r="C18" s="536" t="s">
        <v>3926</v>
      </c>
      <c r="D18" s="525"/>
      <c r="E18" s="525"/>
      <c r="F18" s="525">
        <v>1</v>
      </c>
      <c r="G18" s="541">
        <v>0</v>
      </c>
      <c r="H18" s="525">
        <f t="shared" si="0"/>
        <v>0</v>
      </c>
    </row>
    <row r="19" spans="1:8" ht="26.4">
      <c r="A19" s="727">
        <v>8</v>
      </c>
      <c r="B19" s="523" t="s">
        <v>3927</v>
      </c>
      <c r="C19" s="540" t="s">
        <v>3928</v>
      </c>
      <c r="D19" s="525"/>
      <c r="E19" s="525"/>
      <c r="F19" s="525">
        <v>1</v>
      </c>
      <c r="G19" s="541">
        <v>0</v>
      </c>
      <c r="H19" s="525">
        <f t="shared" si="0"/>
        <v>0</v>
      </c>
    </row>
    <row r="20" spans="1:8">
      <c r="A20" s="727">
        <v>9</v>
      </c>
      <c r="B20" s="523" t="s">
        <v>3929</v>
      </c>
      <c r="C20" s="544" t="s">
        <v>3930</v>
      </c>
      <c r="D20" s="525"/>
      <c r="E20" s="525"/>
      <c r="F20" s="525">
        <v>1</v>
      </c>
      <c r="G20" s="541">
        <v>0</v>
      </c>
      <c r="H20" s="525">
        <f t="shared" si="0"/>
        <v>0</v>
      </c>
    </row>
    <row r="21" spans="1:8">
      <c r="A21" s="727">
        <v>10</v>
      </c>
      <c r="B21" s="523" t="s">
        <v>3931</v>
      </c>
      <c r="C21" s="544" t="s">
        <v>3932</v>
      </c>
      <c r="D21" s="542"/>
      <c r="E21" s="542"/>
      <c r="F21" s="525">
        <v>1</v>
      </c>
      <c r="G21" s="541">
        <v>0</v>
      </c>
      <c r="H21" s="525">
        <f t="shared" si="0"/>
        <v>0</v>
      </c>
    </row>
    <row r="22" spans="1:8">
      <c r="A22" s="727">
        <v>11</v>
      </c>
      <c r="B22" s="523" t="s">
        <v>3931</v>
      </c>
      <c r="C22" s="544" t="s">
        <v>3933</v>
      </c>
      <c r="D22" s="542"/>
      <c r="E22" s="542"/>
      <c r="F22" s="525">
        <v>1</v>
      </c>
      <c r="G22" s="541">
        <v>0</v>
      </c>
      <c r="H22" s="525">
        <f t="shared" si="0"/>
        <v>0</v>
      </c>
    </row>
    <row r="23" spans="1:8" ht="39.6">
      <c r="B23" s="523" t="s">
        <v>3934</v>
      </c>
      <c r="C23" s="543" t="s">
        <v>3935</v>
      </c>
      <c r="D23" s="525"/>
      <c r="E23" s="525"/>
      <c r="F23" s="525" t="s">
        <v>3902</v>
      </c>
      <c r="G23" s="538"/>
      <c r="H23" s="538"/>
    </row>
    <row r="24" spans="1:8" ht="39.6">
      <c r="B24" s="523" t="s">
        <v>3936</v>
      </c>
      <c r="C24" s="543" t="s">
        <v>3937</v>
      </c>
      <c r="D24" s="525"/>
      <c r="E24" s="525"/>
      <c r="F24" s="525" t="s">
        <v>3902</v>
      </c>
      <c r="G24" s="538"/>
      <c r="H24" s="538"/>
    </row>
    <row r="25" spans="1:8" s="448" customFormat="1" ht="20.100000000000001" customHeight="1">
      <c r="A25" s="725"/>
      <c r="B25" s="550"/>
      <c r="C25" s="551" t="s">
        <v>3938</v>
      </c>
      <c r="D25" s="552"/>
      <c r="E25" s="552"/>
      <c r="F25" s="552"/>
      <c r="G25" s="552"/>
      <c r="H25" s="552"/>
    </row>
    <row r="26" spans="1:8" s="448" customFormat="1" ht="39.75" customHeight="1">
      <c r="A26" s="725"/>
      <c r="B26" s="535" t="s">
        <v>3939</v>
      </c>
      <c r="C26" s="536" t="s">
        <v>3940</v>
      </c>
      <c r="D26" s="525"/>
      <c r="E26" s="525"/>
      <c r="F26" s="525" t="s">
        <v>3902</v>
      </c>
      <c r="G26" s="538"/>
      <c r="H26" s="538"/>
    </row>
    <row r="27" spans="1:8" s="448" customFormat="1" ht="39" customHeight="1">
      <c r="A27" s="725"/>
      <c r="B27" s="535" t="s">
        <v>3941</v>
      </c>
      <c r="C27" s="536" t="s">
        <v>3942</v>
      </c>
      <c r="D27" s="525"/>
      <c r="E27" s="525"/>
      <c r="F27" s="525" t="s">
        <v>3902</v>
      </c>
      <c r="G27" s="538"/>
      <c r="H27" s="538"/>
    </row>
    <row r="28" spans="1:8" s="448" customFormat="1" ht="39" customHeight="1">
      <c r="A28" s="725"/>
      <c r="B28" s="535" t="s">
        <v>3943</v>
      </c>
      <c r="C28" s="536" t="s">
        <v>3944</v>
      </c>
      <c r="D28" s="525"/>
      <c r="E28" s="525"/>
      <c r="F28" s="525" t="s">
        <v>3902</v>
      </c>
      <c r="G28" s="538"/>
      <c r="H28" s="538"/>
    </row>
    <row r="29" spans="1:8" s="448" customFormat="1" ht="20.100000000000001" customHeight="1">
      <c r="A29" s="725"/>
      <c r="B29" s="532"/>
      <c r="C29" s="533" t="s">
        <v>3945</v>
      </c>
      <c r="D29" s="534"/>
      <c r="E29" s="534"/>
      <c r="F29" s="534"/>
      <c r="G29" s="534"/>
      <c r="H29" s="534"/>
    </row>
    <row r="30" spans="1:8" s="448" customFormat="1" ht="39.75" customHeight="1">
      <c r="A30" s="725"/>
      <c r="B30" s="535" t="s">
        <v>3946</v>
      </c>
      <c r="C30" s="536" t="s">
        <v>3940</v>
      </c>
      <c r="D30" s="525"/>
      <c r="E30" s="525"/>
      <c r="F30" s="525" t="s">
        <v>3902</v>
      </c>
      <c r="G30" s="538"/>
      <c r="H30" s="538"/>
    </row>
    <row r="31" spans="1:8" s="448" customFormat="1" ht="41.25" customHeight="1">
      <c r="A31" s="725"/>
      <c r="B31" s="535" t="s">
        <v>3947</v>
      </c>
      <c r="C31" s="536" t="s">
        <v>3948</v>
      </c>
      <c r="D31" s="525"/>
      <c r="E31" s="525"/>
      <c r="F31" s="525" t="s">
        <v>3902</v>
      </c>
      <c r="G31" s="538"/>
      <c r="H31" s="538"/>
    </row>
    <row r="32" spans="1:8" s="448" customFormat="1" ht="54.75" customHeight="1">
      <c r="A32" s="725"/>
      <c r="B32" s="535" t="s">
        <v>3949</v>
      </c>
      <c r="C32" s="536" t="s">
        <v>3950</v>
      </c>
      <c r="D32" s="525"/>
      <c r="E32" s="525"/>
      <c r="F32" s="525" t="s">
        <v>3902</v>
      </c>
      <c r="G32" s="538"/>
      <c r="H32" s="538"/>
    </row>
    <row r="33" spans="1:8" s="448" customFormat="1" ht="39" customHeight="1">
      <c r="A33" s="725"/>
      <c r="B33" s="535" t="s">
        <v>3951</v>
      </c>
      <c r="C33" s="536" t="s">
        <v>3942</v>
      </c>
      <c r="D33" s="525"/>
      <c r="E33" s="525"/>
      <c r="F33" s="525" t="s">
        <v>3902</v>
      </c>
      <c r="G33" s="538"/>
      <c r="H33" s="538"/>
    </row>
    <row r="34" spans="1:8" s="448" customFormat="1" ht="39" customHeight="1">
      <c r="A34" s="725"/>
      <c r="B34" s="535" t="s">
        <v>3952</v>
      </c>
      <c r="C34" s="536" t="s">
        <v>3944</v>
      </c>
      <c r="D34" s="525"/>
      <c r="E34" s="525"/>
      <c r="F34" s="525" t="s">
        <v>3902</v>
      </c>
      <c r="G34" s="538"/>
      <c r="H34" s="538"/>
    </row>
    <row r="35" spans="1:8" s="448" customFormat="1" ht="20.100000000000001" customHeight="1">
      <c r="A35" s="725"/>
      <c r="B35" s="532"/>
      <c r="C35" s="533" t="s">
        <v>3953</v>
      </c>
      <c r="D35" s="534"/>
      <c r="E35" s="534"/>
      <c r="F35" s="534"/>
      <c r="G35" s="534"/>
      <c r="H35" s="534"/>
    </row>
    <row r="36" spans="1:8" s="448" customFormat="1" ht="39.75" customHeight="1">
      <c r="A36" s="725"/>
      <c r="B36" s="535" t="s">
        <v>3954</v>
      </c>
      <c r="C36" s="536" t="s">
        <v>3940</v>
      </c>
      <c r="D36" s="525"/>
      <c r="E36" s="525"/>
      <c r="F36" s="525" t="s">
        <v>3902</v>
      </c>
      <c r="G36" s="538"/>
      <c r="H36" s="538"/>
    </row>
    <row r="37" spans="1:8" s="448" customFormat="1" ht="41.25" customHeight="1">
      <c r="A37" s="725"/>
      <c r="B37" s="535" t="s">
        <v>3955</v>
      </c>
      <c r="C37" s="536" t="s">
        <v>3948</v>
      </c>
      <c r="D37" s="525"/>
      <c r="E37" s="525"/>
      <c r="F37" s="525" t="s">
        <v>3902</v>
      </c>
      <c r="G37" s="538"/>
      <c r="H37" s="538"/>
    </row>
    <row r="38" spans="1:8" s="448" customFormat="1" ht="54.75" customHeight="1">
      <c r="A38" s="725"/>
      <c r="B38" s="535" t="s">
        <v>3956</v>
      </c>
      <c r="C38" s="536" t="s">
        <v>3950</v>
      </c>
      <c r="D38" s="525"/>
      <c r="E38" s="525"/>
      <c r="F38" s="525" t="s">
        <v>3902</v>
      </c>
      <c r="G38" s="538"/>
      <c r="H38" s="538"/>
    </row>
    <row r="39" spans="1:8" s="448" customFormat="1" ht="39" customHeight="1">
      <c r="A39" s="725"/>
      <c r="B39" s="535" t="s">
        <v>3957</v>
      </c>
      <c r="C39" s="536" t="s">
        <v>3942</v>
      </c>
      <c r="D39" s="525"/>
      <c r="E39" s="525"/>
      <c r="F39" s="525" t="s">
        <v>3902</v>
      </c>
      <c r="G39" s="538"/>
      <c r="H39" s="538"/>
    </row>
    <row r="40" spans="1:8" s="448" customFormat="1" ht="39" customHeight="1">
      <c r="A40" s="725"/>
      <c r="B40" s="535" t="s">
        <v>3958</v>
      </c>
      <c r="C40" s="536" t="s">
        <v>3944</v>
      </c>
      <c r="D40" s="525"/>
      <c r="E40" s="525"/>
      <c r="F40" s="525" t="s">
        <v>3902</v>
      </c>
      <c r="G40" s="538"/>
      <c r="H40" s="538"/>
    </row>
    <row r="41" spans="1:8" s="448" customFormat="1" ht="20.100000000000001" customHeight="1">
      <c r="A41" s="725"/>
      <c r="B41" s="532"/>
      <c r="C41" s="533" t="s">
        <v>3959</v>
      </c>
      <c r="D41" s="534"/>
      <c r="E41" s="534"/>
      <c r="F41" s="534"/>
      <c r="G41" s="534"/>
      <c r="H41" s="534"/>
    </row>
    <row r="42" spans="1:8" s="448" customFormat="1" ht="39.75" customHeight="1">
      <c r="A42" s="725"/>
      <c r="B42" s="535" t="s">
        <v>3960</v>
      </c>
      <c r="C42" s="536" t="s">
        <v>3940</v>
      </c>
      <c r="D42" s="525"/>
      <c r="E42" s="525"/>
      <c r="F42" s="525" t="s">
        <v>3902</v>
      </c>
      <c r="G42" s="538"/>
      <c r="H42" s="538"/>
    </row>
    <row r="43" spans="1:8" s="448" customFormat="1" ht="39" customHeight="1">
      <c r="A43" s="725"/>
      <c r="B43" s="535" t="s">
        <v>3961</v>
      </c>
      <c r="C43" s="536" t="s">
        <v>3962</v>
      </c>
      <c r="D43" s="525"/>
      <c r="E43" s="525"/>
      <c r="F43" s="525" t="s">
        <v>3902</v>
      </c>
      <c r="G43" s="538"/>
      <c r="H43" s="538"/>
    </row>
    <row r="44" spans="1:8" s="448" customFormat="1" ht="39" customHeight="1">
      <c r="A44" s="725"/>
      <c r="B44" s="535" t="s">
        <v>3963</v>
      </c>
      <c r="C44" s="536" t="s">
        <v>3944</v>
      </c>
      <c r="D44" s="525"/>
      <c r="E44" s="525"/>
      <c r="F44" s="525" t="s">
        <v>3902</v>
      </c>
      <c r="G44" s="538"/>
      <c r="H44" s="538"/>
    </row>
    <row r="45" spans="1:8" s="448" customFormat="1" ht="39" customHeight="1">
      <c r="A45" s="725"/>
      <c r="B45" s="535" t="s">
        <v>3964</v>
      </c>
      <c r="C45" s="536" t="s">
        <v>3965</v>
      </c>
      <c r="D45" s="525"/>
      <c r="E45" s="525"/>
      <c r="F45" s="525" t="s">
        <v>3902</v>
      </c>
      <c r="G45" s="538"/>
      <c r="H45" s="538"/>
    </row>
    <row r="46" spans="1:8" s="448" customFormat="1" ht="39" customHeight="1">
      <c r="A46" s="725"/>
      <c r="B46" s="535" t="s">
        <v>3966</v>
      </c>
      <c r="C46" s="536" t="s">
        <v>3967</v>
      </c>
      <c r="D46" s="525"/>
      <c r="E46" s="525"/>
      <c r="F46" s="525" t="s">
        <v>3902</v>
      </c>
      <c r="G46" s="538"/>
      <c r="H46" s="538"/>
    </row>
    <row r="47" spans="1:8" s="448" customFormat="1" ht="39" customHeight="1">
      <c r="A47" s="725"/>
      <c r="B47" s="535" t="s">
        <v>3968</v>
      </c>
      <c r="C47" s="536" t="s">
        <v>3969</v>
      </c>
      <c r="D47" s="525"/>
      <c r="E47" s="525"/>
      <c r="F47" s="525" t="s">
        <v>3902</v>
      </c>
      <c r="G47" s="538"/>
      <c r="H47" s="538"/>
    </row>
    <row r="48" spans="1:8" s="448" customFormat="1" ht="20.100000000000001" customHeight="1">
      <c r="A48" s="725"/>
      <c r="B48" s="532"/>
      <c r="C48" s="533" t="s">
        <v>3970</v>
      </c>
      <c r="D48" s="534"/>
      <c r="E48" s="534"/>
      <c r="F48" s="534"/>
      <c r="G48" s="534"/>
      <c r="H48" s="534"/>
    </row>
    <row r="49" spans="1:8" s="448" customFormat="1" ht="39.75" customHeight="1">
      <c r="A49" s="725"/>
      <c r="B49" s="535" t="s">
        <v>3971</v>
      </c>
      <c r="C49" s="536" t="s">
        <v>3940</v>
      </c>
      <c r="D49" s="525"/>
      <c r="E49" s="525"/>
      <c r="F49" s="525" t="s">
        <v>3902</v>
      </c>
      <c r="G49" s="538"/>
      <c r="H49" s="538"/>
    </row>
    <row r="50" spans="1:8" s="448" customFormat="1" ht="39" customHeight="1">
      <c r="A50" s="725"/>
      <c r="B50" s="535" t="s">
        <v>3972</v>
      </c>
      <c r="C50" s="536" t="s">
        <v>3944</v>
      </c>
      <c r="D50" s="525"/>
      <c r="E50" s="525"/>
      <c r="F50" s="525" t="s">
        <v>3902</v>
      </c>
      <c r="G50" s="538"/>
      <c r="H50" s="538"/>
    </row>
    <row r="51" spans="1:8" s="448" customFormat="1" ht="20.100000000000001" customHeight="1">
      <c r="A51" s="725"/>
      <c r="B51" s="532"/>
      <c r="C51" s="533" t="s">
        <v>3973</v>
      </c>
      <c r="D51" s="534"/>
      <c r="E51" s="534"/>
      <c r="F51" s="534"/>
      <c r="G51" s="534"/>
      <c r="H51" s="534"/>
    </row>
    <row r="52" spans="1:8" s="448" customFormat="1" ht="39" customHeight="1">
      <c r="A52" s="727">
        <v>12</v>
      </c>
      <c r="B52" s="535" t="s">
        <v>3974</v>
      </c>
      <c r="C52" s="540" t="s">
        <v>3975</v>
      </c>
      <c r="D52" s="525"/>
      <c r="E52" s="525"/>
      <c r="F52" s="525">
        <v>2</v>
      </c>
      <c r="G52" s="541">
        <v>0</v>
      </c>
      <c r="H52" s="525">
        <f>F52*G52</f>
        <v>0</v>
      </c>
    </row>
    <row r="53" spans="1:8" s="448" customFormat="1" ht="39" customHeight="1">
      <c r="A53" s="725"/>
      <c r="B53" s="535" t="s">
        <v>3976</v>
      </c>
      <c r="C53" s="536" t="s">
        <v>3977</v>
      </c>
      <c r="D53" s="525"/>
      <c r="E53" s="525"/>
      <c r="F53" s="525" t="s">
        <v>3902</v>
      </c>
      <c r="G53" s="538"/>
      <c r="H53" s="538"/>
    </row>
    <row r="54" spans="1:8" s="448" customFormat="1" ht="39" customHeight="1">
      <c r="A54" s="725"/>
      <c r="B54" s="535" t="s">
        <v>3978</v>
      </c>
      <c r="C54" s="545" t="s">
        <v>3979</v>
      </c>
      <c r="D54" s="525"/>
      <c r="E54" s="525"/>
      <c r="F54" s="525" t="s">
        <v>3902</v>
      </c>
      <c r="G54" s="538"/>
      <c r="H54" s="538"/>
    </row>
    <row r="55" spans="1:8" s="448" customFormat="1" ht="20.100000000000001" customHeight="1">
      <c r="A55" s="725"/>
      <c r="B55" s="532"/>
      <c r="C55" s="533" t="s">
        <v>3980</v>
      </c>
      <c r="D55" s="534"/>
      <c r="E55" s="534"/>
      <c r="F55" s="534"/>
      <c r="G55" s="534"/>
      <c r="H55" s="534"/>
    </row>
    <row r="56" spans="1:8" s="448" customFormat="1" ht="40.5" customHeight="1">
      <c r="A56" s="725"/>
      <c r="B56" s="535" t="s">
        <v>3981</v>
      </c>
      <c r="C56" s="536" t="s">
        <v>3982</v>
      </c>
      <c r="D56" s="525"/>
      <c r="E56" s="525"/>
      <c r="F56" s="525" t="s">
        <v>3902</v>
      </c>
      <c r="G56" s="538"/>
      <c r="H56" s="538"/>
    </row>
    <row r="57" spans="1:8" s="448" customFormat="1" ht="20.100000000000001" customHeight="1">
      <c r="A57" s="725"/>
      <c r="B57" s="532"/>
      <c r="C57" s="533" t="s">
        <v>3983</v>
      </c>
      <c r="D57" s="534"/>
      <c r="E57" s="534"/>
      <c r="F57" s="534"/>
      <c r="G57" s="534"/>
      <c r="H57" s="534"/>
    </row>
    <row r="58" spans="1:8" s="448" customFormat="1" ht="39.75" customHeight="1">
      <c r="A58" s="725"/>
      <c r="B58" s="535" t="s">
        <v>3984</v>
      </c>
      <c r="C58" s="536" t="s">
        <v>3985</v>
      </c>
      <c r="D58" s="525"/>
      <c r="E58" s="525"/>
      <c r="F58" s="525" t="s">
        <v>3902</v>
      </c>
      <c r="G58" s="538"/>
      <c r="H58" s="538"/>
    </row>
    <row r="59" spans="1:8" s="448" customFormat="1" ht="69" customHeight="1">
      <c r="A59" s="727">
        <v>13</v>
      </c>
      <c r="B59" s="535" t="s">
        <v>3986</v>
      </c>
      <c r="C59" s="536" t="s">
        <v>3987</v>
      </c>
      <c r="D59" s="525"/>
      <c r="E59" s="525"/>
      <c r="F59" s="525">
        <v>9</v>
      </c>
      <c r="G59" s="539">
        <v>0</v>
      </c>
      <c r="H59" s="525">
        <f>F59*G59</f>
        <v>0</v>
      </c>
    </row>
    <row r="60" spans="1:8" s="448" customFormat="1" ht="69" customHeight="1">
      <c r="A60" s="727">
        <v>14</v>
      </c>
      <c r="B60" s="535" t="s">
        <v>3988</v>
      </c>
      <c r="C60" s="536" t="s">
        <v>3989</v>
      </c>
      <c r="D60" s="525"/>
      <c r="E60" s="525"/>
      <c r="F60" s="525">
        <v>1</v>
      </c>
      <c r="G60" s="539">
        <v>0</v>
      </c>
      <c r="H60" s="525">
        <f>F60*G60</f>
        <v>0</v>
      </c>
    </row>
    <row r="61" spans="1:8" s="448" customFormat="1" ht="54.75" customHeight="1">
      <c r="A61" s="727">
        <v>15</v>
      </c>
      <c r="B61" s="535" t="s">
        <v>3990</v>
      </c>
      <c r="C61" s="536" t="s">
        <v>3991</v>
      </c>
      <c r="D61" s="525"/>
      <c r="E61" s="525"/>
      <c r="F61" s="525">
        <v>11</v>
      </c>
      <c r="G61" s="541">
        <v>0</v>
      </c>
      <c r="H61" s="525">
        <f>F61*G61</f>
        <v>0</v>
      </c>
    </row>
    <row r="62" spans="1:8" s="448" customFormat="1" ht="43.5" customHeight="1">
      <c r="A62" s="727">
        <v>16</v>
      </c>
      <c r="B62" s="535" t="s">
        <v>3990</v>
      </c>
      <c r="C62" s="536" t="s">
        <v>3992</v>
      </c>
      <c r="D62" s="525"/>
      <c r="E62" s="525"/>
      <c r="F62" s="525">
        <v>11</v>
      </c>
      <c r="G62" s="539">
        <v>0</v>
      </c>
      <c r="H62" s="525">
        <f>F62*G62</f>
        <v>0</v>
      </c>
    </row>
    <row r="63" spans="1:8" s="448" customFormat="1" ht="20.100000000000001" customHeight="1">
      <c r="A63" s="725"/>
      <c r="B63" s="532"/>
      <c r="C63" s="533" t="s">
        <v>3993</v>
      </c>
      <c r="D63" s="534"/>
      <c r="E63" s="534"/>
      <c r="F63" s="534"/>
      <c r="G63" s="534"/>
      <c r="H63" s="534"/>
    </row>
    <row r="64" spans="1:8" s="448" customFormat="1" ht="39.75" customHeight="1">
      <c r="A64" s="725"/>
      <c r="B64" s="535" t="s">
        <v>3994</v>
      </c>
      <c r="C64" s="536" t="s">
        <v>3995</v>
      </c>
      <c r="D64" s="525"/>
      <c r="E64" s="525"/>
      <c r="F64" s="525" t="s">
        <v>3902</v>
      </c>
      <c r="G64" s="538"/>
      <c r="H64" s="538"/>
    </row>
    <row r="65" spans="1:8" s="448" customFormat="1" ht="39.75" customHeight="1">
      <c r="A65" s="725"/>
      <c r="B65" s="535" t="s">
        <v>3996</v>
      </c>
      <c r="C65" s="536" t="s">
        <v>3997</v>
      </c>
      <c r="D65" s="525"/>
      <c r="E65" s="525"/>
      <c r="F65" s="525" t="s">
        <v>3902</v>
      </c>
      <c r="G65" s="538"/>
      <c r="H65" s="538"/>
    </row>
    <row r="66" spans="1:8" s="448" customFormat="1" ht="66.75" customHeight="1">
      <c r="A66" s="727">
        <v>17</v>
      </c>
      <c r="B66" s="535" t="s">
        <v>3998</v>
      </c>
      <c r="C66" s="536" t="s">
        <v>3999</v>
      </c>
      <c r="D66" s="525"/>
      <c r="E66" s="525"/>
      <c r="F66" s="525">
        <v>3</v>
      </c>
      <c r="G66" s="526">
        <v>0</v>
      </c>
      <c r="H66" s="525">
        <f>F66*G66</f>
        <v>0</v>
      </c>
    </row>
    <row r="67" spans="1:8" s="448" customFormat="1" ht="69" customHeight="1">
      <c r="A67" s="727">
        <v>18</v>
      </c>
      <c r="B67" s="535" t="s">
        <v>4000</v>
      </c>
      <c r="C67" s="536" t="s">
        <v>3987</v>
      </c>
      <c r="D67" s="525"/>
      <c r="E67" s="525"/>
      <c r="F67" s="525">
        <v>5</v>
      </c>
      <c r="G67" s="526">
        <v>0</v>
      </c>
      <c r="H67" s="525">
        <f>F67*G67</f>
        <v>0</v>
      </c>
    </row>
    <row r="68" spans="1:8" s="448" customFormat="1" ht="54.75" customHeight="1">
      <c r="A68" s="727">
        <v>19</v>
      </c>
      <c r="B68" s="535" t="s">
        <v>4001</v>
      </c>
      <c r="C68" s="536" t="s">
        <v>3991</v>
      </c>
      <c r="D68" s="525"/>
      <c r="E68" s="525"/>
      <c r="F68" s="525">
        <v>12</v>
      </c>
      <c r="G68" s="546">
        <v>0</v>
      </c>
      <c r="H68" s="525">
        <f>F68*G68</f>
        <v>0</v>
      </c>
    </row>
    <row r="69" spans="1:8" s="448" customFormat="1" ht="43.5" customHeight="1">
      <c r="A69" s="727">
        <v>20</v>
      </c>
      <c r="B69" s="535" t="s">
        <v>4001</v>
      </c>
      <c r="C69" s="536" t="s">
        <v>3992</v>
      </c>
      <c r="D69" s="525"/>
      <c r="E69" s="525"/>
      <c r="F69" s="525">
        <v>12</v>
      </c>
      <c r="G69" s="526">
        <v>0</v>
      </c>
      <c r="H69" s="525">
        <f>F69*G69</f>
        <v>0</v>
      </c>
    </row>
    <row r="70" spans="1:8" s="448" customFormat="1" ht="20.100000000000001" customHeight="1">
      <c r="A70" s="725"/>
      <c r="B70" s="532"/>
      <c r="C70" s="533" t="s">
        <v>4002</v>
      </c>
      <c r="D70" s="534"/>
      <c r="E70" s="534"/>
      <c r="F70" s="534"/>
      <c r="G70" s="534"/>
      <c r="H70" s="534"/>
    </row>
    <row r="71" spans="1:8" s="448" customFormat="1" ht="39.75" customHeight="1">
      <c r="A71" s="725"/>
      <c r="B71" s="535" t="s">
        <v>4003</v>
      </c>
      <c r="C71" s="536" t="s">
        <v>4004</v>
      </c>
      <c r="D71" s="525"/>
      <c r="E71" s="525"/>
      <c r="F71" s="525" t="s">
        <v>3902</v>
      </c>
      <c r="G71" s="538"/>
      <c r="H71" s="538"/>
    </row>
    <row r="72" spans="1:8" s="448" customFormat="1" ht="39.75" customHeight="1">
      <c r="A72" s="725"/>
      <c r="B72" s="535" t="s">
        <v>4005</v>
      </c>
      <c r="C72" s="536" t="s">
        <v>4006</v>
      </c>
      <c r="D72" s="525"/>
      <c r="E72" s="525"/>
      <c r="F72" s="525"/>
      <c r="G72" s="538"/>
      <c r="H72" s="538"/>
    </row>
    <row r="73" spans="1:8" s="448" customFormat="1" ht="66.75" customHeight="1">
      <c r="A73" s="727">
        <v>21</v>
      </c>
      <c r="B73" s="535" t="s">
        <v>4007</v>
      </c>
      <c r="C73" s="536" t="s">
        <v>3999</v>
      </c>
      <c r="D73" s="525"/>
      <c r="E73" s="525"/>
      <c r="F73" s="525">
        <v>4</v>
      </c>
      <c r="G73" s="526">
        <v>0</v>
      </c>
      <c r="H73" s="525">
        <f>F73*G73</f>
        <v>0</v>
      </c>
    </row>
    <row r="74" spans="1:8" s="448" customFormat="1" ht="69" customHeight="1">
      <c r="A74" s="727">
        <v>22</v>
      </c>
      <c r="B74" s="535" t="s">
        <v>4008</v>
      </c>
      <c r="C74" s="536" t="s">
        <v>3987</v>
      </c>
      <c r="D74" s="525"/>
      <c r="E74" s="525"/>
      <c r="F74" s="525">
        <v>3</v>
      </c>
      <c r="G74" s="526">
        <v>0</v>
      </c>
      <c r="H74" s="525">
        <f>F74*G74</f>
        <v>0</v>
      </c>
    </row>
    <row r="75" spans="1:8" s="448" customFormat="1" ht="54.75" customHeight="1">
      <c r="A75" s="727">
        <v>23</v>
      </c>
      <c r="B75" s="535" t="s">
        <v>4001</v>
      </c>
      <c r="C75" s="536" t="s">
        <v>3991</v>
      </c>
      <c r="D75" s="525"/>
      <c r="E75" s="525"/>
      <c r="F75" s="525">
        <v>7</v>
      </c>
      <c r="G75" s="546">
        <v>0</v>
      </c>
      <c r="H75" s="525">
        <f>F75*G75</f>
        <v>0</v>
      </c>
    </row>
    <row r="76" spans="1:8" s="448" customFormat="1" ht="43.5" customHeight="1">
      <c r="A76" s="727">
        <v>24</v>
      </c>
      <c r="B76" s="535" t="s">
        <v>4001</v>
      </c>
      <c r="C76" s="536" t="s">
        <v>3992</v>
      </c>
      <c r="D76" s="525"/>
      <c r="E76" s="525"/>
      <c r="F76" s="525">
        <v>7</v>
      </c>
      <c r="G76" s="526">
        <v>0</v>
      </c>
      <c r="H76" s="525">
        <f>F76*G76</f>
        <v>0</v>
      </c>
    </row>
    <row r="77" spans="1:8" s="448" customFormat="1" ht="20.100000000000001" customHeight="1">
      <c r="A77" s="725"/>
      <c r="B77" s="532"/>
      <c r="C77" s="533" t="s">
        <v>4009</v>
      </c>
      <c r="D77" s="534"/>
      <c r="E77" s="534"/>
      <c r="F77" s="534"/>
      <c r="G77" s="534"/>
      <c r="H77" s="534"/>
    </row>
    <row r="78" spans="1:8" s="448" customFormat="1" ht="39.75" customHeight="1">
      <c r="A78" s="725"/>
      <c r="B78" s="535"/>
      <c r="C78" s="536" t="s">
        <v>4010</v>
      </c>
      <c r="D78" s="525"/>
      <c r="E78" s="525"/>
      <c r="F78" s="525" t="s">
        <v>3902</v>
      </c>
      <c r="G78" s="538"/>
      <c r="H78" s="538"/>
    </row>
    <row r="79" spans="1:8" s="448" customFormat="1" ht="54.75" customHeight="1">
      <c r="A79" s="727">
        <v>25</v>
      </c>
      <c r="B79" s="535" t="s">
        <v>4011</v>
      </c>
      <c r="C79" s="536" t="s">
        <v>4012</v>
      </c>
      <c r="D79" s="525"/>
      <c r="E79" s="525"/>
      <c r="F79" s="525">
        <v>1</v>
      </c>
      <c r="G79" s="539">
        <v>0</v>
      </c>
      <c r="H79" s="525">
        <f>F79*G79</f>
        <v>0</v>
      </c>
    </row>
    <row r="80" spans="1:8" s="448" customFormat="1" ht="60.75" customHeight="1">
      <c r="A80" s="727">
        <v>26</v>
      </c>
      <c r="B80" s="535" t="s">
        <v>4013</v>
      </c>
      <c r="C80" s="536" t="s">
        <v>4014</v>
      </c>
      <c r="D80" s="525"/>
      <c r="E80" s="525"/>
      <c r="F80" s="525">
        <v>1</v>
      </c>
      <c r="G80" s="539">
        <v>0</v>
      </c>
      <c r="H80" s="525">
        <f>F80*G80</f>
        <v>0</v>
      </c>
    </row>
    <row r="81" spans="1:8" ht="15" customHeight="1">
      <c r="B81" s="520" t="s">
        <v>4</v>
      </c>
      <c r="C81" s="521" t="s">
        <v>4015</v>
      </c>
      <c r="D81" s="521"/>
      <c r="E81" s="521"/>
      <c r="F81" s="522"/>
      <c r="G81" s="522"/>
      <c r="H81" s="521"/>
    </row>
    <row r="82" spans="1:8" s="448" customFormat="1" ht="20.100000000000001" customHeight="1">
      <c r="A82" s="725"/>
      <c r="B82" s="547"/>
      <c r="C82" s="548" t="s">
        <v>4016</v>
      </c>
      <c r="D82" s="534"/>
      <c r="E82" s="534"/>
      <c r="F82" s="534"/>
      <c r="G82" s="534"/>
      <c r="H82" s="534"/>
    </row>
    <row r="83" spans="1:8" ht="39.6">
      <c r="A83" s="727">
        <v>27</v>
      </c>
      <c r="B83" s="523"/>
      <c r="C83" s="536" t="s">
        <v>4017</v>
      </c>
      <c r="D83" s="525"/>
      <c r="E83" s="525"/>
      <c r="F83" s="525">
        <v>1</v>
      </c>
      <c r="G83" s="539">
        <v>0</v>
      </c>
      <c r="H83" s="525">
        <f>F83*G83</f>
        <v>0</v>
      </c>
    </row>
    <row r="84" spans="1:8" ht="52.8">
      <c r="A84" s="727">
        <v>28</v>
      </c>
      <c r="B84" s="523"/>
      <c r="C84" s="536" t="s">
        <v>4018</v>
      </c>
      <c r="D84" s="525"/>
      <c r="E84" s="525"/>
      <c r="F84" s="525">
        <v>1</v>
      </c>
      <c r="G84" s="539">
        <v>0</v>
      </c>
      <c r="H84" s="525">
        <f>F84*G84</f>
        <v>0</v>
      </c>
    </row>
    <row r="85" spans="1:8" ht="15.6">
      <c r="B85" s="520" t="s">
        <v>4</v>
      </c>
      <c r="C85" s="521" t="s">
        <v>4019</v>
      </c>
      <c r="D85" s="521"/>
      <c r="E85" s="521"/>
      <c r="F85" s="522"/>
      <c r="G85" s="522"/>
      <c r="H85" s="521"/>
    </row>
    <row r="86" spans="1:8" s="448" customFormat="1" ht="20.100000000000001" customHeight="1">
      <c r="A86" s="725"/>
      <c r="B86" s="547"/>
      <c r="C86" s="533" t="s">
        <v>4016</v>
      </c>
      <c r="D86" s="534"/>
      <c r="E86" s="534"/>
      <c r="F86" s="534"/>
      <c r="G86" s="534"/>
      <c r="H86" s="534"/>
    </row>
    <row r="87" spans="1:8" ht="39.6">
      <c r="A87" s="727">
        <v>29</v>
      </c>
      <c r="B87" s="523"/>
      <c r="C87" s="523" t="s">
        <v>4020</v>
      </c>
      <c r="D87" s="525"/>
      <c r="E87" s="525"/>
      <c r="F87" s="525">
        <v>510</v>
      </c>
      <c r="G87" s="539">
        <v>0</v>
      </c>
      <c r="H87" s="525">
        <f t="shared" ref="H87:H95" si="1">F87*G87</f>
        <v>0</v>
      </c>
    </row>
    <row r="88" spans="1:8" ht="39.6">
      <c r="A88" s="727">
        <v>30</v>
      </c>
      <c r="B88" s="523"/>
      <c r="C88" s="523" t="s">
        <v>4020</v>
      </c>
      <c r="D88" s="525"/>
      <c r="E88" s="525"/>
      <c r="F88" s="525">
        <v>305</v>
      </c>
      <c r="G88" s="539">
        <v>0</v>
      </c>
      <c r="H88" s="525">
        <f t="shared" si="1"/>
        <v>0</v>
      </c>
    </row>
    <row r="89" spans="1:8">
      <c r="A89" s="727">
        <v>31</v>
      </c>
      <c r="B89" s="523"/>
      <c r="C89" s="523" t="s">
        <v>4021</v>
      </c>
      <c r="D89" s="525"/>
      <c r="E89" s="525"/>
      <c r="F89" s="525">
        <v>1000</v>
      </c>
      <c r="G89" s="539">
        <v>0</v>
      </c>
      <c r="H89" s="525">
        <f t="shared" si="1"/>
        <v>0</v>
      </c>
    </row>
    <row r="90" spans="1:8">
      <c r="A90" s="727">
        <v>32</v>
      </c>
      <c r="B90" s="523"/>
      <c r="C90" s="523" t="s">
        <v>4022</v>
      </c>
      <c r="D90" s="525"/>
      <c r="E90" s="525"/>
      <c r="F90" s="525">
        <v>200</v>
      </c>
      <c r="G90" s="539">
        <v>0</v>
      </c>
      <c r="H90" s="525">
        <f t="shared" si="1"/>
        <v>0</v>
      </c>
    </row>
    <row r="91" spans="1:8" ht="52.8">
      <c r="A91" s="727">
        <v>33</v>
      </c>
      <c r="B91" s="523"/>
      <c r="C91" s="523" t="s">
        <v>4023</v>
      </c>
      <c r="D91" s="525"/>
      <c r="E91" s="525"/>
      <c r="F91" s="525">
        <f>170+790</f>
        <v>960</v>
      </c>
      <c r="G91" s="539">
        <v>0</v>
      </c>
      <c r="H91" s="525">
        <f t="shared" si="1"/>
        <v>0</v>
      </c>
    </row>
    <row r="92" spans="1:8" ht="52.8">
      <c r="A92" s="727">
        <v>34</v>
      </c>
      <c r="B92" s="523"/>
      <c r="C92" s="523" t="s">
        <v>4023</v>
      </c>
      <c r="D92" s="525"/>
      <c r="E92" s="525"/>
      <c r="F92" s="525">
        <v>80</v>
      </c>
      <c r="G92" s="539">
        <v>0</v>
      </c>
      <c r="H92" s="525">
        <f t="shared" si="1"/>
        <v>0</v>
      </c>
    </row>
    <row r="93" spans="1:8" ht="52.8">
      <c r="A93" s="727">
        <v>35</v>
      </c>
      <c r="B93" s="523"/>
      <c r="C93" s="523" t="s">
        <v>4023</v>
      </c>
      <c r="D93" s="525"/>
      <c r="E93" s="525"/>
      <c r="F93" s="525">
        <f>140+20</f>
        <v>160</v>
      </c>
      <c r="G93" s="539">
        <v>0</v>
      </c>
      <c r="H93" s="525">
        <f t="shared" si="1"/>
        <v>0</v>
      </c>
    </row>
    <row r="94" spans="1:8">
      <c r="A94" s="727">
        <v>36</v>
      </c>
      <c r="B94" s="523"/>
      <c r="C94" s="523" t="s">
        <v>4024</v>
      </c>
      <c r="D94" s="525"/>
      <c r="E94" s="525"/>
      <c r="F94" s="525">
        <v>1</v>
      </c>
      <c r="G94" s="539">
        <v>0</v>
      </c>
      <c r="H94" s="525">
        <f t="shared" si="1"/>
        <v>0</v>
      </c>
    </row>
    <row r="95" spans="1:8">
      <c r="A95" s="727">
        <v>37</v>
      </c>
      <c r="B95" s="523"/>
      <c r="C95" s="525" t="s">
        <v>4025</v>
      </c>
      <c r="D95" s="525"/>
      <c r="E95" s="525"/>
      <c r="F95" s="525">
        <v>1</v>
      </c>
      <c r="G95" s="539">
        <v>0</v>
      </c>
      <c r="H95" s="525">
        <f t="shared" si="1"/>
        <v>0</v>
      </c>
    </row>
    <row r="96" spans="1:8" ht="15.6">
      <c r="B96" s="520" t="s">
        <v>4</v>
      </c>
      <c r="C96" s="521" t="s">
        <v>4026</v>
      </c>
      <c r="D96" s="521"/>
      <c r="E96" s="521"/>
      <c r="F96" s="522"/>
      <c r="G96" s="522"/>
      <c r="H96" s="521"/>
    </row>
    <row r="97" spans="1:8" ht="211.2">
      <c r="A97" s="727">
        <v>38</v>
      </c>
      <c r="B97" s="523"/>
      <c r="C97" s="540" t="s">
        <v>4027</v>
      </c>
      <c r="D97" s="540"/>
      <c r="E97" s="540"/>
      <c r="F97" s="549">
        <v>1</v>
      </c>
      <c r="G97" s="539">
        <v>0</v>
      </c>
      <c r="H97" s="525">
        <f>F97*G97</f>
        <v>0</v>
      </c>
    </row>
    <row r="98" spans="1:8" ht="15.6">
      <c r="B98" s="520" t="s">
        <v>4</v>
      </c>
      <c r="C98" s="521" t="s">
        <v>4028</v>
      </c>
      <c r="D98" s="521"/>
      <c r="E98" s="521"/>
      <c r="F98" s="522"/>
      <c r="G98" s="522"/>
      <c r="H98" s="521"/>
    </row>
    <row r="99" spans="1:8">
      <c r="A99" s="727">
        <v>39</v>
      </c>
      <c r="B99" s="523"/>
      <c r="C99" s="524" t="s">
        <v>4029</v>
      </c>
      <c r="D99" s="524"/>
      <c r="E99" s="524"/>
      <c r="F99" s="525">
        <v>1</v>
      </c>
      <c r="G99" s="526">
        <v>0</v>
      </c>
      <c r="H99" s="525">
        <f t="shared" ref="H99:H106" si="2">F99*G99</f>
        <v>0</v>
      </c>
    </row>
    <row r="100" spans="1:8">
      <c r="A100" s="727">
        <v>40</v>
      </c>
      <c r="B100" s="523"/>
      <c r="C100" s="524" t="s">
        <v>4030</v>
      </c>
      <c r="D100" s="524"/>
      <c r="E100" s="524"/>
      <c r="F100" s="525">
        <v>1</v>
      </c>
      <c r="G100" s="526">
        <v>0</v>
      </c>
      <c r="H100" s="525">
        <f t="shared" si="2"/>
        <v>0</v>
      </c>
    </row>
    <row r="101" spans="1:8">
      <c r="A101" s="727">
        <v>41</v>
      </c>
      <c r="B101" s="523"/>
      <c r="C101" s="721" t="s">
        <v>5850</v>
      </c>
      <c r="D101" s="524"/>
      <c r="E101" s="524"/>
      <c r="F101" s="525">
        <v>1</v>
      </c>
      <c r="G101" s="526">
        <v>0</v>
      </c>
      <c r="H101" s="525">
        <f>F101*G101</f>
        <v>0</v>
      </c>
    </row>
    <row r="102" spans="1:8">
      <c r="A102" s="727">
        <v>42</v>
      </c>
      <c r="B102" s="523"/>
      <c r="C102" s="524" t="s">
        <v>4031</v>
      </c>
      <c r="D102" s="524"/>
      <c r="E102" s="524"/>
      <c r="F102" s="525">
        <v>1</v>
      </c>
      <c r="G102" s="526">
        <v>0</v>
      </c>
      <c r="H102" s="525">
        <f t="shared" si="2"/>
        <v>0</v>
      </c>
    </row>
    <row r="103" spans="1:8">
      <c r="A103" s="727">
        <v>43</v>
      </c>
      <c r="B103" s="523"/>
      <c r="C103" s="524" t="s">
        <v>4032</v>
      </c>
      <c r="D103" s="524"/>
      <c r="E103" s="524"/>
      <c r="F103" s="525">
        <v>1</v>
      </c>
      <c r="G103" s="526">
        <v>0</v>
      </c>
      <c r="H103" s="525">
        <f t="shared" si="2"/>
        <v>0</v>
      </c>
    </row>
    <row r="104" spans="1:8">
      <c r="A104" s="727">
        <v>44</v>
      </c>
      <c r="B104" s="523"/>
      <c r="C104" s="524" t="s">
        <v>4033</v>
      </c>
      <c r="D104" s="524"/>
      <c r="E104" s="524"/>
      <c r="F104" s="525">
        <v>1</v>
      </c>
      <c r="G104" s="526">
        <v>0</v>
      </c>
      <c r="H104" s="525">
        <f t="shared" si="2"/>
        <v>0</v>
      </c>
    </row>
    <row r="105" spans="1:8">
      <c r="A105" s="727">
        <v>45</v>
      </c>
      <c r="B105" s="523"/>
      <c r="C105" s="524" t="s">
        <v>4034</v>
      </c>
      <c r="D105" s="524"/>
      <c r="E105" s="524"/>
      <c r="F105" s="525">
        <v>1</v>
      </c>
      <c r="G105" s="526">
        <v>0</v>
      </c>
      <c r="H105" s="525">
        <f t="shared" si="2"/>
        <v>0</v>
      </c>
    </row>
    <row r="106" spans="1:8">
      <c r="A106" s="727">
        <v>46</v>
      </c>
      <c r="B106" s="523"/>
      <c r="C106" s="527" t="s">
        <v>5852</v>
      </c>
      <c r="D106" s="527"/>
      <c r="E106" s="527"/>
      <c r="F106" s="525">
        <v>1</v>
      </c>
      <c r="G106" s="526">
        <v>0</v>
      </c>
      <c r="H106" s="525">
        <f t="shared" si="2"/>
        <v>0</v>
      </c>
    </row>
    <row r="107" spans="1:8">
      <c r="C107" s="451"/>
      <c r="D107" s="451"/>
      <c r="E107" s="451"/>
    </row>
    <row r="108" spans="1:8" ht="13.8" thickBot="1"/>
    <row r="109" spans="1:8" ht="21.6" thickBot="1">
      <c r="C109" s="452" t="s">
        <v>4035</v>
      </c>
      <c r="D109" s="453"/>
      <c r="E109" s="453"/>
      <c r="F109" s="453"/>
      <c r="G109" s="453"/>
      <c r="H109" s="454">
        <f>SUM(H7:H107)</f>
        <v>0</v>
      </c>
    </row>
    <row r="118" spans="2:3">
      <c r="B118" s="449"/>
    </row>
    <row r="119" spans="2:3">
      <c r="C119" s="450"/>
    </row>
  </sheetData>
  <pageMargins left="0.70866141732283472" right="0.70866141732283472" top="0.78740157480314965" bottom="0.78740157480314965" header="0.31496062992125984" footer="0.31496062992125984"/>
  <pageSetup paperSize="9" scale="59" orientation="landscape" verticalDpi="4294967293" r:id="rId1"/>
</worksheet>
</file>

<file path=xl/worksheets/sheet14.xml><?xml version="1.0" encoding="utf-8"?>
<worksheet xmlns="http://schemas.openxmlformats.org/spreadsheetml/2006/main" xmlns:r="http://schemas.openxmlformats.org/officeDocument/2006/relationships">
  <dimension ref="A1:S231"/>
  <sheetViews>
    <sheetView zoomScaleNormal="100" workbookViewId="0">
      <pane ySplit="2" topLeftCell="A212" activePane="bottomLeft" state="frozen"/>
      <selection pane="bottomLeft" activeCell="O175" sqref="O175"/>
    </sheetView>
  </sheetViews>
  <sheetFormatPr defaultColWidth="9.109375" defaultRowHeight="15"/>
  <cols>
    <col min="1" max="1" width="5" style="591" customWidth="1"/>
    <col min="2" max="2" width="92.88671875" style="596" customWidth="1"/>
    <col min="3" max="3" width="5.33203125" style="581" customWidth="1"/>
    <col min="4" max="4" width="23.33203125" style="582" customWidth="1"/>
    <col min="5" max="6" width="6.88671875" style="581" customWidth="1"/>
    <col min="7" max="7" width="11.109375" style="581" customWidth="1"/>
    <col min="8" max="8" width="5.6640625" style="581" customWidth="1"/>
    <col min="9" max="9" width="7.109375" style="581" customWidth="1"/>
    <col min="10" max="10" width="5.6640625" style="581" hidden="1" customWidth="1"/>
    <col min="11" max="12" width="6.44140625" style="584" hidden="1" customWidth="1"/>
    <col min="13" max="13" width="11.44140625" style="584" hidden="1" customWidth="1"/>
    <col min="14" max="14" width="7.109375" style="584" hidden="1" customWidth="1"/>
    <col min="15" max="15" width="20" style="581" customWidth="1"/>
    <col min="16" max="16" width="25.6640625" style="581" customWidth="1"/>
    <col min="17" max="17" width="23.44140625" style="580" bestFit="1" customWidth="1"/>
    <col min="18" max="18" width="9.44140625" style="580" bestFit="1" customWidth="1"/>
    <col min="19" max="16384" width="9.109375" style="580"/>
  </cols>
  <sheetData>
    <row r="1" spans="1:19" ht="17.399999999999999" thickBot="1">
      <c r="A1" s="738" t="s">
        <v>5859</v>
      </c>
    </row>
    <row r="2" spans="1:19" s="562" customFormat="1" ht="45.6" thickBot="1">
      <c r="A2" s="557" t="s">
        <v>3625</v>
      </c>
      <c r="B2" s="558" t="s">
        <v>3324</v>
      </c>
      <c r="C2" s="558" t="s">
        <v>3626</v>
      </c>
      <c r="D2" s="558" t="s">
        <v>3627</v>
      </c>
      <c r="E2" s="558" t="s">
        <v>3628</v>
      </c>
      <c r="F2" s="558" t="s">
        <v>3629</v>
      </c>
      <c r="G2" s="558" t="s">
        <v>3630</v>
      </c>
      <c r="H2" s="558" t="s">
        <v>3631</v>
      </c>
      <c r="I2" s="558" t="s">
        <v>3632</v>
      </c>
      <c r="J2" s="558" t="s">
        <v>3633</v>
      </c>
      <c r="K2" s="558" t="s">
        <v>3634</v>
      </c>
      <c r="L2" s="558" t="s">
        <v>3635</v>
      </c>
      <c r="M2" s="558" t="s">
        <v>3636</v>
      </c>
      <c r="N2" s="559" t="s">
        <v>3637</v>
      </c>
      <c r="O2" s="560" t="s">
        <v>3638</v>
      </c>
      <c r="P2" s="561" t="s">
        <v>3639</v>
      </c>
      <c r="Q2" s="561" t="s">
        <v>3640</v>
      </c>
    </row>
    <row r="3" spans="1:19" s="562" customFormat="1" ht="15.6" thickBot="1">
      <c r="A3" s="563" t="s">
        <v>3641</v>
      </c>
      <c r="B3" s="564"/>
      <c r="C3" s="564"/>
      <c r="D3" s="564"/>
      <c r="E3" s="564"/>
      <c r="F3" s="564"/>
      <c r="G3" s="564"/>
      <c r="H3" s="564"/>
      <c r="I3" s="564"/>
      <c r="J3" s="564"/>
      <c r="K3" s="564"/>
      <c r="L3" s="564"/>
      <c r="M3" s="564"/>
      <c r="N3" s="564"/>
      <c r="O3" s="564"/>
      <c r="P3" s="565"/>
      <c r="Q3" s="566"/>
    </row>
    <row r="4" spans="1:19" s="562" customFormat="1">
      <c r="A4" s="567" t="s">
        <v>3642</v>
      </c>
      <c r="B4" s="568"/>
      <c r="C4" s="568"/>
      <c r="D4" s="568"/>
      <c r="E4" s="568"/>
      <c r="F4" s="568"/>
      <c r="G4" s="568"/>
      <c r="H4" s="568"/>
      <c r="I4" s="568"/>
      <c r="J4" s="568"/>
      <c r="K4" s="568"/>
      <c r="L4" s="568"/>
      <c r="M4" s="568"/>
      <c r="N4" s="568"/>
      <c r="O4" s="568"/>
      <c r="P4" s="569"/>
      <c r="Q4" s="570"/>
    </row>
    <row r="5" spans="1:19" s="562" customFormat="1">
      <c r="A5" s="571">
        <v>1</v>
      </c>
      <c r="B5" s="572" t="s">
        <v>3643</v>
      </c>
      <c r="C5" s="571">
        <v>1</v>
      </c>
      <c r="D5" s="573" t="s">
        <v>3644</v>
      </c>
      <c r="E5" s="571"/>
      <c r="F5" s="571"/>
      <c r="G5" s="574" t="str">
        <f>IF((E5+F5)&gt;0, C5*(E5+F5), "")</f>
        <v/>
      </c>
      <c r="H5" s="571"/>
      <c r="I5" s="571"/>
      <c r="J5" s="571"/>
      <c r="K5" s="575"/>
      <c r="L5" s="575"/>
      <c r="M5" s="575"/>
      <c r="N5" s="575"/>
      <c r="O5" s="576"/>
      <c r="P5" s="606">
        <v>0</v>
      </c>
      <c r="Q5" s="605" t="str">
        <f>IF((C5*P5)&gt;0, C5*P5, IF((C5*P5+P5=0), "–", "NĚKDE JE CHYBA!"))</f>
        <v>–</v>
      </c>
      <c r="S5" s="577"/>
    </row>
    <row r="6" spans="1:19" s="562" customFormat="1">
      <c r="A6" s="571">
        <v>2</v>
      </c>
      <c r="B6" s="572" t="s">
        <v>3645</v>
      </c>
      <c r="C6" s="571">
        <v>1</v>
      </c>
      <c r="D6" s="573" t="s">
        <v>3646</v>
      </c>
      <c r="E6" s="571"/>
      <c r="F6" s="571"/>
      <c r="G6" s="574"/>
      <c r="H6" s="571"/>
      <c r="I6" s="571"/>
      <c r="J6" s="571"/>
      <c r="K6" s="575"/>
      <c r="L6" s="575"/>
      <c r="M6" s="575"/>
      <c r="N6" s="575"/>
      <c r="O6" s="576"/>
      <c r="P6" s="606">
        <v>0</v>
      </c>
      <c r="Q6" s="605" t="str">
        <f>IF((C6*P6)&gt;0, C6*P6, IF((C6*P6+P6=0), "–", "NĚKDE JE CHYBA!"))</f>
        <v>–</v>
      </c>
      <c r="S6" s="577"/>
    </row>
    <row r="7" spans="1:19" s="562" customFormat="1">
      <c r="A7" s="571">
        <v>3</v>
      </c>
      <c r="B7" s="572" t="s">
        <v>3647</v>
      </c>
      <c r="C7" s="571">
        <v>1</v>
      </c>
      <c r="D7" s="573" t="s">
        <v>3648</v>
      </c>
      <c r="E7" s="571">
        <v>0.1</v>
      </c>
      <c r="F7" s="571">
        <v>0</v>
      </c>
      <c r="G7" s="578">
        <f>IF((E7+F7)&gt;0, C7*(E7+F7), "")</f>
        <v>0.1</v>
      </c>
      <c r="H7" s="571"/>
      <c r="I7" s="571"/>
      <c r="J7" s="571"/>
      <c r="K7" s="575"/>
      <c r="L7" s="575"/>
      <c r="M7" s="575"/>
      <c r="N7" s="575"/>
      <c r="O7" s="576"/>
      <c r="P7" s="606">
        <v>0</v>
      </c>
      <c r="Q7" s="605" t="str">
        <f>IF((C7*P7)&gt;0, C7*P7, IF((C7*P7+P7=0), "–", "NĚKDE JE CHYBA!"))</f>
        <v>–</v>
      </c>
      <c r="S7" s="577"/>
    </row>
    <row r="8" spans="1:19">
      <c r="A8" s="602" t="s">
        <v>3649</v>
      </c>
      <c r="B8" s="603"/>
      <c r="C8" s="603"/>
      <c r="D8" s="603"/>
      <c r="E8" s="603"/>
      <c r="F8" s="603"/>
      <c r="G8" s="603"/>
      <c r="H8" s="603"/>
      <c r="I8" s="603"/>
      <c r="J8" s="603"/>
      <c r="K8" s="603"/>
      <c r="L8" s="603"/>
      <c r="M8" s="603"/>
      <c r="N8" s="603"/>
      <c r="O8" s="603"/>
      <c r="P8" s="607"/>
      <c r="Q8" s="604"/>
      <c r="S8" s="577"/>
    </row>
    <row r="9" spans="1:19" ht="30">
      <c r="A9" s="571">
        <v>1</v>
      </c>
      <c r="B9" s="572" t="s">
        <v>3650</v>
      </c>
      <c r="C9" s="571">
        <v>1</v>
      </c>
      <c r="D9" s="573" t="s">
        <v>3651</v>
      </c>
      <c r="E9" s="571">
        <v>0.45</v>
      </c>
      <c r="F9" s="571">
        <v>0</v>
      </c>
      <c r="G9" s="574">
        <f>IF((E9+F9)&gt;0, C9*(E9+F9), "")</f>
        <v>0.45</v>
      </c>
      <c r="H9" s="571"/>
      <c r="I9" s="571"/>
      <c r="J9" s="571"/>
      <c r="K9" s="575"/>
      <c r="L9" s="575"/>
      <c r="M9" s="575"/>
      <c r="N9" s="575"/>
      <c r="O9" s="576"/>
      <c r="P9" s="608">
        <v>0</v>
      </c>
      <c r="Q9" s="597" t="str">
        <f t="shared" ref="Q9:Q22" si="0">IF((C9*P9)&gt;0, C9*P9, IF((C9*P9+P9=0), "–", "NĚKDE JE CHYBA!"))</f>
        <v>–</v>
      </c>
      <c r="R9" s="586"/>
      <c r="S9" s="577"/>
    </row>
    <row r="10" spans="1:19" ht="30">
      <c r="A10" s="571">
        <v>2</v>
      </c>
      <c r="B10" s="572" t="s">
        <v>3652</v>
      </c>
      <c r="C10" s="571">
        <v>1</v>
      </c>
      <c r="D10" s="573" t="s">
        <v>3653</v>
      </c>
      <c r="E10" s="578"/>
      <c r="F10" s="578"/>
      <c r="G10" s="578" t="str">
        <f>IF((E10+F10)&gt;0, C10*(E10+F10), "")</f>
        <v/>
      </c>
      <c r="H10" s="571"/>
      <c r="I10" s="571"/>
      <c r="J10" s="571"/>
      <c r="K10" s="575" t="s">
        <v>3654</v>
      </c>
      <c r="L10" s="575" t="s">
        <v>3654</v>
      </c>
      <c r="M10" s="575"/>
      <c r="N10" s="575" t="s">
        <v>3655</v>
      </c>
      <c r="O10" s="576"/>
      <c r="P10" s="608">
        <v>0</v>
      </c>
      <c r="Q10" s="597" t="str">
        <f t="shared" si="0"/>
        <v>–</v>
      </c>
      <c r="S10" s="577"/>
    </row>
    <row r="11" spans="1:19">
      <c r="A11" s="571">
        <v>3</v>
      </c>
      <c r="B11" s="572" t="s">
        <v>3656</v>
      </c>
      <c r="C11" s="571">
        <v>1</v>
      </c>
      <c r="D11" s="573" t="s">
        <v>3657</v>
      </c>
      <c r="E11" s="571"/>
      <c r="F11" s="571"/>
      <c r="G11" s="571"/>
      <c r="H11" s="571"/>
      <c r="I11" s="571"/>
      <c r="J11" s="571"/>
      <c r="K11" s="575" t="s">
        <v>3654</v>
      </c>
      <c r="L11" s="575" t="s">
        <v>3654</v>
      </c>
      <c r="M11" s="575"/>
      <c r="N11" s="575" t="s">
        <v>3655</v>
      </c>
      <c r="O11" s="576"/>
      <c r="P11" s="608">
        <v>0</v>
      </c>
      <c r="Q11" s="597" t="str">
        <f t="shared" si="0"/>
        <v>–</v>
      </c>
      <c r="S11" s="577"/>
    </row>
    <row r="12" spans="1:19">
      <c r="A12" s="571">
        <v>4</v>
      </c>
      <c r="B12" s="572" t="s">
        <v>3658</v>
      </c>
      <c r="C12" s="571">
        <v>2</v>
      </c>
      <c r="D12" s="573" t="s">
        <v>3659</v>
      </c>
      <c r="E12" s="578"/>
      <c r="F12" s="578"/>
      <c r="G12" s="578" t="str">
        <f t="shared" ref="G12:G19" si="1">IF((E12+F12)&gt;0, C12*(E12+F12), "")</f>
        <v/>
      </c>
      <c r="H12" s="571"/>
      <c r="I12" s="571"/>
      <c r="J12" s="571"/>
      <c r="K12" s="575"/>
      <c r="L12" s="575"/>
      <c r="M12" s="575"/>
      <c r="N12" s="575"/>
      <c r="O12" s="576"/>
      <c r="P12" s="608">
        <v>0</v>
      </c>
      <c r="Q12" s="597" t="str">
        <f t="shared" si="0"/>
        <v>–</v>
      </c>
      <c r="S12" s="577"/>
    </row>
    <row r="13" spans="1:19">
      <c r="A13" s="581">
        <v>5</v>
      </c>
      <c r="B13" s="562" t="s">
        <v>3660</v>
      </c>
      <c r="E13" s="587"/>
      <c r="F13" s="587"/>
      <c r="G13" s="587" t="str">
        <f t="shared" si="1"/>
        <v/>
      </c>
      <c r="O13" s="585"/>
      <c r="P13" s="600"/>
      <c r="Q13" s="599" t="str">
        <f t="shared" si="0"/>
        <v>–</v>
      </c>
      <c r="S13" s="577"/>
    </row>
    <row r="14" spans="1:19">
      <c r="A14" s="571">
        <v>6</v>
      </c>
      <c r="B14" s="610" t="s">
        <v>3661</v>
      </c>
      <c r="C14" s="571">
        <v>1</v>
      </c>
      <c r="D14" s="573" t="s">
        <v>3662</v>
      </c>
      <c r="E14" s="578"/>
      <c r="F14" s="578"/>
      <c r="G14" s="578" t="str">
        <f t="shared" si="1"/>
        <v/>
      </c>
      <c r="H14" s="571"/>
      <c r="I14" s="571"/>
      <c r="J14" s="571"/>
      <c r="K14" s="575"/>
      <c r="L14" s="575"/>
      <c r="M14" s="575"/>
      <c r="N14" s="575"/>
      <c r="O14" s="576"/>
      <c r="P14" s="608">
        <v>0</v>
      </c>
      <c r="Q14" s="597" t="str">
        <f t="shared" si="0"/>
        <v>–</v>
      </c>
      <c r="S14" s="577"/>
    </row>
    <row r="15" spans="1:19">
      <c r="A15" s="581">
        <v>7</v>
      </c>
      <c r="B15" s="588" t="s">
        <v>3660</v>
      </c>
      <c r="G15" s="587" t="str">
        <f t="shared" si="1"/>
        <v/>
      </c>
      <c r="O15" s="585"/>
      <c r="P15" s="609"/>
      <c r="Q15" s="599" t="str">
        <f t="shared" si="0"/>
        <v>–</v>
      </c>
      <c r="S15" s="577"/>
    </row>
    <row r="16" spans="1:19">
      <c r="A16" s="581">
        <v>8</v>
      </c>
      <c r="B16" s="562" t="s">
        <v>3660</v>
      </c>
      <c r="G16" s="587" t="str">
        <f t="shared" si="1"/>
        <v/>
      </c>
      <c r="O16" s="585"/>
      <c r="P16" s="609"/>
      <c r="Q16" s="599" t="str">
        <f t="shared" si="0"/>
        <v>–</v>
      </c>
      <c r="S16" s="577"/>
    </row>
    <row r="17" spans="1:19" ht="30">
      <c r="A17" s="571">
        <v>9</v>
      </c>
      <c r="B17" s="572" t="s">
        <v>3663</v>
      </c>
      <c r="C17" s="571">
        <v>1</v>
      </c>
      <c r="D17" s="573" t="s">
        <v>3664</v>
      </c>
      <c r="E17" s="571">
        <v>0</v>
      </c>
      <c r="F17" s="571">
        <v>3.1</v>
      </c>
      <c r="G17" s="578">
        <f t="shared" si="1"/>
        <v>3.1</v>
      </c>
      <c r="H17" s="571"/>
      <c r="I17" s="571"/>
      <c r="J17" s="575"/>
      <c r="K17" s="575" t="s">
        <v>3654</v>
      </c>
      <c r="L17" s="575"/>
      <c r="M17" s="575"/>
      <c r="N17" s="575" t="s">
        <v>3655</v>
      </c>
      <c r="O17" s="576"/>
      <c r="P17" s="608">
        <v>0</v>
      </c>
      <c r="Q17" s="597" t="str">
        <f t="shared" si="0"/>
        <v>–</v>
      </c>
      <c r="S17" s="577"/>
    </row>
    <row r="18" spans="1:19" ht="30">
      <c r="A18" s="571">
        <v>10</v>
      </c>
      <c r="B18" s="572" t="s">
        <v>3665</v>
      </c>
      <c r="C18" s="571">
        <v>1</v>
      </c>
      <c r="D18" s="573" t="s">
        <v>3666</v>
      </c>
      <c r="E18" s="571"/>
      <c r="F18" s="571"/>
      <c r="G18" s="578" t="str">
        <f t="shared" si="1"/>
        <v/>
      </c>
      <c r="H18" s="571"/>
      <c r="I18" s="571"/>
      <c r="J18" s="571"/>
      <c r="K18" s="575"/>
      <c r="L18" s="575"/>
      <c r="M18" s="575"/>
      <c r="N18" s="575"/>
      <c r="O18" s="576"/>
      <c r="P18" s="608">
        <v>0</v>
      </c>
      <c r="Q18" s="597" t="str">
        <f t="shared" si="0"/>
        <v>–</v>
      </c>
      <c r="S18" s="577"/>
    </row>
    <row r="19" spans="1:19">
      <c r="A19" s="581">
        <v>11</v>
      </c>
      <c r="B19" s="562" t="s">
        <v>3660</v>
      </c>
      <c r="G19" s="587" t="str">
        <f t="shared" si="1"/>
        <v/>
      </c>
      <c r="O19" s="585"/>
      <c r="P19" s="609"/>
      <c r="Q19" s="599" t="str">
        <f t="shared" si="0"/>
        <v>–</v>
      </c>
      <c r="S19" s="577"/>
    </row>
    <row r="20" spans="1:19" ht="60">
      <c r="A20" s="571">
        <v>12</v>
      </c>
      <c r="B20" s="610" t="s">
        <v>3667</v>
      </c>
      <c r="C20" s="571">
        <v>1</v>
      </c>
      <c r="D20" s="573" t="s">
        <v>3668</v>
      </c>
      <c r="E20" s="571"/>
      <c r="F20" s="571"/>
      <c r="G20" s="578"/>
      <c r="H20" s="571"/>
      <c r="I20" s="571"/>
      <c r="J20" s="571"/>
      <c r="K20" s="575"/>
      <c r="L20" s="575"/>
      <c r="M20" s="575"/>
      <c r="N20" s="575"/>
      <c r="O20" s="576" t="s">
        <v>3669</v>
      </c>
      <c r="P20" s="608">
        <v>0</v>
      </c>
      <c r="Q20" s="597" t="str">
        <f t="shared" si="0"/>
        <v>–</v>
      </c>
      <c r="S20" s="577"/>
    </row>
    <row r="21" spans="1:19">
      <c r="A21" s="581">
        <v>13</v>
      </c>
      <c r="B21" s="562" t="s">
        <v>3660</v>
      </c>
      <c r="G21" s="587"/>
      <c r="O21" s="585"/>
      <c r="P21" s="609"/>
      <c r="Q21" s="599" t="str">
        <f t="shared" si="0"/>
        <v>–</v>
      </c>
      <c r="S21" s="577"/>
    </row>
    <row r="22" spans="1:19" ht="75">
      <c r="A22" s="571">
        <v>14</v>
      </c>
      <c r="B22" s="610" t="s">
        <v>3670</v>
      </c>
      <c r="C22" s="571">
        <v>1</v>
      </c>
      <c r="D22" s="573" t="s">
        <v>3671</v>
      </c>
      <c r="E22" s="571"/>
      <c r="F22" s="571"/>
      <c r="G22" s="578"/>
      <c r="H22" s="571"/>
      <c r="I22" s="571"/>
      <c r="J22" s="571"/>
      <c r="K22" s="575"/>
      <c r="L22" s="575"/>
      <c r="M22" s="575"/>
      <c r="N22" s="575"/>
      <c r="O22" s="576" t="s">
        <v>3672</v>
      </c>
      <c r="P22" s="608">
        <v>0</v>
      </c>
      <c r="Q22" s="597" t="str">
        <f t="shared" si="0"/>
        <v>–</v>
      </c>
      <c r="S22" s="577"/>
    </row>
    <row r="23" spans="1:19" s="562" customFormat="1">
      <c r="A23" s="602" t="s">
        <v>3673</v>
      </c>
      <c r="B23" s="603"/>
      <c r="C23" s="603"/>
      <c r="D23" s="603"/>
      <c r="E23" s="603"/>
      <c r="F23" s="603"/>
      <c r="G23" s="603"/>
      <c r="H23" s="603"/>
      <c r="I23" s="603"/>
      <c r="J23" s="603"/>
      <c r="K23" s="603"/>
      <c r="L23" s="603"/>
      <c r="M23" s="603"/>
      <c r="N23" s="603"/>
      <c r="O23" s="603"/>
      <c r="P23" s="611"/>
      <c r="Q23" s="612"/>
      <c r="S23" s="577"/>
    </row>
    <row r="24" spans="1:19" ht="45">
      <c r="A24" s="571">
        <v>1</v>
      </c>
      <c r="B24" s="572" t="s">
        <v>3674</v>
      </c>
      <c r="C24" s="571">
        <v>1</v>
      </c>
      <c r="D24" s="573" t="s">
        <v>3675</v>
      </c>
      <c r="E24" s="578">
        <v>1</v>
      </c>
      <c r="F24" s="571">
        <v>0</v>
      </c>
      <c r="G24" s="615">
        <f>IF((E24+F24)&gt;0, C24*(E24+F24), "")</f>
        <v>1</v>
      </c>
      <c r="H24" s="571"/>
      <c r="I24" s="571"/>
      <c r="J24" s="571"/>
      <c r="K24" s="575"/>
      <c r="L24" s="575"/>
      <c r="M24" s="575"/>
      <c r="N24" s="575" t="s">
        <v>3655</v>
      </c>
      <c r="O24" s="576"/>
      <c r="P24" s="608">
        <v>0</v>
      </c>
      <c r="Q24" s="597" t="str">
        <f>IF((C24*P24)&gt;0, C24*P24, IF((C24*P24+P24=0), "–", "NĚKDE JE CHYBA!"))</f>
        <v>–</v>
      </c>
      <c r="S24" s="577"/>
    </row>
    <row r="25" spans="1:19" ht="30">
      <c r="A25" s="571">
        <v>2</v>
      </c>
      <c r="B25" s="572" t="s">
        <v>5849</v>
      </c>
      <c r="C25" s="571">
        <v>1</v>
      </c>
      <c r="D25" s="573" t="s">
        <v>3676</v>
      </c>
      <c r="E25" s="578"/>
      <c r="F25" s="578"/>
      <c r="G25" s="615" t="str">
        <f>IF((E25+F25)&gt;0, (E25*C25)+(F25*C25), "")</f>
        <v/>
      </c>
      <c r="H25" s="615"/>
      <c r="I25" s="615"/>
      <c r="J25" s="571"/>
      <c r="K25" s="575"/>
      <c r="L25" s="575"/>
      <c r="M25" s="575"/>
      <c r="N25" s="575" t="s">
        <v>3677</v>
      </c>
      <c r="O25" s="571"/>
      <c r="P25" s="608">
        <v>0</v>
      </c>
      <c r="Q25" s="597" t="str">
        <f>IF((C25*P25)&gt;0, C25*P25, IF((C25*P25+P25=0), "–", "NĚKDE JE CHYBA!"))</f>
        <v>–</v>
      </c>
      <c r="S25" s="577"/>
    </row>
    <row r="26" spans="1:19">
      <c r="A26" s="571">
        <v>3</v>
      </c>
      <c r="B26" s="572" t="s">
        <v>3678</v>
      </c>
      <c r="C26" s="571">
        <v>3</v>
      </c>
      <c r="D26" s="573" t="s">
        <v>3679</v>
      </c>
      <c r="E26" s="578"/>
      <c r="F26" s="578"/>
      <c r="G26" s="615"/>
      <c r="H26" s="615"/>
      <c r="I26" s="615"/>
      <c r="J26" s="571"/>
      <c r="K26" s="575"/>
      <c r="L26" s="575"/>
      <c r="M26" s="575"/>
      <c r="N26" s="575"/>
      <c r="O26" s="571"/>
      <c r="P26" s="617">
        <v>0</v>
      </c>
      <c r="Q26" s="597" t="str">
        <f>IF((C26*P26)&gt;0, C26*P26, IF((C26*P26+P26=0), "–", "NĚKDE JE CHYBA!"))</f>
        <v>–</v>
      </c>
      <c r="S26" s="577"/>
    </row>
    <row r="27" spans="1:19" ht="30">
      <c r="A27" s="571">
        <v>4</v>
      </c>
      <c r="B27" s="572" t="s">
        <v>3680</v>
      </c>
      <c r="C27" s="571">
        <v>1</v>
      </c>
      <c r="D27" s="573"/>
      <c r="E27" s="571"/>
      <c r="F27" s="571"/>
      <c r="G27" s="615" t="str">
        <f>IF((E27+F27)&gt;0, C27*(E27+F27), "")</f>
        <v/>
      </c>
      <c r="H27" s="571"/>
      <c r="I27" s="571"/>
      <c r="J27" s="571"/>
      <c r="K27" s="575" t="s">
        <v>3654</v>
      </c>
      <c r="L27" s="575" t="s">
        <v>3654</v>
      </c>
      <c r="M27" s="575"/>
      <c r="N27" s="575"/>
      <c r="O27" s="616" t="s">
        <v>3681</v>
      </c>
      <c r="P27" s="608">
        <v>0</v>
      </c>
      <c r="Q27" s="597" t="str">
        <f>IF((C27*P27)&gt;0, C27*P27, IF((C27*P27+P27=0), "–", "NĚKDE JE CHYBA!"))</f>
        <v>–</v>
      </c>
      <c r="S27" s="577"/>
    </row>
    <row r="28" spans="1:19">
      <c r="A28" s="602" t="s">
        <v>3682</v>
      </c>
      <c r="B28" s="618"/>
      <c r="C28" s="618"/>
      <c r="D28" s="618"/>
      <c r="E28" s="618"/>
      <c r="F28" s="618"/>
      <c r="G28" s="618"/>
      <c r="H28" s="618"/>
      <c r="I28" s="618"/>
      <c r="J28" s="618"/>
      <c r="K28" s="618"/>
      <c r="L28" s="618"/>
      <c r="M28" s="618"/>
      <c r="N28" s="618"/>
      <c r="O28" s="618"/>
      <c r="P28" s="607"/>
      <c r="Q28" s="604"/>
      <c r="S28" s="577"/>
    </row>
    <row r="29" spans="1:19" ht="30">
      <c r="A29" s="571">
        <v>1</v>
      </c>
      <c r="B29" s="572" t="s">
        <v>3683</v>
      </c>
      <c r="C29" s="571">
        <v>3</v>
      </c>
      <c r="D29" s="573" t="s">
        <v>3684</v>
      </c>
      <c r="E29" s="571"/>
      <c r="F29" s="571"/>
      <c r="G29" s="578" t="str">
        <f>IF((E29+F29)&gt;0, C29*(E29+F29), "")</f>
        <v/>
      </c>
      <c r="H29" s="571"/>
      <c r="I29" s="571"/>
      <c r="J29" s="571"/>
      <c r="K29" s="575"/>
      <c r="L29" s="575"/>
      <c r="M29" s="575"/>
      <c r="N29" s="575"/>
      <c r="O29" s="576" t="s">
        <v>3685</v>
      </c>
      <c r="P29" s="617">
        <v>0</v>
      </c>
      <c r="Q29" s="597" t="str">
        <f>IF((C29*P29)&gt;0, C29*P29, IF((C29*P29+P29=0), "–", "NĚKDE JE CHYBA!"))</f>
        <v>–</v>
      </c>
      <c r="S29" s="577"/>
    </row>
    <row r="30" spans="1:19">
      <c r="A30" s="571">
        <v>2</v>
      </c>
      <c r="B30" s="572" t="s">
        <v>3658</v>
      </c>
      <c r="C30" s="571">
        <v>3</v>
      </c>
      <c r="D30" s="573" t="s">
        <v>3686</v>
      </c>
      <c r="E30" s="571"/>
      <c r="F30" s="571"/>
      <c r="G30" s="578" t="str">
        <f>IF((E30+F30)&gt;0, C30*(E30+F30), "")</f>
        <v/>
      </c>
      <c r="H30" s="571"/>
      <c r="I30" s="571"/>
      <c r="J30" s="571"/>
      <c r="K30" s="575"/>
      <c r="L30" s="575"/>
      <c r="M30" s="575"/>
      <c r="N30" s="575"/>
      <c r="O30" s="576"/>
      <c r="P30" s="608">
        <v>0</v>
      </c>
      <c r="Q30" s="597" t="str">
        <f>IF((C30*P30)&gt;0, C30*P30, IF((C30*P30+P30=0), "–", "NĚKDE JE CHYBA!"))</f>
        <v>–</v>
      </c>
      <c r="S30" s="577"/>
    </row>
    <row r="31" spans="1:19">
      <c r="A31" s="602" t="s">
        <v>3687</v>
      </c>
      <c r="B31" s="618"/>
      <c r="C31" s="618"/>
      <c r="D31" s="618"/>
      <c r="E31" s="618"/>
      <c r="F31" s="618"/>
      <c r="G31" s="618"/>
      <c r="H31" s="618"/>
      <c r="I31" s="618"/>
      <c r="J31" s="618"/>
      <c r="K31" s="618"/>
      <c r="L31" s="618"/>
      <c r="M31" s="618"/>
      <c r="N31" s="618"/>
      <c r="O31" s="618"/>
      <c r="P31" s="607"/>
      <c r="Q31" s="604"/>
      <c r="S31" s="577"/>
    </row>
    <row r="32" spans="1:19">
      <c r="A32" s="571">
        <v>1</v>
      </c>
      <c r="B32" s="610" t="s">
        <v>3688</v>
      </c>
      <c r="C32" s="571">
        <v>1</v>
      </c>
      <c r="D32" s="573" t="s">
        <v>3689</v>
      </c>
      <c r="E32" s="571"/>
      <c r="F32" s="571"/>
      <c r="G32" s="578" t="str">
        <f>IF((E32+F32)&gt;0, C32*(E32+F32), "")</f>
        <v/>
      </c>
      <c r="H32" s="571"/>
      <c r="I32" s="571"/>
      <c r="J32" s="571"/>
      <c r="K32" s="575"/>
      <c r="L32" s="575"/>
      <c r="M32" s="575"/>
      <c r="N32" s="575"/>
      <c r="O32" s="576"/>
      <c r="P32" s="608">
        <v>0</v>
      </c>
      <c r="Q32" s="597" t="str">
        <f t="shared" ref="Q32:Q40" si="2">IF((C32*P32)&gt;0, C32*P32, IF((C32*P32+P32=0), "–", "NĚKDE JE CHYBA!"))</f>
        <v>–</v>
      </c>
      <c r="S32" s="577"/>
    </row>
    <row r="33" spans="1:19">
      <c r="A33" s="571">
        <v>2</v>
      </c>
      <c r="B33" s="572" t="s">
        <v>3690</v>
      </c>
      <c r="C33" s="571">
        <v>1</v>
      </c>
      <c r="D33" s="573" t="s">
        <v>3691</v>
      </c>
      <c r="E33" s="571"/>
      <c r="F33" s="571"/>
      <c r="G33" s="571"/>
      <c r="H33" s="571"/>
      <c r="I33" s="571"/>
      <c r="J33" s="571"/>
      <c r="K33" s="575"/>
      <c r="L33" s="575"/>
      <c r="M33" s="575"/>
      <c r="N33" s="575"/>
      <c r="O33" s="571"/>
      <c r="P33" s="608">
        <v>0</v>
      </c>
      <c r="Q33" s="597" t="str">
        <f t="shared" si="2"/>
        <v>–</v>
      </c>
      <c r="S33" s="577"/>
    </row>
    <row r="34" spans="1:19" ht="30">
      <c r="A34" s="571">
        <v>3</v>
      </c>
      <c r="B34" s="610" t="s">
        <v>3692</v>
      </c>
      <c r="C34" s="571">
        <v>1</v>
      </c>
      <c r="D34" s="573" t="s">
        <v>3693</v>
      </c>
      <c r="E34" s="571"/>
      <c r="F34" s="571"/>
      <c r="G34" s="571"/>
      <c r="H34" s="571"/>
      <c r="I34" s="571"/>
      <c r="J34" s="571"/>
      <c r="K34" s="575" t="s">
        <v>3654</v>
      </c>
      <c r="L34" s="575" t="s">
        <v>3654</v>
      </c>
      <c r="M34" s="575"/>
      <c r="N34" s="575" t="s">
        <v>3655</v>
      </c>
      <c r="O34" s="571"/>
      <c r="P34" s="608">
        <v>0</v>
      </c>
      <c r="Q34" s="597" t="str">
        <f t="shared" si="2"/>
        <v>–</v>
      </c>
      <c r="S34" s="577"/>
    </row>
    <row r="35" spans="1:19" ht="30">
      <c r="A35" s="571">
        <v>4</v>
      </c>
      <c r="B35" s="572" t="s">
        <v>5849</v>
      </c>
      <c r="C35" s="571">
        <v>1</v>
      </c>
      <c r="D35" s="573" t="s">
        <v>3694</v>
      </c>
      <c r="E35" s="571"/>
      <c r="F35" s="571"/>
      <c r="G35" s="615" t="str">
        <f>IF((E35+F35)&gt;0, C35*(E35+F35), "")</f>
        <v/>
      </c>
      <c r="H35" s="571"/>
      <c r="I35" s="571"/>
      <c r="J35" s="571"/>
      <c r="K35" s="575"/>
      <c r="L35" s="575"/>
      <c r="M35" s="575"/>
      <c r="N35" s="575" t="s">
        <v>3677</v>
      </c>
      <c r="O35" s="571"/>
      <c r="P35" s="608">
        <v>0</v>
      </c>
      <c r="Q35" s="597" t="str">
        <f t="shared" si="2"/>
        <v>–</v>
      </c>
      <c r="S35" s="577"/>
    </row>
    <row r="36" spans="1:19">
      <c r="A36" s="571">
        <v>5</v>
      </c>
      <c r="B36" s="572" t="s">
        <v>3695</v>
      </c>
      <c r="C36" s="571">
        <v>2</v>
      </c>
      <c r="D36" s="573" t="s">
        <v>3696</v>
      </c>
      <c r="E36" s="571"/>
      <c r="F36" s="571"/>
      <c r="G36" s="571"/>
      <c r="H36" s="571"/>
      <c r="I36" s="571"/>
      <c r="J36" s="571"/>
      <c r="K36" s="575"/>
      <c r="L36" s="575"/>
      <c r="M36" s="575"/>
      <c r="N36" s="575"/>
      <c r="O36" s="571"/>
      <c r="P36" s="608">
        <v>0</v>
      </c>
      <c r="Q36" s="597" t="str">
        <f t="shared" si="2"/>
        <v>–</v>
      </c>
      <c r="S36" s="577"/>
    </row>
    <row r="37" spans="1:19">
      <c r="A37" s="571">
        <v>6</v>
      </c>
      <c r="B37" s="572" t="s">
        <v>3656</v>
      </c>
      <c r="C37" s="571">
        <v>1</v>
      </c>
      <c r="D37" s="573" t="s">
        <v>3657</v>
      </c>
      <c r="E37" s="571"/>
      <c r="F37" s="571"/>
      <c r="G37" s="571"/>
      <c r="H37" s="571"/>
      <c r="I37" s="571"/>
      <c r="J37" s="571"/>
      <c r="K37" s="575" t="s">
        <v>3654</v>
      </c>
      <c r="L37" s="575" t="s">
        <v>3654</v>
      </c>
      <c r="M37" s="575"/>
      <c r="N37" s="575" t="s">
        <v>3655</v>
      </c>
      <c r="O37" s="571"/>
      <c r="P37" s="608">
        <v>0</v>
      </c>
      <c r="Q37" s="597" t="str">
        <f t="shared" si="2"/>
        <v>–</v>
      </c>
      <c r="S37" s="577"/>
    </row>
    <row r="38" spans="1:19" ht="30">
      <c r="A38" s="571">
        <v>7</v>
      </c>
      <c r="B38" s="572" t="s">
        <v>3680</v>
      </c>
      <c r="C38" s="571">
        <v>1</v>
      </c>
      <c r="D38" s="573"/>
      <c r="E38" s="571"/>
      <c r="F38" s="571"/>
      <c r="G38" s="615" t="str">
        <f>IF((E38+F38)&gt;0, C38*(E38+F38), "")</f>
        <v/>
      </c>
      <c r="H38" s="571"/>
      <c r="I38" s="571"/>
      <c r="J38" s="571"/>
      <c r="K38" s="575" t="s">
        <v>3654</v>
      </c>
      <c r="L38" s="575" t="s">
        <v>3654</v>
      </c>
      <c r="M38" s="575"/>
      <c r="N38" s="575"/>
      <c r="O38" s="616" t="s">
        <v>3681</v>
      </c>
      <c r="P38" s="608">
        <v>0</v>
      </c>
      <c r="Q38" s="597" t="str">
        <f t="shared" si="2"/>
        <v>–</v>
      </c>
      <c r="S38" s="577"/>
    </row>
    <row r="39" spans="1:19" ht="30">
      <c r="A39" s="571">
        <v>8</v>
      </c>
      <c r="B39" s="572" t="s">
        <v>5849</v>
      </c>
      <c r="C39" s="571">
        <v>1</v>
      </c>
      <c r="D39" s="573" t="s">
        <v>3697</v>
      </c>
      <c r="E39" s="571"/>
      <c r="F39" s="571"/>
      <c r="G39" s="615" t="str">
        <f>IF((E39+F39)&gt;0, C39*(E39+F39), "")</f>
        <v/>
      </c>
      <c r="H39" s="571"/>
      <c r="I39" s="571"/>
      <c r="J39" s="571"/>
      <c r="K39" s="575"/>
      <c r="L39" s="575"/>
      <c r="M39" s="575"/>
      <c r="N39" s="575" t="s">
        <v>3677</v>
      </c>
      <c r="O39" s="571"/>
      <c r="P39" s="608">
        <v>0</v>
      </c>
      <c r="Q39" s="597" t="str">
        <f t="shared" si="2"/>
        <v>–</v>
      </c>
      <c r="S39" s="577"/>
    </row>
    <row r="40" spans="1:19" ht="45">
      <c r="A40" s="571">
        <v>9</v>
      </c>
      <c r="B40" s="610" t="s">
        <v>3698</v>
      </c>
      <c r="C40" s="571">
        <v>1</v>
      </c>
      <c r="D40" s="573" t="s">
        <v>3699</v>
      </c>
      <c r="E40" s="571">
        <v>0</v>
      </c>
      <c r="F40" s="571">
        <v>0.75</v>
      </c>
      <c r="G40" s="619">
        <f>IF((E40+F40)&gt;0, C40*(E40+F40), "")</f>
        <v>0.75</v>
      </c>
      <c r="H40" s="615"/>
      <c r="I40" s="615"/>
      <c r="J40" s="571"/>
      <c r="K40" s="575" t="s">
        <v>3700</v>
      </c>
      <c r="L40" s="575"/>
      <c r="M40" s="575"/>
      <c r="N40" s="575" t="s">
        <v>3677</v>
      </c>
      <c r="O40" s="616" t="s">
        <v>3701</v>
      </c>
      <c r="P40" s="608">
        <v>0</v>
      </c>
      <c r="Q40" s="597" t="str">
        <f t="shared" si="2"/>
        <v>–</v>
      </c>
      <c r="S40" s="577"/>
    </row>
    <row r="41" spans="1:19">
      <c r="A41" s="602" t="s">
        <v>3702</v>
      </c>
      <c r="B41" s="618"/>
      <c r="C41" s="618"/>
      <c r="D41" s="618"/>
      <c r="E41" s="618"/>
      <c r="F41" s="618"/>
      <c r="G41" s="618"/>
      <c r="H41" s="618"/>
      <c r="I41" s="618"/>
      <c r="J41" s="618"/>
      <c r="K41" s="618"/>
      <c r="L41" s="618"/>
      <c r="M41" s="618"/>
      <c r="N41" s="618"/>
      <c r="O41" s="618"/>
      <c r="P41" s="607"/>
      <c r="Q41" s="604"/>
      <c r="S41" s="577"/>
    </row>
    <row r="42" spans="1:19" ht="45">
      <c r="A42" s="571">
        <v>1</v>
      </c>
      <c r="B42" s="572" t="s">
        <v>3703</v>
      </c>
      <c r="C42" s="571">
        <v>1</v>
      </c>
      <c r="D42" s="573" t="s">
        <v>3704</v>
      </c>
      <c r="E42" s="578">
        <v>2</v>
      </c>
      <c r="F42" s="571">
        <v>0</v>
      </c>
      <c r="G42" s="615">
        <f>IF((E42+F42)&gt;0, C42*(E42+F42), "")</f>
        <v>2</v>
      </c>
      <c r="H42" s="615"/>
      <c r="I42" s="615"/>
      <c r="J42" s="571"/>
      <c r="K42" s="575"/>
      <c r="L42" s="575"/>
      <c r="M42" s="575"/>
      <c r="N42" s="575" t="s">
        <v>3655</v>
      </c>
      <c r="O42" s="576"/>
      <c r="P42" s="608">
        <v>0</v>
      </c>
      <c r="Q42" s="597" t="str">
        <f>IF((C42*P42)&gt;0, C42*P42, IF((C42*P42+P42=0), "–", "NĚKDE JE CHYBA!"))</f>
        <v>–</v>
      </c>
      <c r="S42" s="577"/>
    </row>
    <row r="43" spans="1:19" ht="30">
      <c r="A43" s="571">
        <v>2</v>
      </c>
      <c r="B43" s="572" t="s">
        <v>3650</v>
      </c>
      <c r="C43" s="571">
        <v>4</v>
      </c>
      <c r="D43" s="573" t="s">
        <v>3651</v>
      </c>
      <c r="E43" s="571">
        <v>0.45</v>
      </c>
      <c r="F43" s="571">
        <v>0</v>
      </c>
      <c r="G43" s="619">
        <f>IF((E43+F43)&gt;0, C43*(E43+F43), "")</f>
        <v>1.8</v>
      </c>
      <c r="H43" s="615"/>
      <c r="I43" s="615"/>
      <c r="J43" s="571"/>
      <c r="K43" s="575"/>
      <c r="L43" s="575"/>
      <c r="M43" s="575"/>
      <c r="N43" s="575"/>
      <c r="O43" s="576"/>
      <c r="P43" s="608">
        <v>0</v>
      </c>
      <c r="Q43" s="597" t="str">
        <f>IF((C43*P43)&gt;0, C43*P43, IF((C43*P43+P43=0), "–", "NĚKDE JE CHYBA!"))</f>
        <v>–</v>
      </c>
      <c r="S43" s="577"/>
    </row>
    <row r="44" spans="1:19">
      <c r="A44" s="571">
        <v>3</v>
      </c>
      <c r="B44" s="610" t="s">
        <v>3705</v>
      </c>
      <c r="C44" s="571">
        <v>1</v>
      </c>
      <c r="D44" s="573" t="s">
        <v>3706</v>
      </c>
      <c r="E44" s="571">
        <v>0.45</v>
      </c>
      <c r="F44" s="571">
        <v>0</v>
      </c>
      <c r="G44" s="619">
        <f>IF((E44+F44)&gt;0, C44*(E44+F44), "")</f>
        <v>0.45</v>
      </c>
      <c r="H44" s="615"/>
      <c r="I44" s="615"/>
      <c r="J44" s="571"/>
      <c r="K44" s="575"/>
      <c r="L44" s="575"/>
      <c r="M44" s="575"/>
      <c r="N44" s="575"/>
      <c r="O44" s="576"/>
      <c r="P44" s="608">
        <v>0</v>
      </c>
      <c r="Q44" s="597" t="str">
        <f>IF((C44*P44)&gt;0, C44*P44, IF((C44*P44+P44=0), "–", "NĚKDE JE CHYBA!"))</f>
        <v>–</v>
      </c>
      <c r="S44" s="577"/>
    </row>
    <row r="45" spans="1:19">
      <c r="A45" s="602" t="s">
        <v>3707</v>
      </c>
      <c r="B45" s="618"/>
      <c r="C45" s="618"/>
      <c r="D45" s="618"/>
      <c r="E45" s="618"/>
      <c r="F45" s="618"/>
      <c r="G45" s="618"/>
      <c r="H45" s="618"/>
      <c r="I45" s="618"/>
      <c r="J45" s="618"/>
      <c r="K45" s="618"/>
      <c r="L45" s="618"/>
      <c r="M45" s="618"/>
      <c r="N45" s="618"/>
      <c r="O45" s="618"/>
      <c r="P45" s="607"/>
      <c r="Q45" s="604"/>
      <c r="S45" s="577"/>
    </row>
    <row r="46" spans="1:19" ht="45">
      <c r="A46" s="571">
        <v>1</v>
      </c>
      <c r="B46" s="572" t="s">
        <v>3708</v>
      </c>
      <c r="C46" s="571">
        <v>1</v>
      </c>
      <c r="D46" s="573" t="s">
        <v>3709</v>
      </c>
      <c r="E46" s="578">
        <v>2</v>
      </c>
      <c r="F46" s="571">
        <v>0</v>
      </c>
      <c r="G46" s="615">
        <f>IF((E46+F46)&gt;0, C46*(E46+F46), "")</f>
        <v>2</v>
      </c>
      <c r="H46" s="571"/>
      <c r="I46" s="571"/>
      <c r="J46" s="571"/>
      <c r="K46" s="575"/>
      <c r="L46" s="575"/>
      <c r="M46" s="575"/>
      <c r="N46" s="575" t="s">
        <v>3655</v>
      </c>
      <c r="O46" s="571"/>
      <c r="P46" s="608">
        <v>0</v>
      </c>
      <c r="Q46" s="597" t="str">
        <f>IF((C46*P46)&gt;0, C46*P46, IF((C46*P46+P46=0), "–", "NĚKDE JE CHYBA!"))</f>
        <v>–</v>
      </c>
      <c r="S46" s="577"/>
    </row>
    <row r="47" spans="1:19" ht="45">
      <c r="A47" s="571">
        <v>2</v>
      </c>
      <c r="B47" s="572" t="s">
        <v>3710</v>
      </c>
      <c r="C47" s="571">
        <v>1</v>
      </c>
      <c r="D47" s="573" t="s">
        <v>3711</v>
      </c>
      <c r="E47" s="578">
        <v>1.5</v>
      </c>
      <c r="F47" s="571">
        <v>0</v>
      </c>
      <c r="G47" s="615">
        <f>IF((E47+F47)&gt;0, C47*(E47+F47), "")</f>
        <v>1.5</v>
      </c>
      <c r="H47" s="571"/>
      <c r="I47" s="571"/>
      <c r="J47" s="571"/>
      <c r="K47" s="575"/>
      <c r="L47" s="575"/>
      <c r="M47" s="575"/>
      <c r="N47" s="575" t="s">
        <v>3655</v>
      </c>
      <c r="O47" s="571"/>
      <c r="P47" s="608">
        <v>0</v>
      </c>
      <c r="Q47" s="597" t="str">
        <f>IF((C47*P47)&gt;0, C47*P47, IF((C47*P47+P47=0), "–", "NĚKDE JE CHYBA!"))</f>
        <v>–</v>
      </c>
      <c r="S47" s="577"/>
    </row>
    <row r="48" spans="1:19">
      <c r="A48" s="602" t="s">
        <v>3712</v>
      </c>
      <c r="B48" s="618"/>
      <c r="C48" s="618"/>
      <c r="D48" s="618"/>
      <c r="E48" s="618"/>
      <c r="F48" s="618"/>
      <c r="G48" s="618"/>
      <c r="H48" s="618"/>
      <c r="I48" s="618"/>
      <c r="J48" s="618"/>
      <c r="K48" s="618"/>
      <c r="L48" s="618"/>
      <c r="M48" s="618"/>
      <c r="N48" s="618"/>
      <c r="O48" s="618"/>
      <c r="P48" s="607"/>
      <c r="Q48" s="604"/>
      <c r="S48" s="577"/>
    </row>
    <row r="49" spans="1:19">
      <c r="A49" s="571">
        <v>1</v>
      </c>
      <c r="B49" s="572" t="s">
        <v>3713</v>
      </c>
      <c r="C49" s="571">
        <v>2</v>
      </c>
      <c r="D49" s="573" t="s">
        <v>3714</v>
      </c>
      <c r="E49" s="578"/>
      <c r="F49" s="571"/>
      <c r="G49" s="615"/>
      <c r="H49" s="571"/>
      <c r="I49" s="571"/>
      <c r="J49" s="571"/>
      <c r="K49" s="575"/>
      <c r="L49" s="575"/>
      <c r="M49" s="575"/>
      <c r="N49" s="575"/>
      <c r="O49" s="571"/>
      <c r="P49" s="608">
        <v>0</v>
      </c>
      <c r="Q49" s="597" t="str">
        <f>IF((C49*P49)&gt;0, C49*P49, IF((C49*P49+P49=0), "–", "NĚKDE JE CHYBA!"))</f>
        <v>–</v>
      </c>
      <c r="S49" s="577"/>
    </row>
    <row r="50" spans="1:19">
      <c r="A50" s="602" t="s">
        <v>3715</v>
      </c>
      <c r="B50" s="618"/>
      <c r="C50" s="618"/>
      <c r="D50" s="618"/>
      <c r="E50" s="618"/>
      <c r="F50" s="618"/>
      <c r="G50" s="618"/>
      <c r="H50" s="618"/>
      <c r="I50" s="618"/>
      <c r="J50" s="618"/>
      <c r="K50" s="618"/>
      <c r="L50" s="618"/>
      <c r="M50" s="618"/>
      <c r="N50" s="618"/>
      <c r="O50" s="618"/>
      <c r="P50" s="607"/>
      <c r="Q50" s="604"/>
      <c r="S50" s="577"/>
    </row>
    <row r="51" spans="1:19">
      <c r="A51" s="571">
        <v>1</v>
      </c>
      <c r="B51" s="572" t="s">
        <v>3713</v>
      </c>
      <c r="C51" s="571">
        <v>10</v>
      </c>
      <c r="D51" s="573" t="s">
        <v>3716</v>
      </c>
      <c r="E51" s="571"/>
      <c r="F51" s="571"/>
      <c r="G51" s="571"/>
      <c r="H51" s="571"/>
      <c r="I51" s="571"/>
      <c r="J51" s="571"/>
      <c r="K51" s="575"/>
      <c r="L51" s="575"/>
      <c r="M51" s="575"/>
      <c r="N51" s="575"/>
      <c r="O51" s="571"/>
      <c r="P51" s="617">
        <v>0</v>
      </c>
      <c r="Q51" s="597" t="str">
        <f>IF((C51*P51)&gt;0, C51*P51, IF((C51*P51+P51=0), "–", "NĚKDE JE CHYBA!"))</f>
        <v>–</v>
      </c>
      <c r="S51" s="577"/>
    </row>
    <row r="52" spans="1:19">
      <c r="A52" s="571">
        <v>2</v>
      </c>
      <c r="B52" s="572" t="s">
        <v>3713</v>
      </c>
      <c r="C52" s="571">
        <v>1</v>
      </c>
      <c r="D52" s="573" t="s">
        <v>3717</v>
      </c>
      <c r="E52" s="571"/>
      <c r="F52" s="571"/>
      <c r="G52" s="571"/>
      <c r="H52" s="571"/>
      <c r="I52" s="571"/>
      <c r="J52" s="571"/>
      <c r="K52" s="575"/>
      <c r="L52" s="575"/>
      <c r="M52" s="575"/>
      <c r="N52" s="575"/>
      <c r="O52" s="571"/>
      <c r="P52" s="617">
        <v>0</v>
      </c>
      <c r="Q52" s="597" t="str">
        <f>IF((C52*P52)&gt;0, C52*P52, IF((C52*P52+P52=0), "–", "NĚKDE JE CHYBA!"))</f>
        <v>–</v>
      </c>
      <c r="S52" s="577"/>
    </row>
    <row r="53" spans="1:19" ht="30">
      <c r="A53" s="571">
        <v>3</v>
      </c>
      <c r="B53" s="572" t="s">
        <v>3683</v>
      </c>
      <c r="C53" s="571">
        <v>1</v>
      </c>
      <c r="D53" s="573" t="s">
        <v>3684</v>
      </c>
      <c r="E53" s="571"/>
      <c r="F53" s="571"/>
      <c r="G53" s="578" t="str">
        <f>IF((E53+F53)&gt;0, C53*(E53+F53), "")</f>
        <v/>
      </c>
      <c r="H53" s="571"/>
      <c r="I53" s="571"/>
      <c r="J53" s="571"/>
      <c r="K53" s="575"/>
      <c r="L53" s="575"/>
      <c r="M53" s="575"/>
      <c r="N53" s="575"/>
      <c r="O53" s="576" t="s">
        <v>3685</v>
      </c>
      <c r="P53" s="621">
        <v>0</v>
      </c>
      <c r="Q53" s="597" t="str">
        <f>IF((C53*P53)&gt;0, C53*P53, IF((C53*P53+P53=0), "–", "NĚKDE JE CHYBA!"))</f>
        <v>–</v>
      </c>
      <c r="S53" s="577"/>
    </row>
    <row r="54" spans="1:19">
      <c r="A54" s="602" t="s">
        <v>3718</v>
      </c>
      <c r="B54" s="618"/>
      <c r="C54" s="618"/>
      <c r="D54" s="618"/>
      <c r="E54" s="618"/>
      <c r="F54" s="618"/>
      <c r="G54" s="618"/>
      <c r="H54" s="618"/>
      <c r="I54" s="618"/>
      <c r="J54" s="618"/>
      <c r="K54" s="618"/>
      <c r="L54" s="618"/>
      <c r="M54" s="618"/>
      <c r="N54" s="618"/>
      <c r="O54" s="618"/>
      <c r="P54" s="607"/>
      <c r="Q54" s="604"/>
      <c r="S54" s="577"/>
    </row>
    <row r="55" spans="1:19">
      <c r="A55" s="571">
        <v>1</v>
      </c>
      <c r="B55" s="572" t="s">
        <v>3658</v>
      </c>
      <c r="C55" s="571">
        <v>6</v>
      </c>
      <c r="D55" s="573" t="s">
        <v>3716</v>
      </c>
      <c r="E55" s="571"/>
      <c r="F55" s="571"/>
      <c r="G55" s="571"/>
      <c r="H55" s="571"/>
      <c r="I55" s="571"/>
      <c r="J55" s="571"/>
      <c r="K55" s="575"/>
      <c r="L55" s="575"/>
      <c r="M55" s="575"/>
      <c r="N55" s="575"/>
      <c r="O55" s="571"/>
      <c r="P55" s="608">
        <v>0</v>
      </c>
      <c r="Q55" s="597" t="str">
        <f>IF((C55*P55)&gt;0, C55*P55, IF((C55*P55+P55=0), "–", "NĚKDE JE CHYBA!"))</f>
        <v>–</v>
      </c>
      <c r="S55" s="577"/>
    </row>
    <row r="56" spans="1:19">
      <c r="A56" s="571">
        <v>2</v>
      </c>
      <c r="B56" s="572" t="s">
        <v>3658</v>
      </c>
      <c r="C56" s="571">
        <v>1</v>
      </c>
      <c r="D56" s="573" t="s">
        <v>3717</v>
      </c>
      <c r="E56" s="571"/>
      <c r="F56" s="571"/>
      <c r="G56" s="571"/>
      <c r="H56" s="571"/>
      <c r="I56" s="571"/>
      <c r="J56" s="571"/>
      <c r="K56" s="575"/>
      <c r="L56" s="575"/>
      <c r="M56" s="575"/>
      <c r="N56" s="575"/>
      <c r="O56" s="571"/>
      <c r="P56" s="608">
        <v>0</v>
      </c>
      <c r="Q56" s="597" t="str">
        <f>IF((C56*P56)&gt;0, C56*P56, IF((C56*P56+P56=0), "–", "NĚKDE JE CHYBA!"))</f>
        <v>–</v>
      </c>
      <c r="S56" s="577"/>
    </row>
    <row r="57" spans="1:19" ht="30">
      <c r="A57" s="571">
        <v>3</v>
      </c>
      <c r="B57" s="572" t="s">
        <v>5849</v>
      </c>
      <c r="C57" s="571">
        <v>1</v>
      </c>
      <c r="D57" s="573" t="s">
        <v>3697</v>
      </c>
      <c r="E57" s="571"/>
      <c r="F57" s="571"/>
      <c r="G57" s="615" t="str">
        <f>IF((E57+F57)&gt;0, C57*(E57+F57), "")</f>
        <v/>
      </c>
      <c r="H57" s="571"/>
      <c r="I57" s="571"/>
      <c r="J57" s="571"/>
      <c r="K57" s="575"/>
      <c r="L57" s="575"/>
      <c r="M57" s="575"/>
      <c r="N57" s="575" t="s">
        <v>3677</v>
      </c>
      <c r="O57" s="571"/>
      <c r="P57" s="608">
        <v>0</v>
      </c>
      <c r="Q57" s="597" t="str">
        <f>IF((C57*P57)&gt;0, C57*P57, IF((C57*P57+P57=0), "–", "NĚKDE JE CHYBA!"))</f>
        <v>–</v>
      </c>
      <c r="S57" s="577"/>
    </row>
    <row r="58" spans="1:19">
      <c r="A58" s="602" t="s">
        <v>3719</v>
      </c>
      <c r="B58" s="618"/>
      <c r="C58" s="618"/>
      <c r="D58" s="618"/>
      <c r="E58" s="618"/>
      <c r="F58" s="618"/>
      <c r="G58" s="618"/>
      <c r="H58" s="618"/>
      <c r="I58" s="618"/>
      <c r="J58" s="618"/>
      <c r="K58" s="618"/>
      <c r="L58" s="618"/>
      <c r="M58" s="618"/>
      <c r="N58" s="618"/>
      <c r="O58" s="618"/>
      <c r="P58" s="607"/>
      <c r="Q58" s="604"/>
      <c r="S58" s="577"/>
    </row>
    <row r="59" spans="1:19">
      <c r="A59" s="571">
        <v>1</v>
      </c>
      <c r="B59" s="572" t="s">
        <v>3713</v>
      </c>
      <c r="C59" s="571">
        <v>3</v>
      </c>
      <c r="D59" s="573" t="s">
        <v>3716</v>
      </c>
      <c r="E59" s="571"/>
      <c r="F59" s="571"/>
      <c r="G59" s="571"/>
      <c r="H59" s="571"/>
      <c r="I59" s="571"/>
      <c r="J59" s="571"/>
      <c r="K59" s="575"/>
      <c r="L59" s="575"/>
      <c r="M59" s="575"/>
      <c r="N59" s="575"/>
      <c r="O59" s="571"/>
      <c r="P59" s="617">
        <v>0</v>
      </c>
      <c r="Q59" s="597" t="str">
        <f>IF((C59*P59)&gt;0, C59*P59, IF((C59*P59+P59=0), "–", "NĚKDE JE CHYBA!"))</f>
        <v>–</v>
      </c>
      <c r="S59" s="577"/>
    </row>
    <row r="60" spans="1:19">
      <c r="A60" s="571">
        <v>2</v>
      </c>
      <c r="B60" s="572" t="s">
        <v>3713</v>
      </c>
      <c r="C60" s="571">
        <v>1</v>
      </c>
      <c r="D60" s="573" t="s">
        <v>3720</v>
      </c>
      <c r="E60" s="571"/>
      <c r="F60" s="571"/>
      <c r="G60" s="571"/>
      <c r="H60" s="571"/>
      <c r="I60" s="571"/>
      <c r="J60" s="571"/>
      <c r="K60" s="575"/>
      <c r="L60" s="575"/>
      <c r="M60" s="575"/>
      <c r="N60" s="575"/>
      <c r="O60" s="571"/>
      <c r="P60" s="617">
        <v>0</v>
      </c>
      <c r="Q60" s="597" t="str">
        <f>IF((C60*P60)&gt;0, C60*P60, IF((C60*P60+P60=0), "–", "NĚKDE JE CHYBA!"))</f>
        <v>–</v>
      </c>
      <c r="S60" s="577"/>
    </row>
    <row r="61" spans="1:19">
      <c r="A61" s="571">
        <v>3</v>
      </c>
      <c r="B61" s="572" t="s">
        <v>3713</v>
      </c>
      <c r="C61" s="571">
        <v>3</v>
      </c>
      <c r="D61" s="573" t="s">
        <v>3721</v>
      </c>
      <c r="E61" s="571"/>
      <c r="F61" s="571"/>
      <c r="G61" s="571"/>
      <c r="H61" s="571"/>
      <c r="I61" s="571"/>
      <c r="J61" s="571"/>
      <c r="K61" s="575"/>
      <c r="L61" s="575"/>
      <c r="M61" s="575"/>
      <c r="N61" s="575"/>
      <c r="O61" s="571"/>
      <c r="P61" s="617">
        <v>0</v>
      </c>
      <c r="Q61" s="597" t="str">
        <f>IF((C61*P61)&gt;0, C61*P61, IF((C61*P61+P61=0), "–", "NĚKDE JE CHYBA!"))</f>
        <v>–</v>
      </c>
      <c r="S61" s="577"/>
    </row>
    <row r="62" spans="1:19" ht="15.6" thickBot="1">
      <c r="A62" s="579" t="s">
        <v>3722</v>
      </c>
      <c r="B62" s="613"/>
      <c r="C62" s="613"/>
      <c r="D62" s="613"/>
      <c r="E62" s="613"/>
      <c r="F62" s="613"/>
      <c r="G62" s="613"/>
      <c r="H62" s="613"/>
      <c r="I62" s="613"/>
      <c r="J62" s="613"/>
      <c r="K62" s="613"/>
      <c r="L62" s="613"/>
      <c r="M62" s="613"/>
      <c r="N62" s="613"/>
      <c r="O62" s="613"/>
      <c r="P62" s="614"/>
      <c r="Q62" s="598"/>
      <c r="S62" s="577"/>
    </row>
    <row r="63" spans="1:19">
      <c r="A63" s="581">
        <v>1</v>
      </c>
      <c r="B63" s="588" t="s">
        <v>3660</v>
      </c>
      <c r="P63" s="583"/>
      <c r="Q63" s="599" t="str">
        <f t="shared" ref="Q63:Q69" si="3">IF((C63*P63)&gt;0, C63*P63, IF((C63*P63+P63=0), "–", "NĚKDE JE CHYBA!"))</f>
        <v>–</v>
      </c>
      <c r="S63" s="577"/>
    </row>
    <row r="64" spans="1:19" ht="30">
      <c r="A64" s="571">
        <v>2</v>
      </c>
      <c r="B64" s="572" t="s">
        <v>3723</v>
      </c>
      <c r="C64" s="571">
        <v>1</v>
      </c>
      <c r="D64" s="573" t="s">
        <v>3724</v>
      </c>
      <c r="E64" s="571"/>
      <c r="F64" s="571"/>
      <c r="G64" s="615" t="str">
        <f>IF((E64+F64)&gt;0, C64*(E64+F64), "")</f>
        <v/>
      </c>
      <c r="H64" s="571"/>
      <c r="I64" s="571"/>
      <c r="J64" s="571"/>
      <c r="K64" s="575" t="s">
        <v>3654</v>
      </c>
      <c r="L64" s="575" t="s">
        <v>3654</v>
      </c>
      <c r="M64" s="575"/>
      <c r="N64" s="575" t="s">
        <v>3655</v>
      </c>
      <c r="O64" s="571"/>
      <c r="P64" s="608">
        <v>0</v>
      </c>
      <c r="Q64" s="597" t="str">
        <f t="shared" si="3"/>
        <v>–</v>
      </c>
      <c r="S64" s="577"/>
    </row>
    <row r="65" spans="1:19" ht="30">
      <c r="A65" s="571">
        <v>3</v>
      </c>
      <c r="B65" s="572" t="s">
        <v>5849</v>
      </c>
      <c r="C65" s="571">
        <v>1</v>
      </c>
      <c r="D65" s="573" t="s">
        <v>3725</v>
      </c>
      <c r="E65" s="571"/>
      <c r="F65" s="571"/>
      <c r="G65" s="615" t="str">
        <f>IF((E65+F65)&gt;0, C65*(E65+F65), "")</f>
        <v/>
      </c>
      <c r="H65" s="571"/>
      <c r="I65" s="571"/>
      <c r="J65" s="571"/>
      <c r="K65" s="575"/>
      <c r="L65" s="575"/>
      <c r="M65" s="575"/>
      <c r="N65" s="575" t="s">
        <v>3677</v>
      </c>
      <c r="O65" s="571"/>
      <c r="P65" s="608">
        <v>0</v>
      </c>
      <c r="Q65" s="597" t="str">
        <f t="shared" si="3"/>
        <v>–</v>
      </c>
      <c r="S65" s="577"/>
    </row>
    <row r="66" spans="1:19">
      <c r="A66" s="571">
        <v>4</v>
      </c>
      <c r="B66" s="610" t="s">
        <v>3726</v>
      </c>
      <c r="C66" s="571">
        <v>1</v>
      </c>
      <c r="D66" s="573" t="s">
        <v>3724</v>
      </c>
      <c r="E66" s="571"/>
      <c r="F66" s="571"/>
      <c r="G66" s="571"/>
      <c r="H66" s="571"/>
      <c r="I66" s="571"/>
      <c r="J66" s="571"/>
      <c r="K66" s="575"/>
      <c r="L66" s="575"/>
      <c r="M66" s="575"/>
      <c r="N66" s="575"/>
      <c r="O66" s="571"/>
      <c r="P66" s="608">
        <v>0</v>
      </c>
      <c r="Q66" s="597" t="str">
        <f t="shared" si="3"/>
        <v>–</v>
      </c>
      <c r="S66" s="577"/>
    </row>
    <row r="67" spans="1:19">
      <c r="A67" s="571">
        <v>5</v>
      </c>
      <c r="B67" s="572" t="s">
        <v>3656</v>
      </c>
      <c r="C67" s="571">
        <v>1</v>
      </c>
      <c r="D67" s="573" t="s">
        <v>3657</v>
      </c>
      <c r="E67" s="571"/>
      <c r="F67" s="571"/>
      <c r="G67" s="571"/>
      <c r="H67" s="571"/>
      <c r="I67" s="571"/>
      <c r="J67" s="571"/>
      <c r="K67" s="575" t="s">
        <v>3654</v>
      </c>
      <c r="L67" s="575" t="s">
        <v>3654</v>
      </c>
      <c r="M67" s="575"/>
      <c r="N67" s="575" t="s">
        <v>3655</v>
      </c>
      <c r="O67" s="571"/>
      <c r="P67" s="608">
        <v>0</v>
      </c>
      <c r="Q67" s="597" t="str">
        <f t="shared" si="3"/>
        <v>–</v>
      </c>
      <c r="S67" s="577"/>
    </row>
    <row r="68" spans="1:19">
      <c r="A68" s="571">
        <v>6</v>
      </c>
      <c r="B68" s="572" t="s">
        <v>3727</v>
      </c>
      <c r="C68" s="571">
        <v>2</v>
      </c>
      <c r="D68" s="573" t="s">
        <v>3728</v>
      </c>
      <c r="E68" s="571"/>
      <c r="F68" s="571"/>
      <c r="G68" s="571"/>
      <c r="H68" s="571"/>
      <c r="I68" s="571"/>
      <c r="J68" s="571"/>
      <c r="K68" s="575"/>
      <c r="L68" s="575"/>
      <c r="M68" s="575"/>
      <c r="N68" s="575"/>
      <c r="O68" s="571"/>
      <c r="P68" s="608">
        <v>0</v>
      </c>
      <c r="Q68" s="597" t="str">
        <f t="shared" si="3"/>
        <v>–</v>
      </c>
      <c r="S68" s="577"/>
    </row>
    <row r="69" spans="1:19">
      <c r="A69" s="571">
        <v>7</v>
      </c>
      <c r="B69" s="572" t="s">
        <v>3729</v>
      </c>
      <c r="C69" s="571">
        <v>1</v>
      </c>
      <c r="D69" s="573" t="s">
        <v>3721</v>
      </c>
      <c r="E69" s="571"/>
      <c r="F69" s="571"/>
      <c r="G69" s="571"/>
      <c r="H69" s="571"/>
      <c r="I69" s="571"/>
      <c r="J69" s="571"/>
      <c r="K69" s="575"/>
      <c r="L69" s="575"/>
      <c r="M69" s="575"/>
      <c r="N69" s="575"/>
      <c r="O69" s="571"/>
      <c r="P69" s="608">
        <v>0</v>
      </c>
      <c r="Q69" s="597" t="str">
        <f t="shared" si="3"/>
        <v>–</v>
      </c>
      <c r="S69" s="577"/>
    </row>
    <row r="70" spans="1:19">
      <c r="A70" s="602" t="s">
        <v>3730</v>
      </c>
      <c r="B70" s="618"/>
      <c r="C70" s="618"/>
      <c r="D70" s="618"/>
      <c r="E70" s="618"/>
      <c r="F70" s="618"/>
      <c r="G70" s="618"/>
      <c r="H70" s="618"/>
      <c r="I70" s="618"/>
      <c r="J70" s="618"/>
      <c r="K70" s="618"/>
      <c r="L70" s="618"/>
      <c r="M70" s="618"/>
      <c r="N70" s="618"/>
      <c r="O70" s="618"/>
      <c r="P70" s="607"/>
      <c r="Q70" s="604"/>
      <c r="S70" s="577"/>
    </row>
    <row r="71" spans="1:19">
      <c r="A71" s="571">
        <v>1</v>
      </c>
      <c r="B71" s="572" t="s">
        <v>3713</v>
      </c>
      <c r="C71" s="571">
        <v>2</v>
      </c>
      <c r="D71" s="573" t="s">
        <v>3659</v>
      </c>
      <c r="E71" s="571"/>
      <c r="F71" s="571"/>
      <c r="G71" s="571"/>
      <c r="H71" s="571"/>
      <c r="I71" s="571"/>
      <c r="J71" s="571"/>
      <c r="K71" s="575"/>
      <c r="L71" s="575"/>
      <c r="M71" s="575"/>
      <c r="N71" s="575"/>
      <c r="O71" s="571"/>
      <c r="P71" s="617">
        <v>0</v>
      </c>
      <c r="Q71" s="597" t="str">
        <f>IF((C71*P71)&gt;0, C71*P71, IF((C71*P71+P71=0), "–", "NĚKDE JE CHYBA!"))</f>
        <v>–</v>
      </c>
      <c r="S71" s="577"/>
    </row>
    <row r="72" spans="1:19">
      <c r="A72" s="602" t="s">
        <v>3731</v>
      </c>
      <c r="B72" s="618"/>
      <c r="C72" s="618"/>
      <c r="D72" s="618"/>
      <c r="E72" s="618"/>
      <c r="F72" s="618"/>
      <c r="G72" s="618"/>
      <c r="H72" s="618"/>
      <c r="I72" s="618"/>
      <c r="J72" s="618"/>
      <c r="K72" s="618"/>
      <c r="L72" s="618"/>
      <c r="M72" s="618"/>
      <c r="N72" s="618"/>
      <c r="O72" s="618"/>
      <c r="P72" s="607"/>
      <c r="Q72" s="604"/>
      <c r="S72" s="577"/>
    </row>
    <row r="73" spans="1:19">
      <c r="A73" s="571">
        <v>1</v>
      </c>
      <c r="B73" s="572" t="s">
        <v>3713</v>
      </c>
      <c r="C73" s="571">
        <v>1</v>
      </c>
      <c r="D73" s="573" t="s">
        <v>3732</v>
      </c>
      <c r="E73" s="571"/>
      <c r="F73" s="571"/>
      <c r="G73" s="571"/>
      <c r="H73" s="571"/>
      <c r="I73" s="571"/>
      <c r="J73" s="571"/>
      <c r="K73" s="575"/>
      <c r="L73" s="575"/>
      <c r="M73" s="575"/>
      <c r="N73" s="575"/>
      <c r="O73" s="571"/>
      <c r="P73" s="617">
        <v>0</v>
      </c>
      <c r="Q73" s="597" t="str">
        <f>IF((C73*P73)&gt;0, C73*P73, IF((C73*P73+P73=0), "–", "NĚKDE JE CHYBA!"))</f>
        <v>–</v>
      </c>
      <c r="S73" s="577"/>
    </row>
    <row r="74" spans="1:19" ht="15.6" thickBot="1">
      <c r="A74" s="622" t="s">
        <v>3733</v>
      </c>
      <c r="B74" s="623"/>
      <c r="C74" s="623"/>
      <c r="D74" s="623"/>
      <c r="E74" s="623"/>
      <c r="F74" s="623"/>
      <c r="G74" s="623"/>
      <c r="H74" s="623"/>
      <c r="I74" s="623"/>
      <c r="J74" s="623"/>
      <c r="K74" s="623"/>
      <c r="L74" s="623"/>
      <c r="M74" s="623"/>
      <c r="N74" s="623"/>
      <c r="O74" s="623"/>
      <c r="P74" s="624"/>
      <c r="Q74" s="625"/>
      <c r="S74" s="577"/>
    </row>
    <row r="75" spans="1:19">
      <c r="A75" s="567" t="s">
        <v>3734</v>
      </c>
      <c r="B75" s="626"/>
      <c r="C75" s="626"/>
      <c r="D75" s="626"/>
      <c r="E75" s="626"/>
      <c r="F75" s="626"/>
      <c r="G75" s="626"/>
      <c r="H75" s="626"/>
      <c r="I75" s="626"/>
      <c r="J75" s="626"/>
      <c r="K75" s="626"/>
      <c r="L75" s="626"/>
      <c r="M75" s="626"/>
      <c r="N75" s="626"/>
      <c r="O75" s="626"/>
      <c r="P75" s="627"/>
      <c r="Q75" s="628"/>
      <c r="S75" s="577"/>
    </row>
    <row r="76" spans="1:19" ht="45">
      <c r="A76" s="654">
        <v>1</v>
      </c>
      <c r="B76" s="630" t="s">
        <v>3735</v>
      </c>
      <c r="C76" s="654">
        <v>1</v>
      </c>
      <c r="D76" s="632" t="s">
        <v>3736</v>
      </c>
      <c r="E76" s="657">
        <v>0</v>
      </c>
      <c r="F76" s="634">
        <v>36.9</v>
      </c>
      <c r="G76" s="660">
        <f>IF((E76+F76)&gt;0, C76*(E76+F76), "")</f>
        <v>36.9</v>
      </c>
      <c r="H76" s="654"/>
      <c r="I76" s="631"/>
      <c r="J76" s="631"/>
      <c r="K76" s="635" t="s">
        <v>3700</v>
      </c>
      <c r="L76" s="635"/>
      <c r="M76" s="635" t="s">
        <v>3700</v>
      </c>
      <c r="N76" s="635" t="s">
        <v>3655</v>
      </c>
      <c r="O76" s="657" t="s">
        <v>3737</v>
      </c>
      <c r="P76" s="666">
        <v>0</v>
      </c>
      <c r="Q76" s="665" t="str">
        <f>IF((C76*P76)&gt;0, C76*P76, IF((C76*P76+P76=0), "–", "NĚKDE JE CHYBA!"))</f>
        <v>–</v>
      </c>
      <c r="S76" s="577"/>
    </row>
    <row r="77" spans="1:19" ht="150.6" customHeight="1">
      <c r="A77" s="655"/>
      <c r="B77" s="638" t="s">
        <v>5894</v>
      </c>
      <c r="C77" s="655"/>
      <c r="D77" s="640"/>
      <c r="E77" s="658"/>
      <c r="F77" s="642"/>
      <c r="G77" s="661"/>
      <c r="H77" s="655"/>
      <c r="I77" s="639"/>
      <c r="J77" s="639"/>
      <c r="K77" s="643"/>
      <c r="L77" s="643"/>
      <c r="M77" s="643"/>
      <c r="N77" s="643"/>
      <c r="O77" s="658"/>
      <c r="P77" s="663"/>
      <c r="Q77" s="663"/>
      <c r="S77" s="577"/>
    </row>
    <row r="78" spans="1:19" ht="185.4" customHeight="1">
      <c r="A78" s="656"/>
      <c r="B78" s="646" t="s">
        <v>5895</v>
      </c>
      <c r="C78" s="656"/>
      <c r="D78" s="648"/>
      <c r="E78" s="659"/>
      <c r="F78" s="650"/>
      <c r="G78" s="662"/>
      <c r="H78" s="656"/>
      <c r="I78" s="647"/>
      <c r="J78" s="647"/>
      <c r="K78" s="651"/>
      <c r="L78" s="651"/>
      <c r="M78" s="651"/>
      <c r="N78" s="651"/>
      <c r="O78" s="659"/>
      <c r="P78" s="664"/>
      <c r="Q78" s="664"/>
      <c r="S78" s="577"/>
    </row>
    <row r="79" spans="1:19" ht="30">
      <c r="A79" s="571">
        <v>2</v>
      </c>
      <c r="B79" s="572" t="s">
        <v>5849</v>
      </c>
      <c r="C79" s="571">
        <v>1</v>
      </c>
      <c r="D79" s="573" t="s">
        <v>3738</v>
      </c>
      <c r="E79" s="571"/>
      <c r="F79" s="571"/>
      <c r="G79" s="615" t="str">
        <f>IF((E79+F79)&gt;0, C79*(E79+F79), "")</f>
        <v/>
      </c>
      <c r="H79" s="571"/>
      <c r="I79" s="571"/>
      <c r="J79" s="571"/>
      <c r="K79" s="575"/>
      <c r="L79" s="575"/>
      <c r="M79" s="575"/>
      <c r="N79" s="575" t="s">
        <v>3677</v>
      </c>
      <c r="O79" s="571"/>
      <c r="P79" s="608">
        <v>0</v>
      </c>
      <c r="Q79" s="597" t="str">
        <f>IF((C79*P79)&gt;0, C79*P79, IF((C79*P79+P79=0), "–", "NĚKDE JE CHYBA!"))</f>
        <v>–</v>
      </c>
      <c r="S79" s="577"/>
    </row>
    <row r="80" spans="1:19">
      <c r="A80" s="571">
        <v>3</v>
      </c>
      <c r="B80" s="572" t="s">
        <v>3739</v>
      </c>
      <c r="C80" s="571">
        <v>1</v>
      </c>
      <c r="D80" s="573" t="s">
        <v>3740</v>
      </c>
      <c r="E80" s="571">
        <v>0.4</v>
      </c>
      <c r="F80" s="571">
        <v>0</v>
      </c>
      <c r="G80" s="615">
        <f>IF((E80+F80)&gt;0, C80*(E80+F80), "")</f>
        <v>0.4</v>
      </c>
      <c r="H80" s="571"/>
      <c r="I80" s="571"/>
      <c r="J80" s="571"/>
      <c r="K80" s="575" t="s">
        <v>3700</v>
      </c>
      <c r="L80" s="575"/>
      <c r="M80" s="575"/>
      <c r="N80" s="575" t="s">
        <v>3655</v>
      </c>
      <c r="O80" s="576"/>
      <c r="P80" s="608">
        <v>0</v>
      </c>
      <c r="Q80" s="597" t="str">
        <f>IF((C80*P80)&gt;0, C80*P80, IF((C80*P80+P80=0), "–", "NĚKDE JE CHYBA!"))</f>
        <v>–</v>
      </c>
      <c r="S80" s="577"/>
    </row>
    <row r="81" spans="1:19" ht="45">
      <c r="A81" s="654">
        <v>4</v>
      </c>
      <c r="B81" s="667" t="s">
        <v>5891</v>
      </c>
      <c r="C81" s="631">
        <v>1</v>
      </c>
      <c r="D81" s="670" t="s">
        <v>3741</v>
      </c>
      <c r="E81" s="633">
        <v>0</v>
      </c>
      <c r="F81" s="660">
        <v>18.600000000000001</v>
      </c>
      <c r="G81" s="634">
        <f>IF((E81+F81)&gt;0, C81*(E81+F81), "")</f>
        <v>18.600000000000001</v>
      </c>
      <c r="H81" s="654"/>
      <c r="I81" s="631"/>
      <c r="J81" s="631"/>
      <c r="K81" s="632" t="s">
        <v>3700</v>
      </c>
      <c r="L81" s="635"/>
      <c r="M81" s="632" t="s">
        <v>3700</v>
      </c>
      <c r="N81" s="632" t="s">
        <v>3655</v>
      </c>
      <c r="O81" s="657" t="s">
        <v>3737</v>
      </c>
      <c r="P81" s="673">
        <v>0</v>
      </c>
      <c r="Q81" s="665" t="str">
        <f>IF((C81*P81)&gt;0, C81*P81, IF((C81*P81+P81=0), "–", "NĚKDE JE CHYBA!"))</f>
        <v>–</v>
      </c>
      <c r="S81" s="577"/>
    </row>
    <row r="82" spans="1:19" ht="182.4" customHeight="1">
      <c r="A82" s="655"/>
      <c r="B82" s="668" t="s">
        <v>5892</v>
      </c>
      <c r="C82" s="639"/>
      <c r="D82" s="671"/>
      <c r="E82" s="641"/>
      <c r="F82" s="661"/>
      <c r="G82" s="642"/>
      <c r="H82" s="655"/>
      <c r="I82" s="639"/>
      <c r="J82" s="639"/>
      <c r="K82" s="640"/>
      <c r="L82" s="643"/>
      <c r="M82" s="640"/>
      <c r="N82" s="640"/>
      <c r="O82" s="658"/>
      <c r="P82" s="600"/>
      <c r="Q82" s="663"/>
      <c r="S82" s="762"/>
    </row>
    <row r="83" spans="1:19" ht="133.94999999999999" customHeight="1">
      <c r="A83" s="656"/>
      <c r="B83" s="669" t="s">
        <v>5893</v>
      </c>
      <c r="C83" s="647"/>
      <c r="D83" s="672"/>
      <c r="E83" s="649"/>
      <c r="F83" s="662"/>
      <c r="G83" s="650"/>
      <c r="H83" s="656"/>
      <c r="I83" s="647"/>
      <c r="J83" s="647"/>
      <c r="K83" s="648"/>
      <c r="L83" s="651"/>
      <c r="M83" s="648"/>
      <c r="N83" s="648"/>
      <c r="O83" s="659"/>
      <c r="P83" s="652"/>
      <c r="Q83" s="664"/>
      <c r="S83" s="762"/>
    </row>
    <row r="84" spans="1:19" ht="45">
      <c r="A84" s="629">
        <v>5</v>
      </c>
      <c r="B84" s="667" t="s">
        <v>3742</v>
      </c>
      <c r="C84" s="631">
        <v>1</v>
      </c>
      <c r="D84" s="670" t="s">
        <v>3743</v>
      </c>
      <c r="E84" s="633">
        <v>0</v>
      </c>
      <c r="F84" s="660">
        <v>10.9</v>
      </c>
      <c r="G84" s="634">
        <f>IF((E84+F84)&gt;0, C84*(E84+F84), "")</f>
        <v>10.9</v>
      </c>
      <c r="H84" s="654"/>
      <c r="I84" s="631"/>
      <c r="J84" s="631"/>
      <c r="K84" s="632" t="s">
        <v>3700</v>
      </c>
      <c r="L84" s="635"/>
      <c r="M84" s="632" t="s">
        <v>3700</v>
      </c>
      <c r="N84" s="632" t="s">
        <v>3655</v>
      </c>
      <c r="O84" s="657" t="s">
        <v>3737</v>
      </c>
      <c r="P84" s="666">
        <v>0</v>
      </c>
      <c r="Q84" s="636" t="str">
        <f>IF((C84*P84)&gt;0, C84*P84, IF((C84*P84+P84=0), "–", "NĚKDE JE CHYBA!"))</f>
        <v>–</v>
      </c>
      <c r="S84" s="577"/>
    </row>
    <row r="85" spans="1:19" ht="131.4" customHeight="1">
      <c r="A85" s="637"/>
      <c r="B85" s="668" t="s">
        <v>3744</v>
      </c>
      <c r="C85" s="639"/>
      <c r="D85" s="671"/>
      <c r="E85" s="641"/>
      <c r="F85" s="661"/>
      <c r="G85" s="642"/>
      <c r="H85" s="655"/>
      <c r="I85" s="639"/>
      <c r="J85" s="639"/>
      <c r="K85" s="640"/>
      <c r="L85" s="643"/>
      <c r="M85" s="640"/>
      <c r="N85" s="640"/>
      <c r="O85" s="658"/>
      <c r="P85" s="663"/>
      <c r="Q85" s="644"/>
      <c r="S85" s="577"/>
    </row>
    <row r="86" spans="1:19" ht="288.60000000000002" customHeight="1">
      <c r="A86" s="645"/>
      <c r="B86" s="669" t="s">
        <v>3745</v>
      </c>
      <c r="C86" s="647"/>
      <c r="D86" s="672"/>
      <c r="E86" s="649"/>
      <c r="F86" s="662"/>
      <c r="G86" s="650"/>
      <c r="H86" s="656"/>
      <c r="I86" s="647"/>
      <c r="J86" s="647"/>
      <c r="K86" s="648"/>
      <c r="L86" s="651"/>
      <c r="M86" s="648"/>
      <c r="N86" s="648"/>
      <c r="O86" s="659"/>
      <c r="P86" s="664"/>
      <c r="Q86" s="653"/>
      <c r="S86" s="577"/>
    </row>
    <row r="87" spans="1:19">
      <c r="A87" s="571">
        <v>6</v>
      </c>
      <c r="B87" s="572" t="s">
        <v>3746</v>
      </c>
      <c r="C87" s="571">
        <v>1</v>
      </c>
      <c r="D87" s="573" t="s">
        <v>3747</v>
      </c>
      <c r="E87" s="571"/>
      <c r="F87" s="571"/>
      <c r="G87" s="615" t="str">
        <f t="shared" ref="G87:G92" si="4">IF((E87+F87)&gt;0, C87*(E87+F87), "")</f>
        <v/>
      </c>
      <c r="H87" s="571"/>
      <c r="I87" s="571"/>
      <c r="J87" s="571"/>
      <c r="K87" s="575"/>
      <c r="L87" s="575"/>
      <c r="M87" s="575"/>
      <c r="N87" s="575"/>
      <c r="O87" s="674" t="s">
        <v>3748</v>
      </c>
      <c r="P87" s="608">
        <v>0</v>
      </c>
      <c r="Q87" s="597" t="str">
        <f t="shared" ref="Q87:Q92" si="5">IF((C87*P87)&gt;0, C87*P87, IF((C87*P87+P87=0), "–", "NĚKDE JE CHYBA!"))</f>
        <v>–</v>
      </c>
      <c r="S87" s="577"/>
    </row>
    <row r="88" spans="1:19">
      <c r="A88" s="571">
        <v>7</v>
      </c>
      <c r="B88" s="572" t="s">
        <v>3749</v>
      </c>
      <c r="C88" s="571">
        <v>1</v>
      </c>
      <c r="D88" s="573" t="s">
        <v>3750</v>
      </c>
      <c r="E88" s="571">
        <v>0</v>
      </c>
      <c r="F88" s="578">
        <v>3.5</v>
      </c>
      <c r="G88" s="615">
        <f t="shared" si="4"/>
        <v>3.5</v>
      </c>
      <c r="H88" s="571"/>
      <c r="I88" s="571"/>
      <c r="J88" s="571"/>
      <c r="K88" s="575"/>
      <c r="L88" s="575"/>
      <c r="M88" s="575"/>
      <c r="N88" s="575" t="s">
        <v>3655</v>
      </c>
      <c r="O88" s="571"/>
      <c r="P88" s="608">
        <v>0</v>
      </c>
      <c r="Q88" s="597" t="str">
        <f t="shared" si="5"/>
        <v>–</v>
      </c>
      <c r="S88" s="577"/>
    </row>
    <row r="89" spans="1:19" ht="30">
      <c r="A89" s="571">
        <v>8</v>
      </c>
      <c r="B89" s="572" t="s">
        <v>3751</v>
      </c>
      <c r="C89" s="571">
        <v>1</v>
      </c>
      <c r="D89" s="573" t="s">
        <v>3752</v>
      </c>
      <c r="E89" s="578"/>
      <c r="F89" s="578"/>
      <c r="G89" s="578" t="str">
        <f t="shared" si="4"/>
        <v/>
      </c>
      <c r="H89" s="571"/>
      <c r="I89" s="571"/>
      <c r="J89" s="571"/>
      <c r="K89" s="575" t="s">
        <v>3654</v>
      </c>
      <c r="L89" s="575" t="s">
        <v>3654</v>
      </c>
      <c r="M89" s="575"/>
      <c r="N89" s="575" t="s">
        <v>3655</v>
      </c>
      <c r="O89" s="571"/>
      <c r="P89" s="608">
        <v>0</v>
      </c>
      <c r="Q89" s="597" t="str">
        <f t="shared" si="5"/>
        <v>–</v>
      </c>
      <c r="S89" s="577"/>
    </row>
    <row r="90" spans="1:19" ht="45">
      <c r="A90" s="571">
        <v>9</v>
      </c>
      <c r="B90" s="572" t="s">
        <v>3753</v>
      </c>
      <c r="C90" s="571">
        <v>1</v>
      </c>
      <c r="D90" s="573" t="s">
        <v>3754</v>
      </c>
      <c r="E90" s="578">
        <v>1</v>
      </c>
      <c r="F90" s="571">
        <v>0</v>
      </c>
      <c r="G90" s="615">
        <f t="shared" si="4"/>
        <v>1</v>
      </c>
      <c r="H90" s="571"/>
      <c r="I90" s="571"/>
      <c r="J90" s="571"/>
      <c r="K90" s="575"/>
      <c r="L90" s="575"/>
      <c r="M90" s="575"/>
      <c r="N90" s="575" t="s">
        <v>3655</v>
      </c>
      <c r="O90" s="571"/>
      <c r="P90" s="608">
        <v>0</v>
      </c>
      <c r="Q90" s="597" t="str">
        <f t="shared" si="5"/>
        <v>–</v>
      </c>
      <c r="S90" s="577"/>
    </row>
    <row r="91" spans="1:19">
      <c r="A91" s="571">
        <v>33</v>
      </c>
      <c r="B91" s="610" t="s">
        <v>3755</v>
      </c>
      <c r="C91" s="571">
        <v>2</v>
      </c>
      <c r="D91" s="573" t="s">
        <v>3756</v>
      </c>
      <c r="E91" s="571"/>
      <c r="F91" s="571"/>
      <c r="G91" s="615" t="str">
        <f t="shared" si="4"/>
        <v/>
      </c>
      <c r="H91" s="571"/>
      <c r="I91" s="571"/>
      <c r="J91" s="571"/>
      <c r="K91" s="575"/>
      <c r="L91" s="575"/>
      <c r="M91" s="575"/>
      <c r="N91" s="575"/>
      <c r="O91" s="571"/>
      <c r="P91" s="608">
        <v>0</v>
      </c>
      <c r="Q91" s="597" t="str">
        <f t="shared" si="5"/>
        <v>–</v>
      </c>
      <c r="S91" s="577"/>
    </row>
    <row r="92" spans="1:19">
      <c r="A92" s="629">
        <v>34</v>
      </c>
      <c r="B92" s="667" t="s">
        <v>5888</v>
      </c>
      <c r="C92" s="631">
        <v>2</v>
      </c>
      <c r="D92" s="670" t="s">
        <v>3757</v>
      </c>
      <c r="E92" s="631">
        <v>0</v>
      </c>
      <c r="F92" s="678">
        <v>5</v>
      </c>
      <c r="G92" s="634">
        <f t="shared" si="4"/>
        <v>10</v>
      </c>
      <c r="H92" s="678">
        <v>32</v>
      </c>
      <c r="I92" s="675">
        <f>H92*C92</f>
        <v>64</v>
      </c>
      <c r="J92" s="631" t="s">
        <v>3700</v>
      </c>
      <c r="K92" s="635"/>
      <c r="L92" s="635"/>
      <c r="M92" s="635"/>
      <c r="N92" s="635"/>
      <c r="O92" s="654"/>
      <c r="P92" s="673">
        <v>0</v>
      </c>
      <c r="Q92" s="665" t="str">
        <f t="shared" si="5"/>
        <v>–</v>
      </c>
      <c r="S92" s="577"/>
    </row>
    <row r="93" spans="1:19" ht="189.6" customHeight="1">
      <c r="A93" s="637"/>
      <c r="B93" s="668" t="s">
        <v>5889</v>
      </c>
      <c r="C93" s="639"/>
      <c r="D93" s="671"/>
      <c r="E93" s="639"/>
      <c r="F93" s="679"/>
      <c r="G93" s="642"/>
      <c r="H93" s="679"/>
      <c r="I93" s="676"/>
      <c r="J93" s="639"/>
      <c r="K93" s="643"/>
      <c r="L93" s="643"/>
      <c r="M93" s="643"/>
      <c r="N93" s="643"/>
      <c r="O93" s="655"/>
      <c r="P93" s="600"/>
      <c r="Q93" s="663"/>
      <c r="S93" s="762"/>
    </row>
    <row r="94" spans="1:19" ht="222.6" customHeight="1">
      <c r="A94" s="645"/>
      <c r="B94" s="669" t="s">
        <v>5890</v>
      </c>
      <c r="C94" s="647"/>
      <c r="D94" s="672"/>
      <c r="E94" s="647"/>
      <c r="F94" s="680"/>
      <c r="G94" s="650"/>
      <c r="H94" s="680"/>
      <c r="I94" s="677"/>
      <c r="J94" s="647"/>
      <c r="K94" s="651"/>
      <c r="L94" s="651"/>
      <c r="M94" s="651"/>
      <c r="N94" s="651"/>
      <c r="O94" s="656"/>
      <c r="P94" s="652"/>
      <c r="Q94" s="664"/>
      <c r="S94" s="762"/>
    </row>
    <row r="95" spans="1:19" ht="45">
      <c r="A95" s="571">
        <v>35</v>
      </c>
      <c r="B95" s="610" t="s">
        <v>3758</v>
      </c>
      <c r="C95" s="571">
        <v>1</v>
      </c>
      <c r="D95" s="573" t="s">
        <v>3759</v>
      </c>
      <c r="E95" s="571"/>
      <c r="F95" s="571"/>
      <c r="G95" s="615" t="str">
        <f>IF((E95+F95)&gt;0, C95*(E95+F95), "")</f>
        <v/>
      </c>
      <c r="H95" s="571"/>
      <c r="I95" s="571"/>
      <c r="J95" s="571"/>
      <c r="K95" s="575"/>
      <c r="L95" s="575"/>
      <c r="M95" s="575"/>
      <c r="N95" s="575"/>
      <c r="O95" s="571"/>
      <c r="P95" s="608">
        <v>0</v>
      </c>
      <c r="Q95" s="597" t="str">
        <f>IF((C95*P95)&gt;0, C95*P95, IF((C95*P95+P95=0), "–", "NĚKDE JE CHYBA!"))</f>
        <v>–</v>
      </c>
      <c r="S95" s="762"/>
    </row>
    <row r="96" spans="1:19" ht="45">
      <c r="A96" s="629">
        <v>36</v>
      </c>
      <c r="B96" s="667" t="s">
        <v>5885</v>
      </c>
      <c r="C96" s="631">
        <v>1</v>
      </c>
      <c r="D96" s="670" t="s">
        <v>3760</v>
      </c>
      <c r="E96" s="631">
        <v>0.5</v>
      </c>
      <c r="F96" s="682">
        <v>0</v>
      </c>
      <c r="G96" s="634">
        <f>IF((E96+F96)&gt;0, C96*(E96+F96), "")</f>
        <v>0.5</v>
      </c>
      <c r="H96" s="678">
        <v>32</v>
      </c>
      <c r="I96" s="691">
        <v>32</v>
      </c>
      <c r="J96" s="654" t="s">
        <v>3700</v>
      </c>
      <c r="K96" s="683" t="s">
        <v>3654</v>
      </c>
      <c r="L96" s="683" t="s">
        <v>3654</v>
      </c>
      <c r="M96" s="683" t="s">
        <v>3654</v>
      </c>
      <c r="N96" s="692"/>
      <c r="O96" s="684" t="s">
        <v>3761</v>
      </c>
      <c r="P96" s="673">
        <v>0</v>
      </c>
      <c r="Q96" s="665" t="str">
        <f>IF((C96*P96)&gt;0, C96*P96, IF((C96*P96+P96=0), "–", "NĚKDE JE CHYBA!"))</f>
        <v>–</v>
      </c>
      <c r="S96" s="762"/>
    </row>
    <row r="97" spans="1:19" ht="111" customHeight="1">
      <c r="A97" s="637"/>
      <c r="B97" s="668" t="s">
        <v>5886</v>
      </c>
      <c r="C97" s="639"/>
      <c r="D97" s="671"/>
      <c r="E97" s="639"/>
      <c r="F97" s="689"/>
      <c r="G97" s="642"/>
      <c r="H97" s="679"/>
      <c r="I97" s="676"/>
      <c r="J97" s="639"/>
      <c r="K97" s="643"/>
      <c r="L97" s="643"/>
      <c r="M97" s="643"/>
      <c r="N97" s="685"/>
      <c r="O97" s="658"/>
      <c r="P97" s="686"/>
      <c r="Q97" s="693"/>
      <c r="S97" s="762"/>
    </row>
    <row r="98" spans="1:19" ht="387.6" customHeight="1">
      <c r="A98" s="645"/>
      <c r="B98" s="669" t="s">
        <v>5887</v>
      </c>
      <c r="C98" s="647"/>
      <c r="D98" s="672"/>
      <c r="E98" s="647"/>
      <c r="F98" s="690"/>
      <c r="G98" s="650"/>
      <c r="H98" s="680"/>
      <c r="I98" s="677"/>
      <c r="J98" s="647"/>
      <c r="K98" s="651"/>
      <c r="L98" s="651"/>
      <c r="M98" s="651"/>
      <c r="N98" s="687"/>
      <c r="O98" s="659"/>
      <c r="P98" s="688"/>
      <c r="Q98" s="694"/>
      <c r="S98" s="762"/>
    </row>
    <row r="99" spans="1:19" ht="47.4" customHeight="1">
      <c r="A99" s="571">
        <v>37</v>
      </c>
      <c r="B99" s="572" t="s">
        <v>5849</v>
      </c>
      <c r="C99" s="571">
        <v>1</v>
      </c>
      <c r="D99" s="573" t="s">
        <v>3762</v>
      </c>
      <c r="E99" s="571"/>
      <c r="F99" s="571"/>
      <c r="G99" s="615" t="str">
        <f>IF((E99+F99)&gt;0, C99*(E99+F99), "")</f>
        <v/>
      </c>
      <c r="H99" s="571"/>
      <c r="I99" s="571"/>
      <c r="J99" s="571"/>
      <c r="K99" s="575"/>
      <c r="L99" s="575"/>
      <c r="M99" s="575"/>
      <c r="N99" s="575" t="s">
        <v>3677</v>
      </c>
      <c r="O99" s="571"/>
      <c r="P99" s="608">
        <v>0</v>
      </c>
      <c r="Q99" s="597" t="str">
        <f>IF((C99*P99)&gt;0, C99*P99, IF((C99*P99+P99=0), "–", "NĚKDE JE CHYBA!"))</f>
        <v>–</v>
      </c>
      <c r="S99" s="762"/>
    </row>
    <row r="100" spans="1:19" ht="43.2" customHeight="1">
      <c r="A100" s="629">
        <v>38</v>
      </c>
      <c r="B100" s="667" t="s">
        <v>3763</v>
      </c>
      <c r="C100" s="631">
        <v>1</v>
      </c>
      <c r="D100" s="670" t="s">
        <v>3764</v>
      </c>
      <c r="E100" s="631">
        <v>0</v>
      </c>
      <c r="F100" s="678">
        <v>18</v>
      </c>
      <c r="G100" s="634">
        <f>IF((E100+F100)&gt;0, C100*(E100+F100), "")</f>
        <v>18</v>
      </c>
      <c r="H100" s="654"/>
      <c r="I100" s="631"/>
      <c r="J100" s="631"/>
      <c r="K100" s="635" t="s">
        <v>3654</v>
      </c>
      <c r="L100" s="635" t="s">
        <v>3654</v>
      </c>
      <c r="M100" s="635" t="s">
        <v>3654</v>
      </c>
      <c r="N100" s="635"/>
      <c r="O100" s="684" t="s">
        <v>3761</v>
      </c>
      <c r="P100" s="673">
        <v>0</v>
      </c>
      <c r="Q100" s="636" t="str">
        <f>IF((C100*P100)&gt;0, C100*P100, IF((C100*P100+P100=0), "–", "NĚKDE JE CHYBA!"))</f>
        <v>–</v>
      </c>
      <c r="S100" s="762"/>
    </row>
    <row r="101" spans="1:19" ht="30">
      <c r="A101" s="637"/>
      <c r="B101" s="668" t="s">
        <v>3765</v>
      </c>
      <c r="C101" s="639"/>
      <c r="D101" s="671"/>
      <c r="E101" s="639"/>
      <c r="F101" s="679"/>
      <c r="G101" s="642"/>
      <c r="H101" s="655"/>
      <c r="I101" s="639"/>
      <c r="J101" s="639"/>
      <c r="K101" s="643"/>
      <c r="L101" s="643"/>
      <c r="M101" s="643"/>
      <c r="N101" s="643"/>
      <c r="O101" s="658"/>
      <c r="P101" s="600"/>
      <c r="Q101" s="644"/>
      <c r="S101" s="762"/>
    </row>
    <row r="102" spans="1:19" ht="254.4" customHeight="1">
      <c r="A102" s="637"/>
      <c r="B102" s="668" t="s">
        <v>3766</v>
      </c>
      <c r="C102" s="639"/>
      <c r="D102" s="671"/>
      <c r="E102" s="639"/>
      <c r="F102" s="679"/>
      <c r="G102" s="642"/>
      <c r="H102" s="655"/>
      <c r="I102" s="639"/>
      <c r="J102" s="639"/>
      <c r="K102" s="643"/>
      <c r="L102" s="643"/>
      <c r="M102" s="643"/>
      <c r="N102" s="643"/>
      <c r="O102" s="658"/>
      <c r="P102" s="600"/>
      <c r="Q102" s="644"/>
      <c r="S102" s="762"/>
    </row>
    <row r="103" spans="1:19" ht="146.4" customHeight="1">
      <c r="A103" s="645"/>
      <c r="B103" s="669" t="s">
        <v>3767</v>
      </c>
      <c r="C103" s="647"/>
      <c r="D103" s="672"/>
      <c r="E103" s="647"/>
      <c r="F103" s="680"/>
      <c r="G103" s="650"/>
      <c r="H103" s="656"/>
      <c r="I103" s="647"/>
      <c r="J103" s="647"/>
      <c r="K103" s="651"/>
      <c r="L103" s="651"/>
      <c r="M103" s="651"/>
      <c r="N103" s="651"/>
      <c r="O103" s="659"/>
      <c r="P103" s="652"/>
      <c r="Q103" s="653"/>
      <c r="S103" s="762"/>
    </row>
    <row r="104" spans="1:19" ht="30">
      <c r="A104" s="571">
        <v>39</v>
      </c>
      <c r="B104" s="572" t="s">
        <v>5849</v>
      </c>
      <c r="C104" s="571">
        <v>1</v>
      </c>
      <c r="D104" s="573" t="s">
        <v>3768</v>
      </c>
      <c r="E104" s="571"/>
      <c r="F104" s="571"/>
      <c r="G104" s="615" t="str">
        <f>IF((E104+F104)&gt;0, C104*(E104+F104), "")</f>
        <v/>
      </c>
      <c r="H104" s="571"/>
      <c r="I104" s="571"/>
      <c r="J104" s="571"/>
      <c r="K104" s="575"/>
      <c r="L104" s="575"/>
      <c r="M104" s="575"/>
      <c r="N104" s="575" t="s">
        <v>3677</v>
      </c>
      <c r="O104" s="571"/>
      <c r="P104" s="608">
        <v>0</v>
      </c>
      <c r="Q104" s="597" t="str">
        <f>IF((C104*P104)&gt;0, C104*P104, IF((C104*P104+P104=0), "–", "NĚKDE JE CHYBA!"))</f>
        <v>–</v>
      </c>
      <c r="S104" s="762"/>
    </row>
    <row r="105" spans="1:19" ht="45">
      <c r="A105" s="629">
        <v>40</v>
      </c>
      <c r="B105" s="667" t="s">
        <v>5882</v>
      </c>
      <c r="C105" s="631">
        <v>2</v>
      </c>
      <c r="D105" s="670" t="s">
        <v>3757</v>
      </c>
      <c r="E105" s="631">
        <v>0.5</v>
      </c>
      <c r="F105" s="682">
        <v>0</v>
      </c>
      <c r="G105" s="634">
        <f>IF((E105+F105)&gt;0, C105*(E105+F105), "")</f>
        <v>1</v>
      </c>
      <c r="H105" s="678">
        <v>28</v>
      </c>
      <c r="I105" s="675">
        <f>H105*C105</f>
        <v>56</v>
      </c>
      <c r="J105" s="631" t="s">
        <v>3700</v>
      </c>
      <c r="K105" s="635" t="s">
        <v>3654</v>
      </c>
      <c r="L105" s="635" t="s">
        <v>3654</v>
      </c>
      <c r="M105" s="635" t="s">
        <v>3654</v>
      </c>
      <c r="N105" s="635"/>
      <c r="O105" s="684" t="s">
        <v>3761</v>
      </c>
      <c r="P105" s="673">
        <v>0</v>
      </c>
      <c r="Q105" s="665" t="str">
        <f>IF((C105*P105)&gt;0, C105*P105, IF((C105*P105+P105=0), "–", "NĚKDE JE CHYBA!"))</f>
        <v>–</v>
      </c>
      <c r="S105" s="762"/>
    </row>
    <row r="106" spans="1:19" ht="102" customHeight="1">
      <c r="A106" s="637"/>
      <c r="B106" s="668" t="s">
        <v>5883</v>
      </c>
      <c r="C106" s="639"/>
      <c r="D106" s="671"/>
      <c r="E106" s="639"/>
      <c r="F106" s="689"/>
      <c r="G106" s="642"/>
      <c r="H106" s="679"/>
      <c r="I106" s="676"/>
      <c r="J106" s="639"/>
      <c r="K106" s="643"/>
      <c r="L106" s="643"/>
      <c r="M106" s="643"/>
      <c r="N106" s="643"/>
      <c r="O106" s="658"/>
      <c r="P106" s="600"/>
      <c r="Q106" s="663"/>
      <c r="S106" s="762"/>
    </row>
    <row r="107" spans="1:19" ht="135" customHeight="1">
      <c r="A107" s="645"/>
      <c r="B107" s="669" t="s">
        <v>5884</v>
      </c>
      <c r="C107" s="647"/>
      <c r="D107" s="672"/>
      <c r="E107" s="647"/>
      <c r="F107" s="690"/>
      <c r="G107" s="650"/>
      <c r="H107" s="680"/>
      <c r="I107" s="677"/>
      <c r="J107" s="647"/>
      <c r="K107" s="651"/>
      <c r="L107" s="651"/>
      <c r="M107" s="651"/>
      <c r="N107" s="651"/>
      <c r="O107" s="659"/>
      <c r="P107" s="652"/>
      <c r="Q107" s="664"/>
      <c r="S107" s="762"/>
    </row>
    <row r="108" spans="1:19" ht="30">
      <c r="A108" s="571">
        <v>41</v>
      </c>
      <c r="B108" s="572" t="s">
        <v>5849</v>
      </c>
      <c r="C108" s="571">
        <v>2</v>
      </c>
      <c r="D108" s="573" t="s">
        <v>3769</v>
      </c>
      <c r="E108" s="571"/>
      <c r="F108" s="571"/>
      <c r="G108" s="615" t="str">
        <f>IF((E108+F108)&gt;0, C108*(E108+F108), "")</f>
        <v/>
      </c>
      <c r="H108" s="571"/>
      <c r="I108" s="571"/>
      <c r="J108" s="571"/>
      <c r="K108" s="575"/>
      <c r="L108" s="575"/>
      <c r="M108" s="575"/>
      <c r="N108" s="575" t="s">
        <v>3677</v>
      </c>
      <c r="O108" s="571"/>
      <c r="P108" s="608">
        <v>0</v>
      </c>
      <c r="Q108" s="597" t="str">
        <f t="shared" ref="Q108:Q114" si="6">IF((C108*P108)&gt;0, C108*P108, IF((C108*P108+P108=0), "–", "NĚKDE JE CHYBA!"))</f>
        <v>–</v>
      </c>
      <c r="S108" s="762"/>
    </row>
    <row r="109" spans="1:19">
      <c r="A109" s="571">
        <v>42</v>
      </c>
      <c r="B109" s="610" t="s">
        <v>3770</v>
      </c>
      <c r="C109" s="571">
        <v>1</v>
      </c>
      <c r="D109" s="573" t="s">
        <v>3771</v>
      </c>
      <c r="E109" s="571"/>
      <c r="F109" s="571"/>
      <c r="G109" s="615" t="str">
        <f>IF((E109+F109)&gt;0, C109*(E109+F109), "")</f>
        <v/>
      </c>
      <c r="H109" s="571"/>
      <c r="I109" s="571"/>
      <c r="J109" s="571"/>
      <c r="K109" s="575"/>
      <c r="L109" s="575"/>
      <c r="M109" s="575"/>
      <c r="N109" s="575"/>
      <c r="O109" s="571"/>
      <c r="P109" s="608">
        <v>0</v>
      </c>
      <c r="Q109" s="597" t="str">
        <f t="shared" si="6"/>
        <v>–</v>
      </c>
      <c r="S109" s="762"/>
    </row>
    <row r="110" spans="1:19">
      <c r="A110" s="571">
        <v>43</v>
      </c>
      <c r="B110" s="572" t="s">
        <v>3772</v>
      </c>
      <c r="C110" s="571">
        <v>1</v>
      </c>
      <c r="D110" s="573" t="s">
        <v>3773</v>
      </c>
      <c r="E110" s="571">
        <v>0.5</v>
      </c>
      <c r="F110" s="571">
        <v>0</v>
      </c>
      <c r="G110" s="615">
        <f>IF((E110+F110)&gt;0, C110*(E110+F110), "")</f>
        <v>0.5</v>
      </c>
      <c r="H110" s="571"/>
      <c r="I110" s="571"/>
      <c r="J110" s="571"/>
      <c r="K110" s="575"/>
      <c r="L110" s="575"/>
      <c r="M110" s="575"/>
      <c r="N110" s="575"/>
      <c r="O110" s="674" t="s">
        <v>3748</v>
      </c>
      <c r="P110" s="608">
        <v>0</v>
      </c>
      <c r="Q110" s="597" t="str">
        <f t="shared" si="6"/>
        <v>–</v>
      </c>
      <c r="S110" s="762"/>
    </row>
    <row r="111" spans="1:19">
      <c r="A111" s="571">
        <v>44</v>
      </c>
      <c r="B111" s="610" t="s">
        <v>3774</v>
      </c>
      <c r="C111" s="571">
        <v>1</v>
      </c>
      <c r="D111" s="573" t="s">
        <v>3724</v>
      </c>
      <c r="E111" s="571"/>
      <c r="F111" s="571"/>
      <c r="G111" s="615" t="str">
        <f>IF((E111+F111)&gt;0, C111*(E111+F111), "")</f>
        <v/>
      </c>
      <c r="H111" s="571"/>
      <c r="I111" s="571"/>
      <c r="J111" s="571"/>
      <c r="K111" s="575"/>
      <c r="L111" s="575"/>
      <c r="M111" s="575"/>
      <c r="N111" s="575"/>
      <c r="O111" s="571"/>
      <c r="P111" s="608">
        <v>0</v>
      </c>
      <c r="Q111" s="597" t="str">
        <f t="shared" si="6"/>
        <v>–</v>
      </c>
      <c r="S111" s="762"/>
    </row>
    <row r="112" spans="1:19">
      <c r="A112" s="571">
        <v>45</v>
      </c>
      <c r="B112" s="610" t="s">
        <v>3774</v>
      </c>
      <c r="C112" s="571">
        <v>1</v>
      </c>
      <c r="D112" s="573" t="s">
        <v>3653</v>
      </c>
      <c r="E112" s="571"/>
      <c r="F112" s="571"/>
      <c r="G112" s="615"/>
      <c r="H112" s="571"/>
      <c r="I112" s="571"/>
      <c r="J112" s="571"/>
      <c r="K112" s="575"/>
      <c r="L112" s="575"/>
      <c r="M112" s="575"/>
      <c r="N112" s="575"/>
      <c r="O112" s="571"/>
      <c r="P112" s="608">
        <v>0</v>
      </c>
      <c r="Q112" s="597" t="str">
        <f t="shared" si="6"/>
        <v>–</v>
      </c>
      <c r="S112" s="762"/>
    </row>
    <row r="113" spans="1:19">
      <c r="A113" s="571">
        <v>46</v>
      </c>
      <c r="B113" s="572" t="s">
        <v>3772</v>
      </c>
      <c r="C113" s="571">
        <v>1</v>
      </c>
      <c r="D113" s="573" t="s">
        <v>3775</v>
      </c>
      <c r="E113" s="571">
        <v>0.5</v>
      </c>
      <c r="F113" s="571">
        <v>0</v>
      </c>
      <c r="G113" s="615">
        <f>IF((E113+F113)&gt;0, C113*(E113+F113), "")</f>
        <v>0.5</v>
      </c>
      <c r="H113" s="571"/>
      <c r="I113" s="571"/>
      <c r="J113" s="571"/>
      <c r="K113" s="575"/>
      <c r="L113" s="575"/>
      <c r="M113" s="575"/>
      <c r="N113" s="575"/>
      <c r="O113" s="674" t="s">
        <v>3748</v>
      </c>
      <c r="P113" s="608">
        <v>0</v>
      </c>
      <c r="Q113" s="597" t="str">
        <f t="shared" si="6"/>
        <v>–</v>
      </c>
      <c r="S113" s="762"/>
    </row>
    <row r="114" spans="1:19" ht="30">
      <c r="A114" s="629">
        <v>47</v>
      </c>
      <c r="B114" s="667" t="s">
        <v>5878</v>
      </c>
      <c r="C114" s="631">
        <v>2</v>
      </c>
      <c r="D114" s="670" t="s">
        <v>3776</v>
      </c>
      <c r="E114" s="631">
        <v>0</v>
      </c>
      <c r="F114" s="678">
        <v>41.4</v>
      </c>
      <c r="G114" s="634">
        <f>IF((E114+F114)&gt;0, C114*(E114+F114), "")</f>
        <v>82.8</v>
      </c>
      <c r="H114" s="654"/>
      <c r="I114" s="631"/>
      <c r="J114" s="631"/>
      <c r="K114" s="635" t="s">
        <v>3654</v>
      </c>
      <c r="L114" s="635" t="s">
        <v>3654</v>
      </c>
      <c r="M114" s="635"/>
      <c r="N114" s="635"/>
      <c r="O114" s="654"/>
      <c r="P114" s="673">
        <v>0</v>
      </c>
      <c r="Q114" s="665" t="str">
        <f t="shared" si="6"/>
        <v>–</v>
      </c>
      <c r="S114" s="762"/>
    </row>
    <row r="115" spans="1:19" ht="30">
      <c r="A115" s="637"/>
      <c r="B115" s="668" t="s">
        <v>3777</v>
      </c>
      <c r="C115" s="639"/>
      <c r="D115" s="671"/>
      <c r="E115" s="639"/>
      <c r="F115" s="679"/>
      <c r="G115" s="642"/>
      <c r="H115" s="655"/>
      <c r="I115" s="639"/>
      <c r="J115" s="639"/>
      <c r="K115" s="643"/>
      <c r="L115" s="643"/>
      <c r="M115" s="643"/>
      <c r="N115" s="643"/>
      <c r="O115" s="655"/>
      <c r="P115" s="600"/>
      <c r="Q115" s="663"/>
      <c r="S115" s="762"/>
    </row>
    <row r="116" spans="1:19" ht="264" customHeight="1">
      <c r="A116" s="637"/>
      <c r="B116" s="668" t="s">
        <v>5879</v>
      </c>
      <c r="C116" s="639"/>
      <c r="D116" s="671"/>
      <c r="E116" s="639"/>
      <c r="F116" s="679"/>
      <c r="G116" s="642"/>
      <c r="H116" s="655"/>
      <c r="I116" s="639"/>
      <c r="J116" s="639"/>
      <c r="K116" s="643"/>
      <c r="L116" s="643"/>
      <c r="M116" s="643"/>
      <c r="N116" s="643"/>
      <c r="O116" s="655"/>
      <c r="P116" s="600"/>
      <c r="Q116" s="663"/>
      <c r="S116" s="762"/>
    </row>
    <row r="117" spans="1:19" ht="227.4" customHeight="1">
      <c r="A117" s="637"/>
      <c r="B117" s="668" t="s">
        <v>5880</v>
      </c>
      <c r="C117" s="639"/>
      <c r="D117" s="671"/>
      <c r="E117" s="639"/>
      <c r="F117" s="679"/>
      <c r="G117" s="642"/>
      <c r="H117" s="655"/>
      <c r="I117" s="639"/>
      <c r="J117" s="639"/>
      <c r="K117" s="643"/>
      <c r="L117" s="643"/>
      <c r="M117" s="643"/>
      <c r="N117" s="643"/>
      <c r="O117" s="655"/>
      <c r="P117" s="600"/>
      <c r="Q117" s="663"/>
      <c r="S117" s="762"/>
    </row>
    <row r="118" spans="1:19" ht="135">
      <c r="A118" s="645"/>
      <c r="B118" s="669" t="s">
        <v>5881</v>
      </c>
      <c r="C118" s="647"/>
      <c r="D118" s="672"/>
      <c r="E118" s="647"/>
      <c r="F118" s="680"/>
      <c r="G118" s="650"/>
      <c r="H118" s="656"/>
      <c r="I118" s="647"/>
      <c r="J118" s="647"/>
      <c r="K118" s="651"/>
      <c r="L118" s="651"/>
      <c r="M118" s="651"/>
      <c r="N118" s="651"/>
      <c r="O118" s="656"/>
      <c r="P118" s="652"/>
      <c r="Q118" s="664"/>
      <c r="S118" s="762"/>
    </row>
    <row r="119" spans="1:19" ht="30">
      <c r="A119" s="571">
        <v>48</v>
      </c>
      <c r="B119" s="610" t="s">
        <v>3778</v>
      </c>
      <c r="C119" s="571">
        <v>1</v>
      </c>
      <c r="D119" s="573" t="s">
        <v>3779</v>
      </c>
      <c r="E119" s="571"/>
      <c r="F119" s="571"/>
      <c r="G119" s="615" t="str">
        <f>IF((E119+F119)&gt;0, C119*(E119+F119), "")</f>
        <v/>
      </c>
      <c r="H119" s="571"/>
      <c r="I119" s="571"/>
      <c r="J119" s="571"/>
      <c r="K119" s="575"/>
      <c r="L119" s="575"/>
      <c r="M119" s="575"/>
      <c r="N119" s="575"/>
      <c r="O119" s="571"/>
      <c r="P119" s="608">
        <v>0</v>
      </c>
      <c r="Q119" s="597" t="str">
        <f>IF((C119*P119)&gt;0, C119*P119, IF((C119*P119+P119=0), "–", "NĚKDE JE CHYBA!"))</f>
        <v>–</v>
      </c>
      <c r="S119" s="762"/>
    </row>
    <row r="120" spans="1:19">
      <c r="A120" s="571">
        <v>49</v>
      </c>
      <c r="B120" s="610" t="s">
        <v>3780</v>
      </c>
      <c r="C120" s="571">
        <v>1</v>
      </c>
      <c r="D120" s="573" t="s">
        <v>3781</v>
      </c>
      <c r="E120" s="571"/>
      <c r="F120" s="571"/>
      <c r="G120" s="615" t="str">
        <f>IF((E120+F120)&gt;0, C120*(E120+F120), "")</f>
        <v/>
      </c>
      <c r="H120" s="571"/>
      <c r="I120" s="571"/>
      <c r="J120" s="571"/>
      <c r="K120" s="575"/>
      <c r="L120" s="575"/>
      <c r="M120" s="575"/>
      <c r="N120" s="575"/>
      <c r="O120" s="571"/>
      <c r="P120" s="608">
        <v>0</v>
      </c>
      <c r="Q120" s="597" t="str">
        <f>IF((C120*P120)&gt;0, C120*P120, IF((C120*P120+P120=0), "–", "NĚKDE JE CHYBA!"))</f>
        <v>–</v>
      </c>
      <c r="S120" s="762"/>
    </row>
    <row r="121" spans="1:19" ht="30">
      <c r="A121" s="629">
        <v>50</v>
      </c>
      <c r="B121" s="667" t="s">
        <v>5874</v>
      </c>
      <c r="C121" s="631">
        <v>1</v>
      </c>
      <c r="D121" s="670" t="s">
        <v>3782</v>
      </c>
      <c r="E121" s="631">
        <v>0</v>
      </c>
      <c r="F121" s="678">
        <v>18</v>
      </c>
      <c r="G121" s="634">
        <f>IF((E121+F121)&gt;0, C121*(E121+F121), "")</f>
        <v>18</v>
      </c>
      <c r="H121" s="654"/>
      <c r="I121" s="631"/>
      <c r="J121" s="631"/>
      <c r="K121" s="635" t="s">
        <v>3654</v>
      </c>
      <c r="L121" s="635" t="s">
        <v>3654</v>
      </c>
      <c r="M121" s="635"/>
      <c r="N121" s="635"/>
      <c r="O121" s="654"/>
      <c r="P121" s="673">
        <v>0</v>
      </c>
      <c r="Q121" s="665" t="str">
        <f>IF((C121*P121)&gt;0, C121*P121, IF((C121*P121+P121=0), "–", "NĚKDE JE CHYBA!"))</f>
        <v>–</v>
      </c>
      <c r="S121" s="762"/>
    </row>
    <row r="122" spans="1:19" ht="49.2" customHeight="1">
      <c r="A122" s="637"/>
      <c r="B122" s="668" t="s">
        <v>5875</v>
      </c>
      <c r="C122" s="639"/>
      <c r="D122" s="671"/>
      <c r="E122" s="639"/>
      <c r="F122" s="679"/>
      <c r="G122" s="642"/>
      <c r="H122" s="655"/>
      <c r="I122" s="639"/>
      <c r="J122" s="639"/>
      <c r="K122" s="643"/>
      <c r="L122" s="643"/>
      <c r="M122" s="643"/>
      <c r="N122" s="643"/>
      <c r="O122" s="655"/>
      <c r="P122" s="600"/>
      <c r="Q122" s="663"/>
      <c r="S122" s="762"/>
    </row>
    <row r="123" spans="1:19" ht="208.2" customHeight="1">
      <c r="A123" s="637"/>
      <c r="B123" s="668" t="s">
        <v>5876</v>
      </c>
      <c r="C123" s="639"/>
      <c r="D123" s="671"/>
      <c r="E123" s="639"/>
      <c r="F123" s="679"/>
      <c r="G123" s="642"/>
      <c r="H123" s="655"/>
      <c r="I123" s="639"/>
      <c r="J123" s="639"/>
      <c r="K123" s="643"/>
      <c r="L123" s="643"/>
      <c r="M123" s="643"/>
      <c r="N123" s="643"/>
      <c r="O123" s="655"/>
      <c r="P123" s="600"/>
      <c r="Q123" s="663"/>
      <c r="S123" s="762"/>
    </row>
    <row r="124" spans="1:19" ht="283.95" customHeight="1">
      <c r="A124" s="645"/>
      <c r="B124" s="669" t="s">
        <v>5877</v>
      </c>
      <c r="C124" s="647"/>
      <c r="D124" s="672"/>
      <c r="E124" s="647"/>
      <c r="F124" s="680"/>
      <c r="G124" s="650"/>
      <c r="H124" s="656"/>
      <c r="I124" s="647"/>
      <c r="J124" s="647"/>
      <c r="K124" s="651"/>
      <c r="L124" s="651"/>
      <c r="M124" s="651"/>
      <c r="N124" s="651"/>
      <c r="O124" s="656"/>
      <c r="P124" s="652"/>
      <c r="Q124" s="664"/>
      <c r="S124" s="762"/>
    </row>
    <row r="125" spans="1:19" ht="30">
      <c r="A125" s="571">
        <v>51</v>
      </c>
      <c r="B125" s="572" t="s">
        <v>5849</v>
      </c>
      <c r="C125" s="571">
        <v>1</v>
      </c>
      <c r="D125" s="573" t="s">
        <v>3768</v>
      </c>
      <c r="E125" s="571"/>
      <c r="F125" s="571"/>
      <c r="G125" s="615" t="str">
        <f>IF((E125+F125)&gt;0, C125*(E125+F125), "")</f>
        <v/>
      </c>
      <c r="H125" s="571"/>
      <c r="I125" s="571"/>
      <c r="J125" s="571"/>
      <c r="K125" s="575"/>
      <c r="L125" s="575"/>
      <c r="M125" s="575"/>
      <c r="N125" s="575" t="s">
        <v>3677</v>
      </c>
      <c r="O125" s="571"/>
      <c r="P125" s="608">
        <v>0</v>
      </c>
      <c r="Q125" s="597" t="str">
        <f>IF((C125*P125)&gt;0, C125*P125, IF((C125*P125+P125=0), "–", "NĚKDE JE CHYBA!"))</f>
        <v>–</v>
      </c>
      <c r="S125" s="762"/>
    </row>
    <row r="126" spans="1:19" ht="30">
      <c r="A126" s="571">
        <v>52</v>
      </c>
      <c r="B126" s="572" t="s">
        <v>5849</v>
      </c>
      <c r="C126" s="571">
        <v>2</v>
      </c>
      <c r="D126" s="573" t="s">
        <v>3768</v>
      </c>
      <c r="E126" s="571"/>
      <c r="F126" s="571"/>
      <c r="G126" s="615" t="str">
        <f>IF((E126+F126)&gt;0, C126*(E126+F126), "")</f>
        <v/>
      </c>
      <c r="H126" s="571"/>
      <c r="I126" s="571"/>
      <c r="J126" s="571"/>
      <c r="K126" s="575"/>
      <c r="L126" s="575"/>
      <c r="M126" s="575"/>
      <c r="N126" s="575" t="s">
        <v>3677</v>
      </c>
      <c r="O126" s="571"/>
      <c r="P126" s="608">
        <v>0</v>
      </c>
      <c r="Q126" s="597" t="str">
        <f>IF((C126*P126)&gt;0, C126*P126, IF((C126*P126+P126=0), "–", "NĚKDE JE CHYBA!"))</f>
        <v>–</v>
      </c>
      <c r="S126" s="762"/>
    </row>
    <row r="127" spans="1:19">
      <c r="A127" s="571">
        <v>54</v>
      </c>
      <c r="B127" s="572" t="s">
        <v>3783</v>
      </c>
      <c r="C127" s="571">
        <v>1</v>
      </c>
      <c r="D127" s="573"/>
      <c r="E127" s="571"/>
      <c r="F127" s="571"/>
      <c r="G127" s="615" t="str">
        <f>IF((E127+F127)&gt;0, C127*(E127+F127), "")</f>
        <v/>
      </c>
      <c r="H127" s="571"/>
      <c r="I127" s="571"/>
      <c r="J127" s="571"/>
      <c r="K127" s="575" t="s">
        <v>3654</v>
      </c>
      <c r="L127" s="575" t="s">
        <v>3654</v>
      </c>
      <c r="M127" s="575"/>
      <c r="N127" s="575"/>
      <c r="O127" s="571"/>
      <c r="P127" s="608">
        <v>0</v>
      </c>
      <c r="Q127" s="597" t="str">
        <f>IF((C127*P127)&gt;0, C127*P127, IF((C127*P127+P127=0), "–", "NĚKDE JE CHYBA!"))</f>
        <v>–</v>
      </c>
      <c r="S127" s="762"/>
    </row>
    <row r="128" spans="1:19" ht="30">
      <c r="A128" s="571">
        <v>55</v>
      </c>
      <c r="B128" s="572" t="s">
        <v>5849</v>
      </c>
      <c r="C128" s="571">
        <v>1</v>
      </c>
      <c r="D128" s="573" t="s">
        <v>3697</v>
      </c>
      <c r="E128" s="571"/>
      <c r="F128" s="571"/>
      <c r="G128" s="615" t="str">
        <f>IF((E128+F128)&gt;0, C128*(E128+F128), "")</f>
        <v/>
      </c>
      <c r="H128" s="571"/>
      <c r="I128" s="571"/>
      <c r="J128" s="571"/>
      <c r="K128" s="575"/>
      <c r="L128" s="575"/>
      <c r="M128" s="575"/>
      <c r="N128" s="575" t="s">
        <v>3677</v>
      </c>
      <c r="O128" s="571"/>
      <c r="P128" s="608">
        <v>0</v>
      </c>
      <c r="Q128" s="597" t="str">
        <f>IF((C128*P128)&gt;0, C128*P128, IF((C128*P128+P128=0), "–", "NĚKDE JE CHYBA!"))</f>
        <v>–</v>
      </c>
      <c r="S128" s="762"/>
    </row>
    <row r="129" spans="1:19">
      <c r="A129" s="695" t="s">
        <v>3784</v>
      </c>
      <c r="B129" s="696"/>
      <c r="C129" s="696"/>
      <c r="D129" s="696"/>
      <c r="E129" s="696"/>
      <c r="F129" s="696"/>
      <c r="G129" s="696"/>
      <c r="H129" s="696"/>
      <c r="I129" s="696"/>
      <c r="J129" s="696"/>
      <c r="K129" s="696"/>
      <c r="L129" s="696"/>
      <c r="M129" s="696"/>
      <c r="N129" s="696"/>
      <c r="O129" s="696"/>
      <c r="P129" s="697"/>
      <c r="Q129" s="698"/>
      <c r="S129" s="762"/>
    </row>
    <row r="130" spans="1:19">
      <c r="A130" s="571">
        <v>26</v>
      </c>
      <c r="B130" s="572" t="s">
        <v>3656</v>
      </c>
      <c r="C130" s="571">
        <v>1</v>
      </c>
      <c r="D130" s="573" t="s">
        <v>3657</v>
      </c>
      <c r="E130" s="571"/>
      <c r="F130" s="571"/>
      <c r="G130" s="571"/>
      <c r="H130" s="571"/>
      <c r="I130" s="571"/>
      <c r="J130" s="571"/>
      <c r="K130" s="575" t="s">
        <v>3654</v>
      </c>
      <c r="L130" s="575" t="s">
        <v>3654</v>
      </c>
      <c r="M130" s="575"/>
      <c r="N130" s="575" t="s">
        <v>3655</v>
      </c>
      <c r="O130" s="571"/>
      <c r="P130" s="608">
        <v>0</v>
      </c>
      <c r="Q130" s="597" t="str">
        <f>IF((C130*P130)&gt;0, C130*P130, IF((C130*P130+P130=0), "–", "NĚKDE JE CHYBA!"))</f>
        <v>–</v>
      </c>
      <c r="S130" s="762"/>
    </row>
    <row r="131" spans="1:19">
      <c r="A131" s="571">
        <v>31</v>
      </c>
      <c r="B131" s="572" t="s">
        <v>3688</v>
      </c>
      <c r="C131" s="571">
        <v>2</v>
      </c>
      <c r="D131" s="573" t="s">
        <v>3785</v>
      </c>
      <c r="E131" s="571"/>
      <c r="F131" s="571"/>
      <c r="G131" s="615"/>
      <c r="H131" s="571"/>
      <c r="I131" s="571"/>
      <c r="J131" s="575"/>
      <c r="K131" s="575"/>
      <c r="L131" s="575"/>
      <c r="M131" s="575"/>
      <c r="N131" s="575"/>
      <c r="O131" s="571"/>
      <c r="P131" s="608">
        <v>0</v>
      </c>
      <c r="Q131" s="597" t="str">
        <f>IF((C131*P131)&gt;0, C131*P131, IF((C131*P131+P131=0), "–", "NĚKDE JE CHYBA!"))</f>
        <v>–</v>
      </c>
      <c r="S131" s="762"/>
    </row>
    <row r="132" spans="1:19">
      <c r="A132" s="571">
        <v>32</v>
      </c>
      <c r="B132" s="572" t="s">
        <v>3690</v>
      </c>
      <c r="C132" s="571">
        <v>2</v>
      </c>
      <c r="D132" s="573" t="s">
        <v>3786</v>
      </c>
      <c r="E132" s="571"/>
      <c r="F132" s="571"/>
      <c r="G132" s="615" t="str">
        <f>IF((E132+F132)&gt;0, C132*(E132+F132), "")</f>
        <v/>
      </c>
      <c r="H132" s="571"/>
      <c r="I132" s="571"/>
      <c r="J132" s="571"/>
      <c r="K132" s="575"/>
      <c r="L132" s="575"/>
      <c r="M132" s="575"/>
      <c r="N132" s="575"/>
      <c r="O132" s="571"/>
      <c r="P132" s="608">
        <v>0</v>
      </c>
      <c r="Q132" s="597" t="str">
        <f>IF((C132*P132)&gt;0, C132*P132, IF((C132*P132+P132=0), "–", "NĚKDE JE CHYBA!"))</f>
        <v>–</v>
      </c>
      <c r="S132" s="762"/>
    </row>
    <row r="133" spans="1:19">
      <c r="A133" s="695" t="s">
        <v>3787</v>
      </c>
      <c r="B133" s="696"/>
      <c r="C133" s="696"/>
      <c r="D133" s="696"/>
      <c r="E133" s="696"/>
      <c r="F133" s="696"/>
      <c r="G133" s="696"/>
      <c r="H133" s="696"/>
      <c r="I133" s="696"/>
      <c r="J133" s="696"/>
      <c r="K133" s="696"/>
      <c r="L133" s="696"/>
      <c r="M133" s="696"/>
      <c r="N133" s="696"/>
      <c r="O133" s="696"/>
      <c r="P133" s="697"/>
      <c r="Q133" s="698"/>
      <c r="S133" s="762"/>
    </row>
    <row r="134" spans="1:19" ht="30">
      <c r="A134" s="571">
        <v>21</v>
      </c>
      <c r="B134" s="572" t="s">
        <v>3650</v>
      </c>
      <c r="C134" s="571">
        <v>2</v>
      </c>
      <c r="D134" s="573" t="s">
        <v>3651</v>
      </c>
      <c r="E134" s="571">
        <v>0.45</v>
      </c>
      <c r="F134" s="571">
        <v>0</v>
      </c>
      <c r="G134" s="619">
        <f>IF((E134+F134)&gt;0, C134*(E134+F134), "")</f>
        <v>0.9</v>
      </c>
      <c r="H134" s="571"/>
      <c r="I134" s="571"/>
      <c r="J134" s="571"/>
      <c r="K134" s="575"/>
      <c r="L134" s="575"/>
      <c r="M134" s="575"/>
      <c r="N134" s="575"/>
      <c r="O134" s="571"/>
      <c r="P134" s="608">
        <v>0</v>
      </c>
      <c r="Q134" s="597" t="str">
        <f>IF((C134*P134)&gt;0, C134*P134, IF((C134*P134+P134=0), "–", "NĚKDE JE CHYBA!"))</f>
        <v>–</v>
      </c>
      <c r="S134" s="762"/>
    </row>
    <row r="135" spans="1:19">
      <c r="A135" s="571">
        <v>26</v>
      </c>
      <c r="B135" s="572" t="s">
        <v>3656</v>
      </c>
      <c r="C135" s="571">
        <v>1</v>
      </c>
      <c r="D135" s="573" t="s">
        <v>3657</v>
      </c>
      <c r="E135" s="571"/>
      <c r="F135" s="571"/>
      <c r="G135" s="571"/>
      <c r="H135" s="571"/>
      <c r="I135" s="571"/>
      <c r="J135" s="571"/>
      <c r="K135" s="575" t="s">
        <v>3654</v>
      </c>
      <c r="L135" s="575" t="s">
        <v>3654</v>
      </c>
      <c r="M135" s="575"/>
      <c r="N135" s="575" t="s">
        <v>3655</v>
      </c>
      <c r="O135" s="571"/>
      <c r="P135" s="608">
        <v>0</v>
      </c>
      <c r="Q135" s="597" t="str">
        <f>IF((C135*P135)&gt;0, C135*P135, IF((C135*P135+P135=0), "–", "NĚKDE JE CHYBA!"))</f>
        <v>–</v>
      </c>
      <c r="S135" s="762"/>
    </row>
    <row r="136" spans="1:19">
      <c r="A136" s="571">
        <v>28</v>
      </c>
      <c r="B136" s="572" t="s">
        <v>3788</v>
      </c>
      <c r="C136" s="571">
        <v>1</v>
      </c>
      <c r="D136" s="573" t="s">
        <v>3789</v>
      </c>
      <c r="E136" s="571">
        <v>0</v>
      </c>
      <c r="F136" s="578">
        <v>5</v>
      </c>
      <c r="G136" s="615">
        <f>IF((E136+F136)&gt;0, C136*(E136+F136), "")</f>
        <v>5</v>
      </c>
      <c r="H136" s="571"/>
      <c r="I136" s="571"/>
      <c r="J136" s="571"/>
      <c r="K136" s="575"/>
      <c r="L136" s="575"/>
      <c r="M136" s="575"/>
      <c r="N136" s="575"/>
      <c r="O136" s="571"/>
      <c r="P136" s="608">
        <v>0</v>
      </c>
      <c r="Q136" s="597" t="str">
        <f>IF((C136*P136)&gt;0, C136*P136, IF((C136*P136+P136=0), "–", "NĚKDE JE CHYBA!"))</f>
        <v>–</v>
      </c>
      <c r="S136" s="762"/>
    </row>
    <row r="137" spans="1:19" ht="30">
      <c r="A137" s="571">
        <v>29</v>
      </c>
      <c r="B137" s="572" t="s">
        <v>3790</v>
      </c>
      <c r="C137" s="571">
        <v>1</v>
      </c>
      <c r="D137" s="573" t="s">
        <v>3791</v>
      </c>
      <c r="E137" s="571"/>
      <c r="F137" s="571"/>
      <c r="G137" s="615" t="str">
        <f>IF((E137+F137)&gt;0, C137*(E137+F137), "")</f>
        <v/>
      </c>
      <c r="H137" s="571"/>
      <c r="I137" s="571"/>
      <c r="J137" s="571"/>
      <c r="K137" s="575" t="s">
        <v>3654</v>
      </c>
      <c r="L137" s="575" t="s">
        <v>3654</v>
      </c>
      <c r="M137" s="575"/>
      <c r="N137" s="575" t="s">
        <v>3655</v>
      </c>
      <c r="O137" s="571"/>
      <c r="P137" s="608">
        <v>0</v>
      </c>
      <c r="Q137" s="597" t="str">
        <f>IF((C137*P137)&gt;0, C137*P137, IF((C137*P137+P137=0), "–", "NĚKDE JE CHYBA!"))</f>
        <v>–</v>
      </c>
      <c r="S137" s="762"/>
    </row>
    <row r="138" spans="1:19">
      <c r="A138" s="571">
        <v>30</v>
      </c>
      <c r="B138" s="610" t="s">
        <v>3792</v>
      </c>
      <c r="C138" s="571">
        <v>1</v>
      </c>
      <c r="D138" s="573" t="s">
        <v>3791</v>
      </c>
      <c r="E138" s="571"/>
      <c r="F138" s="571"/>
      <c r="G138" s="615" t="str">
        <f>IF((E138+F138)&gt;0, C138*(E138+F138), "")</f>
        <v/>
      </c>
      <c r="H138" s="571"/>
      <c r="I138" s="571"/>
      <c r="J138" s="571"/>
      <c r="K138" s="575"/>
      <c r="L138" s="575"/>
      <c r="M138" s="575"/>
      <c r="N138" s="575"/>
      <c r="O138" s="571"/>
      <c r="P138" s="608">
        <v>0</v>
      </c>
      <c r="Q138" s="597" t="str">
        <f>IF((C138*P138)&gt;0, C138*P138, IF((C138*P138+P138=0), "–", "NĚKDE JE CHYBA!"))</f>
        <v>–</v>
      </c>
      <c r="S138" s="762"/>
    </row>
    <row r="139" spans="1:19">
      <c r="A139" s="695" t="s">
        <v>3793</v>
      </c>
      <c r="B139" s="696"/>
      <c r="C139" s="696"/>
      <c r="D139" s="696"/>
      <c r="E139" s="696"/>
      <c r="F139" s="696"/>
      <c r="G139" s="696"/>
      <c r="H139" s="696"/>
      <c r="I139" s="696"/>
      <c r="J139" s="696"/>
      <c r="K139" s="696"/>
      <c r="L139" s="696"/>
      <c r="M139" s="696"/>
      <c r="N139" s="696"/>
      <c r="O139" s="696"/>
      <c r="P139" s="697"/>
      <c r="Q139" s="698"/>
      <c r="S139" s="762"/>
    </row>
    <row r="140" spans="1:19" ht="30">
      <c r="A140" s="571">
        <v>21</v>
      </c>
      <c r="B140" s="572" t="s">
        <v>3650</v>
      </c>
      <c r="C140" s="571">
        <v>1</v>
      </c>
      <c r="D140" s="573" t="s">
        <v>3651</v>
      </c>
      <c r="E140" s="571">
        <v>0.45</v>
      </c>
      <c r="F140" s="571">
        <v>0</v>
      </c>
      <c r="G140" s="619">
        <f>IF((E140+F140)&gt;0, C140*(E140+F140), "")</f>
        <v>0.45</v>
      </c>
      <c r="H140" s="571"/>
      <c r="I140" s="571"/>
      <c r="J140" s="571"/>
      <c r="K140" s="575"/>
      <c r="L140" s="575"/>
      <c r="M140" s="575"/>
      <c r="N140" s="575"/>
      <c r="O140" s="571"/>
      <c r="P140" s="608">
        <v>0</v>
      </c>
      <c r="Q140" s="597" t="str">
        <f t="shared" ref="Q140:Q147" si="7">IF((C140*P140)&gt;0, C140*P140, IF((C140*P140+P140=0), "–", "NĚKDE JE CHYBA!"))</f>
        <v>–</v>
      </c>
      <c r="S140" s="762"/>
    </row>
    <row r="141" spans="1:19">
      <c r="A141" s="571">
        <v>22</v>
      </c>
      <c r="B141" s="610" t="s">
        <v>3688</v>
      </c>
      <c r="C141" s="571">
        <v>1</v>
      </c>
      <c r="D141" s="573" t="s">
        <v>3724</v>
      </c>
      <c r="E141" s="571"/>
      <c r="F141" s="571"/>
      <c r="G141" s="615" t="str">
        <f>IF((E141+F141)&gt;0, C141*(E141+F141), "")</f>
        <v/>
      </c>
      <c r="H141" s="571"/>
      <c r="I141" s="571"/>
      <c r="J141" s="571"/>
      <c r="K141" s="575"/>
      <c r="L141" s="575"/>
      <c r="M141" s="575"/>
      <c r="N141" s="575"/>
      <c r="O141" s="571"/>
      <c r="P141" s="608">
        <v>0</v>
      </c>
      <c r="Q141" s="597" t="str">
        <f t="shared" si="7"/>
        <v>–</v>
      </c>
      <c r="S141" s="762"/>
    </row>
    <row r="142" spans="1:19">
      <c r="A142" s="571">
        <v>23</v>
      </c>
      <c r="B142" s="572" t="s">
        <v>3794</v>
      </c>
      <c r="C142" s="571">
        <v>1</v>
      </c>
      <c r="D142" s="573" t="s">
        <v>3795</v>
      </c>
      <c r="E142" s="576">
        <v>0</v>
      </c>
      <c r="F142" s="576">
        <v>1.5</v>
      </c>
      <c r="G142" s="615">
        <f>IF((E142+F142)&gt;0, C142*(E142+F142), "")</f>
        <v>1.5</v>
      </c>
      <c r="H142" s="571"/>
      <c r="I142" s="571"/>
      <c r="J142" s="571"/>
      <c r="K142" s="575"/>
      <c r="L142" s="575"/>
      <c r="M142" s="575"/>
      <c r="N142" s="575"/>
      <c r="O142" s="571"/>
      <c r="P142" s="608">
        <v>0</v>
      </c>
      <c r="Q142" s="597" t="str">
        <f t="shared" si="7"/>
        <v>–</v>
      </c>
      <c r="S142" s="762"/>
    </row>
    <row r="143" spans="1:19">
      <c r="A143" s="571">
        <v>24</v>
      </c>
      <c r="B143" s="572" t="s">
        <v>3796</v>
      </c>
      <c r="C143" s="571">
        <v>1</v>
      </c>
      <c r="D143" s="573" t="s">
        <v>3797</v>
      </c>
      <c r="E143" s="576">
        <v>1.1000000000000001</v>
      </c>
      <c r="F143" s="576">
        <v>0</v>
      </c>
      <c r="G143" s="615">
        <f>IF((E143+F143)&gt;0, C143*(E143+F143), "")</f>
        <v>1.1000000000000001</v>
      </c>
      <c r="H143" s="571"/>
      <c r="I143" s="571"/>
      <c r="J143" s="571"/>
      <c r="K143" s="575"/>
      <c r="L143" s="575"/>
      <c r="M143" s="575"/>
      <c r="N143" s="575"/>
      <c r="O143" s="571"/>
      <c r="P143" s="617">
        <v>0</v>
      </c>
      <c r="Q143" s="597" t="str">
        <f t="shared" si="7"/>
        <v>–</v>
      </c>
      <c r="S143" s="762"/>
    </row>
    <row r="144" spans="1:19" ht="30">
      <c r="A144" s="571">
        <v>25</v>
      </c>
      <c r="B144" s="572" t="s">
        <v>3798</v>
      </c>
      <c r="C144" s="571">
        <v>1</v>
      </c>
      <c r="D144" s="573" t="s">
        <v>3785</v>
      </c>
      <c r="E144" s="571"/>
      <c r="F144" s="571"/>
      <c r="G144" s="615" t="str">
        <f>IF((E144+F144)&gt;0, C144*(E144+F144), "")</f>
        <v/>
      </c>
      <c r="H144" s="571"/>
      <c r="I144" s="571"/>
      <c r="J144" s="571"/>
      <c r="K144" s="575" t="s">
        <v>3654</v>
      </c>
      <c r="L144" s="575" t="s">
        <v>3654</v>
      </c>
      <c r="M144" s="575"/>
      <c r="N144" s="575" t="s">
        <v>3655</v>
      </c>
      <c r="O144" s="571"/>
      <c r="P144" s="608">
        <v>0</v>
      </c>
      <c r="Q144" s="597" t="str">
        <f t="shared" si="7"/>
        <v>–</v>
      </c>
      <c r="S144" s="762"/>
    </row>
    <row r="145" spans="1:19">
      <c r="A145" s="571">
        <v>26</v>
      </c>
      <c r="B145" s="572" t="s">
        <v>3656</v>
      </c>
      <c r="C145" s="571">
        <v>1</v>
      </c>
      <c r="D145" s="573" t="s">
        <v>3657</v>
      </c>
      <c r="E145" s="571"/>
      <c r="F145" s="571"/>
      <c r="G145" s="571"/>
      <c r="H145" s="571"/>
      <c r="I145" s="571"/>
      <c r="J145" s="571"/>
      <c r="K145" s="575" t="s">
        <v>3654</v>
      </c>
      <c r="L145" s="575" t="s">
        <v>3654</v>
      </c>
      <c r="M145" s="575"/>
      <c r="N145" s="575" t="s">
        <v>3655</v>
      </c>
      <c r="O145" s="571"/>
      <c r="P145" s="608">
        <v>0</v>
      </c>
      <c r="Q145" s="597" t="str">
        <f t="shared" si="7"/>
        <v>–</v>
      </c>
      <c r="S145" s="762"/>
    </row>
    <row r="146" spans="1:19">
      <c r="A146" s="571">
        <v>27</v>
      </c>
      <c r="B146" s="572" t="s">
        <v>3799</v>
      </c>
      <c r="C146" s="571">
        <v>1</v>
      </c>
      <c r="D146" s="573" t="s">
        <v>3800</v>
      </c>
      <c r="E146" s="571">
        <v>0</v>
      </c>
      <c r="F146" s="578">
        <v>3</v>
      </c>
      <c r="G146" s="615">
        <f>IF((E146+F146)&gt;0, C146*(E146+F146), "")</f>
        <v>3</v>
      </c>
      <c r="H146" s="571"/>
      <c r="I146" s="571"/>
      <c r="J146" s="571"/>
      <c r="K146" s="575"/>
      <c r="L146" s="575"/>
      <c r="M146" s="575"/>
      <c r="N146" s="575"/>
      <c r="O146" s="571"/>
      <c r="P146" s="608">
        <v>0</v>
      </c>
      <c r="Q146" s="597" t="str">
        <f t="shared" si="7"/>
        <v>–</v>
      </c>
      <c r="S146" s="762"/>
    </row>
    <row r="147" spans="1:19">
      <c r="A147" s="571">
        <v>47</v>
      </c>
      <c r="B147" s="572" t="s">
        <v>3801</v>
      </c>
      <c r="C147" s="571">
        <v>1</v>
      </c>
      <c r="D147" s="573" t="s">
        <v>3802</v>
      </c>
      <c r="E147" s="571"/>
      <c r="F147" s="571"/>
      <c r="G147" s="615" t="str">
        <f>IF((E147+F147)&gt;0, C147*(E147+F147), "")</f>
        <v/>
      </c>
      <c r="H147" s="571"/>
      <c r="I147" s="571"/>
      <c r="J147" s="571"/>
      <c r="K147" s="575"/>
      <c r="L147" s="575"/>
      <c r="M147" s="575"/>
      <c r="N147" s="575"/>
      <c r="O147" s="571"/>
      <c r="P147" s="608">
        <v>0</v>
      </c>
      <c r="Q147" s="597" t="str">
        <f t="shared" si="7"/>
        <v>–</v>
      </c>
      <c r="S147" s="762"/>
    </row>
    <row r="148" spans="1:19">
      <c r="A148" s="695" t="s">
        <v>3803</v>
      </c>
      <c r="B148" s="696"/>
      <c r="C148" s="696"/>
      <c r="D148" s="696"/>
      <c r="E148" s="696"/>
      <c r="F148" s="696"/>
      <c r="G148" s="696"/>
      <c r="H148" s="696"/>
      <c r="I148" s="696"/>
      <c r="J148" s="696"/>
      <c r="K148" s="696"/>
      <c r="L148" s="696"/>
      <c r="M148" s="696"/>
      <c r="N148" s="696"/>
      <c r="O148" s="696"/>
      <c r="P148" s="697"/>
      <c r="Q148" s="698"/>
      <c r="S148" s="762"/>
    </row>
    <row r="149" spans="1:19">
      <c r="A149" s="571">
        <v>16</v>
      </c>
      <c r="B149" s="572" t="s">
        <v>3804</v>
      </c>
      <c r="C149" s="571">
        <v>1</v>
      </c>
      <c r="D149" s="573" t="s">
        <v>3805</v>
      </c>
      <c r="E149" s="578">
        <v>0.5</v>
      </c>
      <c r="F149" s="681">
        <v>0</v>
      </c>
      <c r="G149" s="615">
        <f>IF((E149+F149)&gt;0, C149*(E149+F149), "")</f>
        <v>0.5</v>
      </c>
      <c r="H149" s="571"/>
      <c r="I149" s="571"/>
      <c r="J149" s="571"/>
      <c r="K149" s="575"/>
      <c r="L149" s="575"/>
      <c r="M149" s="575"/>
      <c r="N149" s="575"/>
      <c r="O149" s="571"/>
      <c r="P149" s="608">
        <v>0</v>
      </c>
      <c r="Q149" s="597" t="str">
        <f t="shared" ref="Q149:Q155" si="8">IF((C149*P149)&gt;0, C149*P149, IF((C149*P149+P149=0), "–", "NĚKDE JE CHYBA!"))</f>
        <v>–</v>
      </c>
      <c r="S149" s="762"/>
    </row>
    <row r="150" spans="1:19">
      <c r="A150" s="571">
        <v>17</v>
      </c>
      <c r="B150" s="572" t="s">
        <v>3806</v>
      </c>
      <c r="C150" s="571">
        <v>1</v>
      </c>
      <c r="D150" s="573" t="s">
        <v>3807</v>
      </c>
      <c r="E150" s="576">
        <v>0.1</v>
      </c>
      <c r="F150" s="576">
        <v>0</v>
      </c>
      <c r="G150" s="615">
        <f>IF((E150+F150)&gt;0, C150*(E150+F150), "")</f>
        <v>0.1</v>
      </c>
      <c r="H150" s="571"/>
      <c r="I150" s="571"/>
      <c r="J150" s="571"/>
      <c r="K150" s="575"/>
      <c r="L150" s="575"/>
      <c r="M150" s="575"/>
      <c r="N150" s="575"/>
      <c r="O150" s="571"/>
      <c r="P150" s="608">
        <v>0</v>
      </c>
      <c r="Q150" s="597" t="str">
        <f t="shared" si="8"/>
        <v>–</v>
      </c>
      <c r="S150" s="762"/>
    </row>
    <row r="151" spans="1:19">
      <c r="A151" s="571">
        <v>18</v>
      </c>
      <c r="B151" s="572" t="s">
        <v>3690</v>
      </c>
      <c r="C151" s="571">
        <v>1</v>
      </c>
      <c r="D151" s="573" t="s">
        <v>3808</v>
      </c>
      <c r="E151" s="571"/>
      <c r="F151" s="571"/>
      <c r="G151" s="615" t="str">
        <f>IF((E151+F151)&gt;0, C151*(E151+F151), "")</f>
        <v/>
      </c>
      <c r="H151" s="571"/>
      <c r="I151" s="571"/>
      <c r="J151" s="571"/>
      <c r="K151" s="575"/>
      <c r="L151" s="575"/>
      <c r="M151" s="575"/>
      <c r="N151" s="575"/>
      <c r="O151" s="571"/>
      <c r="P151" s="608">
        <v>0</v>
      </c>
      <c r="Q151" s="597" t="str">
        <f t="shared" si="8"/>
        <v>–</v>
      </c>
      <c r="S151" s="762"/>
    </row>
    <row r="152" spans="1:19">
      <c r="A152" s="571">
        <v>19</v>
      </c>
      <c r="B152" s="610" t="s">
        <v>3809</v>
      </c>
      <c r="C152" s="571">
        <v>1</v>
      </c>
      <c r="D152" s="573" t="s">
        <v>3810</v>
      </c>
      <c r="E152" s="571">
        <v>0.3</v>
      </c>
      <c r="F152" s="571">
        <v>0</v>
      </c>
      <c r="G152" s="615">
        <f>IF((E152+F152)&gt;0, C152*(E152+F152), "")</f>
        <v>0.3</v>
      </c>
      <c r="H152" s="571"/>
      <c r="I152" s="571"/>
      <c r="J152" s="571"/>
      <c r="K152" s="575"/>
      <c r="L152" s="575"/>
      <c r="M152" s="575"/>
      <c r="N152" s="575"/>
      <c r="O152" s="571"/>
      <c r="P152" s="608">
        <v>0</v>
      </c>
      <c r="Q152" s="597" t="str">
        <f t="shared" si="8"/>
        <v>–</v>
      </c>
      <c r="S152" s="762"/>
    </row>
    <row r="153" spans="1:19" ht="30">
      <c r="A153" s="571">
        <v>20</v>
      </c>
      <c r="B153" s="572" t="s">
        <v>3790</v>
      </c>
      <c r="C153" s="571">
        <v>1</v>
      </c>
      <c r="D153" s="573" t="s">
        <v>3785</v>
      </c>
      <c r="E153" s="571"/>
      <c r="F153" s="571"/>
      <c r="G153" s="615"/>
      <c r="H153" s="571"/>
      <c r="I153" s="571"/>
      <c r="J153" s="575"/>
      <c r="K153" s="575" t="s">
        <v>3654</v>
      </c>
      <c r="L153" s="575" t="s">
        <v>3654</v>
      </c>
      <c r="M153" s="575"/>
      <c r="N153" s="575" t="s">
        <v>3655</v>
      </c>
      <c r="O153" s="571"/>
      <c r="P153" s="608">
        <v>0</v>
      </c>
      <c r="Q153" s="597" t="str">
        <f t="shared" si="8"/>
        <v>–</v>
      </c>
      <c r="S153" s="762"/>
    </row>
    <row r="154" spans="1:19" ht="30">
      <c r="A154" s="571">
        <v>21</v>
      </c>
      <c r="B154" s="572" t="s">
        <v>3650</v>
      </c>
      <c r="C154" s="571">
        <v>1</v>
      </c>
      <c r="D154" s="573" t="s">
        <v>3651</v>
      </c>
      <c r="E154" s="571">
        <v>0.45</v>
      </c>
      <c r="F154" s="571">
        <v>0</v>
      </c>
      <c r="G154" s="619">
        <f>IF((E154+F154)&gt;0, C154*(E154+F154), "")</f>
        <v>0.45</v>
      </c>
      <c r="H154" s="571"/>
      <c r="I154" s="571"/>
      <c r="J154" s="571"/>
      <c r="K154" s="575"/>
      <c r="L154" s="575"/>
      <c r="M154" s="575"/>
      <c r="N154" s="575"/>
      <c r="O154" s="571"/>
      <c r="P154" s="608">
        <v>0</v>
      </c>
      <c r="Q154" s="597" t="str">
        <f t="shared" si="8"/>
        <v>–</v>
      </c>
      <c r="S154" s="762"/>
    </row>
    <row r="155" spans="1:19">
      <c r="A155" s="571">
        <v>45</v>
      </c>
      <c r="B155" s="610" t="s">
        <v>3774</v>
      </c>
      <c r="C155" s="571">
        <v>1</v>
      </c>
      <c r="D155" s="573" t="s">
        <v>3653</v>
      </c>
      <c r="E155" s="571"/>
      <c r="F155" s="571"/>
      <c r="G155" s="615" t="str">
        <f>IF((E155+F155)&gt;0, C155*(E155+F155), "")</f>
        <v/>
      </c>
      <c r="H155" s="571"/>
      <c r="I155" s="571"/>
      <c r="J155" s="571"/>
      <c r="K155" s="575"/>
      <c r="L155" s="575"/>
      <c r="M155" s="575"/>
      <c r="N155" s="575"/>
      <c r="O155" s="571"/>
      <c r="P155" s="608">
        <v>0</v>
      </c>
      <c r="Q155" s="597" t="str">
        <f t="shared" si="8"/>
        <v>–</v>
      </c>
      <c r="S155" s="762"/>
    </row>
    <row r="156" spans="1:19">
      <c r="A156" s="695" t="s">
        <v>3811</v>
      </c>
      <c r="B156" s="696"/>
      <c r="C156" s="696"/>
      <c r="D156" s="696"/>
      <c r="E156" s="696"/>
      <c r="F156" s="696"/>
      <c r="G156" s="696"/>
      <c r="H156" s="696"/>
      <c r="I156" s="696"/>
      <c r="J156" s="696"/>
      <c r="K156" s="696"/>
      <c r="L156" s="696"/>
      <c r="M156" s="696"/>
      <c r="N156" s="696"/>
      <c r="O156" s="696"/>
      <c r="P156" s="697"/>
      <c r="Q156" s="698"/>
      <c r="S156" s="762"/>
    </row>
    <row r="157" spans="1:19">
      <c r="A157" s="571">
        <v>10</v>
      </c>
      <c r="B157" s="572" t="s">
        <v>3812</v>
      </c>
      <c r="C157" s="571">
        <v>1</v>
      </c>
      <c r="D157" s="573" t="s">
        <v>3813</v>
      </c>
      <c r="E157" s="571"/>
      <c r="F157" s="571"/>
      <c r="G157" s="615" t="str">
        <f>IF((E157+F157)&gt;0, C157*(E157+F157), "")</f>
        <v/>
      </c>
      <c r="H157" s="571"/>
      <c r="I157" s="571"/>
      <c r="J157" s="575"/>
      <c r="K157" s="575" t="s">
        <v>3654</v>
      </c>
      <c r="L157" s="575" t="s">
        <v>3654</v>
      </c>
      <c r="M157" s="575"/>
      <c r="N157" s="575" t="s">
        <v>3655</v>
      </c>
      <c r="O157" s="571"/>
      <c r="P157" s="608">
        <v>0</v>
      </c>
      <c r="Q157" s="597" t="str">
        <f t="shared" ref="Q157:Q164" si="9">IF((C157*P157)&gt;0, C157*P157, IF((C157*P157+P157=0), "–", "NĚKDE JE CHYBA!"))</f>
        <v>–</v>
      </c>
      <c r="S157" s="762"/>
    </row>
    <row r="158" spans="1:19">
      <c r="A158" s="571">
        <v>11</v>
      </c>
      <c r="B158" s="572" t="s">
        <v>3814</v>
      </c>
      <c r="C158" s="571">
        <v>1</v>
      </c>
      <c r="D158" s="573" t="s">
        <v>3740</v>
      </c>
      <c r="E158" s="571">
        <v>0.4</v>
      </c>
      <c r="F158" s="571">
        <v>0</v>
      </c>
      <c r="G158" s="615">
        <f>IF((E158+F158)&gt;0, C158*(E158+F158), "")</f>
        <v>0.4</v>
      </c>
      <c r="H158" s="571"/>
      <c r="I158" s="571"/>
      <c r="J158" s="571"/>
      <c r="K158" s="575" t="s">
        <v>3700</v>
      </c>
      <c r="L158" s="575"/>
      <c r="M158" s="575"/>
      <c r="N158" s="575" t="s">
        <v>3655</v>
      </c>
      <c r="O158" s="576"/>
      <c r="P158" s="608">
        <v>0</v>
      </c>
      <c r="Q158" s="597" t="str">
        <f t="shared" si="9"/>
        <v>–</v>
      </c>
      <c r="S158" s="762"/>
    </row>
    <row r="159" spans="1:19" ht="30">
      <c r="A159" s="571">
        <v>12</v>
      </c>
      <c r="B159" s="572" t="s">
        <v>3815</v>
      </c>
      <c r="C159" s="571">
        <v>1</v>
      </c>
      <c r="D159" s="573" t="s">
        <v>3816</v>
      </c>
      <c r="E159" s="571"/>
      <c r="F159" s="571"/>
      <c r="G159" s="615" t="str">
        <f>IF((E159+F159)&gt;0, C159*(E159+F159), "")</f>
        <v/>
      </c>
      <c r="H159" s="615"/>
      <c r="I159" s="615"/>
      <c r="J159" s="571"/>
      <c r="K159" s="575" t="s">
        <v>3654</v>
      </c>
      <c r="L159" s="575" t="s">
        <v>3654</v>
      </c>
      <c r="M159" s="575"/>
      <c r="N159" s="575" t="s">
        <v>3655</v>
      </c>
      <c r="O159" s="571"/>
      <c r="P159" s="608">
        <v>0</v>
      </c>
      <c r="Q159" s="597" t="str">
        <f t="shared" si="9"/>
        <v>–</v>
      </c>
      <c r="S159" s="762"/>
    </row>
    <row r="160" spans="1:19" ht="30">
      <c r="A160" s="571">
        <v>13</v>
      </c>
      <c r="B160" s="572" t="s">
        <v>5849</v>
      </c>
      <c r="C160" s="571">
        <v>1</v>
      </c>
      <c r="D160" s="573" t="s">
        <v>3694</v>
      </c>
      <c r="E160" s="571"/>
      <c r="F160" s="571"/>
      <c r="G160" s="615" t="str">
        <f>IF((E160+F160)&gt;0, C160*(E160+F160), "")</f>
        <v/>
      </c>
      <c r="H160" s="571"/>
      <c r="I160" s="571"/>
      <c r="J160" s="571"/>
      <c r="K160" s="575"/>
      <c r="L160" s="575"/>
      <c r="M160" s="575"/>
      <c r="N160" s="575" t="s">
        <v>3677</v>
      </c>
      <c r="O160" s="571"/>
      <c r="P160" s="608">
        <v>0</v>
      </c>
      <c r="Q160" s="597" t="str">
        <f t="shared" si="9"/>
        <v>–</v>
      </c>
      <c r="S160" s="762"/>
    </row>
    <row r="161" spans="1:19">
      <c r="A161" s="571" t="s">
        <v>3817</v>
      </c>
      <c r="B161" s="572" t="s">
        <v>3818</v>
      </c>
      <c r="C161" s="571">
        <v>2</v>
      </c>
      <c r="D161" s="573" t="s">
        <v>3714</v>
      </c>
      <c r="E161" s="571"/>
      <c r="F161" s="571"/>
      <c r="G161" s="571"/>
      <c r="H161" s="571"/>
      <c r="I161" s="571"/>
      <c r="J161" s="571"/>
      <c r="K161" s="575"/>
      <c r="L161" s="575"/>
      <c r="M161" s="575"/>
      <c r="N161" s="575"/>
      <c r="O161" s="571"/>
      <c r="P161" s="608">
        <v>0</v>
      </c>
      <c r="Q161" s="597" t="str">
        <f t="shared" si="9"/>
        <v>–</v>
      </c>
      <c r="S161" s="762"/>
    </row>
    <row r="162" spans="1:19">
      <c r="A162" s="571" t="s">
        <v>3819</v>
      </c>
      <c r="B162" s="572" t="s">
        <v>3818</v>
      </c>
      <c r="C162" s="571">
        <v>1</v>
      </c>
      <c r="D162" s="573" t="s">
        <v>3820</v>
      </c>
      <c r="E162" s="571"/>
      <c r="F162" s="571"/>
      <c r="G162" s="571"/>
      <c r="H162" s="571"/>
      <c r="I162" s="571"/>
      <c r="J162" s="571"/>
      <c r="K162" s="575"/>
      <c r="L162" s="575"/>
      <c r="M162" s="575"/>
      <c r="N162" s="575"/>
      <c r="O162" s="571"/>
      <c r="P162" s="608">
        <v>0</v>
      </c>
      <c r="Q162" s="597" t="str">
        <f t="shared" si="9"/>
        <v>–</v>
      </c>
      <c r="S162" s="762"/>
    </row>
    <row r="163" spans="1:19">
      <c r="A163" s="571" t="s">
        <v>3821</v>
      </c>
      <c r="B163" s="572" t="s">
        <v>3818</v>
      </c>
      <c r="C163" s="571">
        <v>1</v>
      </c>
      <c r="D163" s="573" t="s">
        <v>3716</v>
      </c>
      <c r="E163" s="571"/>
      <c r="F163" s="571"/>
      <c r="G163" s="571"/>
      <c r="H163" s="571"/>
      <c r="I163" s="571"/>
      <c r="J163" s="571"/>
      <c r="K163" s="575"/>
      <c r="L163" s="575"/>
      <c r="M163" s="575"/>
      <c r="N163" s="575"/>
      <c r="O163" s="571"/>
      <c r="P163" s="608">
        <v>0</v>
      </c>
      <c r="Q163" s="597" t="str">
        <f t="shared" si="9"/>
        <v>–</v>
      </c>
      <c r="S163" s="762"/>
    </row>
    <row r="164" spans="1:19" ht="45">
      <c r="A164" s="629">
        <v>15</v>
      </c>
      <c r="B164" s="667" t="s">
        <v>3822</v>
      </c>
      <c r="C164" s="631">
        <v>1</v>
      </c>
      <c r="D164" s="670" t="s">
        <v>3823</v>
      </c>
      <c r="E164" s="631">
        <v>0</v>
      </c>
      <c r="F164" s="678">
        <v>13</v>
      </c>
      <c r="G164" s="634">
        <f>IF((E164+F164)&gt;0, C164*(E164+F164), "")</f>
        <v>13</v>
      </c>
      <c r="H164" s="654"/>
      <c r="I164" s="631"/>
      <c r="J164" s="635"/>
      <c r="K164" s="635"/>
      <c r="L164" s="635"/>
      <c r="M164" s="635" t="s">
        <v>3700</v>
      </c>
      <c r="N164" s="635" t="s">
        <v>3824</v>
      </c>
      <c r="O164" s="657" t="s">
        <v>3737</v>
      </c>
      <c r="P164" s="673">
        <v>0</v>
      </c>
      <c r="Q164" s="665" t="str">
        <f t="shared" si="9"/>
        <v>–</v>
      </c>
      <c r="S164" s="762"/>
    </row>
    <row r="165" spans="1:19" ht="136.19999999999999" customHeight="1">
      <c r="A165" s="637"/>
      <c r="B165" s="761" t="s">
        <v>5871</v>
      </c>
      <c r="C165" s="639"/>
      <c r="D165" s="671"/>
      <c r="E165" s="639"/>
      <c r="F165" s="679"/>
      <c r="G165" s="642"/>
      <c r="H165" s="655"/>
      <c r="I165" s="639"/>
      <c r="J165" s="643"/>
      <c r="K165" s="643"/>
      <c r="L165" s="643"/>
      <c r="M165" s="643"/>
      <c r="N165" s="643"/>
      <c r="O165" s="658"/>
      <c r="P165" s="600"/>
      <c r="Q165" s="663"/>
      <c r="S165" s="762"/>
    </row>
    <row r="166" spans="1:19" ht="127.2" customHeight="1">
      <c r="A166" s="645"/>
      <c r="B166" s="669" t="s">
        <v>5872</v>
      </c>
      <c r="C166" s="647"/>
      <c r="D166" s="672"/>
      <c r="E166" s="647"/>
      <c r="F166" s="680"/>
      <c r="G166" s="650"/>
      <c r="H166" s="656"/>
      <c r="I166" s="647"/>
      <c r="J166" s="651"/>
      <c r="K166" s="651"/>
      <c r="L166" s="651"/>
      <c r="M166" s="651"/>
      <c r="N166" s="651"/>
      <c r="O166" s="659"/>
      <c r="P166" s="652"/>
      <c r="Q166" s="664"/>
      <c r="S166" s="762"/>
    </row>
    <row r="167" spans="1:19">
      <c r="A167" s="571" t="s">
        <v>3825</v>
      </c>
      <c r="B167" s="572" t="s">
        <v>3826</v>
      </c>
      <c r="C167" s="571">
        <v>1</v>
      </c>
      <c r="D167" s="573" t="s">
        <v>3827</v>
      </c>
      <c r="E167" s="571"/>
      <c r="F167" s="571"/>
      <c r="G167" s="615" t="str">
        <f>IF((E167+F167)&gt;0, C167*(E167+F167), "")</f>
        <v/>
      </c>
      <c r="H167" s="571"/>
      <c r="I167" s="571"/>
      <c r="J167" s="571"/>
      <c r="K167" s="575"/>
      <c r="L167" s="575"/>
      <c r="M167" s="575"/>
      <c r="N167" s="575"/>
      <c r="O167" s="674" t="s">
        <v>3748</v>
      </c>
      <c r="P167" s="608">
        <v>0</v>
      </c>
      <c r="Q167" s="597" t="str">
        <f>IF((C167*P167)&gt;0, C167*P167, IF((C167*P167+P167=0), "–", "NĚKDE JE CHYBA!"))</f>
        <v>–</v>
      </c>
      <c r="S167" s="762"/>
    </row>
    <row r="168" spans="1:19">
      <c r="A168" s="695" t="s">
        <v>3828</v>
      </c>
      <c r="B168" s="696"/>
      <c r="C168" s="696"/>
      <c r="D168" s="696"/>
      <c r="E168" s="696"/>
      <c r="F168" s="696"/>
      <c r="G168" s="696"/>
      <c r="H168" s="696"/>
      <c r="I168" s="696"/>
      <c r="J168" s="696"/>
      <c r="K168" s="696"/>
      <c r="L168" s="696"/>
      <c r="M168" s="696"/>
      <c r="N168" s="696"/>
      <c r="O168" s="696"/>
      <c r="P168" s="697"/>
      <c r="Q168" s="698"/>
      <c r="S168" s="762"/>
    </row>
    <row r="169" spans="1:19">
      <c r="A169" s="571">
        <v>53</v>
      </c>
      <c r="B169" s="572" t="s">
        <v>3829</v>
      </c>
      <c r="C169" s="571">
        <v>1</v>
      </c>
      <c r="D169" s="573" t="s">
        <v>3830</v>
      </c>
      <c r="E169" s="571"/>
      <c r="F169" s="571"/>
      <c r="G169" s="615"/>
      <c r="H169" s="571"/>
      <c r="I169" s="571"/>
      <c r="J169" s="571"/>
      <c r="K169" s="575"/>
      <c r="L169" s="575"/>
      <c r="M169" s="575"/>
      <c r="N169" s="575"/>
      <c r="O169" s="571"/>
      <c r="P169" s="608">
        <v>0</v>
      </c>
      <c r="Q169" s="597" t="str">
        <f>IF((C169*P169)&gt;0, C169*P169, IF((C169*P169+P169=0), "–", "NĚKDE JE CHYBA!"))</f>
        <v>–</v>
      </c>
      <c r="S169" s="762"/>
    </row>
    <row r="170" spans="1:19">
      <c r="A170" s="602" t="s">
        <v>3831</v>
      </c>
      <c r="B170" s="618"/>
      <c r="C170" s="618"/>
      <c r="D170" s="618"/>
      <c r="E170" s="618"/>
      <c r="F170" s="618"/>
      <c r="G170" s="618"/>
      <c r="H170" s="618"/>
      <c r="I170" s="618"/>
      <c r="J170" s="618"/>
      <c r="K170" s="618"/>
      <c r="L170" s="618"/>
      <c r="M170" s="618"/>
      <c r="N170" s="618"/>
      <c r="O170" s="618"/>
      <c r="P170" s="607"/>
      <c r="Q170" s="604"/>
      <c r="S170" s="762"/>
    </row>
    <row r="171" spans="1:19" ht="75">
      <c r="A171" s="571">
        <v>1</v>
      </c>
      <c r="B171" s="610" t="s">
        <v>3832</v>
      </c>
      <c r="C171" s="571">
        <v>1</v>
      </c>
      <c r="D171" s="573"/>
      <c r="E171" s="571"/>
      <c r="F171" s="571"/>
      <c r="G171" s="699" t="str">
        <f>IF((E171+F171)&gt;0, C171*(E171+F171), "")</f>
        <v/>
      </c>
      <c r="H171" s="571"/>
      <c r="I171" s="571"/>
      <c r="J171" s="571"/>
      <c r="K171" s="575"/>
      <c r="L171" s="575"/>
      <c r="M171" s="575"/>
      <c r="N171" s="575"/>
      <c r="O171" s="576" t="s">
        <v>3833</v>
      </c>
      <c r="P171" s="608">
        <v>0</v>
      </c>
      <c r="Q171" s="597" t="str">
        <f>IF((C171*P171)&gt;0, C171*P171, IF((C171*P171+P171=0), "–", "NĚKDE JE CHYBA!"))</f>
        <v>–</v>
      </c>
      <c r="S171" s="762"/>
    </row>
    <row r="172" spans="1:19" ht="30">
      <c r="A172" s="571">
        <v>2</v>
      </c>
      <c r="B172" s="572" t="s">
        <v>3834</v>
      </c>
      <c r="C172" s="571">
        <v>1</v>
      </c>
      <c r="D172" s="573" t="s">
        <v>3664</v>
      </c>
      <c r="E172" s="571"/>
      <c r="F172" s="571"/>
      <c r="G172" s="699" t="str">
        <f>IF((E172+F172)&gt;0, C172*(E172+F172), "")</f>
        <v/>
      </c>
      <c r="H172" s="571"/>
      <c r="I172" s="571"/>
      <c r="J172" s="575"/>
      <c r="K172" s="575" t="s">
        <v>3654</v>
      </c>
      <c r="L172" s="575" t="s">
        <v>3654</v>
      </c>
      <c r="M172" s="575"/>
      <c r="N172" s="575" t="s">
        <v>3655</v>
      </c>
      <c r="O172" s="571"/>
      <c r="P172" s="608">
        <v>0</v>
      </c>
      <c r="Q172" s="597" t="str">
        <f>IF((C172*P172)&gt;0, C172*P172, IF((C172*P172+P172=0), "–", "NĚKDE JE CHYBA!"))</f>
        <v>–</v>
      </c>
      <c r="S172" s="762"/>
    </row>
    <row r="173" spans="1:19" ht="45">
      <c r="A173" s="629">
        <v>3</v>
      </c>
      <c r="B173" s="667" t="s">
        <v>3835</v>
      </c>
      <c r="C173" s="631">
        <v>1</v>
      </c>
      <c r="D173" s="670" t="s">
        <v>3836</v>
      </c>
      <c r="E173" s="631">
        <v>0</v>
      </c>
      <c r="F173" s="678">
        <v>9.9</v>
      </c>
      <c r="G173" s="700">
        <f>IF((E173+F173)&gt;0, C173*(E173+F173), "")</f>
        <v>9.9</v>
      </c>
      <c r="H173" s="654"/>
      <c r="I173" s="631"/>
      <c r="J173" s="631"/>
      <c r="K173" s="635"/>
      <c r="L173" s="635"/>
      <c r="M173" s="635" t="s">
        <v>3700</v>
      </c>
      <c r="N173" s="635" t="s">
        <v>3824</v>
      </c>
      <c r="O173" s="657" t="s">
        <v>3737</v>
      </c>
      <c r="P173" s="666">
        <v>0</v>
      </c>
      <c r="Q173" s="636" t="str">
        <f>IF((C173*P173)&gt;0, C173*P173, IF((C173*P173+P173=0), "–", "NĚKDE JE CHYBA!"))</f>
        <v>–</v>
      </c>
      <c r="S173" s="762"/>
    </row>
    <row r="174" spans="1:19" ht="36" customHeight="1">
      <c r="A174" s="637"/>
      <c r="B174" s="668" t="s">
        <v>5867</v>
      </c>
      <c r="C174" s="639"/>
      <c r="D174" s="671"/>
      <c r="E174" s="639"/>
      <c r="F174" s="679"/>
      <c r="G174" s="701"/>
      <c r="H174" s="655"/>
      <c r="I174" s="639"/>
      <c r="J174" s="639"/>
      <c r="K174" s="643"/>
      <c r="L174" s="643"/>
      <c r="M174" s="643"/>
      <c r="N174" s="643"/>
      <c r="O174" s="658"/>
      <c r="P174" s="663"/>
      <c r="Q174" s="644"/>
      <c r="S174" s="762"/>
    </row>
    <row r="175" spans="1:19" ht="225" customHeight="1">
      <c r="A175" s="645"/>
      <c r="B175" s="669" t="s">
        <v>5873</v>
      </c>
      <c r="C175" s="647"/>
      <c r="D175" s="672"/>
      <c r="E175" s="647"/>
      <c r="F175" s="680"/>
      <c r="G175" s="702"/>
      <c r="H175" s="656"/>
      <c r="I175" s="647"/>
      <c r="J175" s="647"/>
      <c r="K175" s="651"/>
      <c r="L175" s="651"/>
      <c r="M175" s="651"/>
      <c r="N175" s="651"/>
      <c r="O175" s="659"/>
      <c r="P175" s="664"/>
      <c r="Q175" s="653"/>
      <c r="S175" s="762"/>
    </row>
    <row r="176" spans="1:19">
      <c r="A176" s="571">
        <v>4</v>
      </c>
      <c r="B176" s="610" t="s">
        <v>3837</v>
      </c>
      <c r="C176" s="571">
        <v>1</v>
      </c>
      <c r="D176" s="573" t="s">
        <v>3752</v>
      </c>
      <c r="E176" s="571"/>
      <c r="F176" s="571"/>
      <c r="G176" s="699" t="str">
        <f>IF((E176+F176)&gt;0, C176*(E176+F176), "")</f>
        <v/>
      </c>
      <c r="H176" s="571"/>
      <c r="I176" s="571"/>
      <c r="J176" s="571"/>
      <c r="K176" s="575"/>
      <c r="L176" s="575"/>
      <c r="M176" s="575"/>
      <c r="N176" s="575"/>
      <c r="O176" s="571"/>
      <c r="P176" s="608">
        <v>0</v>
      </c>
      <c r="Q176" s="597" t="str">
        <f>IF((C176*P176)&gt;0, C176*P176, IF((C176*P176+P176=0), "–", "NĚKDE JE CHYBA!"))</f>
        <v>–</v>
      </c>
      <c r="S176" s="762"/>
    </row>
    <row r="177" spans="1:19">
      <c r="A177" s="571">
        <v>5</v>
      </c>
      <c r="B177" s="572" t="s">
        <v>3838</v>
      </c>
      <c r="C177" s="571">
        <v>1</v>
      </c>
      <c r="D177" s="573" t="s">
        <v>3686</v>
      </c>
      <c r="E177" s="571"/>
      <c r="F177" s="571"/>
      <c r="G177" s="699" t="str">
        <f>IF((E177+F177)&gt;0, C177*(E177+F177), "")</f>
        <v/>
      </c>
      <c r="H177" s="571"/>
      <c r="I177" s="571"/>
      <c r="J177" s="571"/>
      <c r="K177" s="575"/>
      <c r="L177" s="575"/>
      <c r="M177" s="575"/>
      <c r="N177" s="575"/>
      <c r="O177" s="571"/>
      <c r="P177" s="608">
        <v>0</v>
      </c>
      <c r="Q177" s="597" t="str">
        <f>IF((C177*P177)&gt;0, C177*P177, IF((C177*P177+P177=0), "–", "NĚKDE JE CHYBA!"))</f>
        <v>–</v>
      </c>
      <c r="S177" s="762"/>
    </row>
    <row r="178" spans="1:19" ht="30">
      <c r="A178" s="571">
        <v>6</v>
      </c>
      <c r="B178" s="572" t="s">
        <v>5849</v>
      </c>
      <c r="C178" s="571">
        <v>1</v>
      </c>
      <c r="D178" s="573" t="s">
        <v>3839</v>
      </c>
      <c r="E178" s="571"/>
      <c r="F178" s="571"/>
      <c r="G178" s="699" t="str">
        <f>IF((E178+F178)&gt;0, C178*(E178+F178), "")</f>
        <v/>
      </c>
      <c r="H178" s="571"/>
      <c r="I178" s="571"/>
      <c r="J178" s="571"/>
      <c r="K178" s="575"/>
      <c r="L178" s="575"/>
      <c r="M178" s="575"/>
      <c r="N178" s="575" t="s">
        <v>3677</v>
      </c>
      <c r="O178" s="571"/>
      <c r="P178" s="608">
        <v>0</v>
      </c>
      <c r="Q178" s="597" t="str">
        <f>IF((C178*P178)&gt;0, C178*P178, IF((C178*P178+P178=0), "–", "NĚKDE JE CHYBA!"))</f>
        <v>–</v>
      </c>
      <c r="S178" s="762"/>
    </row>
    <row r="179" spans="1:19">
      <c r="A179" s="571">
        <v>7</v>
      </c>
      <c r="B179" s="572" t="s">
        <v>3840</v>
      </c>
      <c r="C179" s="571">
        <v>1</v>
      </c>
      <c r="D179" s="573" t="s">
        <v>3664</v>
      </c>
      <c r="E179" s="571"/>
      <c r="F179" s="571"/>
      <c r="G179" s="699" t="str">
        <f>IF((E179+F179)&gt;0, C179*(E179+F179), "")</f>
        <v/>
      </c>
      <c r="H179" s="571"/>
      <c r="I179" s="571"/>
      <c r="J179" s="575"/>
      <c r="K179" s="575" t="s">
        <v>3654</v>
      </c>
      <c r="L179" s="575" t="s">
        <v>3654</v>
      </c>
      <c r="M179" s="575"/>
      <c r="N179" s="575" t="s">
        <v>3655</v>
      </c>
      <c r="O179" s="571"/>
      <c r="P179" s="608">
        <v>0</v>
      </c>
      <c r="Q179" s="597" t="str">
        <f>IF((C179*P179)&gt;0, C179*P179, IF((C179*P179+P179=0), "–", "NĚKDE JE CHYBA!"))</f>
        <v>–</v>
      </c>
      <c r="S179" s="762"/>
    </row>
    <row r="180" spans="1:19" ht="45">
      <c r="A180" s="629">
        <v>8</v>
      </c>
      <c r="B180" s="709" t="s">
        <v>5869</v>
      </c>
      <c r="C180" s="703">
        <v>1</v>
      </c>
      <c r="D180" s="711" t="s">
        <v>3841</v>
      </c>
      <c r="E180" s="703">
        <v>0</v>
      </c>
      <c r="F180" s="678">
        <v>20.6</v>
      </c>
      <c r="G180" s="700">
        <f>IF((E180+F180)&gt;0, C180*(E180+F180), "")</f>
        <v>20.6</v>
      </c>
      <c r="H180" s="713"/>
      <c r="I180" s="703"/>
      <c r="J180" s="704"/>
      <c r="K180" s="705"/>
      <c r="L180" s="705"/>
      <c r="M180" s="705" t="s">
        <v>3700</v>
      </c>
      <c r="N180" s="635" t="s">
        <v>3824</v>
      </c>
      <c r="O180" s="657" t="s">
        <v>3737</v>
      </c>
      <c r="P180" s="666">
        <v>0</v>
      </c>
      <c r="Q180" s="636" t="str">
        <f>IF((C180*P180)&gt;0, C180*P180, IF((C180*P180+P180=0), "–", "NĚKDE JE CHYBA!"))</f>
        <v>–</v>
      </c>
      <c r="S180" s="762"/>
    </row>
    <row r="181" spans="1:19" ht="138.6" customHeight="1">
      <c r="A181" s="645"/>
      <c r="B181" s="710" t="s">
        <v>5870</v>
      </c>
      <c r="C181" s="706"/>
      <c r="D181" s="712"/>
      <c r="E181" s="706"/>
      <c r="F181" s="680"/>
      <c r="G181" s="702"/>
      <c r="H181" s="714"/>
      <c r="I181" s="706"/>
      <c r="J181" s="707"/>
      <c r="K181" s="708"/>
      <c r="L181" s="708"/>
      <c r="M181" s="708"/>
      <c r="N181" s="651"/>
      <c r="O181" s="659"/>
      <c r="P181" s="664"/>
      <c r="Q181" s="653"/>
      <c r="S181" s="762"/>
    </row>
    <row r="182" spans="1:19">
      <c r="A182" s="571">
        <v>9</v>
      </c>
      <c r="B182" s="572" t="s">
        <v>3842</v>
      </c>
      <c r="C182" s="571">
        <v>1</v>
      </c>
      <c r="D182" s="573" t="s">
        <v>3752</v>
      </c>
      <c r="E182" s="571"/>
      <c r="F182" s="571"/>
      <c r="G182" s="699" t="str">
        <f t="shared" ref="G182:G191" si="10">IF((E182+F182)&gt;0, C182*(E182+F182), "")</f>
        <v/>
      </c>
      <c r="H182" s="571"/>
      <c r="I182" s="571"/>
      <c r="J182" s="571"/>
      <c r="K182" s="575"/>
      <c r="L182" s="575"/>
      <c r="M182" s="575"/>
      <c r="N182" s="575"/>
      <c r="O182" s="571"/>
      <c r="P182" s="608">
        <v>0</v>
      </c>
      <c r="Q182" s="597" t="str">
        <f t="shared" ref="Q182:Q191" si="11">IF((C182*P182)&gt;0, C182*P182, IF((C182*P182+P182=0), "–", "NĚKDE JE CHYBA!"))</f>
        <v>–</v>
      </c>
      <c r="S182" s="762"/>
    </row>
    <row r="183" spans="1:19">
      <c r="A183" s="571">
        <v>10</v>
      </c>
      <c r="B183" s="572" t="s">
        <v>3656</v>
      </c>
      <c r="C183" s="571">
        <v>1</v>
      </c>
      <c r="D183" s="573" t="s">
        <v>3657</v>
      </c>
      <c r="E183" s="571"/>
      <c r="F183" s="571"/>
      <c r="G183" s="699" t="str">
        <f t="shared" si="10"/>
        <v/>
      </c>
      <c r="H183" s="571"/>
      <c r="I183" s="571"/>
      <c r="J183" s="571"/>
      <c r="K183" s="575" t="s">
        <v>3654</v>
      </c>
      <c r="L183" s="575" t="s">
        <v>3654</v>
      </c>
      <c r="M183" s="575"/>
      <c r="N183" s="575" t="s">
        <v>3655</v>
      </c>
      <c r="O183" s="571"/>
      <c r="P183" s="608">
        <v>0</v>
      </c>
      <c r="Q183" s="597" t="str">
        <f t="shared" si="11"/>
        <v>–</v>
      </c>
      <c r="S183" s="762"/>
    </row>
    <row r="184" spans="1:19">
      <c r="A184" s="571">
        <v>11</v>
      </c>
      <c r="B184" s="572" t="s">
        <v>3838</v>
      </c>
      <c r="C184" s="571">
        <v>2</v>
      </c>
      <c r="D184" s="573" t="s">
        <v>3721</v>
      </c>
      <c r="E184" s="571"/>
      <c r="F184" s="571"/>
      <c r="G184" s="699" t="str">
        <f t="shared" si="10"/>
        <v/>
      </c>
      <c r="H184" s="571"/>
      <c r="I184" s="571"/>
      <c r="J184" s="571"/>
      <c r="K184" s="575"/>
      <c r="L184" s="575"/>
      <c r="M184" s="575"/>
      <c r="N184" s="575"/>
      <c r="O184" s="571"/>
      <c r="P184" s="608">
        <v>0</v>
      </c>
      <c r="Q184" s="597" t="str">
        <f t="shared" si="11"/>
        <v>–</v>
      </c>
      <c r="S184" s="762"/>
    </row>
    <row r="185" spans="1:19">
      <c r="A185" s="571">
        <v>12</v>
      </c>
      <c r="B185" s="572" t="s">
        <v>3838</v>
      </c>
      <c r="C185" s="571">
        <v>2</v>
      </c>
      <c r="D185" s="573" t="s">
        <v>3732</v>
      </c>
      <c r="E185" s="571"/>
      <c r="F185" s="571"/>
      <c r="G185" s="699" t="str">
        <f t="shared" si="10"/>
        <v/>
      </c>
      <c r="H185" s="571"/>
      <c r="I185" s="571"/>
      <c r="J185" s="571"/>
      <c r="K185" s="575"/>
      <c r="L185" s="575"/>
      <c r="M185" s="575"/>
      <c r="N185" s="575"/>
      <c r="O185" s="571"/>
      <c r="P185" s="608">
        <v>0</v>
      </c>
      <c r="Q185" s="597" t="str">
        <f t="shared" si="11"/>
        <v>–</v>
      </c>
      <c r="S185" s="762"/>
    </row>
    <row r="186" spans="1:19">
      <c r="A186" s="571">
        <v>13</v>
      </c>
      <c r="B186" s="572" t="s">
        <v>3843</v>
      </c>
      <c r="C186" s="571">
        <v>1</v>
      </c>
      <c r="D186" s="573" t="s">
        <v>3740</v>
      </c>
      <c r="E186" s="571">
        <v>0.4</v>
      </c>
      <c r="F186" s="571">
        <v>0</v>
      </c>
      <c r="G186" s="615">
        <f t="shared" si="10"/>
        <v>0.4</v>
      </c>
      <c r="H186" s="571"/>
      <c r="I186" s="571"/>
      <c r="J186" s="571"/>
      <c r="K186" s="575" t="s">
        <v>3700</v>
      </c>
      <c r="L186" s="575"/>
      <c r="M186" s="575"/>
      <c r="N186" s="575" t="s">
        <v>3655</v>
      </c>
      <c r="O186" s="576"/>
      <c r="P186" s="608">
        <v>0</v>
      </c>
      <c r="Q186" s="597" t="str">
        <f t="shared" si="11"/>
        <v>–</v>
      </c>
      <c r="S186" s="762"/>
    </row>
    <row r="187" spans="1:19">
      <c r="A187" s="571">
        <v>14</v>
      </c>
      <c r="B187" s="572" t="s">
        <v>3826</v>
      </c>
      <c r="C187" s="571">
        <v>1</v>
      </c>
      <c r="D187" s="573" t="s">
        <v>3844</v>
      </c>
      <c r="E187" s="571"/>
      <c r="F187" s="571"/>
      <c r="G187" s="615" t="str">
        <f t="shared" si="10"/>
        <v/>
      </c>
      <c r="H187" s="571"/>
      <c r="I187" s="571"/>
      <c r="J187" s="571"/>
      <c r="K187" s="575"/>
      <c r="L187" s="575"/>
      <c r="M187" s="575"/>
      <c r="N187" s="575"/>
      <c r="O187" s="674" t="s">
        <v>3748</v>
      </c>
      <c r="P187" s="608">
        <v>0</v>
      </c>
      <c r="Q187" s="597" t="str">
        <f t="shared" si="11"/>
        <v>–</v>
      </c>
      <c r="S187" s="762"/>
    </row>
    <row r="188" spans="1:19">
      <c r="A188" s="571">
        <v>15</v>
      </c>
      <c r="B188" s="572" t="s">
        <v>3826</v>
      </c>
      <c r="C188" s="571">
        <v>1</v>
      </c>
      <c r="D188" s="573" t="s">
        <v>3845</v>
      </c>
      <c r="E188" s="571"/>
      <c r="F188" s="571"/>
      <c r="G188" s="615" t="str">
        <f t="shared" si="10"/>
        <v/>
      </c>
      <c r="H188" s="571"/>
      <c r="I188" s="571"/>
      <c r="J188" s="571"/>
      <c r="K188" s="575"/>
      <c r="L188" s="575"/>
      <c r="M188" s="575"/>
      <c r="N188" s="575"/>
      <c r="O188" s="674" t="s">
        <v>3748</v>
      </c>
      <c r="P188" s="608">
        <v>0</v>
      </c>
      <c r="Q188" s="597" t="str">
        <f t="shared" si="11"/>
        <v>–</v>
      </c>
      <c r="S188" s="762"/>
    </row>
    <row r="189" spans="1:19" ht="30">
      <c r="A189" s="571">
        <v>16</v>
      </c>
      <c r="B189" s="572" t="s">
        <v>5849</v>
      </c>
      <c r="C189" s="571">
        <v>1</v>
      </c>
      <c r="D189" s="573" t="s">
        <v>3846</v>
      </c>
      <c r="E189" s="571"/>
      <c r="F189" s="571"/>
      <c r="G189" s="699" t="str">
        <f t="shared" si="10"/>
        <v/>
      </c>
      <c r="H189" s="571"/>
      <c r="I189" s="571"/>
      <c r="J189" s="571"/>
      <c r="K189" s="575"/>
      <c r="L189" s="575"/>
      <c r="M189" s="575"/>
      <c r="N189" s="575" t="s">
        <v>3677</v>
      </c>
      <c r="O189" s="571"/>
      <c r="P189" s="608">
        <v>0</v>
      </c>
      <c r="Q189" s="597" t="str">
        <f t="shared" si="11"/>
        <v>–</v>
      </c>
      <c r="S189" s="762"/>
    </row>
    <row r="190" spans="1:19">
      <c r="A190" s="571">
        <v>17</v>
      </c>
      <c r="B190" s="572" t="s">
        <v>3847</v>
      </c>
      <c r="C190" s="571">
        <v>1</v>
      </c>
      <c r="D190" s="573"/>
      <c r="E190" s="571"/>
      <c r="F190" s="571"/>
      <c r="G190" s="615" t="str">
        <f t="shared" si="10"/>
        <v/>
      </c>
      <c r="H190" s="571"/>
      <c r="I190" s="571"/>
      <c r="J190" s="571"/>
      <c r="K190" s="575" t="s">
        <v>3654</v>
      </c>
      <c r="L190" s="575" t="s">
        <v>3654</v>
      </c>
      <c r="M190" s="575"/>
      <c r="N190" s="575"/>
      <c r="O190" s="571"/>
      <c r="P190" s="608">
        <v>0</v>
      </c>
      <c r="Q190" s="597" t="str">
        <f t="shared" si="11"/>
        <v>–</v>
      </c>
      <c r="S190" s="762"/>
    </row>
    <row r="191" spans="1:19" ht="30">
      <c r="A191" s="571">
        <v>18</v>
      </c>
      <c r="B191" s="572" t="s">
        <v>5849</v>
      </c>
      <c r="C191" s="571">
        <v>1</v>
      </c>
      <c r="D191" s="573" t="s">
        <v>3697</v>
      </c>
      <c r="E191" s="571"/>
      <c r="F191" s="571"/>
      <c r="G191" s="615" t="str">
        <f t="shared" si="10"/>
        <v/>
      </c>
      <c r="H191" s="571"/>
      <c r="I191" s="571"/>
      <c r="J191" s="571"/>
      <c r="K191" s="575"/>
      <c r="L191" s="575"/>
      <c r="M191" s="575"/>
      <c r="N191" s="575" t="s">
        <v>3677</v>
      </c>
      <c r="O191" s="571"/>
      <c r="P191" s="608">
        <v>0</v>
      </c>
      <c r="Q191" s="597" t="str">
        <f t="shared" si="11"/>
        <v>–</v>
      </c>
      <c r="S191" s="762"/>
    </row>
    <row r="192" spans="1:19">
      <c r="A192" s="602" t="s">
        <v>3848</v>
      </c>
      <c r="B192" s="618"/>
      <c r="C192" s="618"/>
      <c r="D192" s="618"/>
      <c r="E192" s="618"/>
      <c r="F192" s="618"/>
      <c r="G192" s="618"/>
      <c r="H192" s="618"/>
      <c r="I192" s="618"/>
      <c r="J192" s="618"/>
      <c r="K192" s="618"/>
      <c r="L192" s="618"/>
      <c r="M192" s="618"/>
      <c r="N192" s="618"/>
      <c r="O192" s="618"/>
      <c r="P192" s="607"/>
      <c r="Q192" s="604"/>
      <c r="S192" s="762"/>
    </row>
    <row r="193" spans="1:19">
      <c r="A193" s="571">
        <v>1</v>
      </c>
      <c r="B193" s="572" t="s">
        <v>3658</v>
      </c>
      <c r="C193" s="571">
        <v>2</v>
      </c>
      <c r="D193" s="573" t="s">
        <v>3849</v>
      </c>
      <c r="E193" s="571"/>
      <c r="F193" s="571"/>
      <c r="G193" s="699" t="str">
        <f t="shared" ref="G193:G217" si="12">IF((E193+F193)&gt;0, C193*(E193+F193), "")</f>
        <v/>
      </c>
      <c r="H193" s="571"/>
      <c r="I193" s="571"/>
      <c r="J193" s="571"/>
      <c r="K193" s="575"/>
      <c r="L193" s="575"/>
      <c r="M193" s="575"/>
      <c r="N193" s="575"/>
      <c r="O193" s="571"/>
      <c r="P193" s="608">
        <v>0</v>
      </c>
      <c r="Q193" s="597" t="str">
        <f t="shared" ref="Q193:Q207" si="13">IF((C193*P193)&gt;0, C193*P193, IF((C193*P193+P193=0), "–", "NĚKDE JE CHYBA!"))</f>
        <v>–</v>
      </c>
      <c r="S193" s="762"/>
    </row>
    <row r="194" spans="1:19">
      <c r="A194" s="571">
        <v>2</v>
      </c>
      <c r="B194" s="572" t="s">
        <v>3656</v>
      </c>
      <c r="C194" s="571">
        <v>1</v>
      </c>
      <c r="D194" s="573" t="s">
        <v>3657</v>
      </c>
      <c r="E194" s="571"/>
      <c r="F194" s="571"/>
      <c r="G194" s="699" t="str">
        <f t="shared" si="12"/>
        <v/>
      </c>
      <c r="H194" s="571"/>
      <c r="I194" s="571"/>
      <c r="J194" s="571"/>
      <c r="K194" s="575" t="s">
        <v>3654</v>
      </c>
      <c r="L194" s="575" t="s">
        <v>3654</v>
      </c>
      <c r="M194" s="575"/>
      <c r="N194" s="575" t="s">
        <v>3655</v>
      </c>
      <c r="O194" s="571"/>
      <c r="P194" s="608">
        <v>0</v>
      </c>
      <c r="Q194" s="597" t="str">
        <f t="shared" si="13"/>
        <v>–</v>
      </c>
      <c r="S194" s="762"/>
    </row>
    <row r="195" spans="1:19" ht="45">
      <c r="A195" s="571">
        <v>3</v>
      </c>
      <c r="B195" s="610" t="s">
        <v>3850</v>
      </c>
      <c r="C195" s="571">
        <v>1</v>
      </c>
      <c r="D195" s="573"/>
      <c r="E195" s="571"/>
      <c r="F195" s="571"/>
      <c r="G195" s="699" t="str">
        <f t="shared" si="12"/>
        <v/>
      </c>
      <c r="H195" s="571"/>
      <c r="I195" s="571"/>
      <c r="J195" s="571"/>
      <c r="K195" s="575"/>
      <c r="L195" s="575"/>
      <c r="M195" s="575"/>
      <c r="N195" s="575"/>
      <c r="O195" s="576" t="s">
        <v>3851</v>
      </c>
      <c r="P195" s="608">
        <v>0</v>
      </c>
      <c r="Q195" s="597" t="str">
        <f t="shared" si="13"/>
        <v>–</v>
      </c>
      <c r="S195" s="762"/>
    </row>
    <row r="196" spans="1:19">
      <c r="A196" s="571">
        <v>4</v>
      </c>
      <c r="B196" s="572" t="s">
        <v>3852</v>
      </c>
      <c r="C196" s="571">
        <v>3</v>
      </c>
      <c r="D196" s="573" t="s">
        <v>3853</v>
      </c>
      <c r="E196" s="571"/>
      <c r="F196" s="571"/>
      <c r="G196" s="699" t="str">
        <f t="shared" si="12"/>
        <v/>
      </c>
      <c r="H196" s="571"/>
      <c r="I196" s="571"/>
      <c r="J196" s="571"/>
      <c r="K196" s="575"/>
      <c r="L196" s="575"/>
      <c r="M196" s="575"/>
      <c r="N196" s="575"/>
      <c r="O196" s="571"/>
      <c r="P196" s="608">
        <v>0</v>
      </c>
      <c r="Q196" s="597" t="str">
        <f t="shared" si="13"/>
        <v>–</v>
      </c>
      <c r="S196" s="762"/>
    </row>
    <row r="197" spans="1:19">
      <c r="A197" s="571">
        <v>5</v>
      </c>
      <c r="B197" s="572" t="s">
        <v>3854</v>
      </c>
      <c r="C197" s="571">
        <v>2</v>
      </c>
      <c r="D197" s="573" t="s">
        <v>3855</v>
      </c>
      <c r="E197" s="571">
        <v>1.5</v>
      </c>
      <c r="F197" s="571">
        <v>0</v>
      </c>
      <c r="G197" s="699">
        <f t="shared" si="12"/>
        <v>3</v>
      </c>
      <c r="H197" s="571"/>
      <c r="I197" s="571"/>
      <c r="J197" s="571"/>
      <c r="K197" s="575"/>
      <c r="L197" s="575"/>
      <c r="M197" s="575"/>
      <c r="N197" s="575"/>
      <c r="O197" s="571"/>
      <c r="P197" s="608">
        <v>0</v>
      </c>
      <c r="Q197" s="597" t="str">
        <f t="shared" si="13"/>
        <v>–</v>
      </c>
      <c r="S197" s="762"/>
    </row>
    <row r="198" spans="1:19">
      <c r="A198" s="571">
        <v>6</v>
      </c>
      <c r="B198" s="572" t="s">
        <v>3856</v>
      </c>
      <c r="C198" s="571">
        <v>2</v>
      </c>
      <c r="D198" s="573" t="s">
        <v>3813</v>
      </c>
      <c r="E198" s="571"/>
      <c r="F198" s="571"/>
      <c r="G198" s="699" t="str">
        <f t="shared" si="12"/>
        <v/>
      </c>
      <c r="H198" s="571"/>
      <c r="I198" s="571"/>
      <c r="J198" s="571"/>
      <c r="K198" s="575"/>
      <c r="L198" s="575"/>
      <c r="M198" s="575"/>
      <c r="N198" s="575"/>
      <c r="O198" s="571"/>
      <c r="P198" s="608">
        <v>0</v>
      </c>
      <c r="Q198" s="597" t="str">
        <f t="shared" si="13"/>
        <v>–</v>
      </c>
      <c r="S198" s="762"/>
    </row>
    <row r="199" spans="1:19">
      <c r="A199" s="571">
        <v>7</v>
      </c>
      <c r="B199" s="572" t="s">
        <v>3857</v>
      </c>
      <c r="C199" s="571">
        <v>2</v>
      </c>
      <c r="D199" s="573" t="s">
        <v>3858</v>
      </c>
      <c r="E199" s="571"/>
      <c r="F199" s="571"/>
      <c r="G199" s="699" t="str">
        <f t="shared" si="12"/>
        <v/>
      </c>
      <c r="H199" s="571"/>
      <c r="I199" s="571"/>
      <c r="J199" s="571"/>
      <c r="K199" s="575"/>
      <c r="L199" s="575"/>
      <c r="M199" s="575"/>
      <c r="N199" s="575"/>
      <c r="O199" s="571"/>
      <c r="P199" s="608">
        <v>0</v>
      </c>
      <c r="Q199" s="597" t="str">
        <f t="shared" si="13"/>
        <v>–</v>
      </c>
      <c r="S199" s="762"/>
    </row>
    <row r="200" spans="1:19">
      <c r="A200" s="571">
        <v>8</v>
      </c>
      <c r="B200" s="572" t="s">
        <v>3859</v>
      </c>
      <c r="C200" s="571">
        <v>2</v>
      </c>
      <c r="D200" s="573" t="s">
        <v>3791</v>
      </c>
      <c r="E200" s="571">
        <v>0</v>
      </c>
      <c r="F200" s="571">
        <v>4.0999999999999996</v>
      </c>
      <c r="G200" s="578">
        <f t="shared" si="12"/>
        <v>8.1999999999999993</v>
      </c>
      <c r="H200" s="571"/>
      <c r="I200" s="571"/>
      <c r="J200" s="571"/>
      <c r="K200" s="575" t="s">
        <v>3654</v>
      </c>
      <c r="L200" s="575"/>
      <c r="M200" s="575"/>
      <c r="N200" s="575" t="s">
        <v>3655</v>
      </c>
      <c r="O200" s="571"/>
      <c r="P200" s="608">
        <v>0</v>
      </c>
      <c r="Q200" s="597" t="str">
        <f t="shared" si="13"/>
        <v>–</v>
      </c>
      <c r="S200" s="762"/>
    </row>
    <row r="201" spans="1:19" ht="30">
      <c r="A201" s="571">
        <v>9</v>
      </c>
      <c r="B201" s="572" t="s">
        <v>3860</v>
      </c>
      <c r="C201" s="571">
        <v>2</v>
      </c>
      <c r="D201" s="573" t="s">
        <v>3861</v>
      </c>
      <c r="E201" s="571"/>
      <c r="F201" s="571"/>
      <c r="G201" s="699" t="str">
        <f t="shared" si="12"/>
        <v/>
      </c>
      <c r="H201" s="571"/>
      <c r="I201" s="571"/>
      <c r="J201" s="571"/>
      <c r="K201" s="575"/>
      <c r="L201" s="575"/>
      <c r="M201" s="575"/>
      <c r="N201" s="575"/>
      <c r="O201" s="571"/>
      <c r="P201" s="608">
        <v>0</v>
      </c>
      <c r="Q201" s="597" t="str">
        <f t="shared" si="13"/>
        <v>–</v>
      </c>
      <c r="S201" s="762"/>
    </row>
    <row r="202" spans="1:19">
      <c r="A202" s="571">
        <v>10</v>
      </c>
      <c r="B202" s="572" t="s">
        <v>3862</v>
      </c>
      <c r="C202" s="571">
        <v>1</v>
      </c>
      <c r="D202" s="573" t="s">
        <v>3855</v>
      </c>
      <c r="E202" s="571">
        <v>1.5</v>
      </c>
      <c r="F202" s="571">
        <v>0</v>
      </c>
      <c r="G202" s="699">
        <f t="shared" si="12"/>
        <v>1.5</v>
      </c>
      <c r="H202" s="571"/>
      <c r="I202" s="571"/>
      <c r="J202" s="571"/>
      <c r="K202" s="575"/>
      <c r="L202" s="575"/>
      <c r="M202" s="575"/>
      <c r="N202" s="575"/>
      <c r="O202" s="571"/>
      <c r="P202" s="608">
        <v>0</v>
      </c>
      <c r="Q202" s="597" t="str">
        <f t="shared" si="13"/>
        <v>–</v>
      </c>
      <c r="S202" s="762"/>
    </row>
    <row r="203" spans="1:19" ht="27.6" customHeight="1">
      <c r="A203" s="571">
        <v>11</v>
      </c>
      <c r="B203" s="572" t="s">
        <v>3863</v>
      </c>
      <c r="C203" s="571">
        <v>1</v>
      </c>
      <c r="D203" s="573" t="s">
        <v>3864</v>
      </c>
      <c r="E203" s="571"/>
      <c r="F203" s="571"/>
      <c r="G203" s="699" t="str">
        <f t="shared" si="12"/>
        <v/>
      </c>
      <c r="H203" s="571"/>
      <c r="I203" s="571"/>
      <c r="J203" s="571"/>
      <c r="K203" s="575"/>
      <c r="L203" s="575"/>
      <c r="M203" s="575"/>
      <c r="N203" s="575"/>
      <c r="O203" s="571"/>
      <c r="P203" s="608">
        <v>0</v>
      </c>
      <c r="Q203" s="597" t="str">
        <f t="shared" si="13"/>
        <v>–</v>
      </c>
      <c r="S203" s="762"/>
    </row>
    <row r="204" spans="1:19">
      <c r="A204" s="571">
        <v>12</v>
      </c>
      <c r="B204" s="572" t="s">
        <v>3865</v>
      </c>
      <c r="C204" s="571">
        <v>1</v>
      </c>
      <c r="D204" s="573" t="s">
        <v>3866</v>
      </c>
      <c r="E204" s="571">
        <v>2.1</v>
      </c>
      <c r="F204" s="571">
        <v>0</v>
      </c>
      <c r="G204" s="615">
        <f t="shared" si="12"/>
        <v>2.1</v>
      </c>
      <c r="H204" s="571"/>
      <c r="I204" s="571"/>
      <c r="J204" s="571"/>
      <c r="K204" s="575" t="s">
        <v>3654</v>
      </c>
      <c r="L204" s="575"/>
      <c r="M204" s="575"/>
      <c r="N204" s="575" t="s">
        <v>3655</v>
      </c>
      <c r="O204" s="571"/>
      <c r="P204" s="608">
        <v>0</v>
      </c>
      <c r="Q204" s="597" t="str">
        <f t="shared" si="13"/>
        <v>–</v>
      </c>
      <c r="S204" s="762"/>
    </row>
    <row r="205" spans="1:19" ht="30">
      <c r="A205" s="571">
        <v>13</v>
      </c>
      <c r="B205" s="572" t="s">
        <v>3665</v>
      </c>
      <c r="C205" s="571">
        <v>1</v>
      </c>
      <c r="D205" s="573" t="s">
        <v>3867</v>
      </c>
      <c r="E205" s="571"/>
      <c r="F205" s="571"/>
      <c r="G205" s="699" t="str">
        <f t="shared" si="12"/>
        <v/>
      </c>
      <c r="H205" s="571"/>
      <c r="I205" s="571"/>
      <c r="J205" s="571"/>
      <c r="K205" s="575"/>
      <c r="L205" s="575"/>
      <c r="M205" s="575"/>
      <c r="N205" s="575"/>
      <c r="O205" s="571"/>
      <c r="P205" s="608">
        <v>0</v>
      </c>
      <c r="Q205" s="597" t="str">
        <f t="shared" si="13"/>
        <v>–</v>
      </c>
      <c r="S205" s="762"/>
    </row>
    <row r="206" spans="1:19">
      <c r="A206" s="571">
        <v>14</v>
      </c>
      <c r="B206" s="572" t="s">
        <v>3868</v>
      </c>
      <c r="C206" s="571">
        <v>1</v>
      </c>
      <c r="D206" s="573" t="s">
        <v>3866</v>
      </c>
      <c r="E206" s="571"/>
      <c r="F206" s="571"/>
      <c r="G206" s="699" t="str">
        <f t="shared" si="12"/>
        <v/>
      </c>
      <c r="H206" s="571"/>
      <c r="I206" s="571"/>
      <c r="J206" s="571"/>
      <c r="K206" s="575"/>
      <c r="L206" s="575"/>
      <c r="M206" s="575"/>
      <c r="N206" s="575"/>
      <c r="O206" s="571"/>
      <c r="P206" s="608">
        <v>0</v>
      </c>
      <c r="Q206" s="597" t="str">
        <f t="shared" si="13"/>
        <v>–</v>
      </c>
      <c r="S206" s="762"/>
    </row>
    <row r="207" spans="1:19">
      <c r="A207" s="571">
        <v>15</v>
      </c>
      <c r="B207" s="572" t="s">
        <v>3869</v>
      </c>
      <c r="C207" s="571">
        <v>1</v>
      </c>
      <c r="D207" s="573" t="s">
        <v>3870</v>
      </c>
      <c r="E207" s="571"/>
      <c r="F207" s="571"/>
      <c r="G207" s="699" t="str">
        <f t="shared" si="12"/>
        <v/>
      </c>
      <c r="H207" s="571"/>
      <c r="I207" s="571"/>
      <c r="J207" s="571"/>
      <c r="K207" s="575"/>
      <c r="L207" s="575"/>
      <c r="M207" s="575"/>
      <c r="N207" s="575"/>
      <c r="O207" s="571"/>
      <c r="P207" s="608">
        <v>0</v>
      </c>
      <c r="Q207" s="597" t="str">
        <f t="shared" si="13"/>
        <v>–</v>
      </c>
      <c r="S207" s="762"/>
    </row>
    <row r="208" spans="1:19">
      <c r="A208" s="571" t="s">
        <v>3825</v>
      </c>
      <c r="B208" s="572" t="s">
        <v>3871</v>
      </c>
      <c r="C208" s="571">
        <v>1</v>
      </c>
      <c r="D208" s="573"/>
      <c r="E208" s="571">
        <v>0.8</v>
      </c>
      <c r="F208" s="571">
        <v>0</v>
      </c>
      <c r="G208" s="699">
        <f t="shared" si="12"/>
        <v>0.8</v>
      </c>
      <c r="H208" s="571"/>
      <c r="I208" s="571"/>
      <c r="J208" s="571"/>
      <c r="K208" s="575"/>
      <c r="L208" s="575"/>
      <c r="M208" s="575"/>
      <c r="N208" s="575"/>
      <c r="O208" s="571"/>
      <c r="P208" s="717">
        <v>0</v>
      </c>
      <c r="Q208" s="715" t="s">
        <v>3872</v>
      </c>
      <c r="S208" s="762"/>
    </row>
    <row r="209" spans="1:19">
      <c r="A209" s="571">
        <v>16</v>
      </c>
      <c r="B209" s="572" t="s">
        <v>3873</v>
      </c>
      <c r="C209" s="571">
        <v>2</v>
      </c>
      <c r="D209" s="573" t="s">
        <v>3874</v>
      </c>
      <c r="E209" s="571"/>
      <c r="F209" s="571"/>
      <c r="G209" s="699" t="str">
        <f t="shared" si="12"/>
        <v/>
      </c>
      <c r="H209" s="571"/>
      <c r="I209" s="571"/>
      <c r="J209" s="571"/>
      <c r="K209" s="575"/>
      <c r="L209" s="575"/>
      <c r="M209" s="575"/>
      <c r="N209" s="575"/>
      <c r="O209" s="571"/>
      <c r="P209" s="608">
        <v>0</v>
      </c>
      <c r="Q209" s="597" t="str">
        <f t="shared" ref="Q209:Q222" si="14">IF((C209*P209)&gt;0, C209*P209, IF((C209*P209+P209=0), "–", "NĚKDE JE CHYBA!"))</f>
        <v>–</v>
      </c>
      <c r="S209" s="762"/>
    </row>
    <row r="210" spans="1:19">
      <c r="A210" s="571">
        <v>17</v>
      </c>
      <c r="B210" s="572" t="s">
        <v>3875</v>
      </c>
      <c r="C210" s="571">
        <v>1</v>
      </c>
      <c r="D210" s="573" t="s">
        <v>3876</v>
      </c>
      <c r="E210" s="571"/>
      <c r="F210" s="571"/>
      <c r="G210" s="699" t="str">
        <f t="shared" si="12"/>
        <v/>
      </c>
      <c r="H210" s="571"/>
      <c r="I210" s="571"/>
      <c r="J210" s="571"/>
      <c r="K210" s="575"/>
      <c r="L210" s="575"/>
      <c r="M210" s="575"/>
      <c r="N210" s="575"/>
      <c r="O210" s="571"/>
      <c r="P210" s="608">
        <v>0</v>
      </c>
      <c r="Q210" s="597" t="str">
        <f t="shared" si="14"/>
        <v>–</v>
      </c>
      <c r="S210" s="762"/>
    </row>
    <row r="211" spans="1:19">
      <c r="A211" s="571">
        <v>18</v>
      </c>
      <c r="B211" s="572" t="s">
        <v>3877</v>
      </c>
      <c r="C211" s="571">
        <v>1</v>
      </c>
      <c r="D211" s="573" t="s">
        <v>3653</v>
      </c>
      <c r="E211" s="571"/>
      <c r="F211" s="571"/>
      <c r="G211" s="699" t="str">
        <f t="shared" si="12"/>
        <v/>
      </c>
      <c r="H211" s="571"/>
      <c r="I211" s="571"/>
      <c r="J211" s="571"/>
      <c r="K211" s="575" t="s">
        <v>3654</v>
      </c>
      <c r="L211" s="575"/>
      <c r="M211" s="575"/>
      <c r="N211" s="575" t="s">
        <v>3655</v>
      </c>
      <c r="O211" s="571"/>
      <c r="P211" s="608">
        <v>0</v>
      </c>
      <c r="Q211" s="597" t="str">
        <f t="shared" si="14"/>
        <v>–</v>
      </c>
      <c r="S211" s="762"/>
    </row>
    <row r="212" spans="1:19">
      <c r="A212" s="571">
        <v>19</v>
      </c>
      <c r="B212" s="572" t="s">
        <v>3878</v>
      </c>
      <c r="C212" s="571">
        <v>1</v>
      </c>
      <c r="D212" s="573" t="s">
        <v>3879</v>
      </c>
      <c r="E212" s="571">
        <v>0</v>
      </c>
      <c r="F212" s="571">
        <v>11.4</v>
      </c>
      <c r="G212" s="699">
        <f t="shared" si="12"/>
        <v>11.4</v>
      </c>
      <c r="H212" s="571"/>
      <c r="I212" s="571"/>
      <c r="J212" s="571"/>
      <c r="K212" s="575" t="s">
        <v>3700</v>
      </c>
      <c r="L212" s="575"/>
      <c r="M212" s="575"/>
      <c r="N212" s="575"/>
      <c r="O212" s="571"/>
      <c r="P212" s="608">
        <v>0</v>
      </c>
      <c r="Q212" s="597" t="str">
        <f t="shared" si="14"/>
        <v>–</v>
      </c>
      <c r="S212" s="762"/>
    </row>
    <row r="213" spans="1:19">
      <c r="A213" s="571">
        <v>20</v>
      </c>
      <c r="B213" s="572" t="s">
        <v>3880</v>
      </c>
      <c r="C213" s="571">
        <v>1</v>
      </c>
      <c r="D213" s="573" t="s">
        <v>3881</v>
      </c>
      <c r="E213" s="571"/>
      <c r="F213" s="571"/>
      <c r="G213" s="699" t="str">
        <f t="shared" si="12"/>
        <v/>
      </c>
      <c r="H213" s="571"/>
      <c r="I213" s="571"/>
      <c r="J213" s="571"/>
      <c r="K213" s="575"/>
      <c r="L213" s="575"/>
      <c r="M213" s="575"/>
      <c r="N213" s="575"/>
      <c r="O213" s="571"/>
      <c r="P213" s="608">
        <v>0</v>
      </c>
      <c r="Q213" s="597" t="str">
        <f t="shared" si="14"/>
        <v>–</v>
      </c>
      <c r="S213" s="762"/>
    </row>
    <row r="214" spans="1:19">
      <c r="A214" s="571">
        <v>21</v>
      </c>
      <c r="B214" s="572" t="s">
        <v>3660</v>
      </c>
      <c r="C214" s="571"/>
      <c r="D214" s="573"/>
      <c r="E214" s="571"/>
      <c r="F214" s="571"/>
      <c r="G214" s="699" t="str">
        <f t="shared" si="12"/>
        <v/>
      </c>
      <c r="H214" s="571"/>
      <c r="I214" s="571"/>
      <c r="J214" s="571"/>
      <c r="K214" s="575"/>
      <c r="L214" s="575"/>
      <c r="M214" s="575"/>
      <c r="N214" s="575"/>
      <c r="O214" s="571"/>
      <c r="P214" s="716">
        <v>0</v>
      </c>
      <c r="Q214" s="597" t="str">
        <f t="shared" si="14"/>
        <v>–</v>
      </c>
      <c r="S214" s="762"/>
    </row>
    <row r="215" spans="1:19" ht="30">
      <c r="A215" s="571">
        <v>22</v>
      </c>
      <c r="B215" s="572" t="s">
        <v>3882</v>
      </c>
      <c r="C215" s="571">
        <v>1</v>
      </c>
      <c r="D215" s="573" t="s">
        <v>3883</v>
      </c>
      <c r="E215" s="571"/>
      <c r="F215" s="571"/>
      <c r="G215" s="699" t="str">
        <f t="shared" si="12"/>
        <v/>
      </c>
      <c r="H215" s="571"/>
      <c r="I215" s="571"/>
      <c r="J215" s="571"/>
      <c r="K215" s="575"/>
      <c r="L215" s="575"/>
      <c r="M215" s="575"/>
      <c r="N215" s="575"/>
      <c r="O215" s="571"/>
      <c r="P215" s="608">
        <v>0</v>
      </c>
      <c r="Q215" s="597" t="str">
        <f t="shared" si="14"/>
        <v>–</v>
      </c>
      <c r="S215" s="762"/>
    </row>
    <row r="216" spans="1:19">
      <c r="A216" s="571">
        <v>23</v>
      </c>
      <c r="B216" s="572" t="s">
        <v>3660</v>
      </c>
      <c r="C216" s="571"/>
      <c r="D216" s="573"/>
      <c r="E216" s="571"/>
      <c r="F216" s="571"/>
      <c r="G216" s="699" t="str">
        <f t="shared" si="12"/>
        <v/>
      </c>
      <c r="H216" s="571"/>
      <c r="I216" s="571"/>
      <c r="J216" s="571"/>
      <c r="K216" s="575"/>
      <c r="L216" s="575"/>
      <c r="M216" s="575"/>
      <c r="N216" s="575"/>
      <c r="O216" s="571"/>
      <c r="P216" s="716">
        <v>0</v>
      </c>
      <c r="Q216" s="597" t="str">
        <f t="shared" si="14"/>
        <v>–</v>
      </c>
      <c r="S216" s="762"/>
    </row>
    <row r="217" spans="1:19" s="589" customFormat="1">
      <c r="A217" s="571">
        <v>24</v>
      </c>
      <c r="B217" s="572" t="s">
        <v>3884</v>
      </c>
      <c r="C217" s="571">
        <v>1</v>
      </c>
      <c r="D217" s="573" t="s">
        <v>3666</v>
      </c>
      <c r="E217" s="571"/>
      <c r="F217" s="571"/>
      <c r="G217" s="571" t="str">
        <f t="shared" si="12"/>
        <v/>
      </c>
      <c r="H217" s="571"/>
      <c r="I217" s="571"/>
      <c r="J217" s="571"/>
      <c r="K217" s="575"/>
      <c r="L217" s="575"/>
      <c r="M217" s="575"/>
      <c r="N217" s="575"/>
      <c r="O217" s="571"/>
      <c r="P217" s="608">
        <v>0</v>
      </c>
      <c r="Q217" s="597" t="str">
        <f t="shared" si="14"/>
        <v>–</v>
      </c>
      <c r="S217" s="762"/>
    </row>
    <row r="218" spans="1:19">
      <c r="A218" s="571">
        <v>25</v>
      </c>
      <c r="B218" s="572" t="s">
        <v>3885</v>
      </c>
      <c r="C218" s="571">
        <v>1</v>
      </c>
      <c r="D218" s="573" t="s">
        <v>3886</v>
      </c>
      <c r="E218" s="571"/>
      <c r="F218" s="571"/>
      <c r="G218" s="571"/>
      <c r="H218" s="571"/>
      <c r="I218" s="571"/>
      <c r="J218" s="571"/>
      <c r="K218" s="575"/>
      <c r="L218" s="575"/>
      <c r="M218" s="575"/>
      <c r="N218" s="575"/>
      <c r="O218" s="571"/>
      <c r="P218" s="608">
        <v>0</v>
      </c>
      <c r="Q218" s="597" t="str">
        <f t="shared" si="14"/>
        <v>–</v>
      </c>
      <c r="S218" s="762"/>
    </row>
    <row r="219" spans="1:19" s="589" customFormat="1" ht="30">
      <c r="A219" s="571">
        <v>26</v>
      </c>
      <c r="B219" s="572" t="s">
        <v>3887</v>
      </c>
      <c r="C219" s="571">
        <v>1</v>
      </c>
      <c r="D219" s="573" t="s">
        <v>3888</v>
      </c>
      <c r="E219" s="571"/>
      <c r="F219" s="571"/>
      <c r="G219" s="571"/>
      <c r="H219" s="571"/>
      <c r="I219" s="571"/>
      <c r="J219" s="571"/>
      <c r="K219" s="575"/>
      <c r="L219" s="575"/>
      <c r="M219" s="575"/>
      <c r="N219" s="575"/>
      <c r="O219" s="571"/>
      <c r="P219" s="608">
        <v>0</v>
      </c>
      <c r="Q219" s="597" t="str">
        <f t="shared" si="14"/>
        <v>–</v>
      </c>
      <c r="S219" s="762"/>
    </row>
    <row r="220" spans="1:19">
      <c r="A220" s="571">
        <v>27</v>
      </c>
      <c r="B220" s="572" t="s">
        <v>3857</v>
      </c>
      <c r="C220" s="571">
        <v>1</v>
      </c>
      <c r="D220" s="573" t="s">
        <v>3858</v>
      </c>
      <c r="E220" s="571"/>
      <c r="F220" s="571"/>
      <c r="G220" s="571"/>
      <c r="H220" s="571"/>
      <c r="I220" s="571"/>
      <c r="J220" s="571"/>
      <c r="K220" s="575"/>
      <c r="L220" s="575"/>
      <c r="M220" s="575"/>
      <c r="N220" s="575"/>
      <c r="O220" s="571"/>
      <c r="P220" s="608">
        <v>0</v>
      </c>
      <c r="Q220" s="597" t="str">
        <f t="shared" si="14"/>
        <v>–</v>
      </c>
      <c r="S220" s="762"/>
    </row>
    <row r="221" spans="1:19">
      <c r="A221" s="571">
        <v>28</v>
      </c>
      <c r="B221" s="572" t="s">
        <v>3857</v>
      </c>
      <c r="C221" s="571">
        <v>1</v>
      </c>
      <c r="D221" s="573" t="s">
        <v>3858</v>
      </c>
      <c r="E221" s="571"/>
      <c r="F221" s="571"/>
      <c r="G221" s="571"/>
      <c r="H221" s="571"/>
      <c r="I221" s="571"/>
      <c r="J221" s="571"/>
      <c r="K221" s="575"/>
      <c r="L221" s="575"/>
      <c r="M221" s="575"/>
      <c r="N221" s="575"/>
      <c r="O221" s="571"/>
      <c r="P221" s="608">
        <v>0</v>
      </c>
      <c r="Q221" s="597" t="str">
        <f t="shared" si="14"/>
        <v>–</v>
      </c>
      <c r="S221" s="762"/>
    </row>
    <row r="222" spans="1:19">
      <c r="A222" s="571">
        <v>29</v>
      </c>
      <c r="B222" s="572" t="s">
        <v>3889</v>
      </c>
      <c r="C222" s="571">
        <v>1</v>
      </c>
      <c r="D222" s="573" t="s">
        <v>3890</v>
      </c>
      <c r="E222" s="571"/>
      <c r="F222" s="571"/>
      <c r="G222" s="571"/>
      <c r="H222" s="571"/>
      <c r="I222" s="571"/>
      <c r="J222" s="571"/>
      <c r="K222" s="575"/>
      <c r="L222" s="575"/>
      <c r="M222" s="575"/>
      <c r="N222" s="575"/>
      <c r="O222" s="571"/>
      <c r="P222" s="608">
        <v>0</v>
      </c>
      <c r="Q222" s="597" t="str">
        <f t="shared" si="14"/>
        <v>–</v>
      </c>
      <c r="S222" s="762"/>
    </row>
    <row r="223" spans="1:19" ht="15.6" thickBot="1">
      <c r="B223" s="562"/>
      <c r="Q223" s="583"/>
      <c r="S223" s="763"/>
    </row>
    <row r="224" spans="1:19" ht="15.6" thickBot="1">
      <c r="A224" s="592"/>
      <c r="B224" s="593" t="s">
        <v>3891</v>
      </c>
      <c r="C224" s="590"/>
      <c r="D224" s="594"/>
      <c r="E224" s="590"/>
      <c r="F224" s="590"/>
      <c r="G224" s="590"/>
      <c r="H224" s="590"/>
      <c r="I224" s="590"/>
      <c r="J224" s="590"/>
      <c r="K224" s="595"/>
      <c r="L224" s="595"/>
      <c r="M224" s="595"/>
      <c r="N224" s="595"/>
      <c r="O224" s="590"/>
      <c r="P224" s="590"/>
      <c r="Q224" s="601">
        <f>SUM(Q5:Q222)</f>
        <v>0</v>
      </c>
      <c r="S224" s="763"/>
    </row>
    <row r="225" spans="2:19">
      <c r="S225" s="763"/>
    </row>
    <row r="226" spans="2:19">
      <c r="B226" s="596" t="s">
        <v>605</v>
      </c>
      <c r="S226" s="763"/>
    </row>
    <row r="227" spans="2:19" ht="33" customHeight="1">
      <c r="B227" s="988" t="s">
        <v>5899</v>
      </c>
      <c r="C227" s="988"/>
      <c r="D227" s="988"/>
      <c r="E227" s="988"/>
      <c r="F227" s="988"/>
      <c r="G227" s="988"/>
      <c r="H227" s="988"/>
      <c r="I227" s="988"/>
      <c r="J227" s="988"/>
      <c r="K227" s="988"/>
      <c r="L227" s="988"/>
      <c r="M227" s="988"/>
      <c r="N227" s="988"/>
      <c r="O227" s="988"/>
      <c r="P227" s="988"/>
      <c r="Q227" s="988"/>
      <c r="S227" s="763"/>
    </row>
    <row r="228" spans="2:19" ht="15" customHeight="1">
      <c r="B228" s="988" t="s">
        <v>5868</v>
      </c>
      <c r="C228" s="988"/>
      <c r="D228" s="988"/>
      <c r="E228" s="988"/>
      <c r="F228" s="988"/>
      <c r="G228" s="988"/>
      <c r="H228" s="988"/>
      <c r="I228" s="988"/>
      <c r="J228" s="988"/>
      <c r="K228" s="988"/>
      <c r="L228" s="988"/>
      <c r="M228" s="988"/>
      <c r="N228" s="988"/>
      <c r="O228" s="988"/>
      <c r="P228" s="988"/>
      <c r="Q228" s="988"/>
      <c r="S228" s="763"/>
    </row>
    <row r="229" spans="2:19">
      <c r="B229" s="988" t="s">
        <v>5896</v>
      </c>
      <c r="C229" s="988"/>
      <c r="D229" s="988"/>
      <c r="E229" s="988"/>
      <c r="F229" s="988"/>
      <c r="G229" s="988"/>
      <c r="H229" s="988"/>
      <c r="I229" s="988"/>
      <c r="J229" s="988"/>
      <c r="K229" s="988"/>
      <c r="L229" s="988"/>
      <c r="M229" s="988"/>
      <c r="N229" s="988"/>
      <c r="O229" s="988"/>
      <c r="P229" s="988"/>
      <c r="Q229" s="988"/>
      <c r="S229" s="763"/>
    </row>
    <row r="230" spans="2:19" ht="34.200000000000003" customHeight="1">
      <c r="B230" s="988" t="s">
        <v>5897</v>
      </c>
      <c r="C230" s="988"/>
      <c r="D230" s="988"/>
      <c r="E230" s="988"/>
      <c r="F230" s="988"/>
      <c r="G230" s="988"/>
      <c r="H230" s="988"/>
      <c r="I230" s="988"/>
      <c r="J230" s="988"/>
      <c r="K230" s="988"/>
      <c r="L230" s="988"/>
      <c r="M230" s="988"/>
      <c r="N230" s="988"/>
      <c r="O230" s="988"/>
      <c r="P230" s="988"/>
      <c r="Q230" s="988"/>
      <c r="S230" s="763"/>
    </row>
    <row r="231" spans="2:19" ht="15" customHeight="1">
      <c r="B231" s="988" t="s">
        <v>5898</v>
      </c>
      <c r="C231" s="988"/>
      <c r="D231" s="988"/>
      <c r="E231" s="988"/>
      <c r="F231" s="988"/>
      <c r="G231" s="988"/>
      <c r="H231" s="988"/>
      <c r="I231" s="988"/>
      <c r="J231" s="988"/>
      <c r="K231" s="988"/>
      <c r="L231" s="988"/>
      <c r="M231" s="988"/>
      <c r="N231" s="988"/>
      <c r="O231" s="988"/>
      <c r="P231" s="988"/>
      <c r="Q231" s="988"/>
      <c r="S231" s="763"/>
    </row>
  </sheetData>
  <mergeCells count="5">
    <mergeCell ref="B227:Q227"/>
    <mergeCell ref="B228:Q228"/>
    <mergeCell ref="B229:Q229"/>
    <mergeCell ref="B230:Q230"/>
    <mergeCell ref="B231:Q231"/>
  </mergeCells>
  <pageMargins left="0.70866141732283472" right="0.70866141732283472" top="0.78740157480314965" bottom="0.78740157480314965" header="0.31496062992125984" footer="0.31496062992125984"/>
  <pageSetup paperSize="9" scale="57" orientation="landscape" verticalDpi="4294967293" r:id="rId1"/>
</worksheet>
</file>

<file path=xl/worksheets/sheet15.xml><?xml version="1.0" encoding="utf-8"?>
<worksheet xmlns="http://schemas.openxmlformats.org/spreadsheetml/2006/main" xmlns:r="http://schemas.openxmlformats.org/officeDocument/2006/relationships">
  <dimension ref="B2:BM198"/>
  <sheetViews>
    <sheetView zoomScaleNormal="100" workbookViewId="0">
      <selection activeCell="Z158" sqref="Z158"/>
    </sheetView>
  </sheetViews>
  <sheetFormatPr defaultColWidth="9.109375" defaultRowHeight="10.199999999999999"/>
  <cols>
    <col min="1" max="1" width="7.109375" style="135" customWidth="1"/>
    <col min="2" max="2" width="1.44140625" style="135" customWidth="1"/>
    <col min="3" max="3" width="3.5546875" style="135" customWidth="1"/>
    <col min="4" max="4" width="3.6640625" style="135" customWidth="1"/>
    <col min="5" max="5" width="14.6640625" style="135" customWidth="1"/>
    <col min="6" max="6" width="43.5546875" style="135" customWidth="1"/>
    <col min="7" max="7" width="7" style="135" customWidth="1"/>
    <col min="8" max="8" width="9.88671875" style="135" customWidth="1"/>
    <col min="9" max="11" width="17.33203125" style="135" customWidth="1"/>
    <col min="12" max="12" width="8" style="135" customWidth="1"/>
    <col min="13" max="13" width="9.33203125" style="135" hidden="1" customWidth="1"/>
    <col min="14" max="14" width="9.109375" style="135"/>
    <col min="15" max="20" width="12.109375" style="135" hidden="1" customWidth="1"/>
    <col min="21" max="21" width="14" style="135" hidden="1" customWidth="1"/>
    <col min="22" max="22" width="10.5546875" style="135" customWidth="1"/>
    <col min="23" max="23" width="14" style="135" customWidth="1"/>
    <col min="24" max="24" width="10.5546875" style="135" customWidth="1"/>
    <col min="25" max="25" width="12.88671875" style="135" customWidth="1"/>
    <col min="26" max="26" width="9.44140625" style="135" customWidth="1"/>
    <col min="27" max="27" width="12.88671875" style="135" customWidth="1"/>
    <col min="28" max="28" width="14" style="135" customWidth="1"/>
    <col min="29" max="29" width="9.44140625" style="135" customWidth="1"/>
    <col min="30" max="30" width="12.88671875" style="135" customWidth="1"/>
    <col min="31" max="31" width="14" style="135" customWidth="1"/>
    <col min="32" max="16384" width="9.109375" style="135"/>
  </cols>
  <sheetData>
    <row r="2" spans="2:56" ht="36.9" customHeight="1">
      <c r="L2" s="970" t="s">
        <v>3265</v>
      </c>
      <c r="M2" s="971"/>
      <c r="N2" s="971"/>
      <c r="O2" s="971"/>
      <c r="P2" s="971"/>
      <c r="Q2" s="971"/>
      <c r="R2" s="971"/>
      <c r="S2" s="971"/>
      <c r="T2" s="971"/>
      <c r="U2" s="971"/>
      <c r="V2" s="971"/>
      <c r="AT2" s="136" t="s">
        <v>3570</v>
      </c>
      <c r="AZ2" s="137" t="s">
        <v>3267</v>
      </c>
      <c r="BA2" s="137" t="s">
        <v>3268</v>
      </c>
      <c r="BB2" s="137" t="s">
        <v>3268</v>
      </c>
      <c r="BC2" s="137" t="s">
        <v>3571</v>
      </c>
      <c r="BD2" s="137" t="s">
        <v>6</v>
      </c>
    </row>
    <row r="3" spans="2:56" ht="6.9" customHeight="1">
      <c r="B3" s="138"/>
      <c r="C3" s="139"/>
      <c r="D3" s="139"/>
      <c r="E3" s="139"/>
      <c r="F3" s="139"/>
      <c r="G3" s="139"/>
      <c r="H3" s="139"/>
      <c r="I3" s="139"/>
      <c r="J3" s="139"/>
      <c r="K3" s="139"/>
      <c r="L3" s="140"/>
      <c r="AT3" s="136" t="s">
        <v>6</v>
      </c>
      <c r="AZ3" s="137" t="s">
        <v>3270</v>
      </c>
      <c r="BA3" s="137" t="s">
        <v>3268</v>
      </c>
      <c r="BB3" s="137" t="s">
        <v>3268</v>
      </c>
      <c r="BC3" s="137" t="s">
        <v>3480</v>
      </c>
      <c r="BD3" s="137" t="s">
        <v>6</v>
      </c>
    </row>
    <row r="4" spans="2:56" ht="24.9" customHeight="1">
      <c r="B4" s="140"/>
      <c r="D4" s="141" t="s">
        <v>3272</v>
      </c>
      <c r="L4" s="140"/>
      <c r="M4" s="142" t="s">
        <v>3273</v>
      </c>
      <c r="AT4" s="136" t="s">
        <v>3274</v>
      </c>
      <c r="AZ4" s="137" t="s">
        <v>3275</v>
      </c>
      <c r="BA4" s="137" t="s">
        <v>3268</v>
      </c>
      <c r="BB4" s="137" t="s">
        <v>3268</v>
      </c>
      <c r="BC4" s="137" t="s">
        <v>3572</v>
      </c>
      <c r="BD4" s="137" t="s">
        <v>6</v>
      </c>
    </row>
    <row r="5" spans="2:56" ht="6.9" customHeight="1">
      <c r="B5" s="140"/>
      <c r="L5" s="140"/>
      <c r="AZ5" s="137" t="s">
        <v>3277</v>
      </c>
      <c r="BA5" s="137" t="s">
        <v>3268</v>
      </c>
      <c r="BB5" s="137" t="s">
        <v>3268</v>
      </c>
      <c r="BC5" s="137" t="s">
        <v>3573</v>
      </c>
      <c r="BD5" s="137" t="s">
        <v>6</v>
      </c>
    </row>
    <row r="6" spans="2:56" ht="12" customHeight="1">
      <c r="B6" s="140"/>
      <c r="D6" s="143" t="s">
        <v>3279</v>
      </c>
      <c r="L6" s="140"/>
      <c r="AZ6" s="137" t="s">
        <v>3280</v>
      </c>
      <c r="BA6" s="137" t="s">
        <v>3268</v>
      </c>
      <c r="BB6" s="137" t="s">
        <v>3268</v>
      </c>
      <c r="BC6" s="137" t="s">
        <v>3574</v>
      </c>
      <c r="BD6" s="137" t="s">
        <v>6</v>
      </c>
    </row>
    <row r="7" spans="2:56" ht="16.5" customHeight="1">
      <c r="B7" s="140"/>
      <c r="E7" s="968" t="s">
        <v>5796</v>
      </c>
      <c r="F7" s="969"/>
      <c r="G7" s="969"/>
      <c r="H7" s="969"/>
      <c r="L7" s="140"/>
    </row>
    <row r="8" spans="2:56" s="144" customFormat="1" ht="12" customHeight="1">
      <c r="B8" s="145"/>
      <c r="D8" s="143" t="s">
        <v>3282</v>
      </c>
      <c r="L8" s="145"/>
    </row>
    <row r="9" spans="2:56" s="144" customFormat="1" ht="16.5" customHeight="1">
      <c r="B9" s="145"/>
      <c r="E9" s="966" t="s">
        <v>3575</v>
      </c>
      <c r="F9" s="967"/>
      <c r="G9" s="967"/>
      <c r="H9" s="967"/>
      <c r="L9" s="145"/>
    </row>
    <row r="10" spans="2:56" s="144" customFormat="1">
      <c r="B10" s="145"/>
      <c r="L10" s="145"/>
    </row>
    <row r="11" spans="2:56" s="144" customFormat="1" ht="12" customHeight="1">
      <c r="B11" s="145"/>
      <c r="D11" s="143" t="s">
        <v>3284</v>
      </c>
      <c r="F11" s="146" t="s">
        <v>3268</v>
      </c>
      <c r="I11" s="143" t="s">
        <v>3285</v>
      </c>
      <c r="J11" s="146" t="s">
        <v>3268</v>
      </c>
      <c r="L11" s="145"/>
    </row>
    <row r="12" spans="2:56" s="144" customFormat="1" ht="12" customHeight="1">
      <c r="B12" s="145"/>
      <c r="D12" s="143" t="s">
        <v>3286</v>
      </c>
      <c r="F12" s="146" t="s">
        <v>4</v>
      </c>
      <c r="I12" s="143" t="s">
        <v>3141</v>
      </c>
      <c r="J12" s="147" t="s">
        <v>5797</v>
      </c>
      <c r="L12" s="145"/>
    </row>
    <row r="13" spans="2:56" s="144" customFormat="1" ht="10.95" customHeight="1">
      <c r="B13" s="145"/>
      <c r="L13" s="145"/>
    </row>
    <row r="14" spans="2:56" s="144" customFormat="1" ht="12" customHeight="1">
      <c r="B14" s="145"/>
      <c r="D14" s="143" t="s">
        <v>3287</v>
      </c>
      <c r="I14" s="143" t="s">
        <v>3288</v>
      </c>
      <c r="J14" s="146" t="s">
        <v>3268</v>
      </c>
      <c r="L14" s="145"/>
    </row>
    <row r="15" spans="2:56" s="144" customFormat="1" ht="18" customHeight="1">
      <c r="B15" s="145"/>
      <c r="E15" s="146" t="s">
        <v>4</v>
      </c>
      <c r="I15" s="143" t="s">
        <v>3289</v>
      </c>
      <c r="J15" s="146" t="s">
        <v>3268</v>
      </c>
      <c r="L15" s="145"/>
    </row>
    <row r="16" spans="2:56" s="144" customFormat="1" ht="6.9" customHeight="1">
      <c r="B16" s="145"/>
      <c r="L16" s="145"/>
    </row>
    <row r="17" spans="2:12" s="144" customFormat="1" ht="12" customHeight="1">
      <c r="B17" s="145"/>
      <c r="D17" s="143" t="s">
        <v>1950</v>
      </c>
      <c r="I17" s="143" t="s">
        <v>3288</v>
      </c>
      <c r="J17" s="146" t="s">
        <v>3268</v>
      </c>
      <c r="L17" s="145"/>
    </row>
    <row r="18" spans="2:12" s="144" customFormat="1" ht="18" customHeight="1">
      <c r="B18" s="145"/>
      <c r="E18" s="972" t="s">
        <v>4</v>
      </c>
      <c r="F18" s="972"/>
      <c r="G18" s="972"/>
      <c r="H18" s="972"/>
      <c r="I18" s="143" t="s">
        <v>3289</v>
      </c>
      <c r="J18" s="146" t="s">
        <v>3268</v>
      </c>
      <c r="L18" s="145"/>
    </row>
    <row r="19" spans="2:12" s="144" customFormat="1" ht="6.9" customHeight="1">
      <c r="B19" s="145"/>
      <c r="L19" s="145"/>
    </row>
    <row r="20" spans="2:12" s="144" customFormat="1" ht="12" customHeight="1">
      <c r="B20" s="145"/>
      <c r="D20" s="143" t="s">
        <v>1949</v>
      </c>
      <c r="I20" s="143" t="s">
        <v>3288</v>
      </c>
      <c r="J20" s="146" t="s">
        <v>3268</v>
      </c>
      <c r="L20" s="145"/>
    </row>
    <row r="21" spans="2:12" s="144" customFormat="1" ht="18" customHeight="1">
      <c r="B21" s="145"/>
      <c r="E21" s="146" t="s">
        <v>4</v>
      </c>
      <c r="I21" s="143" t="s">
        <v>3289</v>
      </c>
      <c r="J21" s="146" t="s">
        <v>3268</v>
      </c>
      <c r="L21" s="145"/>
    </row>
    <row r="22" spans="2:12" s="144" customFormat="1" ht="6.9" customHeight="1">
      <c r="B22" s="145"/>
      <c r="L22" s="145"/>
    </row>
    <row r="23" spans="2:12" s="144" customFormat="1" ht="12" customHeight="1">
      <c r="B23" s="145"/>
      <c r="D23" s="143" t="s">
        <v>3290</v>
      </c>
      <c r="I23" s="143" t="s">
        <v>3288</v>
      </c>
      <c r="J23" s="146" t="s">
        <v>3268</v>
      </c>
      <c r="L23" s="145"/>
    </row>
    <row r="24" spans="2:12" s="144" customFormat="1" ht="18" customHeight="1">
      <c r="B24" s="145"/>
      <c r="E24" s="146" t="s">
        <v>4</v>
      </c>
      <c r="I24" s="143" t="s">
        <v>3289</v>
      </c>
      <c r="J24" s="146" t="s">
        <v>3268</v>
      </c>
      <c r="L24" s="145"/>
    </row>
    <row r="25" spans="2:12" s="144" customFormat="1" ht="6.9" customHeight="1">
      <c r="B25" s="145"/>
      <c r="L25" s="145"/>
    </row>
    <row r="26" spans="2:12" s="144" customFormat="1" ht="12" customHeight="1">
      <c r="B26" s="145"/>
      <c r="D26" s="143" t="s">
        <v>605</v>
      </c>
      <c r="L26" s="145"/>
    </row>
    <row r="27" spans="2:12" s="148" customFormat="1" ht="16.5" customHeight="1">
      <c r="B27" s="149"/>
      <c r="E27" s="973" t="s">
        <v>3268</v>
      </c>
      <c r="F27" s="973"/>
      <c r="G27" s="973"/>
      <c r="H27" s="973"/>
      <c r="L27" s="149"/>
    </row>
    <row r="28" spans="2:12" s="144" customFormat="1" ht="6.9" customHeight="1">
      <c r="B28" s="145"/>
      <c r="L28" s="145"/>
    </row>
    <row r="29" spans="2:12" s="144" customFormat="1" ht="6.9" customHeight="1">
      <c r="B29" s="145"/>
      <c r="D29" s="151"/>
      <c r="E29" s="151"/>
      <c r="F29" s="151"/>
      <c r="G29" s="151"/>
      <c r="H29" s="151"/>
      <c r="I29" s="151"/>
      <c r="J29" s="151"/>
      <c r="K29" s="151"/>
      <c r="L29" s="145"/>
    </row>
    <row r="30" spans="2:12" s="144" customFormat="1" ht="25.35" customHeight="1">
      <c r="B30" s="145"/>
      <c r="D30" s="152" t="s">
        <v>3291</v>
      </c>
      <c r="J30" s="153">
        <f>ROUND(J124, 2)</f>
        <v>0</v>
      </c>
      <c r="L30" s="145"/>
    </row>
    <row r="31" spans="2:12" s="144" customFormat="1" ht="6.9" customHeight="1">
      <c r="B31" s="145"/>
      <c r="D31" s="151"/>
      <c r="E31" s="151"/>
      <c r="F31" s="151"/>
      <c r="G31" s="151"/>
      <c r="H31" s="151"/>
      <c r="I31" s="151"/>
      <c r="J31" s="151"/>
      <c r="K31" s="151"/>
      <c r="L31" s="145"/>
    </row>
    <row r="32" spans="2:12" s="144" customFormat="1" ht="14.4" customHeight="1">
      <c r="B32" s="145"/>
      <c r="F32" s="154" t="s">
        <v>3292</v>
      </c>
      <c r="I32" s="154" t="s">
        <v>3293</v>
      </c>
      <c r="J32" s="154" t="s">
        <v>3294</v>
      </c>
      <c r="L32" s="145"/>
    </row>
    <row r="33" spans="2:12" s="144" customFormat="1" ht="14.4" customHeight="1">
      <c r="B33" s="145"/>
      <c r="D33" s="155" t="s">
        <v>3295</v>
      </c>
      <c r="E33" s="143" t="s">
        <v>3296</v>
      </c>
      <c r="F33" s="156">
        <f>ROUND((SUM(BE124:BE197)),  2)</f>
        <v>0</v>
      </c>
      <c r="I33" s="157">
        <v>0.21</v>
      </c>
      <c r="J33" s="156">
        <f>ROUND(((SUM(BE124:BE197))*I33),  2)</f>
        <v>0</v>
      </c>
      <c r="L33" s="145"/>
    </row>
    <row r="34" spans="2:12" s="144" customFormat="1" ht="14.4" customHeight="1">
      <c r="B34" s="145"/>
      <c r="E34" s="143" t="s">
        <v>3297</v>
      </c>
      <c r="F34" s="156">
        <f>ROUND((SUM(BF124:BF197)),  2)</f>
        <v>0</v>
      </c>
      <c r="I34" s="157">
        <v>0.15</v>
      </c>
      <c r="J34" s="156">
        <f>ROUND(((SUM(BF124:BF197))*I34),  2)</f>
        <v>0</v>
      </c>
      <c r="L34" s="145"/>
    </row>
    <row r="35" spans="2:12" s="144" customFormat="1" ht="14.4" hidden="1" customHeight="1">
      <c r="B35" s="145"/>
      <c r="E35" s="143" t="s">
        <v>3298</v>
      </c>
      <c r="F35" s="156">
        <f>ROUND((SUM(BG124:BG197)),  2)</f>
        <v>0</v>
      </c>
      <c r="I35" s="157">
        <v>0.21</v>
      </c>
      <c r="J35" s="156">
        <f>0</f>
        <v>0</v>
      </c>
      <c r="L35" s="145"/>
    </row>
    <row r="36" spans="2:12" s="144" customFormat="1" ht="14.4" hidden="1" customHeight="1">
      <c r="B36" s="145"/>
      <c r="E36" s="143" t="s">
        <v>3299</v>
      </c>
      <c r="F36" s="156">
        <f>ROUND((SUM(BH124:BH197)),  2)</f>
        <v>0</v>
      </c>
      <c r="I36" s="157">
        <v>0.15</v>
      </c>
      <c r="J36" s="156">
        <f>0</f>
        <v>0</v>
      </c>
      <c r="L36" s="145"/>
    </row>
    <row r="37" spans="2:12" s="144" customFormat="1" ht="14.4" hidden="1" customHeight="1">
      <c r="B37" s="145"/>
      <c r="E37" s="143" t="s">
        <v>3300</v>
      </c>
      <c r="F37" s="156">
        <f>ROUND((SUM(BI124:BI197)),  2)</f>
        <v>0</v>
      </c>
      <c r="I37" s="157">
        <v>0</v>
      </c>
      <c r="J37" s="156">
        <f>0</f>
        <v>0</v>
      </c>
      <c r="L37" s="145"/>
    </row>
    <row r="38" spans="2:12" s="144" customFormat="1" ht="6.9" customHeight="1">
      <c r="B38" s="145"/>
      <c r="L38" s="145"/>
    </row>
    <row r="39" spans="2:12" s="144" customFormat="1" ht="25.35" customHeight="1">
      <c r="B39" s="145"/>
      <c r="C39" s="158"/>
      <c r="D39" s="159" t="s">
        <v>3301</v>
      </c>
      <c r="E39" s="160"/>
      <c r="F39" s="160"/>
      <c r="G39" s="161" t="s">
        <v>3302</v>
      </c>
      <c r="H39" s="162" t="s">
        <v>3303</v>
      </c>
      <c r="I39" s="160"/>
      <c r="J39" s="163">
        <f>SUM(J30:J37)</f>
        <v>0</v>
      </c>
      <c r="K39" s="164"/>
      <c r="L39" s="145"/>
    </row>
    <row r="40" spans="2:12" s="144" customFormat="1" ht="14.4" customHeight="1">
      <c r="B40" s="145"/>
      <c r="L40" s="145"/>
    </row>
    <row r="41" spans="2:12" ht="14.4" customHeight="1">
      <c r="B41" s="140"/>
      <c r="L41" s="140"/>
    </row>
    <row r="42" spans="2:12" ht="14.4" customHeight="1">
      <c r="B42" s="140"/>
      <c r="L42" s="140"/>
    </row>
    <row r="43" spans="2:12" ht="14.4" customHeight="1">
      <c r="B43" s="140"/>
      <c r="L43" s="140"/>
    </row>
    <row r="44" spans="2:12" ht="14.4" customHeight="1">
      <c r="B44" s="140"/>
      <c r="L44" s="140"/>
    </row>
    <row r="45" spans="2:12" ht="14.4" customHeight="1">
      <c r="B45" s="140"/>
      <c r="L45" s="140"/>
    </row>
    <row r="46" spans="2:12" ht="14.4" customHeight="1">
      <c r="B46" s="140"/>
      <c r="L46" s="140"/>
    </row>
    <row r="47" spans="2:12" ht="14.4" customHeight="1">
      <c r="B47" s="140"/>
      <c r="L47" s="140"/>
    </row>
    <row r="48" spans="2:12" ht="14.4" customHeight="1">
      <c r="B48" s="140"/>
      <c r="L48" s="140"/>
    </row>
    <row r="49" spans="2:12" ht="14.4" customHeight="1">
      <c r="B49" s="140"/>
      <c r="L49" s="140"/>
    </row>
    <row r="50" spans="2:12" s="144" customFormat="1" ht="14.4" customHeight="1">
      <c r="B50" s="145"/>
      <c r="D50" s="165" t="s">
        <v>3115</v>
      </c>
      <c r="E50" s="166"/>
      <c r="F50" s="166"/>
      <c r="G50" s="165" t="s">
        <v>3304</v>
      </c>
      <c r="H50" s="166"/>
      <c r="I50" s="166"/>
      <c r="J50" s="166"/>
      <c r="K50" s="166"/>
      <c r="L50" s="145"/>
    </row>
    <row r="51" spans="2:12">
      <c r="B51" s="140"/>
      <c r="L51" s="140"/>
    </row>
    <row r="52" spans="2:12">
      <c r="B52" s="140"/>
      <c r="L52" s="140"/>
    </row>
    <row r="53" spans="2:12">
      <c r="B53" s="140"/>
      <c r="L53" s="140"/>
    </row>
    <row r="54" spans="2:12">
      <c r="B54" s="140"/>
      <c r="L54" s="140"/>
    </row>
    <row r="55" spans="2:12">
      <c r="B55" s="140"/>
      <c r="L55" s="140"/>
    </row>
    <row r="56" spans="2:12">
      <c r="B56" s="140"/>
      <c r="L56" s="140"/>
    </row>
    <row r="57" spans="2:12">
      <c r="B57" s="140"/>
      <c r="L57" s="140"/>
    </row>
    <row r="58" spans="2:12">
      <c r="B58" s="140"/>
      <c r="L58" s="140"/>
    </row>
    <row r="59" spans="2:12">
      <c r="B59" s="140"/>
      <c r="L59" s="140"/>
    </row>
    <row r="60" spans="2:12">
      <c r="B60" s="140"/>
      <c r="L60" s="140"/>
    </row>
    <row r="61" spans="2:12" s="144" customFormat="1" ht="13.2">
      <c r="B61" s="145"/>
      <c r="D61" s="167" t="s">
        <v>3305</v>
      </c>
      <c r="E61" s="168"/>
      <c r="F61" s="169" t="s">
        <v>3306</v>
      </c>
      <c r="G61" s="167" t="s">
        <v>3305</v>
      </c>
      <c r="H61" s="168"/>
      <c r="I61" s="168"/>
      <c r="J61" s="170" t="s">
        <v>3306</v>
      </c>
      <c r="K61" s="168"/>
      <c r="L61" s="145"/>
    </row>
    <row r="62" spans="2:12">
      <c r="B62" s="140"/>
      <c r="L62" s="140"/>
    </row>
    <row r="63" spans="2:12">
      <c r="B63" s="140"/>
      <c r="L63" s="140"/>
    </row>
    <row r="64" spans="2:12">
      <c r="B64" s="140"/>
      <c r="L64" s="140"/>
    </row>
    <row r="65" spans="2:12" s="144" customFormat="1" ht="13.2">
      <c r="B65" s="145"/>
      <c r="D65" s="165" t="s">
        <v>3307</v>
      </c>
      <c r="E65" s="166"/>
      <c r="F65" s="166"/>
      <c r="G65" s="165" t="s">
        <v>3138</v>
      </c>
      <c r="H65" s="166"/>
      <c r="I65" s="166"/>
      <c r="J65" s="166"/>
      <c r="K65" s="166"/>
      <c r="L65" s="145"/>
    </row>
    <row r="66" spans="2:12">
      <c r="B66" s="140"/>
      <c r="L66" s="140"/>
    </row>
    <row r="67" spans="2:12">
      <c r="B67" s="140"/>
      <c r="L67" s="140"/>
    </row>
    <row r="68" spans="2:12">
      <c r="B68" s="140"/>
      <c r="L68" s="140"/>
    </row>
    <row r="69" spans="2:12">
      <c r="B69" s="140"/>
      <c r="L69" s="140"/>
    </row>
    <row r="70" spans="2:12">
      <c r="B70" s="140"/>
      <c r="L70" s="140"/>
    </row>
    <row r="71" spans="2:12">
      <c r="B71" s="140"/>
      <c r="L71" s="140"/>
    </row>
    <row r="72" spans="2:12">
      <c r="B72" s="140"/>
      <c r="L72" s="140"/>
    </row>
    <row r="73" spans="2:12">
      <c r="B73" s="140"/>
      <c r="L73" s="140"/>
    </row>
    <row r="74" spans="2:12">
      <c r="B74" s="140"/>
      <c r="L74" s="140"/>
    </row>
    <row r="75" spans="2:12">
      <c r="B75" s="140"/>
      <c r="L75" s="140"/>
    </row>
    <row r="76" spans="2:12" s="144" customFormat="1" ht="13.2">
      <c r="B76" s="145"/>
      <c r="D76" s="167" t="s">
        <v>3305</v>
      </c>
      <c r="E76" s="168"/>
      <c r="F76" s="169" t="s">
        <v>3306</v>
      </c>
      <c r="G76" s="167" t="s">
        <v>3305</v>
      </c>
      <c r="H76" s="168"/>
      <c r="I76" s="168"/>
      <c r="J76" s="170" t="s">
        <v>3306</v>
      </c>
      <c r="K76" s="168"/>
      <c r="L76" s="145"/>
    </row>
    <row r="77" spans="2:12" s="144" customFormat="1" ht="14.4" customHeight="1">
      <c r="B77" s="171"/>
      <c r="C77" s="172"/>
      <c r="D77" s="172"/>
      <c r="E77" s="172"/>
      <c r="F77" s="172"/>
      <c r="G77" s="172"/>
      <c r="H77" s="172"/>
      <c r="I77" s="172"/>
      <c r="J77" s="172"/>
      <c r="K77" s="172"/>
      <c r="L77" s="145"/>
    </row>
    <row r="81" spans="2:47" s="144" customFormat="1" ht="6.9" customHeight="1">
      <c r="B81" s="173"/>
      <c r="C81" s="174"/>
      <c r="D81" s="174"/>
      <c r="E81" s="174"/>
      <c r="F81" s="174"/>
      <c r="G81" s="174"/>
      <c r="H81" s="174"/>
      <c r="I81" s="174"/>
      <c r="J81" s="174"/>
      <c r="K81" s="174"/>
      <c r="L81" s="145"/>
    </row>
    <row r="82" spans="2:47" s="144" customFormat="1" ht="24.9" customHeight="1">
      <c r="B82" s="145"/>
      <c r="C82" s="141" t="s">
        <v>3308</v>
      </c>
      <c r="L82" s="145"/>
    </row>
    <row r="83" spans="2:47" s="144" customFormat="1" ht="6.9" customHeight="1">
      <c r="B83" s="145"/>
      <c r="L83" s="145"/>
    </row>
    <row r="84" spans="2:47" s="144" customFormat="1" ht="12" customHeight="1">
      <c r="B84" s="145"/>
      <c r="C84" s="143" t="s">
        <v>3279</v>
      </c>
      <c r="L84" s="145"/>
    </row>
    <row r="85" spans="2:47" s="144" customFormat="1" ht="16.5" customHeight="1">
      <c r="B85" s="145"/>
      <c r="E85" s="968" t="str">
        <f>E7</f>
        <v>Dostavba ZŠ Mnichovice, 3. etapa, školní jídelna a kuchyně</v>
      </c>
      <c r="F85" s="969"/>
      <c r="G85" s="969"/>
      <c r="H85" s="969"/>
      <c r="L85" s="145"/>
    </row>
    <row r="86" spans="2:47" s="144" customFormat="1" ht="12" customHeight="1">
      <c r="B86" s="145"/>
      <c r="C86" s="143" t="s">
        <v>3282</v>
      </c>
      <c r="L86" s="145"/>
    </row>
    <row r="87" spans="2:47" s="144" customFormat="1" ht="16.5" customHeight="1">
      <c r="B87" s="145"/>
      <c r="E87" s="966" t="str">
        <f>E9</f>
        <v>D.2.2 - Přípojka kanalizace</v>
      </c>
      <c r="F87" s="967"/>
      <c r="G87" s="967"/>
      <c r="H87" s="967"/>
      <c r="L87" s="145"/>
    </row>
    <row r="88" spans="2:47" s="144" customFormat="1" ht="6.9" customHeight="1">
      <c r="B88" s="145"/>
      <c r="L88" s="145"/>
    </row>
    <row r="89" spans="2:47" s="144" customFormat="1" ht="12" customHeight="1">
      <c r="B89" s="145"/>
      <c r="C89" s="143" t="s">
        <v>3286</v>
      </c>
      <c r="F89" s="146" t="str">
        <f>F12</f>
        <v xml:space="preserve"> </v>
      </c>
      <c r="I89" s="143" t="s">
        <v>3141</v>
      </c>
      <c r="J89" s="147" t="str">
        <f>IF(J12="","",J12)</f>
        <v>15. 4. 2020</v>
      </c>
      <c r="L89" s="145"/>
    </row>
    <row r="90" spans="2:47" s="144" customFormat="1" ht="6.9" customHeight="1">
      <c r="B90" s="145"/>
      <c r="L90" s="145"/>
    </row>
    <row r="91" spans="2:47" s="144" customFormat="1" ht="15.15" customHeight="1">
      <c r="B91" s="145"/>
      <c r="C91" s="143" t="s">
        <v>3287</v>
      </c>
      <c r="F91" s="146" t="str">
        <f>E15</f>
        <v xml:space="preserve"> </v>
      </c>
      <c r="I91" s="143" t="s">
        <v>1949</v>
      </c>
      <c r="J91" s="150" t="str">
        <f>E21</f>
        <v xml:space="preserve"> </v>
      </c>
      <c r="L91" s="145"/>
    </row>
    <row r="92" spans="2:47" s="144" customFormat="1" ht="15.15" customHeight="1">
      <c r="B92" s="145"/>
      <c r="C92" s="143" t="s">
        <v>1950</v>
      </c>
      <c r="F92" s="146" t="str">
        <f>IF(E18="","",E18)</f>
        <v xml:space="preserve"> </v>
      </c>
      <c r="I92" s="143" t="s">
        <v>3290</v>
      </c>
      <c r="J92" s="150" t="str">
        <f>E24</f>
        <v xml:space="preserve"> </v>
      </c>
      <c r="L92" s="145"/>
    </row>
    <row r="93" spans="2:47" s="144" customFormat="1" ht="10.35" customHeight="1">
      <c r="B93" s="145"/>
      <c r="L93" s="145"/>
    </row>
    <row r="94" spans="2:47" s="144" customFormat="1" ht="29.25" customHeight="1">
      <c r="B94" s="145"/>
      <c r="C94" s="175" t="s">
        <v>3309</v>
      </c>
      <c r="D94" s="158"/>
      <c r="E94" s="158"/>
      <c r="F94" s="158"/>
      <c r="G94" s="158"/>
      <c r="H94" s="158"/>
      <c r="I94" s="158"/>
      <c r="J94" s="176" t="s">
        <v>3310</v>
      </c>
      <c r="K94" s="158"/>
      <c r="L94" s="145"/>
    </row>
    <row r="95" spans="2:47" s="144" customFormat="1" ht="10.35" customHeight="1">
      <c r="B95" s="145"/>
      <c r="L95" s="145"/>
    </row>
    <row r="96" spans="2:47" s="144" customFormat="1" ht="22.95" customHeight="1">
      <c r="B96" s="145"/>
      <c r="C96" s="177" t="s">
        <v>3311</v>
      </c>
      <c r="J96" s="153">
        <f>J124</f>
        <v>0</v>
      </c>
      <c r="L96" s="145"/>
      <c r="AU96" s="136" t="s">
        <v>3312</v>
      </c>
    </row>
    <row r="97" spans="2:12" s="178" customFormat="1" ht="24.9" customHeight="1">
      <c r="B97" s="179"/>
      <c r="D97" s="180" t="s">
        <v>3313</v>
      </c>
      <c r="E97" s="181"/>
      <c r="F97" s="181"/>
      <c r="G97" s="181"/>
      <c r="H97" s="181"/>
      <c r="I97" s="181"/>
      <c r="J97" s="182">
        <f>J125</f>
        <v>0</v>
      </c>
      <c r="L97" s="179"/>
    </row>
    <row r="98" spans="2:12" s="183" customFormat="1" ht="19.95" customHeight="1">
      <c r="B98" s="184"/>
      <c r="D98" s="185" t="s">
        <v>3314</v>
      </c>
      <c r="E98" s="186"/>
      <c r="F98" s="186"/>
      <c r="G98" s="186"/>
      <c r="H98" s="186"/>
      <c r="I98" s="186"/>
      <c r="J98" s="187">
        <f>J126</f>
        <v>0</v>
      </c>
      <c r="L98" s="184"/>
    </row>
    <row r="99" spans="2:12" s="183" customFormat="1" ht="19.95" customHeight="1">
      <c r="B99" s="184"/>
      <c r="D99" s="185" t="s">
        <v>3315</v>
      </c>
      <c r="E99" s="186"/>
      <c r="F99" s="186"/>
      <c r="G99" s="186"/>
      <c r="H99" s="186"/>
      <c r="I99" s="186"/>
      <c r="J99" s="187">
        <f>J165</f>
        <v>0</v>
      </c>
      <c r="L99" s="184"/>
    </row>
    <row r="100" spans="2:12" s="183" customFormat="1" ht="19.95" customHeight="1">
      <c r="B100" s="184"/>
      <c r="D100" s="185" t="s">
        <v>3316</v>
      </c>
      <c r="E100" s="186"/>
      <c r="F100" s="186"/>
      <c r="G100" s="186"/>
      <c r="H100" s="186"/>
      <c r="I100" s="186"/>
      <c r="J100" s="187">
        <f>J169</f>
        <v>0</v>
      </c>
      <c r="L100" s="184"/>
    </row>
    <row r="101" spans="2:12" s="183" customFormat="1" ht="19.95" customHeight="1">
      <c r="B101" s="184"/>
      <c r="D101" s="185" t="s">
        <v>3317</v>
      </c>
      <c r="E101" s="186"/>
      <c r="F101" s="186"/>
      <c r="G101" s="186"/>
      <c r="H101" s="186"/>
      <c r="I101" s="186"/>
      <c r="J101" s="187">
        <f>J184</f>
        <v>0</v>
      </c>
      <c r="L101" s="184"/>
    </row>
    <row r="102" spans="2:12" s="178" customFormat="1" ht="24.9" customHeight="1">
      <c r="B102" s="179"/>
      <c r="D102" s="180" t="s">
        <v>3318</v>
      </c>
      <c r="E102" s="181"/>
      <c r="F102" s="181"/>
      <c r="G102" s="181"/>
      <c r="H102" s="181"/>
      <c r="I102" s="181"/>
      <c r="J102" s="182">
        <f>J189</f>
        <v>0</v>
      </c>
      <c r="L102" s="179"/>
    </row>
    <row r="103" spans="2:12" s="183" customFormat="1" ht="19.95" customHeight="1">
      <c r="B103" s="184"/>
      <c r="D103" s="185" t="s">
        <v>3319</v>
      </c>
      <c r="E103" s="186"/>
      <c r="F103" s="186"/>
      <c r="G103" s="186"/>
      <c r="H103" s="186"/>
      <c r="I103" s="186"/>
      <c r="J103" s="187">
        <f>J190</f>
        <v>0</v>
      </c>
      <c r="L103" s="184"/>
    </row>
    <row r="104" spans="2:12" s="183" customFormat="1" ht="19.95" customHeight="1">
      <c r="B104" s="184"/>
      <c r="D104" s="185" t="s">
        <v>3320</v>
      </c>
      <c r="E104" s="186"/>
      <c r="F104" s="186"/>
      <c r="G104" s="186"/>
      <c r="H104" s="186"/>
      <c r="I104" s="186"/>
      <c r="J104" s="187">
        <f>J195</f>
        <v>0</v>
      </c>
      <c r="L104" s="184"/>
    </row>
    <row r="105" spans="2:12" s="144" customFormat="1" ht="21.75" customHeight="1">
      <c r="B105" s="145"/>
      <c r="L105" s="145"/>
    </row>
    <row r="106" spans="2:12" s="144" customFormat="1" ht="6.9" customHeight="1">
      <c r="B106" s="171"/>
      <c r="C106" s="172"/>
      <c r="D106" s="172"/>
      <c r="E106" s="172"/>
      <c r="F106" s="172"/>
      <c r="G106" s="172"/>
      <c r="H106" s="172"/>
      <c r="I106" s="172"/>
      <c r="J106" s="172"/>
      <c r="K106" s="172"/>
      <c r="L106" s="145"/>
    </row>
    <row r="110" spans="2:12" s="144" customFormat="1" ht="6.9" customHeight="1">
      <c r="B110" s="173"/>
      <c r="C110" s="174"/>
      <c r="D110" s="174"/>
      <c r="E110" s="174"/>
      <c r="F110" s="174"/>
      <c r="G110" s="174"/>
      <c r="H110" s="174"/>
      <c r="I110" s="174"/>
      <c r="J110" s="174"/>
      <c r="K110" s="174"/>
      <c r="L110" s="145"/>
    </row>
    <row r="111" spans="2:12" s="144" customFormat="1" ht="24.9" customHeight="1">
      <c r="B111" s="145"/>
      <c r="C111" s="141" t="s">
        <v>3321</v>
      </c>
      <c r="L111" s="145"/>
    </row>
    <row r="112" spans="2:12" s="144" customFormat="1" ht="6.9" customHeight="1">
      <c r="B112" s="145"/>
      <c r="L112" s="145"/>
    </row>
    <row r="113" spans="2:65" s="144" customFormat="1" ht="12" customHeight="1">
      <c r="B113" s="145"/>
      <c r="C113" s="143" t="s">
        <v>3279</v>
      </c>
      <c r="L113" s="145"/>
    </row>
    <row r="114" spans="2:65" s="144" customFormat="1" ht="16.5" customHeight="1">
      <c r="B114" s="145"/>
      <c r="E114" s="968" t="str">
        <f>E7</f>
        <v>Dostavba ZŠ Mnichovice, 3. etapa, školní jídelna a kuchyně</v>
      </c>
      <c r="F114" s="969"/>
      <c r="G114" s="969"/>
      <c r="H114" s="969"/>
      <c r="L114" s="145"/>
    </row>
    <row r="115" spans="2:65" s="144" customFormat="1" ht="12" customHeight="1">
      <c r="B115" s="145"/>
      <c r="C115" s="143" t="s">
        <v>3282</v>
      </c>
      <c r="L115" s="145"/>
    </row>
    <row r="116" spans="2:65" s="144" customFormat="1" ht="16.5" customHeight="1">
      <c r="B116" s="145"/>
      <c r="E116" s="966" t="str">
        <f>E9</f>
        <v>D.2.2 - Přípojka kanalizace</v>
      </c>
      <c r="F116" s="967"/>
      <c r="G116" s="967"/>
      <c r="H116" s="967"/>
      <c r="L116" s="145"/>
    </row>
    <row r="117" spans="2:65" s="144" customFormat="1" ht="6.9" customHeight="1">
      <c r="B117" s="145"/>
      <c r="L117" s="145"/>
    </row>
    <row r="118" spans="2:65" s="144" customFormat="1" ht="12" customHeight="1">
      <c r="B118" s="145"/>
      <c r="C118" s="143" t="s">
        <v>3286</v>
      </c>
      <c r="F118" s="146" t="str">
        <f>F12</f>
        <v xml:space="preserve"> </v>
      </c>
      <c r="I118" s="143" t="s">
        <v>3141</v>
      </c>
      <c r="J118" s="147" t="str">
        <f>IF(J12="","",J12)</f>
        <v>15. 4. 2020</v>
      </c>
      <c r="L118" s="145"/>
    </row>
    <row r="119" spans="2:65" s="144" customFormat="1" ht="6.9" customHeight="1">
      <c r="B119" s="145"/>
      <c r="L119" s="145"/>
    </row>
    <row r="120" spans="2:65" s="144" customFormat="1" ht="15.15" customHeight="1">
      <c r="B120" s="145"/>
      <c r="C120" s="143" t="s">
        <v>3287</v>
      </c>
      <c r="F120" s="146" t="str">
        <f>E15</f>
        <v xml:space="preserve"> </v>
      </c>
      <c r="I120" s="143" t="s">
        <v>1949</v>
      </c>
      <c r="J120" s="150" t="str">
        <f>E21</f>
        <v xml:space="preserve"> </v>
      </c>
      <c r="L120" s="145"/>
    </row>
    <row r="121" spans="2:65" s="144" customFormat="1" ht="15.15" customHeight="1">
      <c r="B121" s="145"/>
      <c r="C121" s="143" t="s">
        <v>1950</v>
      </c>
      <c r="F121" s="146" t="str">
        <f>IF(E18="","",E18)</f>
        <v xml:space="preserve"> </v>
      </c>
      <c r="I121" s="143" t="s">
        <v>3290</v>
      </c>
      <c r="J121" s="150" t="str">
        <f>E24</f>
        <v xml:space="preserve"> </v>
      </c>
      <c r="L121" s="145"/>
    </row>
    <row r="122" spans="2:65" s="144" customFormat="1" ht="10.35" customHeight="1">
      <c r="B122" s="145"/>
      <c r="L122" s="145"/>
    </row>
    <row r="123" spans="2:65" s="188" customFormat="1" ht="29.25" customHeight="1">
      <c r="B123" s="189"/>
      <c r="C123" s="190" t="s">
        <v>3322</v>
      </c>
      <c r="D123" s="191" t="s">
        <v>3323</v>
      </c>
      <c r="E123" s="191" t="s">
        <v>607</v>
      </c>
      <c r="F123" s="191" t="s">
        <v>3324</v>
      </c>
      <c r="G123" s="191" t="s">
        <v>1937</v>
      </c>
      <c r="H123" s="191" t="s">
        <v>1946</v>
      </c>
      <c r="I123" s="191" t="s">
        <v>3325</v>
      </c>
      <c r="J123" s="191" t="s">
        <v>3310</v>
      </c>
      <c r="K123" s="192" t="s">
        <v>3326</v>
      </c>
      <c r="L123" s="189"/>
      <c r="M123" s="193" t="s">
        <v>3268</v>
      </c>
      <c r="N123" s="194" t="s">
        <v>3295</v>
      </c>
      <c r="O123" s="194" t="s">
        <v>3327</v>
      </c>
      <c r="P123" s="194" t="s">
        <v>3328</v>
      </c>
      <c r="Q123" s="194" t="s">
        <v>3329</v>
      </c>
      <c r="R123" s="194" t="s">
        <v>3330</v>
      </c>
      <c r="S123" s="194" t="s">
        <v>3331</v>
      </c>
      <c r="T123" s="195" t="s">
        <v>3332</v>
      </c>
    </row>
    <row r="124" spans="2:65" s="144" customFormat="1" ht="22.95" customHeight="1">
      <c r="B124" s="145"/>
      <c r="C124" s="196" t="s">
        <v>3333</v>
      </c>
      <c r="J124" s="197">
        <f>BK124</f>
        <v>0</v>
      </c>
      <c r="L124" s="145"/>
      <c r="M124" s="198"/>
      <c r="N124" s="151"/>
      <c r="O124" s="151"/>
      <c r="P124" s="199">
        <f>P125+P189</f>
        <v>11.749728000000003</v>
      </c>
      <c r="Q124" s="151"/>
      <c r="R124" s="199">
        <f>R125+R189</f>
        <v>0.13611000000000001</v>
      </c>
      <c r="S124" s="151"/>
      <c r="T124" s="200">
        <f>T125+T189</f>
        <v>0</v>
      </c>
      <c r="AT124" s="136" t="s">
        <v>3334</v>
      </c>
      <c r="AU124" s="136" t="s">
        <v>3312</v>
      </c>
      <c r="BK124" s="201">
        <f>BK125+BK189</f>
        <v>0</v>
      </c>
    </row>
    <row r="125" spans="2:65" s="202" customFormat="1" ht="25.95" customHeight="1">
      <c r="B125" s="203"/>
      <c r="D125" s="204" t="s">
        <v>3334</v>
      </c>
      <c r="E125" s="205" t="s">
        <v>1219</v>
      </c>
      <c r="F125" s="205" t="s">
        <v>3335</v>
      </c>
      <c r="J125" s="206">
        <f>BK125</f>
        <v>0</v>
      </c>
      <c r="L125" s="203"/>
      <c r="M125" s="207"/>
      <c r="P125" s="208">
        <f>P126+P165+P169+P184</f>
        <v>11.749728000000003</v>
      </c>
      <c r="R125" s="208">
        <f>R126+R165+R169+R184</f>
        <v>0.13611000000000001</v>
      </c>
      <c r="T125" s="209">
        <f>T126+T165+T169+T184</f>
        <v>0</v>
      </c>
      <c r="AR125" s="204" t="s">
        <v>5</v>
      </c>
      <c r="AT125" s="210" t="s">
        <v>3334</v>
      </c>
      <c r="AU125" s="210" t="s">
        <v>3336</v>
      </c>
      <c r="AY125" s="204" t="s">
        <v>3337</v>
      </c>
      <c r="BK125" s="211">
        <f>BK126+BK165+BK169+BK184</f>
        <v>0</v>
      </c>
    </row>
    <row r="126" spans="2:65" s="202" customFormat="1" ht="22.95" customHeight="1">
      <c r="B126" s="203"/>
      <c r="D126" s="204" t="s">
        <v>3334</v>
      </c>
      <c r="E126" s="212" t="s">
        <v>5</v>
      </c>
      <c r="F126" s="212" t="s">
        <v>2050</v>
      </c>
      <c r="J126" s="213">
        <f>BK126</f>
        <v>0</v>
      </c>
      <c r="L126" s="203"/>
      <c r="M126" s="207"/>
      <c r="P126" s="208">
        <f>SUM(P127:P164)</f>
        <v>7.9590000000000005</v>
      </c>
      <c r="R126" s="208">
        <f>SUM(R127:R164)</f>
        <v>0</v>
      </c>
      <c r="T126" s="209">
        <f>SUM(T127:T164)</f>
        <v>0</v>
      </c>
      <c r="AR126" s="204" t="s">
        <v>5</v>
      </c>
      <c r="AT126" s="210" t="s">
        <v>3334</v>
      </c>
      <c r="AU126" s="210" t="s">
        <v>5</v>
      </c>
      <c r="AY126" s="204" t="s">
        <v>3337</v>
      </c>
      <c r="BK126" s="211">
        <f>SUM(BK127:BK164)</f>
        <v>0</v>
      </c>
    </row>
    <row r="127" spans="2:65" s="144" customFormat="1" ht="21.75" customHeight="1">
      <c r="B127" s="214"/>
      <c r="C127" s="215" t="s">
        <v>5</v>
      </c>
      <c r="D127" s="215" t="s">
        <v>3338</v>
      </c>
      <c r="E127" s="216" t="s">
        <v>3339</v>
      </c>
      <c r="F127" s="217" t="s">
        <v>3340</v>
      </c>
      <c r="G127" s="218" t="s">
        <v>1941</v>
      </c>
      <c r="H127" s="219">
        <v>4.5599999999999996</v>
      </c>
      <c r="I127" s="745">
        <v>0</v>
      </c>
      <c r="J127" s="220">
        <f>ROUND(I127*H127,2)</f>
        <v>0</v>
      </c>
      <c r="K127" s="217" t="s">
        <v>3341</v>
      </c>
      <c r="L127" s="145"/>
      <c r="M127" s="221" t="s">
        <v>3268</v>
      </c>
      <c r="N127" s="222" t="s">
        <v>3296</v>
      </c>
      <c r="O127" s="223">
        <v>1.1220000000000001</v>
      </c>
      <c r="P127" s="223">
        <f>O127*H127</f>
        <v>5.11632</v>
      </c>
      <c r="Q127" s="223">
        <v>0</v>
      </c>
      <c r="R127" s="223">
        <f>Q127*H127</f>
        <v>0</v>
      </c>
      <c r="S127" s="223">
        <v>0</v>
      </c>
      <c r="T127" s="224">
        <f>S127*H127</f>
        <v>0</v>
      </c>
      <c r="AR127" s="225" t="s">
        <v>8</v>
      </c>
      <c r="AT127" s="225" t="s">
        <v>3338</v>
      </c>
      <c r="AU127" s="225" t="s">
        <v>6</v>
      </c>
      <c r="AY127" s="136" t="s">
        <v>3337</v>
      </c>
      <c r="BE127" s="226">
        <f>IF(N127="základní",J127,0)</f>
        <v>0</v>
      </c>
      <c r="BF127" s="226">
        <f>IF(N127="snížená",J127,0)</f>
        <v>0</v>
      </c>
      <c r="BG127" s="226">
        <f>IF(N127="zákl. přenesená",J127,0)</f>
        <v>0</v>
      </c>
      <c r="BH127" s="226">
        <f>IF(N127="sníž. přenesená",J127,0)</f>
        <v>0</v>
      </c>
      <c r="BI127" s="226">
        <f>IF(N127="nulová",J127,0)</f>
        <v>0</v>
      </c>
      <c r="BJ127" s="136" t="s">
        <v>5</v>
      </c>
      <c r="BK127" s="226">
        <f>ROUND(I127*H127,2)</f>
        <v>0</v>
      </c>
      <c r="BL127" s="136" t="s">
        <v>8</v>
      </c>
      <c r="BM127" s="225" t="s">
        <v>3576</v>
      </c>
    </row>
    <row r="128" spans="2:65" s="144" customFormat="1" ht="28.8">
      <c r="B128" s="145"/>
      <c r="D128" s="227" t="s">
        <v>3343</v>
      </c>
      <c r="F128" s="228" t="s">
        <v>3344</v>
      </c>
      <c r="L128" s="145"/>
      <c r="M128" s="229"/>
      <c r="T128" s="230"/>
      <c r="AT128" s="136" t="s">
        <v>3343</v>
      </c>
      <c r="AU128" s="136" t="s">
        <v>6</v>
      </c>
    </row>
    <row r="129" spans="2:65" s="231" customFormat="1">
      <c r="B129" s="232"/>
      <c r="D129" s="227" t="s">
        <v>3345</v>
      </c>
      <c r="E129" s="233" t="s">
        <v>3267</v>
      </c>
      <c r="F129" s="234" t="s">
        <v>3577</v>
      </c>
      <c r="H129" s="235">
        <v>4.5599999999999996</v>
      </c>
      <c r="L129" s="232"/>
      <c r="M129" s="236"/>
      <c r="T129" s="237"/>
      <c r="AT129" s="233" t="s">
        <v>3345</v>
      </c>
      <c r="AU129" s="233" t="s">
        <v>6</v>
      </c>
      <c r="AV129" s="231" t="s">
        <v>6</v>
      </c>
      <c r="AW129" s="231" t="s">
        <v>3347</v>
      </c>
      <c r="AX129" s="231" t="s">
        <v>5</v>
      </c>
      <c r="AY129" s="233" t="s">
        <v>3337</v>
      </c>
    </row>
    <row r="130" spans="2:65" s="144" customFormat="1" ht="21.75" customHeight="1">
      <c r="B130" s="214"/>
      <c r="C130" s="215" t="s">
        <v>6</v>
      </c>
      <c r="D130" s="215" t="s">
        <v>3338</v>
      </c>
      <c r="E130" s="216" t="s">
        <v>3348</v>
      </c>
      <c r="F130" s="217" t="s">
        <v>3349</v>
      </c>
      <c r="G130" s="218" t="s">
        <v>1941</v>
      </c>
      <c r="H130" s="219">
        <v>6.48</v>
      </c>
      <c r="I130" s="745">
        <v>0</v>
      </c>
      <c r="J130" s="220">
        <f>ROUND(I130*H130,2)</f>
        <v>0</v>
      </c>
      <c r="K130" s="217" t="s">
        <v>3341</v>
      </c>
      <c r="L130" s="145"/>
      <c r="M130" s="221" t="s">
        <v>3268</v>
      </c>
      <c r="N130" s="222" t="s">
        <v>3296</v>
      </c>
      <c r="O130" s="223">
        <v>4.3999999999999997E-2</v>
      </c>
      <c r="P130" s="223">
        <f>O130*H130</f>
        <v>0.28511999999999998</v>
      </c>
      <c r="Q130" s="223">
        <v>0</v>
      </c>
      <c r="R130" s="223">
        <f>Q130*H130</f>
        <v>0</v>
      </c>
      <c r="S130" s="223">
        <v>0</v>
      </c>
      <c r="T130" s="224">
        <f>S130*H130</f>
        <v>0</v>
      </c>
      <c r="AR130" s="225" t="s">
        <v>8</v>
      </c>
      <c r="AT130" s="225" t="s">
        <v>3338</v>
      </c>
      <c r="AU130" s="225" t="s">
        <v>6</v>
      </c>
      <c r="AY130" s="136" t="s">
        <v>3337</v>
      </c>
      <c r="BE130" s="226">
        <f>IF(N130="základní",J130,0)</f>
        <v>0</v>
      </c>
      <c r="BF130" s="226">
        <f>IF(N130="snížená",J130,0)</f>
        <v>0</v>
      </c>
      <c r="BG130" s="226">
        <f>IF(N130="zákl. přenesená",J130,0)</f>
        <v>0</v>
      </c>
      <c r="BH130" s="226">
        <f>IF(N130="sníž. přenesená",J130,0)</f>
        <v>0</v>
      </c>
      <c r="BI130" s="226">
        <f>IF(N130="nulová",J130,0)</f>
        <v>0</v>
      </c>
      <c r="BJ130" s="136" t="s">
        <v>5</v>
      </c>
      <c r="BK130" s="226">
        <f>ROUND(I130*H130,2)</f>
        <v>0</v>
      </c>
      <c r="BL130" s="136" t="s">
        <v>8</v>
      </c>
      <c r="BM130" s="225" t="s">
        <v>3578</v>
      </c>
    </row>
    <row r="131" spans="2:65" s="144" customFormat="1" ht="38.4">
      <c r="B131" s="145"/>
      <c r="D131" s="227" t="s">
        <v>3343</v>
      </c>
      <c r="F131" s="228" t="s">
        <v>3351</v>
      </c>
      <c r="L131" s="145"/>
      <c r="M131" s="229"/>
      <c r="T131" s="230"/>
      <c r="W131" s="749"/>
      <c r="AT131" s="136" t="s">
        <v>3343</v>
      </c>
      <c r="AU131" s="136" t="s">
        <v>6</v>
      </c>
    </row>
    <row r="132" spans="2:65" s="238" customFormat="1">
      <c r="B132" s="239"/>
      <c r="D132" s="227" t="s">
        <v>3345</v>
      </c>
      <c r="E132" s="240" t="s">
        <v>3268</v>
      </c>
      <c r="F132" s="241" t="s">
        <v>3352</v>
      </c>
      <c r="H132" s="240" t="s">
        <v>3268</v>
      </c>
      <c r="L132" s="239"/>
      <c r="M132" s="242"/>
      <c r="T132" s="243"/>
      <c r="AT132" s="240" t="s">
        <v>3345</v>
      </c>
      <c r="AU132" s="240" t="s">
        <v>6</v>
      </c>
      <c r="AV132" s="238" t="s">
        <v>5</v>
      </c>
      <c r="AW132" s="238" t="s">
        <v>3347</v>
      </c>
      <c r="AX132" s="238" t="s">
        <v>3336</v>
      </c>
      <c r="AY132" s="240" t="s">
        <v>3337</v>
      </c>
    </row>
    <row r="133" spans="2:65" s="231" customFormat="1">
      <c r="B133" s="232"/>
      <c r="D133" s="227" t="s">
        <v>3345</v>
      </c>
      <c r="E133" s="233" t="s">
        <v>3268</v>
      </c>
      <c r="F133" s="234" t="s">
        <v>3270</v>
      </c>
      <c r="H133" s="235">
        <v>3.24</v>
      </c>
      <c r="L133" s="232"/>
      <c r="M133" s="236"/>
      <c r="T133" s="237"/>
      <c r="AT133" s="233" t="s">
        <v>3345</v>
      </c>
      <c r="AU133" s="233" t="s">
        <v>6</v>
      </c>
      <c r="AV133" s="231" t="s">
        <v>6</v>
      </c>
      <c r="AW133" s="231" t="s">
        <v>3347</v>
      </c>
      <c r="AX133" s="231" t="s">
        <v>3336</v>
      </c>
      <c r="AY133" s="233" t="s">
        <v>3337</v>
      </c>
    </row>
    <row r="134" spans="2:65" s="238" customFormat="1">
      <c r="B134" s="239"/>
      <c r="D134" s="227" t="s">
        <v>3345</v>
      </c>
      <c r="E134" s="240" t="s">
        <v>3268</v>
      </c>
      <c r="F134" s="241" t="s">
        <v>3353</v>
      </c>
      <c r="H134" s="240" t="s">
        <v>3268</v>
      </c>
      <c r="L134" s="239"/>
      <c r="M134" s="242"/>
      <c r="T134" s="243"/>
      <c r="AT134" s="240" t="s">
        <v>3345</v>
      </c>
      <c r="AU134" s="240" t="s">
        <v>6</v>
      </c>
      <c r="AV134" s="238" t="s">
        <v>5</v>
      </c>
      <c r="AW134" s="238" t="s">
        <v>3347</v>
      </c>
      <c r="AX134" s="238" t="s">
        <v>3336</v>
      </c>
      <c r="AY134" s="240" t="s">
        <v>3337</v>
      </c>
    </row>
    <row r="135" spans="2:65" s="231" customFormat="1">
      <c r="B135" s="232"/>
      <c r="D135" s="227" t="s">
        <v>3345</v>
      </c>
      <c r="E135" s="233" t="s">
        <v>3268</v>
      </c>
      <c r="F135" s="234" t="s">
        <v>3270</v>
      </c>
      <c r="H135" s="235">
        <v>3.24</v>
      </c>
      <c r="L135" s="232"/>
      <c r="M135" s="236"/>
      <c r="T135" s="237"/>
      <c r="AT135" s="233" t="s">
        <v>3345</v>
      </c>
      <c r="AU135" s="233" t="s">
        <v>6</v>
      </c>
      <c r="AV135" s="231" t="s">
        <v>6</v>
      </c>
      <c r="AW135" s="231" t="s">
        <v>3347</v>
      </c>
      <c r="AX135" s="231" t="s">
        <v>3336</v>
      </c>
      <c r="AY135" s="233" t="s">
        <v>3337</v>
      </c>
    </row>
    <row r="136" spans="2:65" s="244" customFormat="1">
      <c r="B136" s="245"/>
      <c r="D136" s="227" t="s">
        <v>3345</v>
      </c>
      <c r="E136" s="246" t="s">
        <v>3268</v>
      </c>
      <c r="F136" s="247" t="s">
        <v>3354</v>
      </c>
      <c r="H136" s="248">
        <v>6.48</v>
      </c>
      <c r="L136" s="245"/>
      <c r="M136" s="249"/>
      <c r="T136" s="250"/>
      <c r="AT136" s="246" t="s">
        <v>3345</v>
      </c>
      <c r="AU136" s="246" t="s">
        <v>6</v>
      </c>
      <c r="AV136" s="244" t="s">
        <v>8</v>
      </c>
      <c r="AW136" s="244" t="s">
        <v>3347</v>
      </c>
      <c r="AX136" s="244" t="s">
        <v>5</v>
      </c>
      <c r="AY136" s="246" t="s">
        <v>3337</v>
      </c>
    </row>
    <row r="137" spans="2:65" s="144" customFormat="1" ht="21.75" customHeight="1">
      <c r="B137" s="214"/>
      <c r="C137" s="215" t="s">
        <v>7</v>
      </c>
      <c r="D137" s="215" t="s">
        <v>3338</v>
      </c>
      <c r="E137" s="216" t="s">
        <v>3355</v>
      </c>
      <c r="F137" s="217" t="s">
        <v>3356</v>
      </c>
      <c r="G137" s="218" t="s">
        <v>1941</v>
      </c>
      <c r="H137" s="219">
        <v>1.32</v>
      </c>
      <c r="I137" s="745">
        <v>0</v>
      </c>
      <c r="J137" s="220">
        <f>ROUND(I137*H137,2)</f>
        <v>0</v>
      </c>
      <c r="K137" s="217" t="s">
        <v>3341</v>
      </c>
      <c r="L137" s="145"/>
      <c r="M137" s="221" t="s">
        <v>3268</v>
      </c>
      <c r="N137" s="222" t="s">
        <v>3296</v>
      </c>
      <c r="O137" s="223">
        <v>8.6999999999999994E-2</v>
      </c>
      <c r="P137" s="223">
        <f>O137*H137</f>
        <v>0.11484</v>
      </c>
      <c r="Q137" s="223">
        <v>0</v>
      </c>
      <c r="R137" s="223">
        <f>Q137*H137</f>
        <v>0</v>
      </c>
      <c r="S137" s="223">
        <v>0</v>
      </c>
      <c r="T137" s="224">
        <f>S137*H137</f>
        <v>0</v>
      </c>
      <c r="AR137" s="225" t="s">
        <v>8</v>
      </c>
      <c r="AT137" s="225" t="s">
        <v>3338</v>
      </c>
      <c r="AU137" s="225" t="s">
        <v>6</v>
      </c>
      <c r="AY137" s="136" t="s">
        <v>3337</v>
      </c>
      <c r="BE137" s="226">
        <f>IF(N137="základní",J137,0)</f>
        <v>0</v>
      </c>
      <c r="BF137" s="226">
        <f>IF(N137="snížená",J137,0)</f>
        <v>0</v>
      </c>
      <c r="BG137" s="226">
        <f>IF(N137="zákl. přenesená",J137,0)</f>
        <v>0</v>
      </c>
      <c r="BH137" s="226">
        <f>IF(N137="sníž. přenesená",J137,0)</f>
        <v>0</v>
      </c>
      <c r="BI137" s="226">
        <f>IF(N137="nulová",J137,0)</f>
        <v>0</v>
      </c>
      <c r="BJ137" s="136" t="s">
        <v>5</v>
      </c>
      <c r="BK137" s="226">
        <f>ROUND(I137*H137,2)</f>
        <v>0</v>
      </c>
      <c r="BL137" s="136" t="s">
        <v>8</v>
      </c>
      <c r="BM137" s="225" t="s">
        <v>3579</v>
      </c>
    </row>
    <row r="138" spans="2:65" s="144" customFormat="1" ht="38.4">
      <c r="B138" s="145"/>
      <c r="D138" s="227" t="s">
        <v>3343</v>
      </c>
      <c r="F138" s="228" t="s">
        <v>3358</v>
      </c>
      <c r="L138" s="145"/>
      <c r="M138" s="229"/>
      <c r="T138" s="230"/>
      <c r="AT138" s="136" t="s">
        <v>3343</v>
      </c>
      <c r="AU138" s="136" t="s">
        <v>6</v>
      </c>
    </row>
    <row r="139" spans="2:65" s="238" customFormat="1">
      <c r="B139" s="239"/>
      <c r="D139" s="227" t="s">
        <v>3345</v>
      </c>
      <c r="E139" s="240" t="s">
        <v>3268</v>
      </c>
      <c r="F139" s="241" t="s">
        <v>3359</v>
      </c>
      <c r="H139" s="240" t="s">
        <v>3268</v>
      </c>
      <c r="L139" s="239"/>
      <c r="M139" s="242"/>
      <c r="T139" s="243"/>
      <c r="AT139" s="240" t="s">
        <v>3345</v>
      </c>
      <c r="AU139" s="240" t="s">
        <v>6</v>
      </c>
      <c r="AV139" s="238" t="s">
        <v>5</v>
      </c>
      <c r="AW139" s="238" t="s">
        <v>3347</v>
      </c>
      <c r="AX139" s="238" t="s">
        <v>3336</v>
      </c>
      <c r="AY139" s="240" t="s">
        <v>3337</v>
      </c>
    </row>
    <row r="140" spans="2:65" s="231" customFormat="1">
      <c r="B140" s="232"/>
      <c r="D140" s="227" t="s">
        <v>3345</v>
      </c>
      <c r="E140" s="233" t="s">
        <v>3275</v>
      </c>
      <c r="F140" s="234" t="s">
        <v>3360</v>
      </c>
      <c r="H140" s="235">
        <v>1.32</v>
      </c>
      <c r="L140" s="232"/>
      <c r="M140" s="236"/>
      <c r="T140" s="237"/>
      <c r="AT140" s="233" t="s">
        <v>3345</v>
      </c>
      <c r="AU140" s="233" t="s">
        <v>6</v>
      </c>
      <c r="AV140" s="231" t="s">
        <v>6</v>
      </c>
      <c r="AW140" s="231" t="s">
        <v>3347</v>
      </c>
      <c r="AX140" s="231" t="s">
        <v>5</v>
      </c>
      <c r="AY140" s="233" t="s">
        <v>3337</v>
      </c>
    </row>
    <row r="141" spans="2:65" s="144" customFormat="1" ht="21.75" customHeight="1">
      <c r="B141" s="214"/>
      <c r="C141" s="215" t="s">
        <v>8</v>
      </c>
      <c r="D141" s="215" t="s">
        <v>3338</v>
      </c>
      <c r="E141" s="216" t="s">
        <v>3361</v>
      </c>
      <c r="F141" s="217" t="s">
        <v>3362</v>
      </c>
      <c r="G141" s="218" t="s">
        <v>1941</v>
      </c>
      <c r="H141" s="219">
        <v>4.5599999999999996</v>
      </c>
      <c r="I141" s="745">
        <v>0</v>
      </c>
      <c r="J141" s="220">
        <f>ROUND(I141*H141,2)</f>
        <v>0</v>
      </c>
      <c r="K141" s="217" t="s">
        <v>3341</v>
      </c>
      <c r="L141" s="145"/>
      <c r="M141" s="221" t="s">
        <v>3268</v>
      </c>
      <c r="N141" s="222" t="s">
        <v>3296</v>
      </c>
      <c r="O141" s="223">
        <v>0.19700000000000001</v>
      </c>
      <c r="P141" s="223">
        <f>O141*H141</f>
        <v>0.89832000000000001</v>
      </c>
      <c r="Q141" s="223">
        <v>0</v>
      </c>
      <c r="R141" s="223">
        <f>Q141*H141</f>
        <v>0</v>
      </c>
      <c r="S141" s="223">
        <v>0</v>
      </c>
      <c r="T141" s="224">
        <f>S141*H141</f>
        <v>0</v>
      </c>
      <c r="AR141" s="225" t="s">
        <v>8</v>
      </c>
      <c r="AT141" s="225" t="s">
        <v>3338</v>
      </c>
      <c r="AU141" s="225" t="s">
        <v>6</v>
      </c>
      <c r="AY141" s="136" t="s">
        <v>3337</v>
      </c>
      <c r="BE141" s="226">
        <f>IF(N141="základní",J141,0)</f>
        <v>0</v>
      </c>
      <c r="BF141" s="226">
        <f>IF(N141="snížená",J141,0)</f>
        <v>0</v>
      </c>
      <c r="BG141" s="226">
        <f>IF(N141="zákl. přenesená",J141,0)</f>
        <v>0</v>
      </c>
      <c r="BH141" s="226">
        <f>IF(N141="sníž. přenesená",J141,0)</f>
        <v>0</v>
      </c>
      <c r="BI141" s="226">
        <f>IF(N141="nulová",J141,0)</f>
        <v>0</v>
      </c>
      <c r="BJ141" s="136" t="s">
        <v>5</v>
      </c>
      <c r="BK141" s="226">
        <f>ROUND(I141*H141,2)</f>
        <v>0</v>
      </c>
      <c r="BL141" s="136" t="s">
        <v>8</v>
      </c>
      <c r="BM141" s="225" t="s">
        <v>3580</v>
      </c>
    </row>
    <row r="142" spans="2:65" s="144" customFormat="1" ht="28.8">
      <c r="B142" s="145"/>
      <c r="D142" s="227" t="s">
        <v>3343</v>
      </c>
      <c r="F142" s="228" t="s">
        <v>3364</v>
      </c>
      <c r="L142" s="145"/>
      <c r="M142" s="229"/>
      <c r="T142" s="230"/>
      <c r="AT142" s="136" t="s">
        <v>3343</v>
      </c>
      <c r="AU142" s="136" t="s">
        <v>6</v>
      </c>
    </row>
    <row r="143" spans="2:65" s="238" customFormat="1">
      <c r="B143" s="239"/>
      <c r="D143" s="227" t="s">
        <v>3345</v>
      </c>
      <c r="E143" s="240" t="s">
        <v>3268</v>
      </c>
      <c r="F143" s="241" t="s">
        <v>3359</v>
      </c>
      <c r="H143" s="240" t="s">
        <v>3268</v>
      </c>
      <c r="L143" s="239"/>
      <c r="M143" s="242"/>
      <c r="T143" s="243"/>
      <c r="AT143" s="240" t="s">
        <v>3345</v>
      </c>
      <c r="AU143" s="240" t="s">
        <v>6</v>
      </c>
      <c r="AV143" s="238" t="s">
        <v>5</v>
      </c>
      <c r="AW143" s="238" t="s">
        <v>3347</v>
      </c>
      <c r="AX143" s="238" t="s">
        <v>3336</v>
      </c>
      <c r="AY143" s="240" t="s">
        <v>3337</v>
      </c>
    </row>
    <row r="144" spans="2:65" s="231" customFormat="1">
      <c r="B144" s="232"/>
      <c r="D144" s="227" t="s">
        <v>3345</v>
      </c>
      <c r="E144" s="233" t="s">
        <v>3268</v>
      </c>
      <c r="F144" s="234" t="s">
        <v>3275</v>
      </c>
      <c r="H144" s="235">
        <v>1.32</v>
      </c>
      <c r="L144" s="232"/>
      <c r="M144" s="236"/>
      <c r="T144" s="237"/>
      <c r="AT144" s="233" t="s">
        <v>3345</v>
      </c>
      <c r="AU144" s="233" t="s">
        <v>6</v>
      </c>
      <c r="AV144" s="231" t="s">
        <v>6</v>
      </c>
      <c r="AW144" s="231" t="s">
        <v>3347</v>
      </c>
      <c r="AX144" s="231" t="s">
        <v>3336</v>
      </c>
      <c r="AY144" s="233" t="s">
        <v>3337</v>
      </c>
    </row>
    <row r="145" spans="2:65" s="238" customFormat="1">
      <c r="B145" s="239"/>
      <c r="D145" s="227" t="s">
        <v>3345</v>
      </c>
      <c r="E145" s="240" t="s">
        <v>3268</v>
      </c>
      <c r="F145" s="241" t="s">
        <v>3365</v>
      </c>
      <c r="H145" s="240" t="s">
        <v>3268</v>
      </c>
      <c r="L145" s="239"/>
      <c r="M145" s="242"/>
      <c r="T145" s="243"/>
      <c r="AT145" s="240" t="s">
        <v>3345</v>
      </c>
      <c r="AU145" s="240" t="s">
        <v>6</v>
      </c>
      <c r="AV145" s="238" t="s">
        <v>5</v>
      </c>
      <c r="AW145" s="238" t="s">
        <v>3347</v>
      </c>
      <c r="AX145" s="238" t="s">
        <v>3336</v>
      </c>
      <c r="AY145" s="240" t="s">
        <v>3337</v>
      </c>
    </row>
    <row r="146" spans="2:65" s="231" customFormat="1">
      <c r="B146" s="232"/>
      <c r="D146" s="227" t="s">
        <v>3345</v>
      </c>
      <c r="E146" s="233" t="s">
        <v>3268</v>
      </c>
      <c r="F146" s="234" t="s">
        <v>3270</v>
      </c>
      <c r="H146" s="235">
        <v>3.24</v>
      </c>
      <c r="L146" s="232"/>
      <c r="M146" s="236"/>
      <c r="T146" s="237"/>
      <c r="AT146" s="233" t="s">
        <v>3345</v>
      </c>
      <c r="AU146" s="233" t="s">
        <v>6</v>
      </c>
      <c r="AV146" s="231" t="s">
        <v>6</v>
      </c>
      <c r="AW146" s="231" t="s">
        <v>3347</v>
      </c>
      <c r="AX146" s="231" t="s">
        <v>3336</v>
      </c>
      <c r="AY146" s="233" t="s">
        <v>3337</v>
      </c>
    </row>
    <row r="147" spans="2:65" s="244" customFormat="1">
      <c r="B147" s="245"/>
      <c r="D147" s="227" t="s">
        <v>3345</v>
      </c>
      <c r="E147" s="246" t="s">
        <v>3268</v>
      </c>
      <c r="F147" s="247" t="s">
        <v>3354</v>
      </c>
      <c r="H147" s="248">
        <v>4.5599999999999996</v>
      </c>
      <c r="L147" s="245"/>
      <c r="M147" s="249"/>
      <c r="T147" s="250"/>
      <c r="AT147" s="246" t="s">
        <v>3345</v>
      </c>
      <c r="AU147" s="246" t="s">
        <v>6</v>
      </c>
      <c r="AV147" s="244" t="s">
        <v>8</v>
      </c>
      <c r="AW147" s="244" t="s">
        <v>3347</v>
      </c>
      <c r="AX147" s="244" t="s">
        <v>5</v>
      </c>
      <c r="AY147" s="246" t="s">
        <v>3337</v>
      </c>
    </row>
    <row r="148" spans="2:65" s="144" customFormat="1" ht="21.75" customHeight="1">
      <c r="B148" s="214"/>
      <c r="C148" s="215" t="s">
        <v>9</v>
      </c>
      <c r="D148" s="215" t="s">
        <v>3338</v>
      </c>
      <c r="E148" s="216" t="s">
        <v>3366</v>
      </c>
      <c r="F148" s="217" t="s">
        <v>3367</v>
      </c>
      <c r="G148" s="218" t="s">
        <v>1942</v>
      </c>
      <c r="H148" s="219">
        <v>2.64</v>
      </c>
      <c r="I148" s="745">
        <v>0</v>
      </c>
      <c r="J148" s="220">
        <f>ROUND(I148*H148,2)</f>
        <v>0</v>
      </c>
      <c r="K148" s="217" t="s">
        <v>3341</v>
      </c>
      <c r="L148" s="145"/>
      <c r="M148" s="221" t="s">
        <v>3268</v>
      </c>
      <c r="N148" s="222" t="s">
        <v>3296</v>
      </c>
      <c r="O148" s="223">
        <v>0</v>
      </c>
      <c r="P148" s="223">
        <f>O148*H148</f>
        <v>0</v>
      </c>
      <c r="Q148" s="223">
        <v>0</v>
      </c>
      <c r="R148" s="223">
        <f>Q148*H148</f>
        <v>0</v>
      </c>
      <c r="S148" s="223">
        <v>0</v>
      </c>
      <c r="T148" s="224">
        <f>S148*H148</f>
        <v>0</v>
      </c>
      <c r="AR148" s="225" t="s">
        <v>8</v>
      </c>
      <c r="AT148" s="225" t="s">
        <v>3338</v>
      </c>
      <c r="AU148" s="225" t="s">
        <v>6</v>
      </c>
      <c r="AY148" s="136" t="s">
        <v>3337</v>
      </c>
      <c r="BE148" s="226">
        <f>IF(N148="základní",J148,0)</f>
        <v>0</v>
      </c>
      <c r="BF148" s="226">
        <f>IF(N148="snížená",J148,0)</f>
        <v>0</v>
      </c>
      <c r="BG148" s="226">
        <f>IF(N148="zákl. přenesená",J148,0)</f>
        <v>0</v>
      </c>
      <c r="BH148" s="226">
        <f>IF(N148="sníž. přenesená",J148,0)</f>
        <v>0</v>
      </c>
      <c r="BI148" s="226">
        <f>IF(N148="nulová",J148,0)</f>
        <v>0</v>
      </c>
      <c r="BJ148" s="136" t="s">
        <v>5</v>
      </c>
      <c r="BK148" s="226">
        <f>ROUND(I148*H148,2)</f>
        <v>0</v>
      </c>
      <c r="BL148" s="136" t="s">
        <v>8</v>
      </c>
      <c r="BM148" s="225" t="s">
        <v>3581</v>
      </c>
    </row>
    <row r="149" spans="2:65" s="144" customFormat="1" ht="28.8">
      <c r="B149" s="145"/>
      <c r="D149" s="227" t="s">
        <v>3343</v>
      </c>
      <c r="F149" s="228" t="s">
        <v>3369</v>
      </c>
      <c r="L149" s="145"/>
      <c r="M149" s="229"/>
      <c r="T149" s="230"/>
      <c r="AT149" s="136" t="s">
        <v>3343</v>
      </c>
      <c r="AU149" s="136" t="s">
        <v>6</v>
      </c>
    </row>
    <row r="150" spans="2:65" s="231" customFormat="1">
      <c r="B150" s="232"/>
      <c r="D150" s="227" t="s">
        <v>3345</v>
      </c>
      <c r="E150" s="233" t="s">
        <v>3268</v>
      </c>
      <c r="F150" s="234" t="s">
        <v>3275</v>
      </c>
      <c r="H150" s="235">
        <v>1.32</v>
      </c>
      <c r="L150" s="232"/>
      <c r="M150" s="236"/>
      <c r="T150" s="237"/>
      <c r="AT150" s="233" t="s">
        <v>3345</v>
      </c>
      <c r="AU150" s="233" t="s">
        <v>6</v>
      </c>
      <c r="AV150" s="231" t="s">
        <v>6</v>
      </c>
      <c r="AW150" s="231" t="s">
        <v>3347</v>
      </c>
      <c r="AX150" s="231" t="s">
        <v>5</v>
      </c>
      <c r="AY150" s="233" t="s">
        <v>3337</v>
      </c>
    </row>
    <row r="151" spans="2:65" s="231" customFormat="1">
      <c r="B151" s="232"/>
      <c r="D151" s="227" t="s">
        <v>3345</v>
      </c>
      <c r="F151" s="234" t="s">
        <v>3582</v>
      </c>
      <c r="H151" s="235">
        <v>2.64</v>
      </c>
      <c r="L151" s="232"/>
      <c r="M151" s="236"/>
      <c r="T151" s="237"/>
      <c r="AT151" s="233" t="s">
        <v>3345</v>
      </c>
      <c r="AU151" s="233" t="s">
        <v>6</v>
      </c>
      <c r="AV151" s="231" t="s">
        <v>6</v>
      </c>
      <c r="AW151" s="231" t="s">
        <v>3274</v>
      </c>
      <c r="AX151" s="231" t="s">
        <v>5</v>
      </c>
      <c r="AY151" s="233" t="s">
        <v>3337</v>
      </c>
    </row>
    <row r="152" spans="2:65" s="144" customFormat="1" ht="16.5" customHeight="1">
      <c r="B152" s="214"/>
      <c r="C152" s="215" t="s">
        <v>10</v>
      </c>
      <c r="D152" s="215" t="s">
        <v>3338</v>
      </c>
      <c r="E152" s="216" t="s">
        <v>3371</v>
      </c>
      <c r="F152" s="217" t="s">
        <v>3372</v>
      </c>
      <c r="G152" s="218" t="s">
        <v>1941</v>
      </c>
      <c r="H152" s="219">
        <v>1.32</v>
      </c>
      <c r="I152" s="745">
        <v>0</v>
      </c>
      <c r="J152" s="220">
        <f>ROUND(I152*H152,2)</f>
        <v>0</v>
      </c>
      <c r="K152" s="217" t="s">
        <v>3341</v>
      </c>
      <c r="L152" s="145"/>
      <c r="M152" s="221" t="s">
        <v>3268</v>
      </c>
      <c r="N152" s="222" t="s">
        <v>3296</v>
      </c>
      <c r="O152" s="223">
        <v>8.9999999999999993E-3</v>
      </c>
      <c r="P152" s="223">
        <f>O152*H152</f>
        <v>1.188E-2</v>
      </c>
      <c r="Q152" s="223">
        <v>0</v>
      </c>
      <c r="R152" s="223">
        <f>Q152*H152</f>
        <v>0</v>
      </c>
      <c r="S152" s="223">
        <v>0</v>
      </c>
      <c r="T152" s="224">
        <f>S152*H152</f>
        <v>0</v>
      </c>
      <c r="AR152" s="225" t="s">
        <v>8</v>
      </c>
      <c r="AT152" s="225" t="s">
        <v>3338</v>
      </c>
      <c r="AU152" s="225" t="s">
        <v>6</v>
      </c>
      <c r="AY152" s="136" t="s">
        <v>3337</v>
      </c>
      <c r="BE152" s="226">
        <f>IF(N152="základní",J152,0)</f>
        <v>0</v>
      </c>
      <c r="BF152" s="226">
        <f>IF(N152="snížená",J152,0)</f>
        <v>0</v>
      </c>
      <c r="BG152" s="226">
        <f>IF(N152="zákl. přenesená",J152,0)</f>
        <v>0</v>
      </c>
      <c r="BH152" s="226">
        <f>IF(N152="sníž. přenesená",J152,0)</f>
        <v>0</v>
      </c>
      <c r="BI152" s="226">
        <f>IF(N152="nulová",J152,0)</f>
        <v>0</v>
      </c>
      <c r="BJ152" s="136" t="s">
        <v>5</v>
      </c>
      <c r="BK152" s="226">
        <f>ROUND(I152*H152,2)</f>
        <v>0</v>
      </c>
      <c r="BL152" s="136" t="s">
        <v>8</v>
      </c>
      <c r="BM152" s="225" t="s">
        <v>3583</v>
      </c>
    </row>
    <row r="153" spans="2:65" s="144" customFormat="1" ht="19.2">
      <c r="B153" s="145"/>
      <c r="D153" s="227" t="s">
        <v>3343</v>
      </c>
      <c r="F153" s="228" t="s">
        <v>3374</v>
      </c>
      <c r="L153" s="145"/>
      <c r="M153" s="229"/>
      <c r="T153" s="230"/>
      <c r="AT153" s="136" t="s">
        <v>3343</v>
      </c>
      <c r="AU153" s="136" t="s">
        <v>6</v>
      </c>
    </row>
    <row r="154" spans="2:65" s="231" customFormat="1">
      <c r="B154" s="232"/>
      <c r="D154" s="227" t="s">
        <v>3345</v>
      </c>
      <c r="E154" s="233" t="s">
        <v>3268</v>
      </c>
      <c r="F154" s="234" t="s">
        <v>3275</v>
      </c>
      <c r="H154" s="235">
        <v>1.32</v>
      </c>
      <c r="L154" s="232"/>
      <c r="M154" s="236"/>
      <c r="T154" s="237"/>
      <c r="AT154" s="233" t="s">
        <v>3345</v>
      </c>
      <c r="AU154" s="233" t="s">
        <v>6</v>
      </c>
      <c r="AV154" s="231" t="s">
        <v>6</v>
      </c>
      <c r="AW154" s="231" t="s">
        <v>3347</v>
      </c>
      <c r="AX154" s="231" t="s">
        <v>5</v>
      </c>
      <c r="AY154" s="233" t="s">
        <v>3337</v>
      </c>
    </row>
    <row r="155" spans="2:65" s="144" customFormat="1" ht="21.75" customHeight="1">
      <c r="B155" s="214"/>
      <c r="C155" s="215" t="s">
        <v>11</v>
      </c>
      <c r="D155" s="215" t="s">
        <v>3338</v>
      </c>
      <c r="E155" s="216" t="s">
        <v>3375</v>
      </c>
      <c r="F155" s="217" t="s">
        <v>3376</v>
      </c>
      <c r="G155" s="218" t="s">
        <v>1941</v>
      </c>
      <c r="H155" s="219">
        <v>3.24</v>
      </c>
      <c r="I155" s="745">
        <v>0</v>
      </c>
      <c r="J155" s="220">
        <f>ROUND(I155*H155,2)</f>
        <v>0</v>
      </c>
      <c r="K155" s="217" t="s">
        <v>3341</v>
      </c>
      <c r="L155" s="145"/>
      <c r="M155" s="221" t="s">
        <v>3268</v>
      </c>
      <c r="N155" s="222" t="s">
        <v>3296</v>
      </c>
      <c r="O155" s="223">
        <v>0.32800000000000001</v>
      </c>
      <c r="P155" s="223">
        <f>O155*H155</f>
        <v>1.0627200000000001</v>
      </c>
      <c r="Q155" s="223">
        <v>0</v>
      </c>
      <c r="R155" s="223">
        <f>Q155*H155</f>
        <v>0</v>
      </c>
      <c r="S155" s="223">
        <v>0</v>
      </c>
      <c r="T155" s="224">
        <f>S155*H155</f>
        <v>0</v>
      </c>
      <c r="AR155" s="225" t="s">
        <v>8</v>
      </c>
      <c r="AT155" s="225" t="s">
        <v>3338</v>
      </c>
      <c r="AU155" s="225" t="s">
        <v>6</v>
      </c>
      <c r="AY155" s="136" t="s">
        <v>3337</v>
      </c>
      <c r="BE155" s="226">
        <f>IF(N155="základní",J155,0)</f>
        <v>0</v>
      </c>
      <c r="BF155" s="226">
        <f>IF(N155="snížená",J155,0)</f>
        <v>0</v>
      </c>
      <c r="BG155" s="226">
        <f>IF(N155="zákl. přenesená",J155,0)</f>
        <v>0</v>
      </c>
      <c r="BH155" s="226">
        <f>IF(N155="sníž. přenesená",J155,0)</f>
        <v>0</v>
      </c>
      <c r="BI155" s="226">
        <f>IF(N155="nulová",J155,0)</f>
        <v>0</v>
      </c>
      <c r="BJ155" s="136" t="s">
        <v>5</v>
      </c>
      <c r="BK155" s="226">
        <f>ROUND(I155*H155,2)</f>
        <v>0</v>
      </c>
      <c r="BL155" s="136" t="s">
        <v>8</v>
      </c>
      <c r="BM155" s="225" t="s">
        <v>3584</v>
      </c>
    </row>
    <row r="156" spans="2:65" s="144" customFormat="1" ht="28.8">
      <c r="B156" s="145"/>
      <c r="D156" s="227" t="s">
        <v>3343</v>
      </c>
      <c r="F156" s="228" t="s">
        <v>3378</v>
      </c>
      <c r="L156" s="145"/>
      <c r="M156" s="229"/>
      <c r="T156" s="230"/>
      <c r="AT156" s="136" t="s">
        <v>3343</v>
      </c>
      <c r="AU156" s="136" t="s">
        <v>6</v>
      </c>
    </row>
    <row r="157" spans="2:65" s="231" customFormat="1">
      <c r="B157" s="232"/>
      <c r="D157" s="227" t="s">
        <v>3345</v>
      </c>
      <c r="E157" s="233" t="s">
        <v>3270</v>
      </c>
      <c r="F157" s="234" t="s">
        <v>3379</v>
      </c>
      <c r="H157" s="235">
        <v>3.24</v>
      </c>
      <c r="L157" s="232"/>
      <c r="M157" s="236"/>
      <c r="T157" s="237"/>
      <c r="AT157" s="233" t="s">
        <v>3345</v>
      </c>
      <c r="AU157" s="233" t="s">
        <v>6</v>
      </c>
      <c r="AV157" s="231" t="s">
        <v>6</v>
      </c>
      <c r="AW157" s="231" t="s">
        <v>3347</v>
      </c>
      <c r="AX157" s="231" t="s">
        <v>5</v>
      </c>
      <c r="AY157" s="233" t="s">
        <v>3337</v>
      </c>
    </row>
    <row r="158" spans="2:65" s="144" customFormat="1" ht="21.75" customHeight="1">
      <c r="B158" s="214"/>
      <c r="C158" s="215" t="s">
        <v>12</v>
      </c>
      <c r="D158" s="215" t="s">
        <v>3338</v>
      </c>
      <c r="E158" s="216" t="s">
        <v>3380</v>
      </c>
      <c r="F158" s="217" t="s">
        <v>3381</v>
      </c>
      <c r="G158" s="218" t="s">
        <v>1941</v>
      </c>
      <c r="H158" s="219">
        <v>1.08</v>
      </c>
      <c r="I158" s="745">
        <v>0</v>
      </c>
      <c r="J158" s="220">
        <f>ROUND(I158*H158,2)</f>
        <v>0</v>
      </c>
      <c r="K158" s="217" t="s">
        <v>3341</v>
      </c>
      <c r="L158" s="145"/>
      <c r="M158" s="221" t="s">
        <v>3268</v>
      </c>
      <c r="N158" s="222" t="s">
        <v>3296</v>
      </c>
      <c r="O158" s="223">
        <v>0.435</v>
      </c>
      <c r="P158" s="223">
        <f>O158*H158</f>
        <v>0.46980000000000005</v>
      </c>
      <c r="Q158" s="223">
        <v>0</v>
      </c>
      <c r="R158" s="223">
        <f>Q158*H158</f>
        <v>0</v>
      </c>
      <c r="S158" s="223">
        <v>0</v>
      </c>
      <c r="T158" s="224">
        <f>S158*H158</f>
        <v>0</v>
      </c>
      <c r="AR158" s="225" t="s">
        <v>8</v>
      </c>
      <c r="AT158" s="225" t="s">
        <v>3338</v>
      </c>
      <c r="AU158" s="225" t="s">
        <v>6</v>
      </c>
      <c r="AY158" s="136" t="s">
        <v>3337</v>
      </c>
      <c r="BE158" s="226">
        <f>IF(N158="základní",J158,0)</f>
        <v>0</v>
      </c>
      <c r="BF158" s="226">
        <f>IF(N158="snížená",J158,0)</f>
        <v>0</v>
      </c>
      <c r="BG158" s="226">
        <f>IF(N158="zákl. přenesená",J158,0)</f>
        <v>0</v>
      </c>
      <c r="BH158" s="226">
        <f>IF(N158="sníž. přenesená",J158,0)</f>
        <v>0</v>
      </c>
      <c r="BI158" s="226">
        <f>IF(N158="nulová",J158,0)</f>
        <v>0</v>
      </c>
      <c r="BJ158" s="136" t="s">
        <v>5</v>
      </c>
      <c r="BK158" s="226">
        <f>ROUND(I158*H158,2)</f>
        <v>0</v>
      </c>
      <c r="BL158" s="136" t="s">
        <v>8</v>
      </c>
      <c r="BM158" s="225" t="s">
        <v>3585</v>
      </c>
    </row>
    <row r="159" spans="2:65" s="144" customFormat="1" ht="38.4">
      <c r="B159" s="145"/>
      <c r="D159" s="227" t="s">
        <v>3343</v>
      </c>
      <c r="F159" s="228" t="s">
        <v>3383</v>
      </c>
      <c r="L159" s="145"/>
      <c r="M159" s="229"/>
      <c r="T159" s="230"/>
      <c r="AT159" s="136" t="s">
        <v>3343</v>
      </c>
      <c r="AU159" s="136" t="s">
        <v>6</v>
      </c>
    </row>
    <row r="160" spans="2:65" s="231" customFormat="1">
      <c r="B160" s="232"/>
      <c r="D160" s="227" t="s">
        <v>3345</v>
      </c>
      <c r="E160" s="233" t="s">
        <v>3280</v>
      </c>
      <c r="F160" s="234" t="s">
        <v>3586</v>
      </c>
      <c r="H160" s="235">
        <v>1.08</v>
      </c>
      <c r="L160" s="232"/>
      <c r="M160" s="236"/>
      <c r="T160" s="237"/>
      <c r="AT160" s="233" t="s">
        <v>3345</v>
      </c>
      <c r="AU160" s="233" t="s">
        <v>6</v>
      </c>
      <c r="AV160" s="231" t="s">
        <v>6</v>
      </c>
      <c r="AW160" s="231" t="s">
        <v>3347</v>
      </c>
      <c r="AX160" s="231" t="s">
        <v>5</v>
      </c>
      <c r="AY160" s="233" t="s">
        <v>3337</v>
      </c>
    </row>
    <row r="161" spans="2:65" s="144" customFormat="1" ht="16.5" customHeight="1">
      <c r="B161" s="214"/>
      <c r="C161" s="251" t="s">
        <v>13</v>
      </c>
      <c r="D161" s="251" t="s">
        <v>3385</v>
      </c>
      <c r="E161" s="252" t="s">
        <v>3386</v>
      </c>
      <c r="F161" s="253" t="s">
        <v>3387</v>
      </c>
      <c r="G161" s="254" t="s">
        <v>1942</v>
      </c>
      <c r="H161" s="255">
        <v>2.16</v>
      </c>
      <c r="I161" s="746">
        <v>0</v>
      </c>
      <c r="J161" s="256">
        <f>ROUND(I161*H161,2)</f>
        <v>0</v>
      </c>
      <c r="K161" s="253" t="s">
        <v>3341</v>
      </c>
      <c r="L161" s="257"/>
      <c r="M161" s="258" t="s">
        <v>3268</v>
      </c>
      <c r="N161" s="259" t="s">
        <v>3296</v>
      </c>
      <c r="O161" s="223">
        <v>0</v>
      </c>
      <c r="P161" s="223">
        <f>O161*H161</f>
        <v>0</v>
      </c>
      <c r="Q161" s="223">
        <v>0</v>
      </c>
      <c r="R161" s="223">
        <f>Q161*H161</f>
        <v>0</v>
      </c>
      <c r="S161" s="223">
        <v>0</v>
      </c>
      <c r="T161" s="224">
        <f>S161*H161</f>
        <v>0</v>
      </c>
      <c r="AR161" s="225" t="s">
        <v>12</v>
      </c>
      <c r="AT161" s="225" t="s">
        <v>3385</v>
      </c>
      <c r="AU161" s="225" t="s">
        <v>6</v>
      </c>
      <c r="AY161" s="136" t="s">
        <v>3337</v>
      </c>
      <c r="BE161" s="226">
        <f>IF(N161="základní",J161,0)</f>
        <v>0</v>
      </c>
      <c r="BF161" s="226">
        <f>IF(N161="snížená",J161,0)</f>
        <v>0</v>
      </c>
      <c r="BG161" s="226">
        <f>IF(N161="zákl. přenesená",J161,0)</f>
        <v>0</v>
      </c>
      <c r="BH161" s="226">
        <f>IF(N161="sníž. přenesená",J161,0)</f>
        <v>0</v>
      </c>
      <c r="BI161" s="226">
        <f>IF(N161="nulová",J161,0)</f>
        <v>0</v>
      </c>
      <c r="BJ161" s="136" t="s">
        <v>5</v>
      </c>
      <c r="BK161" s="226">
        <f>ROUND(I161*H161,2)</f>
        <v>0</v>
      </c>
      <c r="BL161" s="136" t="s">
        <v>8</v>
      </c>
      <c r="BM161" s="225" t="s">
        <v>3587</v>
      </c>
    </row>
    <row r="162" spans="2:65" s="144" customFormat="1">
      <c r="B162" s="145"/>
      <c r="D162" s="227" t="s">
        <v>3343</v>
      </c>
      <c r="F162" s="228" t="s">
        <v>3387</v>
      </c>
      <c r="L162" s="145"/>
      <c r="M162" s="229"/>
      <c r="T162" s="230"/>
      <c r="AT162" s="136" t="s">
        <v>3343</v>
      </c>
      <c r="AU162" s="136" t="s">
        <v>6</v>
      </c>
    </row>
    <row r="163" spans="2:65" s="231" customFormat="1">
      <c r="B163" s="232"/>
      <c r="D163" s="227" t="s">
        <v>3345</v>
      </c>
      <c r="E163" s="233" t="s">
        <v>3268</v>
      </c>
      <c r="F163" s="234" t="s">
        <v>3280</v>
      </c>
      <c r="H163" s="235">
        <v>1.08</v>
      </c>
      <c r="L163" s="232"/>
      <c r="M163" s="236"/>
      <c r="T163" s="237"/>
      <c r="AT163" s="233" t="s">
        <v>3345</v>
      </c>
      <c r="AU163" s="233" t="s">
        <v>6</v>
      </c>
      <c r="AV163" s="231" t="s">
        <v>6</v>
      </c>
      <c r="AW163" s="231" t="s">
        <v>3347</v>
      </c>
      <c r="AX163" s="231" t="s">
        <v>5</v>
      </c>
      <c r="AY163" s="233" t="s">
        <v>3337</v>
      </c>
    </row>
    <row r="164" spans="2:65" s="231" customFormat="1">
      <c r="B164" s="232"/>
      <c r="D164" s="227" t="s">
        <v>3345</v>
      </c>
      <c r="F164" s="234" t="s">
        <v>3588</v>
      </c>
      <c r="H164" s="235">
        <v>2.16</v>
      </c>
      <c r="L164" s="232"/>
      <c r="M164" s="236"/>
      <c r="T164" s="237"/>
      <c r="AT164" s="233" t="s">
        <v>3345</v>
      </c>
      <c r="AU164" s="233" t="s">
        <v>6</v>
      </c>
      <c r="AV164" s="231" t="s">
        <v>6</v>
      </c>
      <c r="AW164" s="231" t="s">
        <v>3274</v>
      </c>
      <c r="AX164" s="231" t="s">
        <v>5</v>
      </c>
      <c r="AY164" s="233" t="s">
        <v>3337</v>
      </c>
    </row>
    <row r="165" spans="2:65" s="202" customFormat="1" ht="22.95" customHeight="1">
      <c r="B165" s="203"/>
      <c r="D165" s="204" t="s">
        <v>3334</v>
      </c>
      <c r="E165" s="212" t="s">
        <v>8</v>
      </c>
      <c r="F165" s="212" t="s">
        <v>2052</v>
      </c>
      <c r="J165" s="213">
        <f>BK165</f>
        <v>0</v>
      </c>
      <c r="L165" s="203"/>
      <c r="M165" s="207"/>
      <c r="P165" s="208">
        <f>SUM(P166:P168)</f>
        <v>0.31607999999999997</v>
      </c>
      <c r="R165" s="208">
        <f>SUM(R166:R168)</f>
        <v>0</v>
      </c>
      <c r="T165" s="209">
        <f>SUM(T166:T168)</f>
        <v>0</v>
      </c>
      <c r="AR165" s="204" t="s">
        <v>5</v>
      </c>
      <c r="AT165" s="210" t="s">
        <v>3334</v>
      </c>
      <c r="AU165" s="210" t="s">
        <v>5</v>
      </c>
      <c r="AY165" s="204" t="s">
        <v>3337</v>
      </c>
      <c r="BK165" s="211">
        <f>SUM(BK166:BK168)</f>
        <v>0</v>
      </c>
    </row>
    <row r="166" spans="2:65" s="144" customFormat="1" ht="16.5" customHeight="1">
      <c r="B166" s="214"/>
      <c r="C166" s="215" t="s">
        <v>14</v>
      </c>
      <c r="D166" s="215" t="s">
        <v>3338</v>
      </c>
      <c r="E166" s="216" t="s">
        <v>3390</v>
      </c>
      <c r="F166" s="217" t="s">
        <v>3391</v>
      </c>
      <c r="G166" s="218" t="s">
        <v>1941</v>
      </c>
      <c r="H166" s="219">
        <v>0.24</v>
      </c>
      <c r="I166" s="745">
        <v>0</v>
      </c>
      <c r="J166" s="220">
        <f>ROUND(I166*H166,2)</f>
        <v>0</v>
      </c>
      <c r="K166" s="217" t="s">
        <v>3341</v>
      </c>
      <c r="L166" s="145"/>
      <c r="M166" s="221" t="s">
        <v>3268</v>
      </c>
      <c r="N166" s="222" t="s">
        <v>3296</v>
      </c>
      <c r="O166" s="223">
        <v>1.3169999999999999</v>
      </c>
      <c r="P166" s="223">
        <f>O166*H166</f>
        <v>0.31607999999999997</v>
      </c>
      <c r="Q166" s="223">
        <v>0</v>
      </c>
      <c r="R166" s="223">
        <f>Q166*H166</f>
        <v>0</v>
      </c>
      <c r="S166" s="223">
        <v>0</v>
      </c>
      <c r="T166" s="224">
        <f>S166*H166</f>
        <v>0</v>
      </c>
      <c r="AR166" s="225" t="s">
        <v>8</v>
      </c>
      <c r="AT166" s="225" t="s">
        <v>3338</v>
      </c>
      <c r="AU166" s="225" t="s">
        <v>6</v>
      </c>
      <c r="AY166" s="136" t="s">
        <v>3337</v>
      </c>
      <c r="BE166" s="226">
        <f>IF(N166="základní",J166,0)</f>
        <v>0</v>
      </c>
      <c r="BF166" s="226">
        <f>IF(N166="snížená",J166,0)</f>
        <v>0</v>
      </c>
      <c r="BG166" s="226">
        <f>IF(N166="zákl. přenesená",J166,0)</f>
        <v>0</v>
      </c>
      <c r="BH166" s="226">
        <f>IF(N166="sníž. přenesená",J166,0)</f>
        <v>0</v>
      </c>
      <c r="BI166" s="226">
        <f>IF(N166="nulová",J166,0)</f>
        <v>0</v>
      </c>
      <c r="BJ166" s="136" t="s">
        <v>5</v>
      </c>
      <c r="BK166" s="226">
        <f>ROUND(I166*H166,2)</f>
        <v>0</v>
      </c>
      <c r="BL166" s="136" t="s">
        <v>8</v>
      </c>
      <c r="BM166" s="225" t="s">
        <v>3589</v>
      </c>
    </row>
    <row r="167" spans="2:65" s="144" customFormat="1" ht="19.2">
      <c r="B167" s="145"/>
      <c r="D167" s="227" t="s">
        <v>3343</v>
      </c>
      <c r="F167" s="228" t="s">
        <v>3393</v>
      </c>
      <c r="L167" s="145"/>
      <c r="M167" s="229"/>
      <c r="T167" s="230"/>
      <c r="AT167" s="136" t="s">
        <v>3343</v>
      </c>
      <c r="AU167" s="136" t="s">
        <v>6</v>
      </c>
    </row>
    <row r="168" spans="2:65" s="231" customFormat="1">
      <c r="B168" s="232"/>
      <c r="D168" s="227" t="s">
        <v>3345</v>
      </c>
      <c r="E168" s="233" t="s">
        <v>3277</v>
      </c>
      <c r="F168" s="234" t="s">
        <v>3590</v>
      </c>
      <c r="H168" s="235">
        <v>0.24</v>
      </c>
      <c r="L168" s="232"/>
      <c r="M168" s="236"/>
      <c r="T168" s="237"/>
      <c r="AT168" s="233" t="s">
        <v>3345</v>
      </c>
      <c r="AU168" s="233" t="s">
        <v>6</v>
      </c>
      <c r="AV168" s="231" t="s">
        <v>6</v>
      </c>
      <c r="AW168" s="231" t="s">
        <v>3347</v>
      </c>
      <c r="AX168" s="231" t="s">
        <v>5</v>
      </c>
      <c r="AY168" s="233" t="s">
        <v>3337</v>
      </c>
    </row>
    <row r="169" spans="2:65" s="202" customFormat="1" ht="22.95" customHeight="1">
      <c r="B169" s="203"/>
      <c r="D169" s="204" t="s">
        <v>3334</v>
      </c>
      <c r="E169" s="212" t="s">
        <v>12</v>
      </c>
      <c r="F169" s="212" t="s">
        <v>2053</v>
      </c>
      <c r="J169" s="213">
        <f>BK169</f>
        <v>0</v>
      </c>
      <c r="L169" s="203"/>
      <c r="M169" s="207"/>
      <c r="P169" s="208">
        <f>SUM(P170:P183)</f>
        <v>3.1390000000000002</v>
      </c>
      <c r="R169" s="208">
        <f>SUM(R170:R183)</f>
        <v>0.13611000000000001</v>
      </c>
      <c r="T169" s="209">
        <f>SUM(T170:T183)</f>
        <v>0</v>
      </c>
      <c r="AR169" s="204" t="s">
        <v>5</v>
      </c>
      <c r="AT169" s="210" t="s">
        <v>3334</v>
      </c>
      <c r="AU169" s="210" t="s">
        <v>5</v>
      </c>
      <c r="AY169" s="204" t="s">
        <v>3337</v>
      </c>
      <c r="BK169" s="211">
        <f>SUM(BK170:BK183)</f>
        <v>0</v>
      </c>
    </row>
    <row r="170" spans="2:65" s="144" customFormat="1" ht="16.5" customHeight="1">
      <c r="B170" s="214"/>
      <c r="C170" s="215" t="s">
        <v>15</v>
      </c>
      <c r="D170" s="215" t="s">
        <v>3338</v>
      </c>
      <c r="E170" s="216" t="s">
        <v>3591</v>
      </c>
      <c r="F170" s="217" t="s">
        <v>3592</v>
      </c>
      <c r="G170" s="218" t="s">
        <v>1939</v>
      </c>
      <c r="H170" s="219">
        <v>3</v>
      </c>
      <c r="I170" s="745">
        <v>0</v>
      </c>
      <c r="J170" s="220">
        <f>ROUND(I170*H170,2)</f>
        <v>0</v>
      </c>
      <c r="K170" s="217" t="s">
        <v>3341</v>
      </c>
      <c r="L170" s="145"/>
      <c r="M170" s="221" t="s">
        <v>3268</v>
      </c>
      <c r="N170" s="222" t="s">
        <v>3296</v>
      </c>
      <c r="O170" s="223">
        <v>0.40400000000000003</v>
      </c>
      <c r="P170" s="223">
        <f>O170*H170</f>
        <v>1.2120000000000002</v>
      </c>
      <c r="Q170" s="223">
        <v>1.2319999999999999E-2</v>
      </c>
      <c r="R170" s="223">
        <f>Q170*H170</f>
        <v>3.696E-2</v>
      </c>
      <c r="S170" s="223">
        <v>0</v>
      </c>
      <c r="T170" s="224">
        <f>S170*H170</f>
        <v>0</v>
      </c>
      <c r="AR170" s="225" t="s">
        <v>8</v>
      </c>
      <c r="AT170" s="225" t="s">
        <v>3338</v>
      </c>
      <c r="AU170" s="225" t="s">
        <v>6</v>
      </c>
      <c r="AY170" s="136" t="s">
        <v>3337</v>
      </c>
      <c r="BE170" s="226">
        <f>IF(N170="základní",J170,0)</f>
        <v>0</v>
      </c>
      <c r="BF170" s="226">
        <f>IF(N170="snížená",J170,0)</f>
        <v>0</v>
      </c>
      <c r="BG170" s="226">
        <f>IF(N170="zákl. přenesená",J170,0)</f>
        <v>0</v>
      </c>
      <c r="BH170" s="226">
        <f>IF(N170="sníž. přenesená",J170,0)</f>
        <v>0</v>
      </c>
      <c r="BI170" s="226">
        <f>IF(N170="nulová",J170,0)</f>
        <v>0</v>
      </c>
      <c r="BJ170" s="136" t="s">
        <v>5</v>
      </c>
      <c r="BK170" s="226">
        <f>ROUND(I170*H170,2)</f>
        <v>0</v>
      </c>
      <c r="BL170" s="136" t="s">
        <v>8</v>
      </c>
      <c r="BM170" s="225" t="s">
        <v>3593</v>
      </c>
    </row>
    <row r="171" spans="2:65" s="144" customFormat="1">
      <c r="B171" s="145"/>
      <c r="D171" s="227" t="s">
        <v>3343</v>
      </c>
      <c r="F171" s="228" t="s">
        <v>3594</v>
      </c>
      <c r="L171" s="145"/>
      <c r="M171" s="229"/>
      <c r="T171" s="230"/>
      <c r="AT171" s="136" t="s">
        <v>3343</v>
      </c>
      <c r="AU171" s="136" t="s">
        <v>6</v>
      </c>
    </row>
    <row r="172" spans="2:65" s="144" customFormat="1" ht="21.75" customHeight="1">
      <c r="B172" s="214"/>
      <c r="C172" s="215" t="s">
        <v>16</v>
      </c>
      <c r="D172" s="215" t="s">
        <v>3338</v>
      </c>
      <c r="E172" s="216" t="s">
        <v>3595</v>
      </c>
      <c r="F172" s="217" t="s">
        <v>3596</v>
      </c>
      <c r="G172" s="218" t="s">
        <v>1943</v>
      </c>
      <c r="H172" s="219">
        <v>1</v>
      </c>
      <c r="I172" s="745">
        <v>0</v>
      </c>
      <c r="J172" s="220">
        <f>ROUND(I172*H172,2)</f>
        <v>0</v>
      </c>
      <c r="K172" s="217" t="s">
        <v>3341</v>
      </c>
      <c r="L172" s="145"/>
      <c r="M172" s="221" t="s">
        <v>3268</v>
      </c>
      <c r="N172" s="222" t="s">
        <v>3296</v>
      </c>
      <c r="O172" s="223">
        <v>0.51100000000000001</v>
      </c>
      <c r="P172" s="223">
        <f>O172*H172</f>
        <v>0.51100000000000001</v>
      </c>
      <c r="Q172" s="223">
        <v>5.9999999999999995E-4</v>
      </c>
      <c r="R172" s="223">
        <f>Q172*H172</f>
        <v>5.9999999999999995E-4</v>
      </c>
      <c r="S172" s="223">
        <v>0</v>
      </c>
      <c r="T172" s="224">
        <f>S172*H172</f>
        <v>0</v>
      </c>
      <c r="AR172" s="225" t="s">
        <v>8</v>
      </c>
      <c r="AT172" s="225" t="s">
        <v>3338</v>
      </c>
      <c r="AU172" s="225" t="s">
        <v>6</v>
      </c>
      <c r="AY172" s="136" t="s">
        <v>3337</v>
      </c>
      <c r="BE172" s="226">
        <f>IF(N172="základní",J172,0)</f>
        <v>0</v>
      </c>
      <c r="BF172" s="226">
        <f>IF(N172="snížená",J172,0)</f>
        <v>0</v>
      </c>
      <c r="BG172" s="226">
        <f>IF(N172="zákl. přenesená",J172,0)</f>
        <v>0</v>
      </c>
      <c r="BH172" s="226">
        <f>IF(N172="sníž. přenesená",J172,0)</f>
        <v>0</v>
      </c>
      <c r="BI172" s="226">
        <f>IF(N172="nulová",J172,0)</f>
        <v>0</v>
      </c>
      <c r="BJ172" s="136" t="s">
        <v>5</v>
      </c>
      <c r="BK172" s="226">
        <f>ROUND(I172*H172,2)</f>
        <v>0</v>
      </c>
      <c r="BL172" s="136" t="s">
        <v>8</v>
      </c>
      <c r="BM172" s="225" t="s">
        <v>3597</v>
      </c>
    </row>
    <row r="173" spans="2:65" s="144" customFormat="1" ht="19.2">
      <c r="B173" s="145"/>
      <c r="D173" s="227" t="s">
        <v>3343</v>
      </c>
      <c r="F173" s="228" t="s">
        <v>3598</v>
      </c>
      <c r="L173" s="145"/>
      <c r="M173" s="229"/>
      <c r="T173" s="230"/>
      <c r="AT173" s="136" t="s">
        <v>3343</v>
      </c>
      <c r="AU173" s="136" t="s">
        <v>6</v>
      </c>
    </row>
    <row r="174" spans="2:65" s="144" customFormat="1" ht="16.5" customHeight="1">
      <c r="B174" s="214"/>
      <c r="C174" s="251" t="s">
        <v>17</v>
      </c>
      <c r="D174" s="251" t="s">
        <v>3385</v>
      </c>
      <c r="E174" s="252" t="s">
        <v>3599</v>
      </c>
      <c r="F174" s="253" t="s">
        <v>3600</v>
      </c>
      <c r="G174" s="254" t="s">
        <v>1943</v>
      </c>
      <c r="H174" s="255">
        <v>1</v>
      </c>
      <c r="I174" s="746">
        <v>0</v>
      </c>
      <c r="J174" s="256">
        <f>ROUND(I174*H174,2)</f>
        <v>0</v>
      </c>
      <c r="K174" s="253" t="s">
        <v>3268</v>
      </c>
      <c r="L174" s="257"/>
      <c r="M174" s="258" t="s">
        <v>3268</v>
      </c>
      <c r="N174" s="259" t="s">
        <v>3296</v>
      </c>
      <c r="O174" s="223">
        <v>0</v>
      </c>
      <c r="P174" s="223">
        <f>O174*H174</f>
        <v>0</v>
      </c>
      <c r="Q174" s="223">
        <v>8.9999999999999998E-4</v>
      </c>
      <c r="R174" s="223">
        <f>Q174*H174</f>
        <v>8.9999999999999998E-4</v>
      </c>
      <c r="S174" s="223">
        <v>0</v>
      </c>
      <c r="T174" s="224">
        <f>S174*H174</f>
        <v>0</v>
      </c>
      <c r="AR174" s="225" t="s">
        <v>12</v>
      </c>
      <c r="AT174" s="225" t="s">
        <v>3385</v>
      </c>
      <c r="AU174" s="225" t="s">
        <v>6</v>
      </c>
      <c r="AY174" s="136" t="s">
        <v>3337</v>
      </c>
      <c r="BE174" s="226">
        <f>IF(N174="základní",J174,0)</f>
        <v>0</v>
      </c>
      <c r="BF174" s="226">
        <f>IF(N174="snížená",J174,0)</f>
        <v>0</v>
      </c>
      <c r="BG174" s="226">
        <f>IF(N174="zákl. přenesená",J174,0)</f>
        <v>0</v>
      </c>
      <c r="BH174" s="226">
        <f>IF(N174="sníž. přenesená",J174,0)</f>
        <v>0</v>
      </c>
      <c r="BI174" s="226">
        <f>IF(N174="nulová",J174,0)</f>
        <v>0</v>
      </c>
      <c r="BJ174" s="136" t="s">
        <v>5</v>
      </c>
      <c r="BK174" s="226">
        <f>ROUND(I174*H174,2)</f>
        <v>0</v>
      </c>
      <c r="BL174" s="136" t="s">
        <v>8</v>
      </c>
      <c r="BM174" s="225" t="s">
        <v>3601</v>
      </c>
    </row>
    <row r="175" spans="2:65" s="144" customFormat="1">
      <c r="B175" s="145"/>
      <c r="D175" s="227" t="s">
        <v>3343</v>
      </c>
      <c r="F175" s="228" t="s">
        <v>3600</v>
      </c>
      <c r="L175" s="145"/>
      <c r="M175" s="229"/>
      <c r="T175" s="230"/>
      <c r="AT175" s="136" t="s">
        <v>3343</v>
      </c>
      <c r="AU175" s="136" t="s">
        <v>6</v>
      </c>
    </row>
    <row r="176" spans="2:65" s="144" customFormat="1" ht="21.75" customHeight="1">
      <c r="B176" s="214"/>
      <c r="C176" s="215" t="s">
        <v>18</v>
      </c>
      <c r="D176" s="215" t="s">
        <v>3338</v>
      </c>
      <c r="E176" s="216" t="s">
        <v>3602</v>
      </c>
      <c r="F176" s="217" t="s">
        <v>3603</v>
      </c>
      <c r="G176" s="218" t="s">
        <v>1943</v>
      </c>
      <c r="H176" s="219">
        <v>1</v>
      </c>
      <c r="I176" s="745">
        <v>0</v>
      </c>
      <c r="J176" s="220">
        <f>ROUND(I176*H176,2)</f>
        <v>0</v>
      </c>
      <c r="K176" s="217" t="s">
        <v>3341</v>
      </c>
      <c r="L176" s="145"/>
      <c r="M176" s="221" t="s">
        <v>3268</v>
      </c>
      <c r="N176" s="222" t="s">
        <v>3296</v>
      </c>
      <c r="O176" s="223">
        <v>0.58299999999999996</v>
      </c>
      <c r="P176" s="223">
        <f>O176*H176</f>
        <v>0.58299999999999996</v>
      </c>
      <c r="Q176" s="223">
        <v>5.8029999999999998E-2</v>
      </c>
      <c r="R176" s="223">
        <f>Q176*H176</f>
        <v>5.8029999999999998E-2</v>
      </c>
      <c r="S176" s="223">
        <v>0</v>
      </c>
      <c r="T176" s="224">
        <f>S176*H176</f>
        <v>0</v>
      </c>
      <c r="AR176" s="225" t="s">
        <v>8</v>
      </c>
      <c r="AT176" s="225" t="s">
        <v>3338</v>
      </c>
      <c r="AU176" s="225" t="s">
        <v>6</v>
      </c>
      <c r="AY176" s="136" t="s">
        <v>3337</v>
      </c>
      <c r="BE176" s="226">
        <f>IF(N176="základní",J176,0)</f>
        <v>0</v>
      </c>
      <c r="BF176" s="226">
        <f>IF(N176="snížená",J176,0)</f>
        <v>0</v>
      </c>
      <c r="BG176" s="226">
        <f>IF(N176="zákl. přenesená",J176,0)</f>
        <v>0</v>
      </c>
      <c r="BH176" s="226">
        <f>IF(N176="sníž. přenesená",J176,0)</f>
        <v>0</v>
      </c>
      <c r="BI176" s="226">
        <f>IF(N176="nulová",J176,0)</f>
        <v>0</v>
      </c>
      <c r="BJ176" s="136" t="s">
        <v>5</v>
      </c>
      <c r="BK176" s="226">
        <f>ROUND(I176*H176,2)</f>
        <v>0</v>
      </c>
      <c r="BL176" s="136" t="s">
        <v>8</v>
      </c>
      <c r="BM176" s="225" t="s">
        <v>3604</v>
      </c>
    </row>
    <row r="177" spans="2:65" s="144" customFormat="1" ht="19.2">
      <c r="B177" s="145"/>
      <c r="D177" s="227" t="s">
        <v>3343</v>
      </c>
      <c r="F177" s="228" t="s">
        <v>3605</v>
      </c>
      <c r="L177" s="145"/>
      <c r="M177" s="229"/>
      <c r="T177" s="230"/>
      <c r="AT177" s="136" t="s">
        <v>3343</v>
      </c>
      <c r="AU177" s="136" t="s">
        <v>6</v>
      </c>
    </row>
    <row r="178" spans="2:65" s="144" customFormat="1" ht="21.75" customHeight="1">
      <c r="B178" s="214"/>
      <c r="C178" s="215" t="s">
        <v>19</v>
      </c>
      <c r="D178" s="215" t="s">
        <v>3338</v>
      </c>
      <c r="E178" s="216" t="s">
        <v>3606</v>
      </c>
      <c r="F178" s="217" t="s">
        <v>3607</v>
      </c>
      <c r="G178" s="218" t="s">
        <v>1943</v>
      </c>
      <c r="H178" s="219">
        <v>1</v>
      </c>
      <c r="I178" s="745">
        <v>0</v>
      </c>
      <c r="J178" s="220">
        <f>ROUND(I178*H178,2)</f>
        <v>0</v>
      </c>
      <c r="K178" s="217" t="s">
        <v>3341</v>
      </c>
      <c r="L178" s="145"/>
      <c r="M178" s="221" t="s">
        <v>3268</v>
      </c>
      <c r="N178" s="222" t="s">
        <v>3296</v>
      </c>
      <c r="O178" s="223">
        <v>0.25</v>
      </c>
      <c r="P178" s="223">
        <f>O178*H178</f>
        <v>0.25</v>
      </c>
      <c r="Q178" s="223">
        <v>1.8180000000000002E-2</v>
      </c>
      <c r="R178" s="223">
        <f>Q178*H178</f>
        <v>1.8180000000000002E-2</v>
      </c>
      <c r="S178" s="223">
        <v>0</v>
      </c>
      <c r="T178" s="224">
        <f>S178*H178</f>
        <v>0</v>
      </c>
      <c r="AR178" s="225" t="s">
        <v>8</v>
      </c>
      <c r="AT178" s="225" t="s">
        <v>3338</v>
      </c>
      <c r="AU178" s="225" t="s">
        <v>6</v>
      </c>
      <c r="AY178" s="136" t="s">
        <v>3337</v>
      </c>
      <c r="BE178" s="226">
        <f>IF(N178="základní",J178,0)</f>
        <v>0</v>
      </c>
      <c r="BF178" s="226">
        <f>IF(N178="snížená",J178,0)</f>
        <v>0</v>
      </c>
      <c r="BG178" s="226">
        <f>IF(N178="zákl. přenesená",J178,0)</f>
        <v>0</v>
      </c>
      <c r="BH178" s="226">
        <f>IF(N178="sníž. přenesená",J178,0)</f>
        <v>0</v>
      </c>
      <c r="BI178" s="226">
        <f>IF(N178="nulová",J178,0)</f>
        <v>0</v>
      </c>
      <c r="BJ178" s="136" t="s">
        <v>5</v>
      </c>
      <c r="BK178" s="226">
        <f>ROUND(I178*H178,2)</f>
        <v>0</v>
      </c>
      <c r="BL178" s="136" t="s">
        <v>8</v>
      </c>
      <c r="BM178" s="225" t="s">
        <v>3608</v>
      </c>
    </row>
    <row r="179" spans="2:65" s="144" customFormat="1" ht="19.2">
      <c r="B179" s="145"/>
      <c r="D179" s="227" t="s">
        <v>3343</v>
      </c>
      <c r="F179" s="228" t="s">
        <v>3609</v>
      </c>
      <c r="L179" s="145"/>
      <c r="M179" s="229"/>
      <c r="T179" s="230"/>
      <c r="AT179" s="136" t="s">
        <v>3343</v>
      </c>
      <c r="AU179" s="136" t="s">
        <v>6</v>
      </c>
    </row>
    <row r="180" spans="2:65" s="144" customFormat="1" ht="21.75" customHeight="1">
      <c r="B180" s="214"/>
      <c r="C180" s="215" t="s">
        <v>20</v>
      </c>
      <c r="D180" s="215" t="s">
        <v>3338</v>
      </c>
      <c r="E180" s="216" t="s">
        <v>3610</v>
      </c>
      <c r="F180" s="217" t="s">
        <v>3611</v>
      </c>
      <c r="G180" s="218" t="s">
        <v>1943</v>
      </c>
      <c r="H180" s="219">
        <v>1</v>
      </c>
      <c r="I180" s="745">
        <v>0</v>
      </c>
      <c r="J180" s="220">
        <f>ROUND(I180*H180,2)</f>
        <v>0</v>
      </c>
      <c r="K180" s="217" t="s">
        <v>3341</v>
      </c>
      <c r="L180" s="145"/>
      <c r="M180" s="221" t="s">
        <v>3268</v>
      </c>
      <c r="N180" s="222" t="s">
        <v>3296</v>
      </c>
      <c r="O180" s="223">
        <v>0.25</v>
      </c>
      <c r="P180" s="223">
        <f>O180*H180</f>
        <v>0.25</v>
      </c>
      <c r="Q180" s="223">
        <v>0</v>
      </c>
      <c r="R180" s="223">
        <f>Q180*H180</f>
        <v>0</v>
      </c>
      <c r="S180" s="223">
        <v>0</v>
      </c>
      <c r="T180" s="224">
        <f>S180*H180</f>
        <v>0</v>
      </c>
      <c r="AR180" s="225" t="s">
        <v>8</v>
      </c>
      <c r="AT180" s="225" t="s">
        <v>3338</v>
      </c>
      <c r="AU180" s="225" t="s">
        <v>6</v>
      </c>
      <c r="AY180" s="136" t="s">
        <v>3337</v>
      </c>
      <c r="BE180" s="226">
        <f>IF(N180="základní",J180,0)</f>
        <v>0</v>
      </c>
      <c r="BF180" s="226">
        <f>IF(N180="snížená",J180,0)</f>
        <v>0</v>
      </c>
      <c r="BG180" s="226">
        <f>IF(N180="zákl. přenesená",J180,0)</f>
        <v>0</v>
      </c>
      <c r="BH180" s="226">
        <f>IF(N180="sníž. přenesená",J180,0)</f>
        <v>0</v>
      </c>
      <c r="BI180" s="226">
        <f>IF(N180="nulová",J180,0)</f>
        <v>0</v>
      </c>
      <c r="BJ180" s="136" t="s">
        <v>5</v>
      </c>
      <c r="BK180" s="226">
        <f>ROUND(I180*H180,2)</f>
        <v>0</v>
      </c>
      <c r="BL180" s="136" t="s">
        <v>8</v>
      </c>
      <c r="BM180" s="225" t="s">
        <v>3612</v>
      </c>
    </row>
    <row r="181" spans="2:65" s="144" customFormat="1" ht="28.8">
      <c r="B181" s="145"/>
      <c r="D181" s="227" t="s">
        <v>3343</v>
      </c>
      <c r="F181" s="228" t="s">
        <v>3613</v>
      </c>
      <c r="L181" s="145"/>
      <c r="M181" s="229"/>
      <c r="T181" s="230"/>
      <c r="AT181" s="136" t="s">
        <v>3343</v>
      </c>
      <c r="AU181" s="136" t="s">
        <v>6</v>
      </c>
    </row>
    <row r="182" spans="2:65" s="144" customFormat="1" ht="21.75" customHeight="1">
      <c r="B182" s="214"/>
      <c r="C182" s="215" t="s">
        <v>21</v>
      </c>
      <c r="D182" s="215" t="s">
        <v>3338</v>
      </c>
      <c r="E182" s="216" t="s">
        <v>3614</v>
      </c>
      <c r="F182" s="217" t="s">
        <v>3615</v>
      </c>
      <c r="G182" s="218" t="s">
        <v>1943</v>
      </c>
      <c r="H182" s="219">
        <v>1</v>
      </c>
      <c r="I182" s="745">
        <v>0</v>
      </c>
      <c r="J182" s="220">
        <f>ROUND(I182*H182,2)</f>
        <v>0</v>
      </c>
      <c r="K182" s="217" t="s">
        <v>3341</v>
      </c>
      <c r="L182" s="145"/>
      <c r="M182" s="221" t="s">
        <v>3268</v>
      </c>
      <c r="N182" s="222" t="s">
        <v>3296</v>
      </c>
      <c r="O182" s="223">
        <v>0.33300000000000002</v>
      </c>
      <c r="P182" s="223">
        <f>O182*H182</f>
        <v>0.33300000000000002</v>
      </c>
      <c r="Q182" s="223">
        <v>2.1440000000000001E-2</v>
      </c>
      <c r="R182" s="223">
        <f>Q182*H182</f>
        <v>2.1440000000000001E-2</v>
      </c>
      <c r="S182" s="223">
        <v>0</v>
      </c>
      <c r="T182" s="224">
        <f>S182*H182</f>
        <v>0</v>
      </c>
      <c r="AR182" s="225" t="s">
        <v>8</v>
      </c>
      <c r="AT182" s="225" t="s">
        <v>3338</v>
      </c>
      <c r="AU182" s="225" t="s">
        <v>6</v>
      </c>
      <c r="AY182" s="136" t="s">
        <v>3337</v>
      </c>
      <c r="BE182" s="226">
        <f>IF(N182="základní",J182,0)</f>
        <v>0</v>
      </c>
      <c r="BF182" s="226">
        <f>IF(N182="snížená",J182,0)</f>
        <v>0</v>
      </c>
      <c r="BG182" s="226">
        <f>IF(N182="zákl. přenesená",J182,0)</f>
        <v>0</v>
      </c>
      <c r="BH182" s="226">
        <f>IF(N182="sníž. přenesená",J182,0)</f>
        <v>0</v>
      </c>
      <c r="BI182" s="226">
        <f>IF(N182="nulová",J182,0)</f>
        <v>0</v>
      </c>
      <c r="BJ182" s="136" t="s">
        <v>5</v>
      </c>
      <c r="BK182" s="226">
        <f>ROUND(I182*H182,2)</f>
        <v>0</v>
      </c>
      <c r="BL182" s="136" t="s">
        <v>8</v>
      </c>
      <c r="BM182" s="225" t="s">
        <v>3616</v>
      </c>
    </row>
    <row r="183" spans="2:65" s="144" customFormat="1" ht="19.2">
      <c r="B183" s="145"/>
      <c r="D183" s="227" t="s">
        <v>3343</v>
      </c>
      <c r="F183" s="228" t="s">
        <v>3617</v>
      </c>
      <c r="L183" s="145"/>
      <c r="M183" s="229"/>
      <c r="T183" s="230"/>
      <c r="AT183" s="136" t="s">
        <v>3343</v>
      </c>
      <c r="AU183" s="136" t="s">
        <v>6</v>
      </c>
    </row>
    <row r="184" spans="2:65" s="202" customFormat="1" ht="22.95" customHeight="1">
      <c r="B184" s="203"/>
      <c r="D184" s="204" t="s">
        <v>3334</v>
      </c>
      <c r="E184" s="212" t="s">
        <v>3452</v>
      </c>
      <c r="F184" s="212" t="s">
        <v>3453</v>
      </c>
      <c r="J184" s="213">
        <f>BK184</f>
        <v>0</v>
      </c>
      <c r="L184" s="203"/>
      <c r="M184" s="207"/>
      <c r="P184" s="208">
        <f>SUM(P185:P188)</f>
        <v>0.33564800000000006</v>
      </c>
      <c r="R184" s="208">
        <f>SUM(R185:R188)</f>
        <v>0</v>
      </c>
      <c r="T184" s="209">
        <f>SUM(T185:T188)</f>
        <v>0</v>
      </c>
      <c r="AR184" s="204" t="s">
        <v>5</v>
      </c>
      <c r="AT184" s="210" t="s">
        <v>3334</v>
      </c>
      <c r="AU184" s="210" t="s">
        <v>5</v>
      </c>
      <c r="AY184" s="204" t="s">
        <v>3337</v>
      </c>
      <c r="BK184" s="211">
        <f>SUM(BK185:BK188)</f>
        <v>0</v>
      </c>
    </row>
    <row r="185" spans="2:65" s="144" customFormat="1" ht="21.75" customHeight="1">
      <c r="B185" s="214"/>
      <c r="C185" s="215" t="s">
        <v>22</v>
      </c>
      <c r="D185" s="215" t="s">
        <v>3338</v>
      </c>
      <c r="E185" s="216" t="s">
        <v>3454</v>
      </c>
      <c r="F185" s="217" t="s">
        <v>3455</v>
      </c>
      <c r="G185" s="218" t="s">
        <v>1942</v>
      </c>
      <c r="H185" s="219">
        <v>0.13600000000000001</v>
      </c>
      <c r="I185" s="745">
        <v>0</v>
      </c>
      <c r="J185" s="220">
        <f>ROUND(I185*H185,2)</f>
        <v>0</v>
      </c>
      <c r="K185" s="217" t="s">
        <v>3341</v>
      </c>
      <c r="L185" s="145"/>
      <c r="M185" s="221" t="s">
        <v>3268</v>
      </c>
      <c r="N185" s="222" t="s">
        <v>3296</v>
      </c>
      <c r="O185" s="223">
        <v>1.48</v>
      </c>
      <c r="P185" s="223">
        <f>O185*H185</f>
        <v>0.20128000000000001</v>
      </c>
      <c r="Q185" s="223">
        <v>0</v>
      </c>
      <c r="R185" s="223">
        <f>Q185*H185</f>
        <v>0</v>
      </c>
      <c r="S185" s="223">
        <v>0</v>
      </c>
      <c r="T185" s="224">
        <f>S185*H185</f>
        <v>0</v>
      </c>
      <c r="AR185" s="225" t="s">
        <v>8</v>
      </c>
      <c r="AT185" s="225" t="s">
        <v>3338</v>
      </c>
      <c r="AU185" s="225" t="s">
        <v>6</v>
      </c>
      <c r="AY185" s="136" t="s">
        <v>3337</v>
      </c>
      <c r="BE185" s="226">
        <f>IF(N185="základní",J185,0)</f>
        <v>0</v>
      </c>
      <c r="BF185" s="226">
        <f>IF(N185="snížená",J185,0)</f>
        <v>0</v>
      </c>
      <c r="BG185" s="226">
        <f>IF(N185="zákl. přenesená",J185,0)</f>
        <v>0</v>
      </c>
      <c r="BH185" s="226">
        <f>IF(N185="sníž. přenesená",J185,0)</f>
        <v>0</v>
      </c>
      <c r="BI185" s="226">
        <f>IF(N185="nulová",J185,0)</f>
        <v>0</v>
      </c>
      <c r="BJ185" s="136" t="s">
        <v>5</v>
      </c>
      <c r="BK185" s="226">
        <f>ROUND(I185*H185,2)</f>
        <v>0</v>
      </c>
      <c r="BL185" s="136" t="s">
        <v>8</v>
      </c>
      <c r="BM185" s="225" t="s">
        <v>3618</v>
      </c>
    </row>
    <row r="186" spans="2:65" s="144" customFormat="1" ht="28.8">
      <c r="B186" s="145"/>
      <c r="D186" s="227" t="s">
        <v>3343</v>
      </c>
      <c r="F186" s="228" t="s">
        <v>3457</v>
      </c>
      <c r="L186" s="145"/>
      <c r="M186" s="229"/>
      <c r="T186" s="230"/>
      <c r="AT186" s="136" t="s">
        <v>3343</v>
      </c>
      <c r="AU186" s="136" t="s">
        <v>6</v>
      </c>
    </row>
    <row r="187" spans="2:65" s="144" customFormat="1" ht="21.75" customHeight="1">
      <c r="B187" s="214"/>
      <c r="C187" s="215" t="s">
        <v>23</v>
      </c>
      <c r="D187" s="215" t="s">
        <v>3338</v>
      </c>
      <c r="E187" s="216" t="s">
        <v>3458</v>
      </c>
      <c r="F187" s="217" t="s">
        <v>3459</v>
      </c>
      <c r="G187" s="218" t="s">
        <v>1942</v>
      </c>
      <c r="H187" s="219">
        <v>0.13600000000000001</v>
      </c>
      <c r="I187" s="745">
        <v>0</v>
      </c>
      <c r="J187" s="220">
        <f>ROUND(I187*H187,2)</f>
        <v>0</v>
      </c>
      <c r="K187" s="217" t="s">
        <v>3341</v>
      </c>
      <c r="L187" s="145"/>
      <c r="M187" s="221" t="s">
        <v>3268</v>
      </c>
      <c r="N187" s="222" t="s">
        <v>3296</v>
      </c>
      <c r="O187" s="223">
        <v>0.98799999999999999</v>
      </c>
      <c r="P187" s="223">
        <f>O187*H187</f>
        <v>0.13436800000000002</v>
      </c>
      <c r="Q187" s="223">
        <v>0</v>
      </c>
      <c r="R187" s="223">
        <f>Q187*H187</f>
        <v>0</v>
      </c>
      <c r="S187" s="223">
        <v>0</v>
      </c>
      <c r="T187" s="224">
        <f>S187*H187</f>
        <v>0</v>
      </c>
      <c r="AR187" s="225" t="s">
        <v>8</v>
      </c>
      <c r="AT187" s="225" t="s">
        <v>3338</v>
      </c>
      <c r="AU187" s="225" t="s">
        <v>6</v>
      </c>
      <c r="AY187" s="136" t="s">
        <v>3337</v>
      </c>
      <c r="BE187" s="226">
        <f>IF(N187="základní",J187,0)</f>
        <v>0</v>
      </c>
      <c r="BF187" s="226">
        <f>IF(N187="snížená",J187,0)</f>
        <v>0</v>
      </c>
      <c r="BG187" s="226">
        <f>IF(N187="zákl. přenesená",J187,0)</f>
        <v>0</v>
      </c>
      <c r="BH187" s="226">
        <f>IF(N187="sníž. přenesená",J187,0)</f>
        <v>0</v>
      </c>
      <c r="BI187" s="226">
        <f>IF(N187="nulová",J187,0)</f>
        <v>0</v>
      </c>
      <c r="BJ187" s="136" t="s">
        <v>5</v>
      </c>
      <c r="BK187" s="226">
        <f>ROUND(I187*H187,2)</f>
        <v>0</v>
      </c>
      <c r="BL187" s="136" t="s">
        <v>8</v>
      </c>
      <c r="BM187" s="225" t="s">
        <v>3619</v>
      </c>
    </row>
    <row r="188" spans="2:65" s="144" customFormat="1" ht="28.8">
      <c r="B188" s="145"/>
      <c r="D188" s="227" t="s">
        <v>3343</v>
      </c>
      <c r="F188" s="228" t="s">
        <v>3461</v>
      </c>
      <c r="L188" s="145"/>
      <c r="M188" s="229"/>
      <c r="T188" s="230"/>
      <c r="AT188" s="136" t="s">
        <v>3343</v>
      </c>
      <c r="AU188" s="136" t="s">
        <v>6</v>
      </c>
    </row>
    <row r="189" spans="2:65" s="202" customFormat="1" ht="25.95" customHeight="1">
      <c r="B189" s="203"/>
      <c r="D189" s="204" t="s">
        <v>3334</v>
      </c>
      <c r="E189" s="205" t="s">
        <v>3462</v>
      </c>
      <c r="F189" s="205" t="s">
        <v>3463</v>
      </c>
      <c r="J189" s="206">
        <f>BK189</f>
        <v>0</v>
      </c>
      <c r="L189" s="203"/>
      <c r="M189" s="207"/>
      <c r="P189" s="208">
        <f>P190+P195</f>
        <v>0</v>
      </c>
      <c r="R189" s="208">
        <f>R190+R195</f>
        <v>0</v>
      </c>
      <c r="T189" s="209">
        <f>T190+T195</f>
        <v>0</v>
      </c>
      <c r="AR189" s="204" t="s">
        <v>9</v>
      </c>
      <c r="AT189" s="210" t="s">
        <v>3334</v>
      </c>
      <c r="AU189" s="210" t="s">
        <v>3336</v>
      </c>
      <c r="AY189" s="204" t="s">
        <v>3337</v>
      </c>
      <c r="BK189" s="211">
        <f>BK190+BK195</f>
        <v>0</v>
      </c>
    </row>
    <row r="190" spans="2:65" s="202" customFormat="1" ht="22.95" customHeight="1">
      <c r="B190" s="203"/>
      <c r="D190" s="204" t="s">
        <v>3334</v>
      </c>
      <c r="E190" s="212" t="s">
        <v>3464</v>
      </c>
      <c r="F190" s="212" t="s">
        <v>3465</v>
      </c>
      <c r="J190" s="213">
        <f>BK190</f>
        <v>0</v>
      </c>
      <c r="L190" s="203"/>
      <c r="M190" s="207"/>
      <c r="P190" s="208">
        <f>SUM(P191:P194)</f>
        <v>0</v>
      </c>
      <c r="R190" s="208">
        <f>SUM(R191:R194)</f>
        <v>0</v>
      </c>
      <c r="T190" s="209">
        <f>SUM(T191:T194)</f>
        <v>0</v>
      </c>
      <c r="AR190" s="204" t="s">
        <v>9</v>
      </c>
      <c r="AT190" s="210" t="s">
        <v>3334</v>
      </c>
      <c r="AU190" s="210" t="s">
        <v>5</v>
      </c>
      <c r="AY190" s="204" t="s">
        <v>3337</v>
      </c>
      <c r="BK190" s="211">
        <f>SUM(BK191:BK194)</f>
        <v>0</v>
      </c>
    </row>
    <row r="191" spans="2:65" s="144" customFormat="1" ht="16.5" customHeight="1">
      <c r="B191" s="214"/>
      <c r="C191" s="215" t="s">
        <v>24</v>
      </c>
      <c r="D191" s="215" t="s">
        <v>3338</v>
      </c>
      <c r="E191" s="216" t="s">
        <v>3466</v>
      </c>
      <c r="F191" s="217" t="s">
        <v>3467</v>
      </c>
      <c r="G191" s="218" t="s">
        <v>1938</v>
      </c>
      <c r="H191" s="219">
        <v>1</v>
      </c>
      <c r="I191" s="745">
        <v>0</v>
      </c>
      <c r="J191" s="220">
        <f>ROUND(I191*H191,2)</f>
        <v>0</v>
      </c>
      <c r="K191" s="217" t="s">
        <v>3341</v>
      </c>
      <c r="L191" s="145"/>
      <c r="M191" s="221" t="s">
        <v>3268</v>
      </c>
      <c r="N191" s="222" t="s">
        <v>3296</v>
      </c>
      <c r="O191" s="223">
        <v>0</v>
      </c>
      <c r="P191" s="223">
        <f>O191*H191</f>
        <v>0</v>
      </c>
      <c r="Q191" s="223">
        <v>0</v>
      </c>
      <c r="R191" s="223">
        <f>Q191*H191</f>
        <v>0</v>
      </c>
      <c r="S191" s="223">
        <v>0</v>
      </c>
      <c r="T191" s="224">
        <f>S191*H191</f>
        <v>0</v>
      </c>
      <c r="AR191" s="225" t="s">
        <v>3468</v>
      </c>
      <c r="AT191" s="225" t="s">
        <v>3338</v>
      </c>
      <c r="AU191" s="225" t="s">
        <v>6</v>
      </c>
      <c r="AY191" s="136" t="s">
        <v>3337</v>
      </c>
      <c r="BE191" s="226">
        <f>IF(N191="základní",J191,0)</f>
        <v>0</v>
      </c>
      <c r="BF191" s="226">
        <f>IF(N191="snížená",J191,0)</f>
        <v>0</v>
      </c>
      <c r="BG191" s="226">
        <f>IF(N191="zákl. přenesená",J191,0)</f>
        <v>0</v>
      </c>
      <c r="BH191" s="226">
        <f>IF(N191="sníž. přenesená",J191,0)</f>
        <v>0</v>
      </c>
      <c r="BI191" s="226">
        <f>IF(N191="nulová",J191,0)</f>
        <v>0</v>
      </c>
      <c r="BJ191" s="136" t="s">
        <v>5</v>
      </c>
      <c r="BK191" s="226">
        <f>ROUND(I191*H191,2)</f>
        <v>0</v>
      </c>
      <c r="BL191" s="136" t="s">
        <v>3468</v>
      </c>
      <c r="BM191" s="225" t="s">
        <v>3620</v>
      </c>
    </row>
    <row r="192" spans="2:65" s="144" customFormat="1">
      <c r="B192" s="145"/>
      <c r="D192" s="227" t="s">
        <v>3343</v>
      </c>
      <c r="F192" s="228" t="s">
        <v>3467</v>
      </c>
      <c r="L192" s="145"/>
      <c r="M192" s="229"/>
      <c r="T192" s="230"/>
      <c r="AT192" s="136" t="s">
        <v>3343</v>
      </c>
      <c r="AU192" s="136" t="s">
        <v>6</v>
      </c>
    </row>
    <row r="193" spans="2:65" s="144" customFormat="1" ht="16.5" customHeight="1">
      <c r="B193" s="214"/>
      <c r="C193" s="215" t="s">
        <v>25</v>
      </c>
      <c r="D193" s="215" t="s">
        <v>3338</v>
      </c>
      <c r="E193" s="216" t="s">
        <v>3470</v>
      </c>
      <c r="F193" s="217" t="s">
        <v>3471</v>
      </c>
      <c r="G193" s="218" t="s">
        <v>1938</v>
      </c>
      <c r="H193" s="219">
        <v>1</v>
      </c>
      <c r="I193" s="745">
        <v>0</v>
      </c>
      <c r="J193" s="220">
        <f>ROUND(I193*H193,2)</f>
        <v>0</v>
      </c>
      <c r="K193" s="217" t="s">
        <v>3341</v>
      </c>
      <c r="L193" s="145"/>
      <c r="M193" s="221" t="s">
        <v>3268</v>
      </c>
      <c r="N193" s="222" t="s">
        <v>3296</v>
      </c>
      <c r="O193" s="223">
        <v>0</v>
      </c>
      <c r="P193" s="223">
        <f>O193*H193</f>
        <v>0</v>
      </c>
      <c r="Q193" s="223">
        <v>0</v>
      </c>
      <c r="R193" s="223">
        <f>Q193*H193</f>
        <v>0</v>
      </c>
      <c r="S193" s="223">
        <v>0</v>
      </c>
      <c r="T193" s="224">
        <f>S193*H193</f>
        <v>0</v>
      </c>
      <c r="AR193" s="225" t="s">
        <v>3468</v>
      </c>
      <c r="AT193" s="225" t="s">
        <v>3338</v>
      </c>
      <c r="AU193" s="225" t="s">
        <v>6</v>
      </c>
      <c r="AY193" s="136" t="s">
        <v>3337</v>
      </c>
      <c r="BE193" s="226">
        <f>IF(N193="základní",J193,0)</f>
        <v>0</v>
      </c>
      <c r="BF193" s="226">
        <f>IF(N193="snížená",J193,0)</f>
        <v>0</v>
      </c>
      <c r="BG193" s="226">
        <f>IF(N193="zákl. přenesená",J193,0)</f>
        <v>0</v>
      </c>
      <c r="BH193" s="226">
        <f>IF(N193="sníž. přenesená",J193,0)</f>
        <v>0</v>
      </c>
      <c r="BI193" s="226">
        <f>IF(N193="nulová",J193,0)</f>
        <v>0</v>
      </c>
      <c r="BJ193" s="136" t="s">
        <v>5</v>
      </c>
      <c r="BK193" s="226">
        <f>ROUND(I193*H193,2)</f>
        <v>0</v>
      </c>
      <c r="BL193" s="136" t="s">
        <v>3468</v>
      </c>
      <c r="BM193" s="225" t="s">
        <v>3621</v>
      </c>
    </row>
    <row r="194" spans="2:65" s="144" customFormat="1">
      <c r="B194" s="145"/>
      <c r="D194" s="227" t="s">
        <v>3343</v>
      </c>
      <c r="F194" s="228" t="s">
        <v>3471</v>
      </c>
      <c r="L194" s="145"/>
      <c r="M194" s="229"/>
      <c r="T194" s="230"/>
      <c r="AT194" s="136" t="s">
        <v>3343</v>
      </c>
      <c r="AU194" s="136" t="s">
        <v>6</v>
      </c>
    </row>
    <row r="195" spans="2:65" s="202" customFormat="1" ht="22.95" customHeight="1">
      <c r="B195" s="203"/>
      <c r="D195" s="204" t="s">
        <v>3334</v>
      </c>
      <c r="E195" s="212" t="s">
        <v>3473</v>
      </c>
      <c r="F195" s="212" t="s">
        <v>3169</v>
      </c>
      <c r="J195" s="213">
        <f>BK195</f>
        <v>0</v>
      </c>
      <c r="L195" s="203"/>
      <c r="M195" s="207"/>
      <c r="P195" s="208">
        <f>SUM(P196:P197)</f>
        <v>0</v>
      </c>
      <c r="R195" s="208">
        <f>SUM(R196:R197)</f>
        <v>0</v>
      </c>
      <c r="T195" s="209">
        <f>SUM(T196:T197)</f>
        <v>0</v>
      </c>
      <c r="AR195" s="204" t="s">
        <v>9</v>
      </c>
      <c r="AT195" s="210" t="s">
        <v>3334</v>
      </c>
      <c r="AU195" s="210" t="s">
        <v>5</v>
      </c>
      <c r="AY195" s="204" t="s">
        <v>3337</v>
      </c>
      <c r="BK195" s="211">
        <f>SUM(BK196:BK197)</f>
        <v>0</v>
      </c>
    </row>
    <row r="196" spans="2:65" s="144" customFormat="1" ht="16.5" customHeight="1">
      <c r="B196" s="214"/>
      <c r="C196" s="215" t="s">
        <v>26</v>
      </c>
      <c r="D196" s="215" t="s">
        <v>3338</v>
      </c>
      <c r="E196" s="216" t="s">
        <v>3622</v>
      </c>
      <c r="F196" s="217" t="s">
        <v>3623</v>
      </c>
      <c r="G196" s="218" t="s">
        <v>1938</v>
      </c>
      <c r="H196" s="219">
        <v>1</v>
      </c>
      <c r="I196" s="745">
        <v>0</v>
      </c>
      <c r="J196" s="220">
        <f>ROUND(I196*H196,2)</f>
        <v>0</v>
      </c>
      <c r="K196" s="217" t="s">
        <v>3268</v>
      </c>
      <c r="L196" s="145"/>
      <c r="M196" s="221" t="s">
        <v>3268</v>
      </c>
      <c r="N196" s="222" t="s">
        <v>3296</v>
      </c>
      <c r="O196" s="223">
        <v>0</v>
      </c>
      <c r="P196" s="223">
        <f>O196*H196</f>
        <v>0</v>
      </c>
      <c r="Q196" s="223">
        <v>0</v>
      </c>
      <c r="R196" s="223">
        <f>Q196*H196</f>
        <v>0</v>
      </c>
      <c r="S196" s="223">
        <v>0</v>
      </c>
      <c r="T196" s="224">
        <f>S196*H196</f>
        <v>0</v>
      </c>
      <c r="AR196" s="225" t="s">
        <v>3468</v>
      </c>
      <c r="AT196" s="225" t="s">
        <v>3338</v>
      </c>
      <c r="AU196" s="225" t="s">
        <v>6</v>
      </c>
      <c r="AY196" s="136" t="s">
        <v>3337</v>
      </c>
      <c r="BE196" s="226">
        <f>IF(N196="základní",J196,0)</f>
        <v>0</v>
      </c>
      <c r="BF196" s="226">
        <f>IF(N196="snížená",J196,0)</f>
        <v>0</v>
      </c>
      <c r="BG196" s="226">
        <f>IF(N196="zákl. přenesená",J196,0)</f>
        <v>0</v>
      </c>
      <c r="BH196" s="226">
        <f>IF(N196="sníž. přenesená",J196,0)</f>
        <v>0</v>
      </c>
      <c r="BI196" s="226">
        <f>IF(N196="nulová",J196,0)</f>
        <v>0</v>
      </c>
      <c r="BJ196" s="136" t="s">
        <v>5</v>
      </c>
      <c r="BK196" s="226">
        <f>ROUND(I196*H196,2)</f>
        <v>0</v>
      </c>
      <c r="BL196" s="136" t="s">
        <v>3468</v>
      </c>
      <c r="BM196" s="225" t="s">
        <v>3624</v>
      </c>
    </row>
    <row r="197" spans="2:65" s="144" customFormat="1">
      <c r="B197" s="145"/>
      <c r="D197" s="227" t="s">
        <v>3343</v>
      </c>
      <c r="F197" s="228" t="s">
        <v>3623</v>
      </c>
      <c r="L197" s="145"/>
      <c r="M197" s="260"/>
      <c r="N197" s="261"/>
      <c r="O197" s="261"/>
      <c r="P197" s="261"/>
      <c r="Q197" s="261"/>
      <c r="R197" s="261"/>
      <c r="S197" s="261"/>
      <c r="T197" s="262"/>
      <c r="AT197" s="136" t="s">
        <v>3343</v>
      </c>
      <c r="AU197" s="136" t="s">
        <v>6</v>
      </c>
    </row>
    <row r="198" spans="2:65" s="144" customFormat="1" ht="6.9" customHeight="1">
      <c r="B198" s="171"/>
      <c r="C198" s="172"/>
      <c r="D198" s="172"/>
      <c r="E198" s="172"/>
      <c r="F198" s="172"/>
      <c r="G198" s="172"/>
      <c r="H198" s="172"/>
      <c r="I198" s="172"/>
      <c r="J198" s="172"/>
      <c r="K198" s="172"/>
      <c r="L198" s="145"/>
    </row>
  </sheetData>
  <mergeCells count="9">
    <mergeCell ref="E87:H87"/>
    <mergeCell ref="E114:H114"/>
    <mergeCell ref="E116:H116"/>
    <mergeCell ref="L2:V2"/>
    <mergeCell ref="E7:H7"/>
    <mergeCell ref="E9:H9"/>
    <mergeCell ref="E18:H18"/>
    <mergeCell ref="E27:H27"/>
    <mergeCell ref="E85:H85"/>
  </mergeCells>
  <pageMargins left="0.7" right="0.7" top="0.78740157499999996" bottom="0.78740157499999996" header="0.3" footer="0.3"/>
  <pageSetup paperSize="9" scale="66" orientation="portrait" verticalDpi="0" r:id="rId1"/>
  <rowBreaks count="1" manualBreakCount="1">
    <brk id="79" min="1" max="10" man="1"/>
  </rowBreaks>
</worksheet>
</file>

<file path=xl/worksheets/sheet16.xml><?xml version="1.0" encoding="utf-8"?>
<worksheet xmlns="http://schemas.openxmlformats.org/spreadsheetml/2006/main" xmlns:r="http://schemas.openxmlformats.org/officeDocument/2006/relationships">
  <dimension ref="B2:BM167"/>
  <sheetViews>
    <sheetView topLeftCell="A111" zoomScaleNormal="100" workbookViewId="0">
      <selection activeCell="I165" activeCellId="2" sqref="I157 I160 I165"/>
    </sheetView>
  </sheetViews>
  <sheetFormatPr defaultColWidth="9.109375" defaultRowHeight="10.199999999999999"/>
  <cols>
    <col min="1" max="1" width="7.109375" style="135" customWidth="1"/>
    <col min="2" max="2" width="1.44140625" style="135" customWidth="1"/>
    <col min="3" max="3" width="3.5546875" style="135" customWidth="1"/>
    <col min="4" max="4" width="3.6640625" style="135" customWidth="1"/>
    <col min="5" max="5" width="14.6640625" style="135" customWidth="1"/>
    <col min="6" max="6" width="43.5546875" style="135" customWidth="1"/>
    <col min="7" max="7" width="7" style="135" customWidth="1"/>
    <col min="8" max="8" width="9.88671875" style="135" customWidth="1"/>
    <col min="9" max="11" width="17.33203125" style="135" customWidth="1"/>
    <col min="12" max="12" width="8" style="135" customWidth="1"/>
    <col min="13" max="13" width="9.33203125" style="135" hidden="1" customWidth="1"/>
    <col min="14" max="14" width="9.109375" style="135"/>
    <col min="15" max="20" width="12.109375" style="135" hidden="1" customWidth="1"/>
    <col min="21" max="21" width="14" style="135" hidden="1" customWidth="1"/>
    <col min="22" max="22" width="10.5546875" style="135" customWidth="1"/>
    <col min="23" max="23" width="14" style="135" customWidth="1"/>
    <col min="24" max="24" width="10.5546875" style="135" customWidth="1"/>
    <col min="25" max="25" width="12.88671875" style="135" customWidth="1"/>
    <col min="26" max="26" width="9.44140625" style="135" customWidth="1"/>
    <col min="27" max="27" width="12.88671875" style="135" customWidth="1"/>
    <col min="28" max="28" width="14" style="135" customWidth="1"/>
    <col min="29" max="29" width="9.44140625" style="135" customWidth="1"/>
    <col min="30" max="30" width="12.88671875" style="135" customWidth="1"/>
    <col min="31" max="31" width="14" style="135" customWidth="1"/>
    <col min="32" max="16384" width="9.109375" style="135"/>
  </cols>
  <sheetData>
    <row r="2" spans="2:56" ht="36.9" customHeight="1">
      <c r="L2" s="970" t="s">
        <v>3265</v>
      </c>
      <c r="M2" s="971"/>
      <c r="N2" s="971"/>
      <c r="O2" s="971"/>
      <c r="P2" s="971"/>
      <c r="Q2" s="971"/>
      <c r="R2" s="971"/>
      <c r="S2" s="971"/>
      <c r="T2" s="971"/>
      <c r="U2" s="971"/>
      <c r="V2" s="971"/>
      <c r="AT2" s="136" t="s">
        <v>3542</v>
      </c>
      <c r="AZ2" s="137" t="s">
        <v>3543</v>
      </c>
      <c r="BA2" s="137" t="s">
        <v>3268</v>
      </c>
      <c r="BB2" s="137" t="s">
        <v>3268</v>
      </c>
      <c r="BC2" s="137" t="s">
        <v>3544</v>
      </c>
      <c r="BD2" s="137" t="s">
        <v>6</v>
      </c>
    </row>
    <row r="3" spans="2:56" ht="6.9" customHeight="1">
      <c r="B3" s="138"/>
      <c r="C3" s="139"/>
      <c r="D3" s="139"/>
      <c r="E3" s="139"/>
      <c r="F3" s="139"/>
      <c r="G3" s="139"/>
      <c r="H3" s="139"/>
      <c r="I3" s="139"/>
      <c r="J3" s="139"/>
      <c r="K3" s="139"/>
      <c r="L3" s="140"/>
      <c r="AT3" s="136" t="s">
        <v>6</v>
      </c>
      <c r="AZ3" s="137" t="s">
        <v>3270</v>
      </c>
      <c r="BA3" s="137" t="s">
        <v>3268</v>
      </c>
      <c r="BB3" s="137" t="s">
        <v>3268</v>
      </c>
      <c r="BC3" s="137" t="s">
        <v>3545</v>
      </c>
      <c r="BD3" s="137" t="s">
        <v>6</v>
      </c>
    </row>
    <row r="4" spans="2:56" ht="24.9" customHeight="1">
      <c r="B4" s="140"/>
      <c r="D4" s="141" t="s">
        <v>3272</v>
      </c>
      <c r="L4" s="140"/>
      <c r="M4" s="142" t="s">
        <v>3273</v>
      </c>
      <c r="AT4" s="136" t="s">
        <v>3274</v>
      </c>
      <c r="AZ4" s="137" t="s">
        <v>3275</v>
      </c>
      <c r="BA4" s="137" t="s">
        <v>3268</v>
      </c>
      <c r="BB4" s="137" t="s">
        <v>3268</v>
      </c>
      <c r="BC4" s="137" t="s">
        <v>3546</v>
      </c>
      <c r="BD4" s="137" t="s">
        <v>6</v>
      </c>
    </row>
    <row r="5" spans="2:56" ht="6.9" customHeight="1">
      <c r="B5" s="140"/>
      <c r="L5" s="140"/>
      <c r="AZ5" s="137" t="s">
        <v>3277</v>
      </c>
      <c r="BA5" s="137" t="s">
        <v>3268</v>
      </c>
      <c r="BB5" s="137" t="s">
        <v>3268</v>
      </c>
      <c r="BC5" s="137" t="s">
        <v>3547</v>
      </c>
      <c r="BD5" s="137" t="s">
        <v>6</v>
      </c>
    </row>
    <row r="6" spans="2:56" ht="12" customHeight="1">
      <c r="B6" s="140"/>
      <c r="D6" s="143" t="s">
        <v>3279</v>
      </c>
      <c r="L6" s="140"/>
    </row>
    <row r="7" spans="2:56" ht="16.5" customHeight="1">
      <c r="B7" s="140"/>
      <c r="E7" s="968" t="s">
        <v>5796</v>
      </c>
      <c r="F7" s="969"/>
      <c r="G7" s="969"/>
      <c r="H7" s="969"/>
      <c r="L7" s="140"/>
    </row>
    <row r="8" spans="2:56" s="144" customFormat="1" ht="12" customHeight="1">
      <c r="B8" s="145"/>
      <c r="D8" s="143" t="s">
        <v>3282</v>
      </c>
      <c r="L8" s="145"/>
    </row>
    <row r="9" spans="2:56" s="144" customFormat="1" ht="16.5" customHeight="1">
      <c r="B9" s="145"/>
      <c r="E9" s="966" t="s">
        <v>3548</v>
      </c>
      <c r="F9" s="967"/>
      <c r="G9" s="967"/>
      <c r="H9" s="967"/>
      <c r="L9" s="145"/>
    </row>
    <row r="10" spans="2:56" s="144" customFormat="1">
      <c r="B10" s="145"/>
      <c r="L10" s="145"/>
    </row>
    <row r="11" spans="2:56" s="144" customFormat="1" ht="12" customHeight="1">
      <c r="B11" s="145"/>
      <c r="D11" s="143" t="s">
        <v>3284</v>
      </c>
      <c r="F11" s="146" t="s">
        <v>3268</v>
      </c>
      <c r="I11" s="143" t="s">
        <v>3285</v>
      </c>
      <c r="J11" s="146" t="s">
        <v>3268</v>
      </c>
      <c r="L11" s="145"/>
    </row>
    <row r="12" spans="2:56" s="144" customFormat="1" ht="12" customHeight="1">
      <c r="B12" s="145"/>
      <c r="D12" s="143" t="s">
        <v>3286</v>
      </c>
      <c r="F12" s="146" t="s">
        <v>4</v>
      </c>
      <c r="I12" s="143" t="s">
        <v>3141</v>
      </c>
      <c r="J12" s="147" t="s">
        <v>5797</v>
      </c>
      <c r="L12" s="145"/>
    </row>
    <row r="13" spans="2:56" s="144" customFormat="1" ht="10.95" customHeight="1">
      <c r="B13" s="145"/>
      <c r="L13" s="145"/>
    </row>
    <row r="14" spans="2:56" s="144" customFormat="1" ht="12" customHeight="1">
      <c r="B14" s="145"/>
      <c r="D14" s="143" t="s">
        <v>3287</v>
      </c>
      <c r="I14" s="143" t="s">
        <v>3288</v>
      </c>
      <c r="J14" s="146" t="s">
        <v>3268</v>
      </c>
      <c r="L14" s="145"/>
    </row>
    <row r="15" spans="2:56" s="144" customFormat="1" ht="18" customHeight="1">
      <c r="B15" s="145"/>
      <c r="E15" s="146" t="s">
        <v>4</v>
      </c>
      <c r="I15" s="143" t="s">
        <v>3289</v>
      </c>
      <c r="J15" s="146" t="s">
        <v>3268</v>
      </c>
      <c r="L15" s="145"/>
    </row>
    <row r="16" spans="2:56" s="144" customFormat="1" ht="6.9" customHeight="1">
      <c r="B16" s="145"/>
      <c r="L16" s="145"/>
    </row>
    <row r="17" spans="2:12" s="144" customFormat="1" ht="12" customHeight="1">
      <c r="B17" s="145"/>
      <c r="D17" s="143" t="s">
        <v>1950</v>
      </c>
      <c r="I17" s="143" t="s">
        <v>3288</v>
      </c>
      <c r="J17" s="146" t="s">
        <v>3268</v>
      </c>
      <c r="L17" s="145"/>
    </row>
    <row r="18" spans="2:12" s="144" customFormat="1" ht="18" customHeight="1">
      <c r="B18" s="145"/>
      <c r="E18" s="972" t="s">
        <v>4</v>
      </c>
      <c r="F18" s="972"/>
      <c r="G18" s="972"/>
      <c r="H18" s="972"/>
      <c r="I18" s="143" t="s">
        <v>3289</v>
      </c>
      <c r="J18" s="146" t="s">
        <v>3268</v>
      </c>
      <c r="L18" s="145"/>
    </row>
    <row r="19" spans="2:12" s="144" customFormat="1" ht="6.9" customHeight="1">
      <c r="B19" s="145"/>
      <c r="L19" s="145"/>
    </row>
    <row r="20" spans="2:12" s="144" customFormat="1" ht="12" customHeight="1">
      <c r="B20" s="145"/>
      <c r="D20" s="143" t="s">
        <v>1949</v>
      </c>
      <c r="I20" s="143" t="s">
        <v>3288</v>
      </c>
      <c r="J20" s="146" t="s">
        <v>3268</v>
      </c>
      <c r="L20" s="145"/>
    </row>
    <row r="21" spans="2:12" s="144" customFormat="1" ht="18" customHeight="1">
      <c r="B21" s="145"/>
      <c r="E21" s="146" t="s">
        <v>4</v>
      </c>
      <c r="I21" s="143" t="s">
        <v>3289</v>
      </c>
      <c r="J21" s="146" t="s">
        <v>3268</v>
      </c>
      <c r="L21" s="145"/>
    </row>
    <row r="22" spans="2:12" s="144" customFormat="1" ht="6.9" customHeight="1">
      <c r="B22" s="145"/>
      <c r="L22" s="145"/>
    </row>
    <row r="23" spans="2:12" s="144" customFormat="1" ht="12" customHeight="1">
      <c r="B23" s="145"/>
      <c r="D23" s="143" t="s">
        <v>3290</v>
      </c>
      <c r="I23" s="143" t="s">
        <v>3288</v>
      </c>
      <c r="J23" s="146" t="s">
        <v>3268</v>
      </c>
      <c r="L23" s="145"/>
    </row>
    <row r="24" spans="2:12" s="144" customFormat="1" ht="18" customHeight="1">
      <c r="B24" s="145"/>
      <c r="E24" s="146" t="s">
        <v>4</v>
      </c>
      <c r="I24" s="143" t="s">
        <v>3289</v>
      </c>
      <c r="J24" s="146" t="s">
        <v>3268</v>
      </c>
      <c r="L24" s="145"/>
    </row>
    <row r="25" spans="2:12" s="144" customFormat="1" ht="6.9" customHeight="1">
      <c r="B25" s="145"/>
      <c r="L25" s="145"/>
    </row>
    <row r="26" spans="2:12" s="144" customFormat="1" ht="12" customHeight="1">
      <c r="B26" s="145"/>
      <c r="D26" s="143" t="s">
        <v>605</v>
      </c>
      <c r="L26" s="145"/>
    </row>
    <row r="27" spans="2:12" s="148" customFormat="1" ht="16.5" customHeight="1">
      <c r="B27" s="149"/>
      <c r="E27" s="973" t="s">
        <v>3268</v>
      </c>
      <c r="F27" s="973"/>
      <c r="G27" s="973"/>
      <c r="H27" s="973"/>
      <c r="L27" s="149"/>
    </row>
    <row r="28" spans="2:12" s="144" customFormat="1" ht="6.9" customHeight="1">
      <c r="B28" s="145"/>
      <c r="L28" s="145"/>
    </row>
    <row r="29" spans="2:12" s="144" customFormat="1" ht="6.9" customHeight="1">
      <c r="B29" s="145"/>
      <c r="D29" s="151"/>
      <c r="E29" s="151"/>
      <c r="F29" s="151"/>
      <c r="G29" s="151"/>
      <c r="H29" s="151"/>
      <c r="I29" s="151"/>
      <c r="J29" s="151"/>
      <c r="K29" s="151"/>
      <c r="L29" s="145"/>
    </row>
    <row r="30" spans="2:12" s="144" customFormat="1" ht="25.35" customHeight="1">
      <c r="B30" s="145"/>
      <c r="D30" s="152" t="s">
        <v>3291</v>
      </c>
      <c r="J30" s="153">
        <f>ROUND(J122, 2)</f>
        <v>0</v>
      </c>
      <c r="L30" s="145"/>
    </row>
    <row r="31" spans="2:12" s="144" customFormat="1" ht="6.9" customHeight="1">
      <c r="B31" s="145"/>
      <c r="D31" s="151"/>
      <c r="E31" s="151"/>
      <c r="F31" s="151"/>
      <c r="G31" s="151"/>
      <c r="H31" s="151"/>
      <c r="I31" s="151"/>
      <c r="J31" s="151"/>
      <c r="K31" s="151"/>
      <c r="L31" s="145"/>
    </row>
    <row r="32" spans="2:12" s="144" customFormat="1" ht="14.4" customHeight="1">
      <c r="B32" s="145"/>
      <c r="F32" s="154" t="s">
        <v>3292</v>
      </c>
      <c r="I32" s="154" t="s">
        <v>3293</v>
      </c>
      <c r="J32" s="154" t="s">
        <v>3294</v>
      </c>
      <c r="L32" s="145"/>
    </row>
    <row r="33" spans="2:12" s="144" customFormat="1" ht="14.4" customHeight="1">
      <c r="B33" s="145"/>
      <c r="D33" s="155" t="s">
        <v>3295</v>
      </c>
      <c r="E33" s="143" t="s">
        <v>3296</v>
      </c>
      <c r="F33" s="156">
        <f>ROUND((SUM(BE122:BE166)),  2)</f>
        <v>0</v>
      </c>
      <c r="I33" s="157">
        <v>0.21</v>
      </c>
      <c r="J33" s="156">
        <f>ROUND(((SUM(BE122:BE166))*I33),  2)</f>
        <v>0</v>
      </c>
      <c r="L33" s="145"/>
    </row>
    <row r="34" spans="2:12" s="144" customFormat="1" ht="14.4" customHeight="1">
      <c r="B34" s="145"/>
      <c r="E34" s="143" t="s">
        <v>3297</v>
      </c>
      <c r="F34" s="156">
        <f>ROUND((SUM(BF122:BF166)),  2)</f>
        <v>0</v>
      </c>
      <c r="I34" s="157">
        <v>0.15</v>
      </c>
      <c r="J34" s="156">
        <f>ROUND(((SUM(BF122:BF166))*I34),  2)</f>
        <v>0</v>
      </c>
      <c r="L34" s="145"/>
    </row>
    <row r="35" spans="2:12" s="144" customFormat="1" ht="14.4" hidden="1" customHeight="1">
      <c r="B35" s="145"/>
      <c r="E35" s="143" t="s">
        <v>3298</v>
      </c>
      <c r="F35" s="156">
        <f>ROUND((SUM(BG122:BG166)),  2)</f>
        <v>0</v>
      </c>
      <c r="I35" s="157">
        <v>0.21</v>
      </c>
      <c r="J35" s="156">
        <f>0</f>
        <v>0</v>
      </c>
      <c r="L35" s="145"/>
    </row>
    <row r="36" spans="2:12" s="144" customFormat="1" ht="14.4" hidden="1" customHeight="1">
      <c r="B36" s="145"/>
      <c r="E36" s="143" t="s">
        <v>3299</v>
      </c>
      <c r="F36" s="156">
        <f>ROUND((SUM(BH122:BH166)),  2)</f>
        <v>0</v>
      </c>
      <c r="I36" s="157">
        <v>0.15</v>
      </c>
      <c r="J36" s="156">
        <f>0</f>
        <v>0</v>
      </c>
      <c r="L36" s="145"/>
    </row>
    <row r="37" spans="2:12" s="144" customFormat="1" ht="14.4" hidden="1" customHeight="1">
      <c r="B37" s="145"/>
      <c r="E37" s="143" t="s">
        <v>3300</v>
      </c>
      <c r="F37" s="156">
        <f>ROUND((SUM(BI122:BI166)),  2)</f>
        <v>0</v>
      </c>
      <c r="I37" s="157">
        <v>0</v>
      </c>
      <c r="J37" s="156">
        <f>0</f>
        <v>0</v>
      </c>
      <c r="L37" s="145"/>
    </row>
    <row r="38" spans="2:12" s="144" customFormat="1" ht="6.9" customHeight="1">
      <c r="B38" s="145"/>
      <c r="L38" s="145"/>
    </row>
    <row r="39" spans="2:12" s="144" customFormat="1" ht="25.35" customHeight="1">
      <c r="B39" s="145"/>
      <c r="C39" s="158"/>
      <c r="D39" s="159" t="s">
        <v>3301</v>
      </c>
      <c r="E39" s="160"/>
      <c r="F39" s="160"/>
      <c r="G39" s="161" t="s">
        <v>3302</v>
      </c>
      <c r="H39" s="162" t="s">
        <v>3303</v>
      </c>
      <c r="I39" s="160"/>
      <c r="J39" s="163">
        <f>SUM(J30:J37)</f>
        <v>0</v>
      </c>
      <c r="K39" s="164"/>
      <c r="L39" s="145"/>
    </row>
    <row r="40" spans="2:12" s="144" customFormat="1" ht="14.4" customHeight="1">
      <c r="B40" s="145"/>
      <c r="L40" s="145"/>
    </row>
    <row r="41" spans="2:12" ht="14.4" customHeight="1">
      <c r="B41" s="140"/>
      <c r="L41" s="140"/>
    </row>
    <row r="42" spans="2:12" ht="14.4" customHeight="1">
      <c r="B42" s="140"/>
      <c r="L42" s="140"/>
    </row>
    <row r="43" spans="2:12" ht="14.4" customHeight="1">
      <c r="B43" s="140"/>
      <c r="L43" s="140"/>
    </row>
    <row r="44" spans="2:12" ht="14.4" customHeight="1">
      <c r="B44" s="140"/>
      <c r="L44" s="140"/>
    </row>
    <row r="45" spans="2:12" ht="14.4" customHeight="1">
      <c r="B45" s="140"/>
      <c r="L45" s="140"/>
    </row>
    <row r="46" spans="2:12" ht="14.4" customHeight="1">
      <c r="B46" s="140"/>
      <c r="L46" s="140"/>
    </row>
    <row r="47" spans="2:12" ht="14.4" customHeight="1">
      <c r="B47" s="140"/>
      <c r="L47" s="140"/>
    </row>
    <row r="48" spans="2:12" ht="14.4" customHeight="1">
      <c r="B48" s="140"/>
      <c r="L48" s="140"/>
    </row>
    <row r="49" spans="2:12" ht="14.4" customHeight="1">
      <c r="B49" s="140"/>
      <c r="L49" s="140"/>
    </row>
    <row r="50" spans="2:12" s="144" customFormat="1" ht="14.4" customHeight="1">
      <c r="B50" s="145"/>
      <c r="D50" s="165" t="s">
        <v>3115</v>
      </c>
      <c r="E50" s="166"/>
      <c r="F50" s="166"/>
      <c r="G50" s="165" t="s">
        <v>3304</v>
      </c>
      <c r="H50" s="166"/>
      <c r="I50" s="166"/>
      <c r="J50" s="166"/>
      <c r="K50" s="166"/>
      <c r="L50" s="145"/>
    </row>
    <row r="51" spans="2:12">
      <c r="B51" s="140"/>
      <c r="L51" s="140"/>
    </row>
    <row r="52" spans="2:12">
      <c r="B52" s="140"/>
      <c r="L52" s="140"/>
    </row>
    <row r="53" spans="2:12">
      <c r="B53" s="140"/>
      <c r="L53" s="140"/>
    </row>
    <row r="54" spans="2:12">
      <c r="B54" s="140"/>
      <c r="L54" s="140"/>
    </row>
    <row r="55" spans="2:12">
      <c r="B55" s="140"/>
      <c r="L55" s="140"/>
    </row>
    <row r="56" spans="2:12">
      <c r="B56" s="140"/>
      <c r="L56" s="140"/>
    </row>
    <row r="57" spans="2:12">
      <c r="B57" s="140"/>
      <c r="L57" s="140"/>
    </row>
    <row r="58" spans="2:12">
      <c r="B58" s="140"/>
      <c r="L58" s="140"/>
    </row>
    <row r="59" spans="2:12">
      <c r="B59" s="140"/>
      <c r="L59" s="140"/>
    </row>
    <row r="60" spans="2:12">
      <c r="B60" s="140"/>
      <c r="L60" s="140"/>
    </row>
    <row r="61" spans="2:12" s="144" customFormat="1" ht="13.2">
      <c r="B61" s="145"/>
      <c r="D61" s="167" t="s">
        <v>3305</v>
      </c>
      <c r="E61" s="168"/>
      <c r="F61" s="169" t="s">
        <v>3306</v>
      </c>
      <c r="G61" s="167" t="s">
        <v>3305</v>
      </c>
      <c r="H61" s="168"/>
      <c r="I61" s="168"/>
      <c r="J61" s="170" t="s">
        <v>3306</v>
      </c>
      <c r="K61" s="168"/>
      <c r="L61" s="145"/>
    </row>
    <row r="62" spans="2:12">
      <c r="B62" s="140"/>
      <c r="L62" s="140"/>
    </row>
    <row r="63" spans="2:12">
      <c r="B63" s="140"/>
      <c r="L63" s="140"/>
    </row>
    <row r="64" spans="2:12">
      <c r="B64" s="140"/>
      <c r="L64" s="140"/>
    </row>
    <row r="65" spans="2:12" s="144" customFormat="1" ht="13.2">
      <c r="B65" s="145"/>
      <c r="D65" s="165" t="s">
        <v>3307</v>
      </c>
      <c r="E65" s="166"/>
      <c r="F65" s="166"/>
      <c r="G65" s="165" t="s">
        <v>3138</v>
      </c>
      <c r="H65" s="166"/>
      <c r="I65" s="166"/>
      <c r="J65" s="166"/>
      <c r="K65" s="166"/>
      <c r="L65" s="145"/>
    </row>
    <row r="66" spans="2:12">
      <c r="B66" s="140"/>
      <c r="L66" s="140"/>
    </row>
    <row r="67" spans="2:12">
      <c r="B67" s="140"/>
      <c r="L67" s="140"/>
    </row>
    <row r="68" spans="2:12">
      <c r="B68" s="140"/>
      <c r="L68" s="140"/>
    </row>
    <row r="69" spans="2:12">
      <c r="B69" s="140"/>
      <c r="L69" s="140"/>
    </row>
    <row r="70" spans="2:12">
      <c r="B70" s="140"/>
      <c r="L70" s="140"/>
    </row>
    <row r="71" spans="2:12">
      <c r="B71" s="140"/>
      <c r="L71" s="140"/>
    </row>
    <row r="72" spans="2:12">
      <c r="B72" s="140"/>
      <c r="L72" s="140"/>
    </row>
    <row r="73" spans="2:12">
      <c r="B73" s="140"/>
      <c r="L73" s="140"/>
    </row>
    <row r="74" spans="2:12">
      <c r="B74" s="140"/>
      <c r="L74" s="140"/>
    </row>
    <row r="75" spans="2:12">
      <c r="B75" s="140"/>
      <c r="L75" s="140"/>
    </row>
    <row r="76" spans="2:12" s="144" customFormat="1" ht="13.2">
      <c r="B76" s="145"/>
      <c r="D76" s="167" t="s">
        <v>3305</v>
      </c>
      <c r="E76" s="168"/>
      <c r="F76" s="169" t="s">
        <v>3306</v>
      </c>
      <c r="G76" s="167" t="s">
        <v>3305</v>
      </c>
      <c r="H76" s="168"/>
      <c r="I76" s="168"/>
      <c r="J76" s="170" t="s">
        <v>3306</v>
      </c>
      <c r="K76" s="168"/>
      <c r="L76" s="145"/>
    </row>
    <row r="77" spans="2:12" s="144" customFormat="1" ht="14.4" customHeight="1">
      <c r="B77" s="171"/>
      <c r="C77" s="172"/>
      <c r="D77" s="172"/>
      <c r="E77" s="172"/>
      <c r="F77" s="172"/>
      <c r="G77" s="172"/>
      <c r="H77" s="172"/>
      <c r="I77" s="172"/>
      <c r="J77" s="172"/>
      <c r="K77" s="172"/>
      <c r="L77" s="145"/>
    </row>
    <row r="81" spans="2:47" s="144" customFormat="1" ht="6.9" customHeight="1">
      <c r="B81" s="173"/>
      <c r="C81" s="174"/>
      <c r="D81" s="174"/>
      <c r="E81" s="174"/>
      <c r="F81" s="174"/>
      <c r="G81" s="174"/>
      <c r="H81" s="174"/>
      <c r="I81" s="174"/>
      <c r="J81" s="174"/>
      <c r="K81" s="174"/>
      <c r="L81" s="145"/>
    </row>
    <row r="82" spans="2:47" s="144" customFormat="1" ht="24.9" customHeight="1">
      <c r="B82" s="145"/>
      <c r="C82" s="141" t="s">
        <v>3308</v>
      </c>
      <c r="L82" s="145"/>
    </row>
    <row r="83" spans="2:47" s="144" customFormat="1" ht="6.9" customHeight="1">
      <c r="B83" s="145"/>
      <c r="L83" s="145"/>
    </row>
    <row r="84" spans="2:47" s="144" customFormat="1" ht="12" customHeight="1">
      <c r="B84" s="145"/>
      <c r="C84" s="143" t="s">
        <v>3279</v>
      </c>
      <c r="L84" s="145"/>
    </row>
    <row r="85" spans="2:47" s="144" customFormat="1" ht="16.5" customHeight="1">
      <c r="B85" s="145"/>
      <c r="E85" s="968" t="str">
        <f>E7</f>
        <v>Dostavba ZŠ Mnichovice, 3. etapa, školní jídelna a kuchyně</v>
      </c>
      <c r="F85" s="969"/>
      <c r="G85" s="969"/>
      <c r="H85" s="969"/>
      <c r="L85" s="145"/>
    </row>
    <row r="86" spans="2:47" s="144" customFormat="1" ht="12" customHeight="1">
      <c r="B86" s="145"/>
      <c r="C86" s="143" t="s">
        <v>3282</v>
      </c>
      <c r="L86" s="145"/>
    </row>
    <row r="87" spans="2:47" s="144" customFormat="1" ht="16.5" customHeight="1">
      <c r="B87" s="145"/>
      <c r="E87" s="966" t="str">
        <f>E9</f>
        <v>D.2.3 - Odlučovač tuků</v>
      </c>
      <c r="F87" s="967"/>
      <c r="G87" s="967"/>
      <c r="H87" s="967"/>
      <c r="L87" s="145"/>
    </row>
    <row r="88" spans="2:47" s="144" customFormat="1" ht="6.9" customHeight="1">
      <c r="B88" s="145"/>
      <c r="L88" s="145"/>
    </row>
    <row r="89" spans="2:47" s="144" customFormat="1" ht="12" customHeight="1">
      <c r="B89" s="145"/>
      <c r="C89" s="143" t="s">
        <v>3286</v>
      </c>
      <c r="F89" s="146" t="str">
        <f>F12</f>
        <v xml:space="preserve"> </v>
      </c>
      <c r="I89" s="143" t="s">
        <v>3141</v>
      </c>
      <c r="J89" s="147" t="str">
        <f>IF(J12="","",J12)</f>
        <v>15. 4. 2020</v>
      </c>
      <c r="L89" s="145"/>
    </row>
    <row r="90" spans="2:47" s="144" customFormat="1" ht="6.9" customHeight="1">
      <c r="B90" s="145"/>
      <c r="L90" s="145"/>
    </row>
    <row r="91" spans="2:47" s="144" customFormat="1" ht="15.15" customHeight="1">
      <c r="B91" s="145"/>
      <c r="C91" s="143" t="s">
        <v>3287</v>
      </c>
      <c r="F91" s="146" t="str">
        <f>E15</f>
        <v xml:space="preserve"> </v>
      </c>
      <c r="I91" s="143" t="s">
        <v>1949</v>
      </c>
      <c r="J91" s="150" t="str">
        <f>E21</f>
        <v xml:space="preserve"> </v>
      </c>
      <c r="L91" s="145"/>
    </row>
    <row r="92" spans="2:47" s="144" customFormat="1" ht="15.15" customHeight="1">
      <c r="B92" s="145"/>
      <c r="C92" s="143" t="s">
        <v>1950</v>
      </c>
      <c r="F92" s="146" t="str">
        <f>IF(E18="","",E18)</f>
        <v xml:space="preserve"> </v>
      </c>
      <c r="I92" s="143" t="s">
        <v>3290</v>
      </c>
      <c r="J92" s="150" t="str">
        <f>E24</f>
        <v xml:space="preserve"> </v>
      </c>
      <c r="L92" s="145"/>
    </row>
    <row r="93" spans="2:47" s="144" customFormat="1" ht="10.35" customHeight="1">
      <c r="B93" s="145"/>
      <c r="L93" s="145"/>
    </row>
    <row r="94" spans="2:47" s="144" customFormat="1" ht="29.25" customHeight="1">
      <c r="B94" s="145"/>
      <c r="C94" s="175" t="s">
        <v>3309</v>
      </c>
      <c r="D94" s="158"/>
      <c r="E94" s="158"/>
      <c r="F94" s="158"/>
      <c r="G94" s="158"/>
      <c r="H94" s="158"/>
      <c r="I94" s="158"/>
      <c r="J94" s="176" t="s">
        <v>3310</v>
      </c>
      <c r="K94" s="158"/>
      <c r="L94" s="145"/>
    </row>
    <row r="95" spans="2:47" s="144" customFormat="1" ht="10.35" customHeight="1">
      <c r="B95" s="145"/>
      <c r="L95" s="145"/>
    </row>
    <row r="96" spans="2:47" s="144" customFormat="1" ht="22.95" customHeight="1">
      <c r="B96" s="145"/>
      <c r="C96" s="177" t="s">
        <v>3311</v>
      </c>
      <c r="J96" s="153">
        <f>J122</f>
        <v>0</v>
      </c>
      <c r="L96" s="145"/>
      <c r="AU96" s="136" t="s">
        <v>3312</v>
      </c>
    </row>
    <row r="97" spans="2:12" s="178" customFormat="1" ht="24.9" customHeight="1">
      <c r="B97" s="179"/>
      <c r="D97" s="180" t="s">
        <v>3313</v>
      </c>
      <c r="E97" s="181"/>
      <c r="F97" s="181"/>
      <c r="G97" s="181"/>
      <c r="H97" s="181"/>
      <c r="I97" s="181"/>
      <c r="J97" s="182">
        <f>J123</f>
        <v>0</v>
      </c>
      <c r="L97" s="179"/>
    </row>
    <row r="98" spans="2:12" s="183" customFormat="1" ht="19.95" customHeight="1">
      <c r="B98" s="184"/>
      <c r="D98" s="185" t="s">
        <v>3314</v>
      </c>
      <c r="E98" s="186"/>
      <c r="F98" s="186"/>
      <c r="G98" s="186"/>
      <c r="H98" s="186"/>
      <c r="I98" s="186"/>
      <c r="J98" s="187">
        <f>J124</f>
        <v>0</v>
      </c>
      <c r="L98" s="184"/>
    </row>
    <row r="99" spans="2:12" s="183" customFormat="1" ht="19.95" customHeight="1">
      <c r="B99" s="184"/>
      <c r="D99" s="185" t="s">
        <v>3549</v>
      </c>
      <c r="E99" s="186"/>
      <c r="F99" s="186"/>
      <c r="G99" s="186"/>
      <c r="H99" s="186"/>
      <c r="I99" s="186"/>
      <c r="J99" s="187">
        <f>J156</f>
        <v>0</v>
      </c>
      <c r="L99" s="184"/>
    </row>
    <row r="100" spans="2:12" s="183" customFormat="1" ht="19.95" customHeight="1">
      <c r="B100" s="184"/>
      <c r="D100" s="185" t="s">
        <v>3315</v>
      </c>
      <c r="E100" s="186"/>
      <c r="F100" s="186"/>
      <c r="G100" s="186"/>
      <c r="H100" s="186"/>
      <c r="I100" s="186"/>
      <c r="J100" s="187">
        <f>J159</f>
        <v>0</v>
      </c>
      <c r="L100" s="184"/>
    </row>
    <row r="101" spans="2:12" s="178" customFormat="1" ht="24.9" customHeight="1">
      <c r="B101" s="179"/>
      <c r="D101" s="180" t="s">
        <v>3318</v>
      </c>
      <c r="E101" s="181"/>
      <c r="F101" s="181"/>
      <c r="G101" s="181"/>
      <c r="H101" s="181"/>
      <c r="I101" s="181"/>
      <c r="J101" s="182">
        <f>J163</f>
        <v>0</v>
      </c>
      <c r="L101" s="179"/>
    </row>
    <row r="102" spans="2:12" s="183" customFormat="1" ht="19.95" customHeight="1">
      <c r="B102" s="184"/>
      <c r="D102" s="185" t="s">
        <v>3319</v>
      </c>
      <c r="E102" s="186"/>
      <c r="F102" s="186"/>
      <c r="G102" s="186"/>
      <c r="H102" s="186"/>
      <c r="I102" s="186"/>
      <c r="J102" s="187">
        <f>J164</f>
        <v>0</v>
      </c>
      <c r="L102" s="184"/>
    </row>
    <row r="103" spans="2:12" s="144" customFormat="1" ht="21.75" customHeight="1">
      <c r="B103" s="145"/>
      <c r="L103" s="145"/>
    </row>
    <row r="104" spans="2:12" s="144" customFormat="1" ht="6.9" customHeight="1">
      <c r="B104" s="171"/>
      <c r="C104" s="172"/>
      <c r="D104" s="172"/>
      <c r="E104" s="172"/>
      <c r="F104" s="172"/>
      <c r="G104" s="172"/>
      <c r="H104" s="172"/>
      <c r="I104" s="172"/>
      <c r="J104" s="172"/>
      <c r="K104" s="172"/>
      <c r="L104" s="145"/>
    </row>
    <row r="108" spans="2:12" s="144" customFormat="1" ht="6.9" customHeight="1">
      <c r="B108" s="173"/>
      <c r="C108" s="174"/>
      <c r="D108" s="174"/>
      <c r="E108" s="174"/>
      <c r="F108" s="174"/>
      <c r="G108" s="174"/>
      <c r="H108" s="174"/>
      <c r="I108" s="174"/>
      <c r="J108" s="174"/>
      <c r="K108" s="174"/>
      <c r="L108" s="145"/>
    </row>
    <row r="109" spans="2:12" s="144" customFormat="1" ht="24.9" customHeight="1">
      <c r="B109" s="145"/>
      <c r="C109" s="141" t="s">
        <v>3321</v>
      </c>
      <c r="L109" s="145"/>
    </row>
    <row r="110" spans="2:12" s="144" customFormat="1" ht="6.9" customHeight="1">
      <c r="B110" s="145"/>
      <c r="L110" s="145"/>
    </row>
    <row r="111" spans="2:12" s="144" customFormat="1" ht="12" customHeight="1">
      <c r="B111" s="145"/>
      <c r="C111" s="143" t="s">
        <v>3279</v>
      </c>
      <c r="L111" s="145"/>
    </row>
    <row r="112" spans="2:12" s="144" customFormat="1" ht="16.5" customHeight="1">
      <c r="B112" s="145"/>
      <c r="E112" s="968" t="str">
        <f>E7</f>
        <v>Dostavba ZŠ Mnichovice, 3. etapa, školní jídelna a kuchyně</v>
      </c>
      <c r="F112" s="969"/>
      <c r="G112" s="969"/>
      <c r="H112" s="969"/>
      <c r="L112" s="145"/>
    </row>
    <row r="113" spans="2:65" s="144" customFormat="1" ht="12" customHeight="1">
      <c r="B113" s="145"/>
      <c r="C113" s="143" t="s">
        <v>3282</v>
      </c>
      <c r="L113" s="145"/>
    </row>
    <row r="114" spans="2:65" s="144" customFormat="1" ht="16.5" customHeight="1">
      <c r="B114" s="145"/>
      <c r="E114" s="966" t="str">
        <f>E9</f>
        <v>D.2.3 - Odlučovač tuků</v>
      </c>
      <c r="F114" s="967"/>
      <c r="G114" s="967"/>
      <c r="H114" s="967"/>
      <c r="L114" s="145"/>
    </row>
    <row r="115" spans="2:65" s="144" customFormat="1" ht="6.9" customHeight="1">
      <c r="B115" s="145"/>
      <c r="L115" s="145"/>
    </row>
    <row r="116" spans="2:65" s="144" customFormat="1" ht="12" customHeight="1">
      <c r="B116" s="145"/>
      <c r="C116" s="143" t="s">
        <v>3286</v>
      </c>
      <c r="F116" s="146" t="str">
        <f>F12</f>
        <v xml:space="preserve"> </v>
      </c>
      <c r="I116" s="143" t="s">
        <v>3141</v>
      </c>
      <c r="J116" s="147" t="str">
        <f>IF(J12="","",J12)</f>
        <v>15. 4. 2020</v>
      </c>
      <c r="L116" s="145"/>
    </row>
    <row r="117" spans="2:65" s="144" customFormat="1" ht="6.9" customHeight="1">
      <c r="B117" s="145"/>
      <c r="L117" s="145"/>
    </row>
    <row r="118" spans="2:65" s="144" customFormat="1" ht="15.15" customHeight="1">
      <c r="B118" s="145"/>
      <c r="C118" s="143" t="s">
        <v>3287</v>
      </c>
      <c r="F118" s="146" t="str">
        <f>E15</f>
        <v xml:space="preserve"> </v>
      </c>
      <c r="I118" s="143" t="s">
        <v>1949</v>
      </c>
      <c r="J118" s="150" t="str">
        <f>E21</f>
        <v xml:space="preserve"> </v>
      </c>
      <c r="L118" s="145"/>
    </row>
    <row r="119" spans="2:65" s="144" customFormat="1" ht="15.15" customHeight="1">
      <c r="B119" s="145"/>
      <c r="C119" s="143" t="s">
        <v>1950</v>
      </c>
      <c r="F119" s="146" t="str">
        <f>IF(E18="","",E18)</f>
        <v xml:space="preserve"> </v>
      </c>
      <c r="I119" s="143" t="s">
        <v>3290</v>
      </c>
      <c r="J119" s="150" t="str">
        <f>E24</f>
        <v xml:space="preserve"> </v>
      </c>
      <c r="L119" s="145"/>
    </row>
    <row r="120" spans="2:65" s="144" customFormat="1" ht="10.35" customHeight="1">
      <c r="B120" s="145"/>
      <c r="L120" s="145"/>
    </row>
    <row r="121" spans="2:65" s="188" customFormat="1" ht="29.25" customHeight="1">
      <c r="B121" s="189"/>
      <c r="C121" s="190" t="s">
        <v>3322</v>
      </c>
      <c r="D121" s="191" t="s">
        <v>3323</v>
      </c>
      <c r="E121" s="191" t="s">
        <v>607</v>
      </c>
      <c r="F121" s="191" t="s">
        <v>3324</v>
      </c>
      <c r="G121" s="191" t="s">
        <v>1937</v>
      </c>
      <c r="H121" s="191" t="s">
        <v>1946</v>
      </c>
      <c r="I121" s="191" t="s">
        <v>3325</v>
      </c>
      <c r="J121" s="191" t="s">
        <v>3310</v>
      </c>
      <c r="K121" s="192" t="s">
        <v>3326</v>
      </c>
      <c r="L121" s="189"/>
      <c r="M121" s="193" t="s">
        <v>3268</v>
      </c>
      <c r="N121" s="194" t="s">
        <v>3295</v>
      </c>
      <c r="O121" s="194" t="s">
        <v>3327</v>
      </c>
      <c r="P121" s="194" t="s">
        <v>3328</v>
      </c>
      <c r="Q121" s="194" t="s">
        <v>3329</v>
      </c>
      <c r="R121" s="194" t="s">
        <v>3330</v>
      </c>
      <c r="S121" s="194" t="s">
        <v>3331</v>
      </c>
      <c r="T121" s="195" t="s">
        <v>3332</v>
      </c>
    </row>
    <row r="122" spans="2:65" s="144" customFormat="1" ht="22.95" customHeight="1">
      <c r="B122" s="145"/>
      <c r="C122" s="196" t="s">
        <v>3333</v>
      </c>
      <c r="J122" s="197">
        <f>BK122</f>
        <v>0</v>
      </c>
      <c r="L122" s="145"/>
      <c r="M122" s="198"/>
      <c r="N122" s="151"/>
      <c r="O122" s="151"/>
      <c r="P122" s="199">
        <f>P123+P163</f>
        <v>33.794619999999995</v>
      </c>
      <c r="Q122" s="151"/>
      <c r="R122" s="199">
        <f>R123+R163</f>
        <v>0.64149999999999996</v>
      </c>
      <c r="S122" s="151"/>
      <c r="T122" s="200">
        <f>T123+T163</f>
        <v>0</v>
      </c>
      <c r="AT122" s="136" t="s">
        <v>3334</v>
      </c>
      <c r="AU122" s="136" t="s">
        <v>3312</v>
      </c>
      <c r="BK122" s="201">
        <f>BK123+BK163</f>
        <v>0</v>
      </c>
    </row>
    <row r="123" spans="2:65" s="202" customFormat="1" ht="25.95" customHeight="1">
      <c r="B123" s="203"/>
      <c r="D123" s="204" t="s">
        <v>3334</v>
      </c>
      <c r="E123" s="205" t="s">
        <v>1219</v>
      </c>
      <c r="F123" s="205" t="s">
        <v>3335</v>
      </c>
      <c r="J123" s="206">
        <f>BK123</f>
        <v>0</v>
      </c>
      <c r="L123" s="203"/>
      <c r="M123" s="207"/>
      <c r="P123" s="208">
        <f>P124+P156+P159</f>
        <v>33.794619999999995</v>
      </c>
      <c r="R123" s="208">
        <f>R124+R156+R159</f>
        <v>0.64149999999999996</v>
      </c>
      <c r="T123" s="209">
        <f>T124+T156+T159</f>
        <v>0</v>
      </c>
      <c r="AR123" s="204" t="s">
        <v>5</v>
      </c>
      <c r="AT123" s="210" t="s">
        <v>3334</v>
      </c>
      <c r="AU123" s="210" t="s">
        <v>3336</v>
      </c>
      <c r="AY123" s="204" t="s">
        <v>3337</v>
      </c>
      <c r="BK123" s="211">
        <f>BK124+BK156+BK159</f>
        <v>0</v>
      </c>
    </row>
    <row r="124" spans="2:65" s="202" customFormat="1" ht="22.95" customHeight="1">
      <c r="B124" s="203"/>
      <c r="D124" s="204" t="s">
        <v>3334</v>
      </c>
      <c r="E124" s="212" t="s">
        <v>5</v>
      </c>
      <c r="F124" s="212" t="s">
        <v>2050</v>
      </c>
      <c r="J124" s="213">
        <f>BK124</f>
        <v>0</v>
      </c>
      <c r="L124" s="203"/>
      <c r="M124" s="207"/>
      <c r="P124" s="208">
        <f>SUM(P125:P155)</f>
        <v>29.709473999999997</v>
      </c>
      <c r="R124" s="208">
        <f>SUM(R125:R155)</f>
        <v>0</v>
      </c>
      <c r="T124" s="209">
        <f>SUM(T125:T155)</f>
        <v>0</v>
      </c>
      <c r="AR124" s="204" t="s">
        <v>5</v>
      </c>
      <c r="AT124" s="210" t="s">
        <v>3334</v>
      </c>
      <c r="AU124" s="210" t="s">
        <v>5</v>
      </c>
      <c r="AY124" s="204" t="s">
        <v>3337</v>
      </c>
      <c r="BK124" s="211">
        <f>SUM(BK125:BK155)</f>
        <v>0</v>
      </c>
    </row>
    <row r="125" spans="2:65" s="144" customFormat="1" ht="21.75" customHeight="1">
      <c r="B125" s="214"/>
      <c r="C125" s="215" t="s">
        <v>5</v>
      </c>
      <c r="D125" s="215" t="s">
        <v>3338</v>
      </c>
      <c r="E125" s="216" t="s">
        <v>3550</v>
      </c>
      <c r="F125" s="217" t="s">
        <v>3551</v>
      </c>
      <c r="G125" s="218" t="s">
        <v>1941</v>
      </c>
      <c r="H125" s="219">
        <v>18.75</v>
      </c>
      <c r="I125" s="745">
        <v>0</v>
      </c>
      <c r="J125" s="220">
        <f>ROUND(I125*H125,2)</f>
        <v>0</v>
      </c>
      <c r="K125" s="217" t="s">
        <v>3341</v>
      </c>
      <c r="L125" s="145"/>
      <c r="M125" s="221" t="s">
        <v>3268</v>
      </c>
      <c r="N125" s="222" t="s">
        <v>3296</v>
      </c>
      <c r="O125" s="223">
        <v>0.61</v>
      </c>
      <c r="P125" s="223">
        <f>O125*H125</f>
        <v>11.4375</v>
      </c>
      <c r="Q125" s="223">
        <v>0</v>
      </c>
      <c r="R125" s="223">
        <f>Q125*H125</f>
        <v>0</v>
      </c>
      <c r="S125" s="223">
        <v>0</v>
      </c>
      <c r="T125" s="224">
        <f>S125*H125</f>
        <v>0</v>
      </c>
      <c r="AR125" s="225" t="s">
        <v>8</v>
      </c>
      <c r="AT125" s="225" t="s">
        <v>3338</v>
      </c>
      <c r="AU125" s="225" t="s">
        <v>6</v>
      </c>
      <c r="AY125" s="136" t="s">
        <v>3337</v>
      </c>
      <c r="BE125" s="226">
        <f>IF(N125="základní",J125,0)</f>
        <v>0</v>
      </c>
      <c r="BF125" s="226">
        <f>IF(N125="snížená",J125,0)</f>
        <v>0</v>
      </c>
      <c r="BG125" s="226">
        <f>IF(N125="zákl. přenesená",J125,0)</f>
        <v>0</v>
      </c>
      <c r="BH125" s="226">
        <f>IF(N125="sníž. přenesená",J125,0)</f>
        <v>0</v>
      </c>
      <c r="BI125" s="226">
        <f>IF(N125="nulová",J125,0)</f>
        <v>0</v>
      </c>
      <c r="BJ125" s="136" t="s">
        <v>5</v>
      </c>
      <c r="BK125" s="226">
        <f>ROUND(I125*H125,2)</f>
        <v>0</v>
      </c>
      <c r="BL125" s="136" t="s">
        <v>8</v>
      </c>
      <c r="BM125" s="225" t="s">
        <v>3552</v>
      </c>
    </row>
    <row r="126" spans="2:65" s="144" customFormat="1" ht="28.8">
      <c r="B126" s="145"/>
      <c r="D126" s="227" t="s">
        <v>3343</v>
      </c>
      <c r="F126" s="228" t="s">
        <v>3553</v>
      </c>
      <c r="L126" s="145"/>
      <c r="M126" s="229"/>
      <c r="T126" s="230"/>
      <c r="AT126" s="136" t="s">
        <v>3343</v>
      </c>
      <c r="AU126" s="136" t="s">
        <v>6</v>
      </c>
    </row>
    <row r="127" spans="2:65" s="231" customFormat="1">
      <c r="B127" s="232"/>
      <c r="D127" s="227" t="s">
        <v>3345</v>
      </c>
      <c r="E127" s="233" t="s">
        <v>3543</v>
      </c>
      <c r="F127" s="234" t="s">
        <v>3554</v>
      </c>
      <c r="H127" s="235">
        <v>18.75</v>
      </c>
      <c r="L127" s="232"/>
      <c r="M127" s="236"/>
      <c r="T127" s="237"/>
      <c r="AT127" s="233" t="s">
        <v>3345</v>
      </c>
      <c r="AU127" s="233" t="s">
        <v>6</v>
      </c>
      <c r="AV127" s="231" t="s">
        <v>6</v>
      </c>
      <c r="AW127" s="231" t="s">
        <v>3347</v>
      </c>
      <c r="AX127" s="231" t="s">
        <v>5</v>
      </c>
      <c r="AY127" s="233" t="s">
        <v>3337</v>
      </c>
    </row>
    <row r="128" spans="2:65" s="144" customFormat="1" ht="21.75" customHeight="1">
      <c r="B128" s="214"/>
      <c r="C128" s="215" t="s">
        <v>6</v>
      </c>
      <c r="D128" s="215" t="s">
        <v>3338</v>
      </c>
      <c r="E128" s="216" t="s">
        <v>3348</v>
      </c>
      <c r="F128" s="217" t="s">
        <v>3349</v>
      </c>
      <c r="G128" s="218" t="s">
        <v>1941</v>
      </c>
      <c r="H128" s="219">
        <v>28.207999999999998</v>
      </c>
      <c r="I128" s="745">
        <v>0</v>
      </c>
      <c r="J128" s="220">
        <f>ROUND(I128*H128,2)</f>
        <v>0</v>
      </c>
      <c r="K128" s="217" t="s">
        <v>3341</v>
      </c>
      <c r="L128" s="145"/>
      <c r="M128" s="221" t="s">
        <v>3268</v>
      </c>
      <c r="N128" s="222" t="s">
        <v>3296</v>
      </c>
      <c r="O128" s="223">
        <v>4.3999999999999997E-2</v>
      </c>
      <c r="P128" s="223">
        <f>O128*H128</f>
        <v>1.2411519999999998</v>
      </c>
      <c r="Q128" s="223">
        <v>0</v>
      </c>
      <c r="R128" s="223">
        <f>Q128*H128</f>
        <v>0</v>
      </c>
      <c r="S128" s="223">
        <v>0</v>
      </c>
      <c r="T128" s="224">
        <f>S128*H128</f>
        <v>0</v>
      </c>
      <c r="AR128" s="225" t="s">
        <v>8</v>
      </c>
      <c r="AT128" s="225" t="s">
        <v>3338</v>
      </c>
      <c r="AU128" s="225" t="s">
        <v>6</v>
      </c>
      <c r="AY128" s="136" t="s">
        <v>3337</v>
      </c>
      <c r="BE128" s="226">
        <f>IF(N128="základní",J128,0)</f>
        <v>0</v>
      </c>
      <c r="BF128" s="226">
        <f>IF(N128="snížená",J128,0)</f>
        <v>0</v>
      </c>
      <c r="BG128" s="226">
        <f>IF(N128="zákl. přenesená",J128,0)</f>
        <v>0</v>
      </c>
      <c r="BH128" s="226">
        <f>IF(N128="sníž. přenesená",J128,0)</f>
        <v>0</v>
      </c>
      <c r="BI128" s="226">
        <f>IF(N128="nulová",J128,0)</f>
        <v>0</v>
      </c>
      <c r="BJ128" s="136" t="s">
        <v>5</v>
      </c>
      <c r="BK128" s="226">
        <f>ROUND(I128*H128,2)</f>
        <v>0</v>
      </c>
      <c r="BL128" s="136" t="s">
        <v>8</v>
      </c>
      <c r="BM128" s="225" t="s">
        <v>3555</v>
      </c>
    </row>
    <row r="129" spans="2:65" s="144" customFormat="1" ht="38.4">
      <c r="B129" s="145"/>
      <c r="D129" s="227" t="s">
        <v>3343</v>
      </c>
      <c r="F129" s="228" t="s">
        <v>3351</v>
      </c>
      <c r="L129" s="145"/>
      <c r="M129" s="229"/>
      <c r="T129" s="230"/>
      <c r="AT129" s="136" t="s">
        <v>3343</v>
      </c>
      <c r="AU129" s="136" t="s">
        <v>6</v>
      </c>
    </row>
    <row r="130" spans="2:65" s="238" customFormat="1">
      <c r="B130" s="239"/>
      <c r="D130" s="227" t="s">
        <v>3345</v>
      </c>
      <c r="E130" s="240" t="s">
        <v>3268</v>
      </c>
      <c r="F130" s="241" t="s">
        <v>3352</v>
      </c>
      <c r="H130" s="240" t="s">
        <v>3268</v>
      </c>
      <c r="L130" s="239"/>
      <c r="M130" s="242"/>
      <c r="T130" s="243"/>
      <c r="AT130" s="240" t="s">
        <v>3345</v>
      </c>
      <c r="AU130" s="240" t="s">
        <v>6</v>
      </c>
      <c r="AV130" s="238" t="s">
        <v>5</v>
      </c>
      <c r="AW130" s="238" t="s">
        <v>3347</v>
      </c>
      <c r="AX130" s="238" t="s">
        <v>3336</v>
      </c>
      <c r="AY130" s="240" t="s">
        <v>3337</v>
      </c>
    </row>
    <row r="131" spans="2:65" s="231" customFormat="1">
      <c r="B131" s="232"/>
      <c r="D131" s="227" t="s">
        <v>3345</v>
      </c>
      <c r="E131" s="233" t="s">
        <v>3268</v>
      </c>
      <c r="F131" s="234" t="s">
        <v>3270</v>
      </c>
      <c r="H131" s="235">
        <v>14.103999999999999</v>
      </c>
      <c r="L131" s="232"/>
      <c r="M131" s="236"/>
      <c r="T131" s="237"/>
      <c r="AT131" s="233" t="s">
        <v>3345</v>
      </c>
      <c r="AU131" s="233" t="s">
        <v>6</v>
      </c>
      <c r="AV131" s="231" t="s">
        <v>6</v>
      </c>
      <c r="AW131" s="231" t="s">
        <v>3347</v>
      </c>
      <c r="AX131" s="231" t="s">
        <v>3336</v>
      </c>
      <c r="AY131" s="233" t="s">
        <v>3337</v>
      </c>
    </row>
    <row r="132" spans="2:65" s="238" customFormat="1">
      <c r="B132" s="239"/>
      <c r="D132" s="227" t="s">
        <v>3345</v>
      </c>
      <c r="E132" s="240" t="s">
        <v>3268</v>
      </c>
      <c r="F132" s="241" t="s">
        <v>3353</v>
      </c>
      <c r="H132" s="240" t="s">
        <v>3268</v>
      </c>
      <c r="L132" s="239"/>
      <c r="M132" s="242"/>
      <c r="T132" s="243"/>
      <c r="AT132" s="240" t="s">
        <v>3345</v>
      </c>
      <c r="AU132" s="240" t="s">
        <v>6</v>
      </c>
      <c r="AV132" s="238" t="s">
        <v>5</v>
      </c>
      <c r="AW132" s="238" t="s">
        <v>3347</v>
      </c>
      <c r="AX132" s="238" t="s">
        <v>3336</v>
      </c>
      <c r="AY132" s="240" t="s">
        <v>3337</v>
      </c>
    </row>
    <row r="133" spans="2:65" s="231" customFormat="1">
      <c r="B133" s="232"/>
      <c r="D133" s="227" t="s">
        <v>3345</v>
      </c>
      <c r="E133" s="233" t="s">
        <v>3268</v>
      </c>
      <c r="F133" s="234" t="s">
        <v>3270</v>
      </c>
      <c r="H133" s="235">
        <v>14.103999999999999</v>
      </c>
      <c r="L133" s="232"/>
      <c r="M133" s="236"/>
      <c r="T133" s="237"/>
      <c r="AT133" s="233" t="s">
        <v>3345</v>
      </c>
      <c r="AU133" s="233" t="s">
        <v>6</v>
      </c>
      <c r="AV133" s="231" t="s">
        <v>6</v>
      </c>
      <c r="AW133" s="231" t="s">
        <v>3347</v>
      </c>
      <c r="AX133" s="231" t="s">
        <v>3336</v>
      </c>
      <c r="AY133" s="233" t="s">
        <v>3337</v>
      </c>
    </row>
    <row r="134" spans="2:65" s="244" customFormat="1">
      <c r="B134" s="245"/>
      <c r="D134" s="227" t="s">
        <v>3345</v>
      </c>
      <c r="E134" s="246" t="s">
        <v>3268</v>
      </c>
      <c r="F134" s="247" t="s">
        <v>3354</v>
      </c>
      <c r="H134" s="248">
        <v>28.207999999999998</v>
      </c>
      <c r="L134" s="245"/>
      <c r="M134" s="249"/>
      <c r="T134" s="250"/>
      <c r="AT134" s="246" t="s">
        <v>3345</v>
      </c>
      <c r="AU134" s="246" t="s">
        <v>6</v>
      </c>
      <c r="AV134" s="244" t="s">
        <v>8</v>
      </c>
      <c r="AW134" s="244" t="s">
        <v>3347</v>
      </c>
      <c r="AX134" s="244" t="s">
        <v>5</v>
      </c>
      <c r="AY134" s="246" t="s">
        <v>3337</v>
      </c>
    </row>
    <row r="135" spans="2:65" s="144" customFormat="1" ht="21.75" customHeight="1">
      <c r="B135" s="214"/>
      <c r="C135" s="215" t="s">
        <v>7</v>
      </c>
      <c r="D135" s="215" t="s">
        <v>3338</v>
      </c>
      <c r="E135" s="216" t="s">
        <v>3355</v>
      </c>
      <c r="F135" s="217" t="s">
        <v>3356</v>
      </c>
      <c r="G135" s="218" t="s">
        <v>1941</v>
      </c>
      <c r="H135" s="219">
        <v>32.853999999999999</v>
      </c>
      <c r="I135" s="745">
        <v>0</v>
      </c>
      <c r="J135" s="220">
        <f>ROUND(I135*H135,2)</f>
        <v>0</v>
      </c>
      <c r="K135" s="217" t="s">
        <v>3341</v>
      </c>
      <c r="L135" s="145"/>
      <c r="M135" s="221" t="s">
        <v>3268</v>
      </c>
      <c r="N135" s="222" t="s">
        <v>3296</v>
      </c>
      <c r="O135" s="223">
        <v>8.6999999999999994E-2</v>
      </c>
      <c r="P135" s="223">
        <f>O135*H135</f>
        <v>2.8582979999999996</v>
      </c>
      <c r="Q135" s="223">
        <v>0</v>
      </c>
      <c r="R135" s="223">
        <f>Q135*H135</f>
        <v>0</v>
      </c>
      <c r="S135" s="223">
        <v>0</v>
      </c>
      <c r="T135" s="224">
        <f>S135*H135</f>
        <v>0</v>
      </c>
      <c r="AR135" s="225" t="s">
        <v>8</v>
      </c>
      <c r="AT135" s="225" t="s">
        <v>3338</v>
      </c>
      <c r="AU135" s="225" t="s">
        <v>6</v>
      </c>
      <c r="AY135" s="136" t="s">
        <v>3337</v>
      </c>
      <c r="BE135" s="226">
        <f>IF(N135="základní",J135,0)</f>
        <v>0</v>
      </c>
      <c r="BF135" s="226">
        <f>IF(N135="snížená",J135,0)</f>
        <v>0</v>
      </c>
      <c r="BG135" s="226">
        <f>IF(N135="zákl. přenesená",J135,0)</f>
        <v>0</v>
      </c>
      <c r="BH135" s="226">
        <f>IF(N135="sníž. přenesená",J135,0)</f>
        <v>0</v>
      </c>
      <c r="BI135" s="226">
        <f>IF(N135="nulová",J135,0)</f>
        <v>0</v>
      </c>
      <c r="BJ135" s="136" t="s">
        <v>5</v>
      </c>
      <c r="BK135" s="226">
        <f>ROUND(I135*H135,2)</f>
        <v>0</v>
      </c>
      <c r="BL135" s="136" t="s">
        <v>8</v>
      </c>
      <c r="BM135" s="225" t="s">
        <v>3556</v>
      </c>
    </row>
    <row r="136" spans="2:65" s="144" customFormat="1" ht="38.4">
      <c r="B136" s="145"/>
      <c r="D136" s="227" t="s">
        <v>3343</v>
      </c>
      <c r="F136" s="228" t="s">
        <v>3358</v>
      </c>
      <c r="L136" s="145"/>
      <c r="M136" s="229"/>
      <c r="T136" s="230"/>
      <c r="AT136" s="136" t="s">
        <v>3343</v>
      </c>
      <c r="AU136" s="136" t="s">
        <v>6</v>
      </c>
    </row>
    <row r="137" spans="2:65" s="238" customFormat="1">
      <c r="B137" s="239"/>
      <c r="D137" s="227" t="s">
        <v>3345</v>
      </c>
      <c r="E137" s="240" t="s">
        <v>3268</v>
      </c>
      <c r="F137" s="241" t="s">
        <v>3359</v>
      </c>
      <c r="H137" s="240" t="s">
        <v>3268</v>
      </c>
      <c r="L137" s="239"/>
      <c r="M137" s="242"/>
      <c r="T137" s="243"/>
      <c r="AT137" s="240" t="s">
        <v>3345</v>
      </c>
      <c r="AU137" s="240" t="s">
        <v>6</v>
      </c>
      <c r="AV137" s="238" t="s">
        <v>5</v>
      </c>
      <c r="AW137" s="238" t="s">
        <v>3347</v>
      </c>
      <c r="AX137" s="238" t="s">
        <v>3336</v>
      </c>
      <c r="AY137" s="240" t="s">
        <v>3337</v>
      </c>
    </row>
    <row r="138" spans="2:65" s="231" customFormat="1">
      <c r="B138" s="232"/>
      <c r="D138" s="227" t="s">
        <v>3345</v>
      </c>
      <c r="E138" s="233" t="s">
        <v>3275</v>
      </c>
      <c r="F138" s="234" t="s">
        <v>3557</v>
      </c>
      <c r="H138" s="235">
        <v>32.853999999999999</v>
      </c>
      <c r="L138" s="232"/>
      <c r="M138" s="236"/>
      <c r="T138" s="237"/>
      <c r="AT138" s="233" t="s">
        <v>3345</v>
      </c>
      <c r="AU138" s="233" t="s">
        <v>6</v>
      </c>
      <c r="AV138" s="231" t="s">
        <v>6</v>
      </c>
      <c r="AW138" s="231" t="s">
        <v>3347</v>
      </c>
      <c r="AX138" s="231" t="s">
        <v>5</v>
      </c>
      <c r="AY138" s="233" t="s">
        <v>3337</v>
      </c>
    </row>
    <row r="139" spans="2:65" s="144" customFormat="1" ht="21.75" customHeight="1">
      <c r="B139" s="214"/>
      <c r="C139" s="215" t="s">
        <v>8</v>
      </c>
      <c r="D139" s="215" t="s">
        <v>3338</v>
      </c>
      <c r="E139" s="216" t="s">
        <v>3361</v>
      </c>
      <c r="F139" s="217" t="s">
        <v>3362</v>
      </c>
      <c r="G139" s="218" t="s">
        <v>1941</v>
      </c>
      <c r="H139" s="219">
        <v>46.957999999999998</v>
      </c>
      <c r="I139" s="745">
        <v>0</v>
      </c>
      <c r="J139" s="220">
        <f>ROUND(I139*H139,2)</f>
        <v>0</v>
      </c>
      <c r="K139" s="217" t="s">
        <v>3341</v>
      </c>
      <c r="L139" s="145"/>
      <c r="M139" s="221" t="s">
        <v>3268</v>
      </c>
      <c r="N139" s="222" t="s">
        <v>3296</v>
      </c>
      <c r="O139" s="223">
        <v>0.19700000000000001</v>
      </c>
      <c r="P139" s="223">
        <f>O139*H139</f>
        <v>9.2507260000000002</v>
      </c>
      <c r="Q139" s="223">
        <v>0</v>
      </c>
      <c r="R139" s="223">
        <f>Q139*H139</f>
        <v>0</v>
      </c>
      <c r="S139" s="223">
        <v>0</v>
      </c>
      <c r="T139" s="224">
        <f>S139*H139</f>
        <v>0</v>
      </c>
      <c r="AR139" s="225" t="s">
        <v>8</v>
      </c>
      <c r="AT139" s="225" t="s">
        <v>3338</v>
      </c>
      <c r="AU139" s="225" t="s">
        <v>6</v>
      </c>
      <c r="AY139" s="136" t="s">
        <v>3337</v>
      </c>
      <c r="BE139" s="226">
        <f>IF(N139="základní",J139,0)</f>
        <v>0</v>
      </c>
      <c r="BF139" s="226">
        <f>IF(N139="snížená",J139,0)</f>
        <v>0</v>
      </c>
      <c r="BG139" s="226">
        <f>IF(N139="zákl. přenesená",J139,0)</f>
        <v>0</v>
      </c>
      <c r="BH139" s="226">
        <f>IF(N139="sníž. přenesená",J139,0)</f>
        <v>0</v>
      </c>
      <c r="BI139" s="226">
        <f>IF(N139="nulová",J139,0)</f>
        <v>0</v>
      </c>
      <c r="BJ139" s="136" t="s">
        <v>5</v>
      </c>
      <c r="BK139" s="226">
        <f>ROUND(I139*H139,2)</f>
        <v>0</v>
      </c>
      <c r="BL139" s="136" t="s">
        <v>8</v>
      </c>
      <c r="BM139" s="225" t="s">
        <v>3558</v>
      </c>
    </row>
    <row r="140" spans="2:65" s="144" customFormat="1" ht="28.8">
      <c r="B140" s="145"/>
      <c r="D140" s="227" t="s">
        <v>3343</v>
      </c>
      <c r="F140" s="228" t="s">
        <v>3364</v>
      </c>
      <c r="L140" s="145"/>
      <c r="M140" s="229"/>
      <c r="T140" s="230"/>
      <c r="AT140" s="136" t="s">
        <v>3343</v>
      </c>
      <c r="AU140" s="136" t="s">
        <v>6</v>
      </c>
    </row>
    <row r="141" spans="2:65" s="238" customFormat="1">
      <c r="B141" s="239"/>
      <c r="D141" s="227" t="s">
        <v>3345</v>
      </c>
      <c r="E141" s="240" t="s">
        <v>3268</v>
      </c>
      <c r="F141" s="241" t="s">
        <v>3359</v>
      </c>
      <c r="H141" s="240" t="s">
        <v>3268</v>
      </c>
      <c r="L141" s="239"/>
      <c r="M141" s="242"/>
      <c r="T141" s="243"/>
      <c r="AT141" s="240" t="s">
        <v>3345</v>
      </c>
      <c r="AU141" s="240" t="s">
        <v>6</v>
      </c>
      <c r="AV141" s="238" t="s">
        <v>5</v>
      </c>
      <c r="AW141" s="238" t="s">
        <v>3347</v>
      </c>
      <c r="AX141" s="238" t="s">
        <v>3336</v>
      </c>
      <c r="AY141" s="240" t="s">
        <v>3337</v>
      </c>
    </row>
    <row r="142" spans="2:65" s="231" customFormat="1">
      <c r="B142" s="232"/>
      <c r="D142" s="227" t="s">
        <v>3345</v>
      </c>
      <c r="E142" s="233" t="s">
        <v>3268</v>
      </c>
      <c r="F142" s="234" t="s">
        <v>3275</v>
      </c>
      <c r="H142" s="235">
        <v>32.853999999999999</v>
      </c>
      <c r="L142" s="232"/>
      <c r="M142" s="236"/>
      <c r="T142" s="237"/>
      <c r="AT142" s="233" t="s">
        <v>3345</v>
      </c>
      <c r="AU142" s="233" t="s">
        <v>6</v>
      </c>
      <c r="AV142" s="231" t="s">
        <v>6</v>
      </c>
      <c r="AW142" s="231" t="s">
        <v>3347</v>
      </c>
      <c r="AX142" s="231" t="s">
        <v>3336</v>
      </c>
      <c r="AY142" s="233" t="s">
        <v>3337</v>
      </c>
    </row>
    <row r="143" spans="2:65" s="238" customFormat="1">
      <c r="B143" s="239"/>
      <c r="D143" s="227" t="s">
        <v>3345</v>
      </c>
      <c r="E143" s="240" t="s">
        <v>3268</v>
      </c>
      <c r="F143" s="241" t="s">
        <v>3365</v>
      </c>
      <c r="H143" s="240" t="s">
        <v>3268</v>
      </c>
      <c r="L143" s="239"/>
      <c r="M143" s="242"/>
      <c r="T143" s="243"/>
      <c r="AT143" s="240" t="s">
        <v>3345</v>
      </c>
      <c r="AU143" s="240" t="s">
        <v>6</v>
      </c>
      <c r="AV143" s="238" t="s">
        <v>5</v>
      </c>
      <c r="AW143" s="238" t="s">
        <v>3347</v>
      </c>
      <c r="AX143" s="238" t="s">
        <v>3336</v>
      </c>
      <c r="AY143" s="240" t="s">
        <v>3337</v>
      </c>
    </row>
    <row r="144" spans="2:65" s="231" customFormat="1">
      <c r="B144" s="232"/>
      <c r="D144" s="227" t="s">
        <v>3345</v>
      </c>
      <c r="E144" s="233" t="s">
        <v>3268</v>
      </c>
      <c r="F144" s="234" t="s">
        <v>3270</v>
      </c>
      <c r="H144" s="235">
        <v>14.103999999999999</v>
      </c>
      <c r="L144" s="232"/>
      <c r="M144" s="236"/>
      <c r="T144" s="237"/>
      <c r="AT144" s="233" t="s">
        <v>3345</v>
      </c>
      <c r="AU144" s="233" t="s">
        <v>6</v>
      </c>
      <c r="AV144" s="231" t="s">
        <v>6</v>
      </c>
      <c r="AW144" s="231" t="s">
        <v>3347</v>
      </c>
      <c r="AX144" s="231" t="s">
        <v>3336</v>
      </c>
      <c r="AY144" s="233" t="s">
        <v>3337</v>
      </c>
    </row>
    <row r="145" spans="2:65" s="244" customFormat="1">
      <c r="B145" s="245"/>
      <c r="D145" s="227" t="s">
        <v>3345</v>
      </c>
      <c r="E145" s="246" t="s">
        <v>3268</v>
      </c>
      <c r="F145" s="247" t="s">
        <v>3354</v>
      </c>
      <c r="H145" s="248">
        <v>46.957999999999998</v>
      </c>
      <c r="L145" s="245"/>
      <c r="M145" s="249"/>
      <c r="T145" s="250"/>
      <c r="AT145" s="246" t="s">
        <v>3345</v>
      </c>
      <c r="AU145" s="246" t="s">
        <v>6</v>
      </c>
      <c r="AV145" s="244" t="s">
        <v>8</v>
      </c>
      <c r="AW145" s="244" t="s">
        <v>3347</v>
      </c>
      <c r="AX145" s="244" t="s">
        <v>5</v>
      </c>
      <c r="AY145" s="246" t="s">
        <v>3337</v>
      </c>
    </row>
    <row r="146" spans="2:65" s="144" customFormat="1" ht="21.75" customHeight="1">
      <c r="B146" s="214"/>
      <c r="C146" s="215" t="s">
        <v>9</v>
      </c>
      <c r="D146" s="215" t="s">
        <v>3338</v>
      </c>
      <c r="E146" s="216" t="s">
        <v>3366</v>
      </c>
      <c r="F146" s="217" t="s">
        <v>3367</v>
      </c>
      <c r="G146" s="218" t="s">
        <v>1942</v>
      </c>
      <c r="H146" s="219">
        <v>65.707999999999998</v>
      </c>
      <c r="I146" s="745">
        <v>0</v>
      </c>
      <c r="J146" s="220">
        <f>ROUND(I146*H146,2)</f>
        <v>0</v>
      </c>
      <c r="K146" s="217" t="s">
        <v>3341</v>
      </c>
      <c r="L146" s="145"/>
      <c r="M146" s="221" t="s">
        <v>3268</v>
      </c>
      <c r="N146" s="222" t="s">
        <v>3296</v>
      </c>
      <c r="O146" s="223">
        <v>0</v>
      </c>
      <c r="P146" s="223">
        <f>O146*H146</f>
        <v>0</v>
      </c>
      <c r="Q146" s="223">
        <v>0</v>
      </c>
      <c r="R146" s="223">
        <f>Q146*H146</f>
        <v>0</v>
      </c>
      <c r="S146" s="223">
        <v>0</v>
      </c>
      <c r="T146" s="224">
        <f>S146*H146</f>
        <v>0</v>
      </c>
      <c r="AR146" s="225" t="s">
        <v>8</v>
      </c>
      <c r="AT146" s="225" t="s">
        <v>3338</v>
      </c>
      <c r="AU146" s="225" t="s">
        <v>6</v>
      </c>
      <c r="AY146" s="136" t="s">
        <v>3337</v>
      </c>
      <c r="BE146" s="226">
        <f>IF(N146="základní",J146,0)</f>
        <v>0</v>
      </c>
      <c r="BF146" s="226">
        <f>IF(N146="snížená",J146,0)</f>
        <v>0</v>
      </c>
      <c r="BG146" s="226">
        <f>IF(N146="zákl. přenesená",J146,0)</f>
        <v>0</v>
      </c>
      <c r="BH146" s="226">
        <f>IF(N146="sníž. přenesená",J146,0)</f>
        <v>0</v>
      </c>
      <c r="BI146" s="226">
        <f>IF(N146="nulová",J146,0)</f>
        <v>0</v>
      </c>
      <c r="BJ146" s="136" t="s">
        <v>5</v>
      </c>
      <c r="BK146" s="226">
        <f>ROUND(I146*H146,2)</f>
        <v>0</v>
      </c>
      <c r="BL146" s="136" t="s">
        <v>8</v>
      </c>
      <c r="BM146" s="225" t="s">
        <v>3559</v>
      </c>
    </row>
    <row r="147" spans="2:65" s="144" customFormat="1" ht="28.8">
      <c r="B147" s="145"/>
      <c r="D147" s="227" t="s">
        <v>3343</v>
      </c>
      <c r="F147" s="228" t="s">
        <v>3369</v>
      </c>
      <c r="L147" s="145"/>
      <c r="M147" s="229"/>
      <c r="T147" s="230"/>
      <c r="AT147" s="136" t="s">
        <v>3343</v>
      </c>
      <c r="AU147" s="136" t="s">
        <v>6</v>
      </c>
    </row>
    <row r="148" spans="2:65" s="231" customFormat="1">
      <c r="B148" s="232"/>
      <c r="D148" s="227" t="s">
        <v>3345</v>
      </c>
      <c r="E148" s="233" t="s">
        <v>3268</v>
      </c>
      <c r="F148" s="234" t="s">
        <v>3275</v>
      </c>
      <c r="H148" s="235">
        <v>32.853999999999999</v>
      </c>
      <c r="L148" s="232"/>
      <c r="M148" s="236"/>
      <c r="T148" s="237"/>
      <c r="AT148" s="233" t="s">
        <v>3345</v>
      </c>
      <c r="AU148" s="233" t="s">
        <v>6</v>
      </c>
      <c r="AV148" s="231" t="s">
        <v>6</v>
      </c>
      <c r="AW148" s="231" t="s">
        <v>3347</v>
      </c>
      <c r="AX148" s="231" t="s">
        <v>5</v>
      </c>
      <c r="AY148" s="233" t="s">
        <v>3337</v>
      </c>
    </row>
    <row r="149" spans="2:65" s="231" customFormat="1">
      <c r="B149" s="232"/>
      <c r="D149" s="227" t="s">
        <v>3345</v>
      </c>
      <c r="F149" s="234" t="s">
        <v>3560</v>
      </c>
      <c r="H149" s="235">
        <v>65.707999999999998</v>
      </c>
      <c r="L149" s="232"/>
      <c r="M149" s="236"/>
      <c r="T149" s="237"/>
      <c r="AT149" s="233" t="s">
        <v>3345</v>
      </c>
      <c r="AU149" s="233" t="s">
        <v>6</v>
      </c>
      <c r="AV149" s="231" t="s">
        <v>6</v>
      </c>
      <c r="AW149" s="231" t="s">
        <v>3274</v>
      </c>
      <c r="AX149" s="231" t="s">
        <v>5</v>
      </c>
      <c r="AY149" s="233" t="s">
        <v>3337</v>
      </c>
    </row>
    <row r="150" spans="2:65" s="144" customFormat="1" ht="16.5" customHeight="1">
      <c r="B150" s="214"/>
      <c r="C150" s="215" t="s">
        <v>10</v>
      </c>
      <c r="D150" s="215" t="s">
        <v>3338</v>
      </c>
      <c r="E150" s="216" t="s">
        <v>3371</v>
      </c>
      <c r="F150" s="217" t="s">
        <v>3372</v>
      </c>
      <c r="G150" s="218" t="s">
        <v>1941</v>
      </c>
      <c r="H150" s="219">
        <v>32.853999999999999</v>
      </c>
      <c r="I150" s="745">
        <v>0</v>
      </c>
      <c r="J150" s="220">
        <f>ROUND(I150*H150,2)</f>
        <v>0</v>
      </c>
      <c r="K150" s="217" t="s">
        <v>3341</v>
      </c>
      <c r="L150" s="145"/>
      <c r="M150" s="221" t="s">
        <v>3268</v>
      </c>
      <c r="N150" s="222" t="s">
        <v>3296</v>
      </c>
      <c r="O150" s="223">
        <v>8.9999999999999993E-3</v>
      </c>
      <c r="P150" s="223">
        <f>O150*H150</f>
        <v>0.29568599999999995</v>
      </c>
      <c r="Q150" s="223">
        <v>0</v>
      </c>
      <c r="R150" s="223">
        <f>Q150*H150</f>
        <v>0</v>
      </c>
      <c r="S150" s="223">
        <v>0</v>
      </c>
      <c r="T150" s="224">
        <f>S150*H150</f>
        <v>0</v>
      </c>
      <c r="AR150" s="225" t="s">
        <v>8</v>
      </c>
      <c r="AT150" s="225" t="s">
        <v>3338</v>
      </c>
      <c r="AU150" s="225" t="s">
        <v>6</v>
      </c>
      <c r="AY150" s="136" t="s">
        <v>3337</v>
      </c>
      <c r="BE150" s="226">
        <f>IF(N150="základní",J150,0)</f>
        <v>0</v>
      </c>
      <c r="BF150" s="226">
        <f>IF(N150="snížená",J150,0)</f>
        <v>0</v>
      </c>
      <c r="BG150" s="226">
        <f>IF(N150="zákl. přenesená",J150,0)</f>
        <v>0</v>
      </c>
      <c r="BH150" s="226">
        <f>IF(N150="sníž. přenesená",J150,0)</f>
        <v>0</v>
      </c>
      <c r="BI150" s="226">
        <f>IF(N150="nulová",J150,0)</f>
        <v>0</v>
      </c>
      <c r="BJ150" s="136" t="s">
        <v>5</v>
      </c>
      <c r="BK150" s="226">
        <f>ROUND(I150*H150,2)</f>
        <v>0</v>
      </c>
      <c r="BL150" s="136" t="s">
        <v>8</v>
      </c>
      <c r="BM150" s="225" t="s">
        <v>3561</v>
      </c>
    </row>
    <row r="151" spans="2:65" s="144" customFormat="1" ht="19.2">
      <c r="B151" s="145"/>
      <c r="D151" s="227" t="s">
        <v>3343</v>
      </c>
      <c r="F151" s="228" t="s">
        <v>3374</v>
      </c>
      <c r="L151" s="145"/>
      <c r="M151" s="229"/>
      <c r="T151" s="230"/>
      <c r="AT151" s="136" t="s">
        <v>3343</v>
      </c>
      <c r="AU151" s="136" t="s">
        <v>6</v>
      </c>
    </row>
    <row r="152" spans="2:65" s="231" customFormat="1">
      <c r="B152" s="232"/>
      <c r="D152" s="227" t="s">
        <v>3345</v>
      </c>
      <c r="E152" s="233" t="s">
        <v>3268</v>
      </c>
      <c r="F152" s="234" t="s">
        <v>3275</v>
      </c>
      <c r="H152" s="235">
        <v>32.853999999999999</v>
      </c>
      <c r="L152" s="232"/>
      <c r="M152" s="236"/>
      <c r="T152" s="237"/>
      <c r="AT152" s="233" t="s">
        <v>3345</v>
      </c>
      <c r="AU152" s="233" t="s">
        <v>6</v>
      </c>
      <c r="AV152" s="231" t="s">
        <v>6</v>
      </c>
      <c r="AW152" s="231" t="s">
        <v>3347</v>
      </c>
      <c r="AX152" s="231" t="s">
        <v>5</v>
      </c>
      <c r="AY152" s="233" t="s">
        <v>3337</v>
      </c>
    </row>
    <row r="153" spans="2:65" s="144" customFormat="1" ht="21.75" customHeight="1">
      <c r="B153" s="214"/>
      <c r="C153" s="215" t="s">
        <v>11</v>
      </c>
      <c r="D153" s="215" t="s">
        <v>3338</v>
      </c>
      <c r="E153" s="216" t="s">
        <v>3375</v>
      </c>
      <c r="F153" s="217" t="s">
        <v>3376</v>
      </c>
      <c r="G153" s="218" t="s">
        <v>1941</v>
      </c>
      <c r="H153" s="219">
        <v>14.103999999999999</v>
      </c>
      <c r="I153" s="745">
        <v>0</v>
      </c>
      <c r="J153" s="220">
        <f>ROUND(I153*H153,2)</f>
        <v>0</v>
      </c>
      <c r="K153" s="217" t="s">
        <v>3341</v>
      </c>
      <c r="L153" s="145"/>
      <c r="M153" s="221" t="s">
        <v>3268</v>
      </c>
      <c r="N153" s="222" t="s">
        <v>3296</v>
      </c>
      <c r="O153" s="223">
        <v>0.32800000000000001</v>
      </c>
      <c r="P153" s="223">
        <f>O153*H153</f>
        <v>4.626112</v>
      </c>
      <c r="Q153" s="223">
        <v>0</v>
      </c>
      <c r="R153" s="223">
        <f>Q153*H153</f>
        <v>0</v>
      </c>
      <c r="S153" s="223">
        <v>0</v>
      </c>
      <c r="T153" s="224">
        <f>S153*H153</f>
        <v>0</v>
      </c>
      <c r="AR153" s="225" t="s">
        <v>8</v>
      </c>
      <c r="AT153" s="225" t="s">
        <v>3338</v>
      </c>
      <c r="AU153" s="225" t="s">
        <v>6</v>
      </c>
      <c r="AY153" s="136" t="s">
        <v>3337</v>
      </c>
      <c r="BE153" s="226">
        <f>IF(N153="základní",J153,0)</f>
        <v>0</v>
      </c>
      <c r="BF153" s="226">
        <f>IF(N153="snížená",J153,0)</f>
        <v>0</v>
      </c>
      <c r="BG153" s="226">
        <f>IF(N153="zákl. přenesená",J153,0)</f>
        <v>0</v>
      </c>
      <c r="BH153" s="226">
        <f>IF(N153="sníž. přenesená",J153,0)</f>
        <v>0</v>
      </c>
      <c r="BI153" s="226">
        <f>IF(N153="nulová",J153,0)</f>
        <v>0</v>
      </c>
      <c r="BJ153" s="136" t="s">
        <v>5</v>
      </c>
      <c r="BK153" s="226">
        <f>ROUND(I153*H153,2)</f>
        <v>0</v>
      </c>
      <c r="BL153" s="136" t="s">
        <v>8</v>
      </c>
      <c r="BM153" s="225" t="s">
        <v>3562</v>
      </c>
    </row>
    <row r="154" spans="2:65" s="144" customFormat="1" ht="28.8">
      <c r="B154" s="145"/>
      <c r="D154" s="227" t="s">
        <v>3343</v>
      </c>
      <c r="F154" s="228" t="s">
        <v>3378</v>
      </c>
      <c r="L154" s="145"/>
      <c r="M154" s="229"/>
      <c r="T154" s="230"/>
      <c r="AT154" s="136" t="s">
        <v>3343</v>
      </c>
      <c r="AU154" s="136" t="s">
        <v>6</v>
      </c>
    </row>
    <row r="155" spans="2:65" s="231" customFormat="1">
      <c r="B155" s="232"/>
      <c r="D155" s="227" t="s">
        <v>3345</v>
      </c>
      <c r="E155" s="233" t="s">
        <v>3270</v>
      </c>
      <c r="F155" s="234" t="s">
        <v>3563</v>
      </c>
      <c r="H155" s="235">
        <v>14.103999999999999</v>
      </c>
      <c r="L155" s="232"/>
      <c r="M155" s="236"/>
      <c r="T155" s="237"/>
      <c r="AT155" s="233" t="s">
        <v>3345</v>
      </c>
      <c r="AU155" s="233" t="s">
        <v>6</v>
      </c>
      <c r="AV155" s="231" t="s">
        <v>6</v>
      </c>
      <c r="AW155" s="231" t="s">
        <v>3347</v>
      </c>
      <c r="AX155" s="231" t="s">
        <v>5</v>
      </c>
      <c r="AY155" s="233" t="s">
        <v>3337</v>
      </c>
    </row>
    <row r="156" spans="2:65" s="202" customFormat="1" ht="22.95" customHeight="1">
      <c r="B156" s="203"/>
      <c r="D156" s="204" t="s">
        <v>3334</v>
      </c>
      <c r="E156" s="212" t="s">
        <v>7</v>
      </c>
      <c r="F156" s="212" t="s">
        <v>2051</v>
      </c>
      <c r="J156" s="213">
        <f>BK156</f>
        <v>0</v>
      </c>
      <c r="L156" s="203"/>
      <c r="M156" s="207"/>
      <c r="P156" s="208">
        <f>SUM(P157:P158)</f>
        <v>3.64</v>
      </c>
      <c r="R156" s="208">
        <f>SUM(R157:R158)</f>
        <v>0.64149999999999996</v>
      </c>
      <c r="T156" s="209">
        <f>SUM(T157:T158)</f>
        <v>0</v>
      </c>
      <c r="AR156" s="204" t="s">
        <v>5</v>
      </c>
      <c r="AT156" s="210" t="s">
        <v>3334</v>
      </c>
      <c r="AU156" s="210" t="s">
        <v>5</v>
      </c>
      <c r="AY156" s="204" t="s">
        <v>3337</v>
      </c>
      <c r="BK156" s="211">
        <f>SUM(BK157:BK158)</f>
        <v>0</v>
      </c>
    </row>
    <row r="157" spans="2:65" s="144" customFormat="1" ht="16.5" customHeight="1">
      <c r="B157" s="214"/>
      <c r="C157" s="215" t="s">
        <v>12</v>
      </c>
      <c r="D157" s="215" t="s">
        <v>3338</v>
      </c>
      <c r="E157" s="216" t="s">
        <v>3564</v>
      </c>
      <c r="F157" s="217" t="s">
        <v>3565</v>
      </c>
      <c r="G157" s="218" t="s">
        <v>1943</v>
      </c>
      <c r="H157" s="219">
        <v>1</v>
      </c>
      <c r="I157" s="745">
        <v>0</v>
      </c>
      <c r="J157" s="220">
        <f>ROUND(I157*H157,2)</f>
        <v>0</v>
      </c>
      <c r="K157" s="217" t="s">
        <v>3268</v>
      </c>
      <c r="L157" s="145"/>
      <c r="M157" s="221" t="s">
        <v>3268</v>
      </c>
      <c r="N157" s="222" t="s">
        <v>3296</v>
      </c>
      <c r="O157" s="223">
        <v>3.64</v>
      </c>
      <c r="P157" s="223">
        <f>O157*H157</f>
        <v>3.64</v>
      </c>
      <c r="Q157" s="223">
        <v>0.64149999999999996</v>
      </c>
      <c r="R157" s="223">
        <f>Q157*H157</f>
        <v>0.64149999999999996</v>
      </c>
      <c r="S157" s="223">
        <v>0</v>
      </c>
      <c r="T157" s="224">
        <f>S157*H157</f>
        <v>0</v>
      </c>
      <c r="AR157" s="225" t="s">
        <v>8</v>
      </c>
      <c r="AT157" s="225" t="s">
        <v>3338</v>
      </c>
      <c r="AU157" s="225" t="s">
        <v>6</v>
      </c>
      <c r="AY157" s="136" t="s">
        <v>3337</v>
      </c>
      <c r="BE157" s="226">
        <f>IF(N157="základní",J157,0)</f>
        <v>0</v>
      </c>
      <c r="BF157" s="226">
        <f>IF(N157="snížená",J157,0)</f>
        <v>0</v>
      </c>
      <c r="BG157" s="226">
        <f>IF(N157="zákl. přenesená",J157,0)</f>
        <v>0</v>
      </c>
      <c r="BH157" s="226">
        <f>IF(N157="sníž. přenesená",J157,0)</f>
        <v>0</v>
      </c>
      <c r="BI157" s="226">
        <f>IF(N157="nulová",J157,0)</f>
        <v>0</v>
      </c>
      <c r="BJ157" s="136" t="s">
        <v>5</v>
      </c>
      <c r="BK157" s="226">
        <f>ROUND(I157*H157,2)</f>
        <v>0</v>
      </c>
      <c r="BL157" s="136" t="s">
        <v>8</v>
      </c>
      <c r="BM157" s="225" t="s">
        <v>3566</v>
      </c>
    </row>
    <row r="158" spans="2:65" s="144" customFormat="1">
      <c r="B158" s="145"/>
      <c r="D158" s="227" t="s">
        <v>3343</v>
      </c>
      <c r="F158" s="228" t="s">
        <v>3565</v>
      </c>
      <c r="L158" s="145"/>
      <c r="M158" s="229"/>
      <c r="T158" s="230"/>
      <c r="AT158" s="136" t="s">
        <v>3343</v>
      </c>
      <c r="AU158" s="136" t="s">
        <v>6</v>
      </c>
    </row>
    <row r="159" spans="2:65" s="202" customFormat="1" ht="22.95" customHeight="1">
      <c r="B159" s="203"/>
      <c r="D159" s="204" t="s">
        <v>3334</v>
      </c>
      <c r="E159" s="212" t="s">
        <v>8</v>
      </c>
      <c r="F159" s="212" t="s">
        <v>2052</v>
      </c>
      <c r="J159" s="213">
        <f>BK159</f>
        <v>0</v>
      </c>
      <c r="L159" s="203"/>
      <c r="M159" s="207"/>
      <c r="P159" s="208">
        <f>SUM(P160:P162)</f>
        <v>0.44514599999999999</v>
      </c>
      <c r="R159" s="208">
        <f>SUM(R160:R162)</f>
        <v>0</v>
      </c>
      <c r="T159" s="209">
        <f>SUM(T160:T162)</f>
        <v>0</v>
      </c>
      <c r="AR159" s="204" t="s">
        <v>5</v>
      </c>
      <c r="AT159" s="210" t="s">
        <v>3334</v>
      </c>
      <c r="AU159" s="210" t="s">
        <v>5</v>
      </c>
      <c r="AY159" s="204" t="s">
        <v>3337</v>
      </c>
      <c r="BK159" s="211">
        <f>SUM(BK160:BK162)</f>
        <v>0</v>
      </c>
    </row>
    <row r="160" spans="2:65" s="144" customFormat="1" ht="16.5" customHeight="1">
      <c r="B160" s="214"/>
      <c r="C160" s="215" t="s">
        <v>13</v>
      </c>
      <c r="D160" s="215" t="s">
        <v>3338</v>
      </c>
      <c r="E160" s="216" t="s">
        <v>3390</v>
      </c>
      <c r="F160" s="217" t="s">
        <v>3391</v>
      </c>
      <c r="G160" s="218" t="s">
        <v>1941</v>
      </c>
      <c r="H160" s="219">
        <v>0.33800000000000002</v>
      </c>
      <c r="I160" s="745">
        <v>0</v>
      </c>
      <c r="J160" s="220">
        <f>ROUND(I160*H160,2)</f>
        <v>0</v>
      </c>
      <c r="K160" s="217" t="s">
        <v>3341</v>
      </c>
      <c r="L160" s="145"/>
      <c r="M160" s="221" t="s">
        <v>3268</v>
      </c>
      <c r="N160" s="222" t="s">
        <v>3296</v>
      </c>
      <c r="O160" s="223">
        <v>1.3169999999999999</v>
      </c>
      <c r="P160" s="223">
        <f>O160*H160</f>
        <v>0.44514599999999999</v>
      </c>
      <c r="Q160" s="223">
        <v>0</v>
      </c>
      <c r="R160" s="223">
        <f>Q160*H160</f>
        <v>0</v>
      </c>
      <c r="S160" s="223">
        <v>0</v>
      </c>
      <c r="T160" s="224">
        <f>S160*H160</f>
        <v>0</v>
      </c>
      <c r="AR160" s="225" t="s">
        <v>8</v>
      </c>
      <c r="AT160" s="225" t="s">
        <v>3338</v>
      </c>
      <c r="AU160" s="225" t="s">
        <v>6</v>
      </c>
      <c r="AY160" s="136" t="s">
        <v>3337</v>
      </c>
      <c r="BE160" s="226">
        <f>IF(N160="základní",J160,0)</f>
        <v>0</v>
      </c>
      <c r="BF160" s="226">
        <f>IF(N160="snížená",J160,0)</f>
        <v>0</v>
      </c>
      <c r="BG160" s="226">
        <f>IF(N160="zákl. přenesená",J160,0)</f>
        <v>0</v>
      </c>
      <c r="BH160" s="226">
        <f>IF(N160="sníž. přenesená",J160,0)</f>
        <v>0</v>
      </c>
      <c r="BI160" s="226">
        <f>IF(N160="nulová",J160,0)</f>
        <v>0</v>
      </c>
      <c r="BJ160" s="136" t="s">
        <v>5</v>
      </c>
      <c r="BK160" s="226">
        <f>ROUND(I160*H160,2)</f>
        <v>0</v>
      </c>
      <c r="BL160" s="136" t="s">
        <v>8</v>
      </c>
      <c r="BM160" s="225" t="s">
        <v>3567</v>
      </c>
    </row>
    <row r="161" spans="2:65" s="144" customFormat="1" ht="19.2">
      <c r="B161" s="145"/>
      <c r="D161" s="227" t="s">
        <v>3343</v>
      </c>
      <c r="F161" s="228" t="s">
        <v>3393</v>
      </c>
      <c r="L161" s="145"/>
      <c r="M161" s="229"/>
      <c r="T161" s="230"/>
      <c r="AT161" s="136" t="s">
        <v>3343</v>
      </c>
      <c r="AU161" s="136" t="s">
        <v>6</v>
      </c>
    </row>
    <row r="162" spans="2:65" s="231" customFormat="1">
      <c r="B162" s="232"/>
      <c r="D162" s="227" t="s">
        <v>3345</v>
      </c>
      <c r="E162" s="233" t="s">
        <v>3277</v>
      </c>
      <c r="F162" s="234" t="s">
        <v>3568</v>
      </c>
      <c r="H162" s="235">
        <v>0.33800000000000002</v>
      </c>
      <c r="L162" s="232"/>
      <c r="M162" s="236"/>
      <c r="T162" s="237"/>
      <c r="AT162" s="233" t="s">
        <v>3345</v>
      </c>
      <c r="AU162" s="233" t="s">
        <v>6</v>
      </c>
      <c r="AV162" s="231" t="s">
        <v>6</v>
      </c>
      <c r="AW162" s="231" t="s">
        <v>3347</v>
      </c>
      <c r="AX162" s="231" t="s">
        <v>5</v>
      </c>
      <c r="AY162" s="233" t="s">
        <v>3337</v>
      </c>
    </row>
    <row r="163" spans="2:65" s="202" customFormat="1" ht="25.95" customHeight="1">
      <c r="B163" s="203"/>
      <c r="D163" s="204" t="s">
        <v>3334</v>
      </c>
      <c r="E163" s="205" t="s">
        <v>3462</v>
      </c>
      <c r="F163" s="205" t="s">
        <v>3463</v>
      </c>
      <c r="J163" s="206">
        <f>BK163</f>
        <v>0</v>
      </c>
      <c r="L163" s="203"/>
      <c r="M163" s="207"/>
      <c r="P163" s="208">
        <f>P164</f>
        <v>0</v>
      </c>
      <c r="R163" s="208">
        <f>R164</f>
        <v>0</v>
      </c>
      <c r="T163" s="209">
        <f>T164</f>
        <v>0</v>
      </c>
      <c r="AR163" s="204" t="s">
        <v>9</v>
      </c>
      <c r="AT163" s="210" t="s">
        <v>3334</v>
      </c>
      <c r="AU163" s="210" t="s">
        <v>3336</v>
      </c>
      <c r="AY163" s="204" t="s">
        <v>3337</v>
      </c>
      <c r="BK163" s="211">
        <f>BK164</f>
        <v>0</v>
      </c>
    </row>
    <row r="164" spans="2:65" s="202" customFormat="1" ht="22.95" customHeight="1">
      <c r="B164" s="203"/>
      <c r="D164" s="204" t="s">
        <v>3334</v>
      </c>
      <c r="E164" s="212" t="s">
        <v>3464</v>
      </c>
      <c r="F164" s="212" t="s">
        <v>3465</v>
      </c>
      <c r="J164" s="213">
        <f>BK164</f>
        <v>0</v>
      </c>
      <c r="L164" s="203"/>
      <c r="M164" s="207"/>
      <c r="P164" s="208">
        <f>SUM(P165:P166)</f>
        <v>0</v>
      </c>
      <c r="R164" s="208">
        <f>SUM(R165:R166)</f>
        <v>0</v>
      </c>
      <c r="T164" s="209">
        <f>SUM(T165:T166)</f>
        <v>0</v>
      </c>
      <c r="AR164" s="204" t="s">
        <v>9</v>
      </c>
      <c r="AT164" s="210" t="s">
        <v>3334</v>
      </c>
      <c r="AU164" s="210" t="s">
        <v>5</v>
      </c>
      <c r="AY164" s="204" t="s">
        <v>3337</v>
      </c>
      <c r="BK164" s="211">
        <f>SUM(BK165:BK166)</f>
        <v>0</v>
      </c>
    </row>
    <row r="165" spans="2:65" s="144" customFormat="1" ht="16.5" customHeight="1">
      <c r="B165" s="214"/>
      <c r="C165" s="215" t="s">
        <v>14</v>
      </c>
      <c r="D165" s="215" t="s">
        <v>3338</v>
      </c>
      <c r="E165" s="216" t="s">
        <v>3470</v>
      </c>
      <c r="F165" s="217" t="s">
        <v>3471</v>
      </c>
      <c r="G165" s="218" t="s">
        <v>1938</v>
      </c>
      <c r="H165" s="219">
        <v>1</v>
      </c>
      <c r="I165" s="745">
        <v>0</v>
      </c>
      <c r="J165" s="220">
        <f>ROUND(I165*H165,2)</f>
        <v>0</v>
      </c>
      <c r="K165" s="217" t="s">
        <v>3341</v>
      </c>
      <c r="L165" s="145"/>
      <c r="M165" s="221" t="s">
        <v>3268</v>
      </c>
      <c r="N165" s="222" t="s">
        <v>3296</v>
      </c>
      <c r="O165" s="223">
        <v>0</v>
      </c>
      <c r="P165" s="223">
        <f>O165*H165</f>
        <v>0</v>
      </c>
      <c r="Q165" s="223">
        <v>0</v>
      </c>
      <c r="R165" s="223">
        <f>Q165*H165</f>
        <v>0</v>
      </c>
      <c r="S165" s="223">
        <v>0</v>
      </c>
      <c r="T165" s="224">
        <f>S165*H165</f>
        <v>0</v>
      </c>
      <c r="AR165" s="225" t="s">
        <v>3468</v>
      </c>
      <c r="AT165" s="225" t="s">
        <v>3338</v>
      </c>
      <c r="AU165" s="225" t="s">
        <v>6</v>
      </c>
      <c r="AY165" s="136" t="s">
        <v>3337</v>
      </c>
      <c r="BE165" s="226">
        <f>IF(N165="základní",J165,0)</f>
        <v>0</v>
      </c>
      <c r="BF165" s="226">
        <f>IF(N165="snížená",J165,0)</f>
        <v>0</v>
      </c>
      <c r="BG165" s="226">
        <f>IF(N165="zákl. přenesená",J165,0)</f>
        <v>0</v>
      </c>
      <c r="BH165" s="226">
        <f>IF(N165="sníž. přenesená",J165,0)</f>
        <v>0</v>
      </c>
      <c r="BI165" s="226">
        <f>IF(N165="nulová",J165,0)</f>
        <v>0</v>
      </c>
      <c r="BJ165" s="136" t="s">
        <v>5</v>
      </c>
      <c r="BK165" s="226">
        <f>ROUND(I165*H165,2)</f>
        <v>0</v>
      </c>
      <c r="BL165" s="136" t="s">
        <v>3468</v>
      </c>
      <c r="BM165" s="225" t="s">
        <v>3569</v>
      </c>
    </row>
    <row r="166" spans="2:65" s="144" customFormat="1">
      <c r="B166" s="145"/>
      <c r="D166" s="227" t="s">
        <v>3343</v>
      </c>
      <c r="F166" s="228" t="s">
        <v>3471</v>
      </c>
      <c r="L166" s="145"/>
      <c r="M166" s="260"/>
      <c r="N166" s="261"/>
      <c r="O166" s="261"/>
      <c r="P166" s="261"/>
      <c r="Q166" s="261"/>
      <c r="R166" s="261"/>
      <c r="S166" s="261"/>
      <c r="T166" s="262"/>
      <c r="AT166" s="136" t="s">
        <v>3343</v>
      </c>
      <c r="AU166" s="136" t="s">
        <v>6</v>
      </c>
    </row>
    <row r="167" spans="2:65" s="144" customFormat="1" ht="6.9" customHeight="1">
      <c r="B167" s="171"/>
      <c r="C167" s="172"/>
      <c r="D167" s="172"/>
      <c r="E167" s="172"/>
      <c r="F167" s="172"/>
      <c r="G167" s="172"/>
      <c r="H167" s="172"/>
      <c r="I167" s="172"/>
      <c r="J167" s="172"/>
      <c r="K167" s="172"/>
      <c r="L167" s="145"/>
    </row>
  </sheetData>
  <mergeCells count="9">
    <mergeCell ref="E87:H87"/>
    <mergeCell ref="E112:H112"/>
    <mergeCell ref="E114:H114"/>
    <mergeCell ref="L2:V2"/>
    <mergeCell ref="E7:H7"/>
    <mergeCell ref="E9:H9"/>
    <mergeCell ref="E18:H18"/>
    <mergeCell ref="E27:H27"/>
    <mergeCell ref="E85:H85"/>
  </mergeCells>
  <pageMargins left="0.7" right="0.7" top="0.78740157499999996" bottom="0.78740157499999996" header="0.3" footer="0.3"/>
  <pageSetup paperSize="9" scale="66" orientation="portrait" verticalDpi="0" r:id="rId1"/>
  <rowBreaks count="1" manualBreakCount="1">
    <brk id="79" min="1" max="10" man="1"/>
  </rowBreaks>
</worksheet>
</file>

<file path=xl/worksheets/sheet17.xml><?xml version="1.0" encoding="utf-8"?>
<worksheet xmlns="http://schemas.openxmlformats.org/spreadsheetml/2006/main" xmlns:r="http://schemas.openxmlformats.org/officeDocument/2006/relationships">
  <dimension ref="B2:BM208"/>
  <sheetViews>
    <sheetView topLeftCell="A133" zoomScaleNormal="100" workbookViewId="0">
      <selection activeCell="I190" sqref="I190 I192 I195 I197 I201 I203 I206"/>
    </sheetView>
  </sheetViews>
  <sheetFormatPr defaultColWidth="9.109375" defaultRowHeight="10.199999999999999"/>
  <cols>
    <col min="1" max="1" width="7.109375" style="135" customWidth="1"/>
    <col min="2" max="2" width="1.44140625" style="135" customWidth="1"/>
    <col min="3" max="3" width="3.5546875" style="135" customWidth="1"/>
    <col min="4" max="4" width="3.6640625" style="135" customWidth="1"/>
    <col min="5" max="5" width="14.6640625" style="135" customWidth="1"/>
    <col min="6" max="6" width="43.5546875" style="135" customWidth="1"/>
    <col min="7" max="7" width="8.109375" style="135" customWidth="1"/>
    <col min="8" max="8" width="9.88671875" style="135" customWidth="1"/>
    <col min="9" max="11" width="17.33203125" style="135" customWidth="1"/>
    <col min="12" max="12" width="8" style="135" customWidth="1"/>
    <col min="13" max="13" width="9.33203125" style="135" hidden="1" customWidth="1"/>
    <col min="14" max="14" width="9.109375" style="135"/>
    <col min="15" max="20" width="12.109375" style="135" hidden="1" customWidth="1"/>
    <col min="21" max="21" width="14" style="135" hidden="1" customWidth="1"/>
    <col min="22" max="22" width="10.5546875" style="135" customWidth="1"/>
    <col min="23" max="23" width="14" style="135" customWidth="1"/>
    <col min="24" max="24" width="10.5546875" style="135" customWidth="1"/>
    <col min="25" max="25" width="12.88671875" style="135" customWidth="1"/>
    <col min="26" max="26" width="9.44140625" style="135" customWidth="1"/>
    <col min="27" max="27" width="12.88671875" style="135" customWidth="1"/>
    <col min="28" max="28" width="14" style="135" customWidth="1"/>
    <col min="29" max="29" width="9.44140625" style="135" customWidth="1"/>
    <col min="30" max="30" width="12.88671875" style="135" customWidth="1"/>
    <col min="31" max="31" width="14" style="135" customWidth="1"/>
    <col min="32" max="16384" width="9.109375" style="135"/>
  </cols>
  <sheetData>
    <row r="2" spans="2:56" ht="36.9" customHeight="1">
      <c r="L2" s="970" t="s">
        <v>3265</v>
      </c>
      <c r="M2" s="971"/>
      <c r="N2" s="971"/>
      <c r="O2" s="971"/>
      <c r="P2" s="971"/>
      <c r="Q2" s="971"/>
      <c r="R2" s="971"/>
      <c r="S2" s="971"/>
      <c r="T2" s="971"/>
      <c r="U2" s="971"/>
      <c r="V2" s="971"/>
      <c r="AT2" s="136" t="s">
        <v>3477</v>
      </c>
      <c r="AZ2" s="137" t="s">
        <v>3267</v>
      </c>
      <c r="BA2" s="137" t="s">
        <v>3268</v>
      </c>
      <c r="BB2" s="137" t="s">
        <v>3268</v>
      </c>
      <c r="BC2" s="137" t="s">
        <v>3478</v>
      </c>
      <c r="BD2" s="137" t="s">
        <v>6</v>
      </c>
    </row>
    <row r="3" spans="2:56" ht="6.9" customHeight="1">
      <c r="B3" s="138"/>
      <c r="C3" s="139"/>
      <c r="D3" s="139"/>
      <c r="E3" s="139"/>
      <c r="F3" s="139"/>
      <c r="G3" s="139"/>
      <c r="H3" s="139"/>
      <c r="I3" s="139"/>
      <c r="J3" s="139"/>
      <c r="K3" s="139"/>
      <c r="L3" s="140"/>
      <c r="AT3" s="136" t="s">
        <v>6</v>
      </c>
      <c r="AZ3" s="137" t="s">
        <v>3270</v>
      </c>
      <c r="BA3" s="137" t="s">
        <v>3268</v>
      </c>
      <c r="BB3" s="137" t="s">
        <v>3268</v>
      </c>
      <c r="BC3" s="137" t="s">
        <v>3479</v>
      </c>
      <c r="BD3" s="137" t="s">
        <v>6</v>
      </c>
    </row>
    <row r="4" spans="2:56" ht="24.9" customHeight="1">
      <c r="B4" s="140"/>
      <c r="D4" s="141" t="s">
        <v>3272</v>
      </c>
      <c r="L4" s="140"/>
      <c r="M4" s="142" t="s">
        <v>3273</v>
      </c>
      <c r="AT4" s="136" t="s">
        <v>3274</v>
      </c>
      <c r="AZ4" s="137" t="s">
        <v>3275</v>
      </c>
      <c r="BA4" s="137" t="s">
        <v>3268</v>
      </c>
      <c r="BB4" s="137" t="s">
        <v>3268</v>
      </c>
      <c r="BC4" s="137" t="s">
        <v>3480</v>
      </c>
      <c r="BD4" s="137" t="s">
        <v>6</v>
      </c>
    </row>
    <row r="5" spans="2:56" ht="6.9" customHeight="1">
      <c r="B5" s="140"/>
      <c r="L5" s="140"/>
      <c r="AZ5" s="137" t="s">
        <v>3277</v>
      </c>
      <c r="BA5" s="137" t="s">
        <v>3268</v>
      </c>
      <c r="BB5" s="137" t="s">
        <v>3268</v>
      </c>
      <c r="BC5" s="137" t="s">
        <v>3481</v>
      </c>
      <c r="BD5" s="137" t="s">
        <v>6</v>
      </c>
    </row>
    <row r="6" spans="2:56" ht="12" customHeight="1">
      <c r="B6" s="140"/>
      <c r="D6" s="143" t="s">
        <v>3279</v>
      </c>
      <c r="L6" s="140"/>
      <c r="AZ6" s="137" t="s">
        <v>3280</v>
      </c>
      <c r="BA6" s="137" t="s">
        <v>3268</v>
      </c>
      <c r="BB6" s="137" t="s">
        <v>3268</v>
      </c>
      <c r="BC6" s="137" t="s">
        <v>3482</v>
      </c>
      <c r="BD6" s="137" t="s">
        <v>6</v>
      </c>
    </row>
    <row r="7" spans="2:56" ht="16.5" customHeight="1">
      <c r="B7" s="140"/>
      <c r="E7" s="968" t="s">
        <v>5796</v>
      </c>
      <c r="F7" s="969"/>
      <c r="G7" s="969"/>
      <c r="H7" s="969"/>
      <c r="L7" s="140"/>
    </row>
    <row r="8" spans="2:56" s="144" customFormat="1" ht="12" customHeight="1">
      <c r="B8" s="145"/>
      <c r="D8" s="143" t="s">
        <v>3282</v>
      </c>
      <c r="L8" s="145"/>
    </row>
    <row r="9" spans="2:56" s="144" customFormat="1" ht="16.5" customHeight="1">
      <c r="B9" s="145"/>
      <c r="E9" s="966" t="s">
        <v>3483</v>
      </c>
      <c r="F9" s="967"/>
      <c r="G9" s="967"/>
      <c r="H9" s="967"/>
      <c r="L9" s="145"/>
    </row>
    <row r="10" spans="2:56" s="144" customFormat="1">
      <c r="B10" s="145"/>
      <c r="L10" s="145"/>
    </row>
    <row r="11" spans="2:56" s="144" customFormat="1" ht="12" customHeight="1">
      <c r="B11" s="145"/>
      <c r="D11" s="143" t="s">
        <v>3284</v>
      </c>
      <c r="F11" s="146" t="s">
        <v>3268</v>
      </c>
      <c r="I11" s="143" t="s">
        <v>3285</v>
      </c>
      <c r="J11" s="146" t="s">
        <v>3268</v>
      </c>
      <c r="L11" s="145"/>
    </row>
    <row r="12" spans="2:56" s="144" customFormat="1" ht="12" customHeight="1">
      <c r="B12" s="145"/>
      <c r="D12" s="143" t="s">
        <v>3286</v>
      </c>
      <c r="F12" s="146" t="s">
        <v>4</v>
      </c>
      <c r="I12" s="143" t="s">
        <v>3141</v>
      </c>
      <c r="J12" s="147" t="s">
        <v>5797</v>
      </c>
      <c r="L12" s="145"/>
    </row>
    <row r="13" spans="2:56" s="144" customFormat="1" ht="10.95" customHeight="1">
      <c r="B13" s="145"/>
      <c r="L13" s="145"/>
    </row>
    <row r="14" spans="2:56" s="144" customFormat="1" ht="12" customHeight="1">
      <c r="B14" s="145"/>
      <c r="D14" s="143" t="s">
        <v>3287</v>
      </c>
      <c r="I14" s="143" t="s">
        <v>3288</v>
      </c>
      <c r="J14" s="146" t="s">
        <v>3268</v>
      </c>
      <c r="L14" s="145"/>
    </row>
    <row r="15" spans="2:56" s="144" customFormat="1" ht="18" customHeight="1">
      <c r="B15" s="145"/>
      <c r="E15" s="146" t="s">
        <v>4</v>
      </c>
      <c r="I15" s="143" t="s">
        <v>3289</v>
      </c>
      <c r="J15" s="146" t="s">
        <v>3268</v>
      </c>
      <c r="L15" s="145"/>
    </row>
    <row r="16" spans="2:56" s="144" customFormat="1" ht="6.9" customHeight="1">
      <c r="B16" s="145"/>
      <c r="L16" s="145"/>
    </row>
    <row r="17" spans="2:12" s="144" customFormat="1" ht="12" customHeight="1">
      <c r="B17" s="145"/>
      <c r="D17" s="143" t="s">
        <v>1950</v>
      </c>
      <c r="I17" s="143" t="s">
        <v>3288</v>
      </c>
      <c r="J17" s="146" t="s">
        <v>3268</v>
      </c>
      <c r="L17" s="145"/>
    </row>
    <row r="18" spans="2:12" s="144" customFormat="1" ht="18" customHeight="1">
      <c r="B18" s="145"/>
      <c r="E18" s="972" t="s">
        <v>4</v>
      </c>
      <c r="F18" s="972"/>
      <c r="G18" s="972"/>
      <c r="H18" s="972"/>
      <c r="I18" s="143" t="s">
        <v>3289</v>
      </c>
      <c r="J18" s="146" t="s">
        <v>3268</v>
      </c>
      <c r="L18" s="145"/>
    </row>
    <row r="19" spans="2:12" s="144" customFormat="1" ht="6.9" customHeight="1">
      <c r="B19" s="145"/>
      <c r="L19" s="145"/>
    </row>
    <row r="20" spans="2:12" s="144" customFormat="1" ht="12" customHeight="1">
      <c r="B20" s="145"/>
      <c r="D20" s="143" t="s">
        <v>1949</v>
      </c>
      <c r="I20" s="143" t="s">
        <v>3288</v>
      </c>
      <c r="J20" s="146" t="s">
        <v>3268</v>
      </c>
      <c r="L20" s="145"/>
    </row>
    <row r="21" spans="2:12" s="144" customFormat="1" ht="18" customHeight="1">
      <c r="B21" s="145"/>
      <c r="E21" s="146" t="s">
        <v>4</v>
      </c>
      <c r="I21" s="143" t="s">
        <v>3289</v>
      </c>
      <c r="J21" s="146" t="s">
        <v>3268</v>
      </c>
      <c r="L21" s="145"/>
    </row>
    <row r="22" spans="2:12" s="144" customFormat="1" ht="6.9" customHeight="1">
      <c r="B22" s="145"/>
      <c r="L22" s="145"/>
    </row>
    <row r="23" spans="2:12" s="144" customFormat="1" ht="12" customHeight="1">
      <c r="B23" s="145"/>
      <c r="D23" s="143" t="s">
        <v>3290</v>
      </c>
      <c r="I23" s="143" t="s">
        <v>3288</v>
      </c>
      <c r="J23" s="146" t="s">
        <v>3268</v>
      </c>
      <c r="L23" s="145"/>
    </row>
    <row r="24" spans="2:12" s="144" customFormat="1" ht="18" customHeight="1">
      <c r="B24" s="145"/>
      <c r="E24" s="146" t="s">
        <v>4</v>
      </c>
      <c r="I24" s="143" t="s">
        <v>3289</v>
      </c>
      <c r="J24" s="146" t="s">
        <v>3268</v>
      </c>
      <c r="L24" s="145"/>
    </row>
    <row r="25" spans="2:12" s="144" customFormat="1" ht="6.9" customHeight="1">
      <c r="B25" s="145"/>
      <c r="L25" s="145"/>
    </row>
    <row r="26" spans="2:12" s="144" customFormat="1" ht="12" customHeight="1">
      <c r="B26" s="145"/>
      <c r="D26" s="143" t="s">
        <v>605</v>
      </c>
      <c r="L26" s="145"/>
    </row>
    <row r="27" spans="2:12" s="148" customFormat="1" ht="16.5" customHeight="1">
      <c r="B27" s="149"/>
      <c r="E27" s="973" t="s">
        <v>3268</v>
      </c>
      <c r="F27" s="973"/>
      <c r="G27" s="973"/>
      <c r="H27" s="973"/>
      <c r="L27" s="149"/>
    </row>
    <row r="28" spans="2:12" s="144" customFormat="1" ht="6.9" customHeight="1">
      <c r="B28" s="145"/>
      <c r="L28" s="145"/>
    </row>
    <row r="29" spans="2:12" s="144" customFormat="1" ht="6.9" customHeight="1">
      <c r="B29" s="145"/>
      <c r="D29" s="151"/>
      <c r="E29" s="151"/>
      <c r="F29" s="151"/>
      <c r="G29" s="151"/>
      <c r="H29" s="151"/>
      <c r="I29" s="151"/>
      <c r="J29" s="151"/>
      <c r="K29" s="151"/>
      <c r="L29" s="145"/>
    </row>
    <row r="30" spans="2:12" s="144" customFormat="1" ht="25.35" customHeight="1">
      <c r="B30" s="145"/>
      <c r="D30" s="152" t="s">
        <v>3291</v>
      </c>
      <c r="J30" s="153">
        <f>ROUND(J124, 2)</f>
        <v>0</v>
      </c>
      <c r="L30" s="145"/>
    </row>
    <row r="31" spans="2:12" s="144" customFormat="1" ht="6.9" customHeight="1">
      <c r="B31" s="145"/>
      <c r="D31" s="151"/>
      <c r="E31" s="151"/>
      <c r="F31" s="151"/>
      <c r="G31" s="151"/>
      <c r="H31" s="151"/>
      <c r="I31" s="151"/>
      <c r="J31" s="151"/>
      <c r="K31" s="151"/>
      <c r="L31" s="145"/>
    </row>
    <row r="32" spans="2:12" s="144" customFormat="1" ht="14.4" customHeight="1">
      <c r="B32" s="145"/>
      <c r="F32" s="154" t="s">
        <v>3292</v>
      </c>
      <c r="I32" s="154" t="s">
        <v>3293</v>
      </c>
      <c r="J32" s="154" t="s">
        <v>3294</v>
      </c>
      <c r="L32" s="145"/>
    </row>
    <row r="33" spans="2:12" s="144" customFormat="1" ht="14.4" customHeight="1">
      <c r="B33" s="145"/>
      <c r="D33" s="155" t="s">
        <v>3295</v>
      </c>
      <c r="E33" s="143" t="s">
        <v>3296</v>
      </c>
      <c r="F33" s="156">
        <f>ROUND((SUM(BE124:BE207)),  2)</f>
        <v>0</v>
      </c>
      <c r="I33" s="157">
        <v>0.21</v>
      </c>
      <c r="J33" s="156">
        <f>ROUND(((SUM(BE124:BE207))*I33),  2)</f>
        <v>0</v>
      </c>
      <c r="L33" s="145"/>
    </row>
    <row r="34" spans="2:12" s="144" customFormat="1" ht="14.4" customHeight="1">
      <c r="B34" s="145"/>
      <c r="E34" s="143" t="s">
        <v>3297</v>
      </c>
      <c r="F34" s="156">
        <f>ROUND((SUM(BF124:BF207)),  2)</f>
        <v>0</v>
      </c>
      <c r="I34" s="157">
        <v>0.15</v>
      </c>
      <c r="J34" s="156">
        <f>ROUND(((SUM(BF124:BF207))*I34),  2)</f>
        <v>0</v>
      </c>
      <c r="L34" s="145"/>
    </row>
    <row r="35" spans="2:12" s="144" customFormat="1" ht="14.4" hidden="1" customHeight="1">
      <c r="B35" s="145"/>
      <c r="E35" s="143" t="s">
        <v>3298</v>
      </c>
      <c r="F35" s="156">
        <f>ROUND((SUM(BG124:BG207)),  2)</f>
        <v>0</v>
      </c>
      <c r="I35" s="157">
        <v>0.21</v>
      </c>
      <c r="J35" s="156">
        <f>0</f>
        <v>0</v>
      </c>
      <c r="L35" s="145"/>
    </row>
    <row r="36" spans="2:12" s="144" customFormat="1" ht="14.4" hidden="1" customHeight="1">
      <c r="B36" s="145"/>
      <c r="E36" s="143" t="s">
        <v>3299</v>
      </c>
      <c r="F36" s="156">
        <f>ROUND((SUM(BH124:BH207)),  2)</f>
        <v>0</v>
      </c>
      <c r="I36" s="157">
        <v>0.15</v>
      </c>
      <c r="J36" s="156">
        <f>0</f>
        <v>0</v>
      </c>
      <c r="L36" s="145"/>
    </row>
    <row r="37" spans="2:12" s="144" customFormat="1" ht="14.4" hidden="1" customHeight="1">
      <c r="B37" s="145"/>
      <c r="E37" s="143" t="s">
        <v>3300</v>
      </c>
      <c r="F37" s="156">
        <f>ROUND((SUM(BI124:BI207)),  2)</f>
        <v>0</v>
      </c>
      <c r="I37" s="157">
        <v>0</v>
      </c>
      <c r="J37" s="156">
        <f>0</f>
        <v>0</v>
      </c>
      <c r="L37" s="145"/>
    </row>
    <row r="38" spans="2:12" s="144" customFormat="1" ht="6.9" customHeight="1">
      <c r="B38" s="145"/>
      <c r="L38" s="145"/>
    </row>
    <row r="39" spans="2:12" s="144" customFormat="1" ht="25.35" customHeight="1">
      <c r="B39" s="145"/>
      <c r="C39" s="158"/>
      <c r="D39" s="159" t="s">
        <v>3301</v>
      </c>
      <c r="E39" s="160"/>
      <c r="F39" s="160"/>
      <c r="G39" s="161" t="s">
        <v>3302</v>
      </c>
      <c r="H39" s="162" t="s">
        <v>3303</v>
      </c>
      <c r="I39" s="160"/>
      <c r="J39" s="163">
        <f>SUM(J30:J37)</f>
        <v>0</v>
      </c>
      <c r="K39" s="164"/>
      <c r="L39" s="145"/>
    </row>
    <row r="40" spans="2:12" s="144" customFormat="1" ht="14.4" customHeight="1">
      <c r="B40" s="145"/>
      <c r="L40" s="145"/>
    </row>
    <row r="41" spans="2:12" ht="14.4" customHeight="1">
      <c r="B41" s="140"/>
      <c r="L41" s="140"/>
    </row>
    <row r="42" spans="2:12" ht="14.4" customHeight="1">
      <c r="B42" s="140"/>
      <c r="L42" s="140"/>
    </row>
    <row r="43" spans="2:12" ht="14.4" customHeight="1">
      <c r="B43" s="140"/>
      <c r="L43" s="140"/>
    </row>
    <row r="44" spans="2:12" ht="14.4" customHeight="1">
      <c r="B44" s="140"/>
      <c r="L44" s="140"/>
    </row>
    <row r="45" spans="2:12" ht="14.4" customHeight="1">
      <c r="B45" s="140"/>
      <c r="L45" s="140"/>
    </row>
    <row r="46" spans="2:12" ht="14.4" customHeight="1">
      <c r="B46" s="140"/>
      <c r="L46" s="140"/>
    </row>
    <row r="47" spans="2:12" ht="14.4" customHeight="1">
      <c r="B47" s="140"/>
      <c r="L47" s="140"/>
    </row>
    <row r="48" spans="2:12" ht="14.4" customHeight="1">
      <c r="B48" s="140"/>
      <c r="L48" s="140"/>
    </row>
    <row r="49" spans="2:12" ht="14.4" customHeight="1">
      <c r="B49" s="140"/>
      <c r="L49" s="140"/>
    </row>
    <row r="50" spans="2:12" s="144" customFormat="1" ht="14.4" customHeight="1">
      <c r="B50" s="145"/>
      <c r="D50" s="165" t="s">
        <v>3115</v>
      </c>
      <c r="E50" s="166"/>
      <c r="F50" s="166"/>
      <c r="G50" s="165" t="s">
        <v>3304</v>
      </c>
      <c r="H50" s="166"/>
      <c r="I50" s="166"/>
      <c r="J50" s="166"/>
      <c r="K50" s="166"/>
      <c r="L50" s="145"/>
    </row>
    <row r="51" spans="2:12">
      <c r="B51" s="140"/>
      <c r="L51" s="140"/>
    </row>
    <row r="52" spans="2:12">
      <c r="B52" s="140"/>
      <c r="L52" s="140"/>
    </row>
    <row r="53" spans="2:12">
      <c r="B53" s="140"/>
      <c r="L53" s="140"/>
    </row>
    <row r="54" spans="2:12">
      <c r="B54" s="140"/>
      <c r="L54" s="140"/>
    </row>
    <row r="55" spans="2:12">
      <c r="B55" s="140"/>
      <c r="L55" s="140"/>
    </row>
    <row r="56" spans="2:12">
      <c r="B56" s="140"/>
      <c r="L56" s="140"/>
    </row>
    <row r="57" spans="2:12">
      <c r="B57" s="140"/>
      <c r="L57" s="140"/>
    </row>
    <row r="58" spans="2:12">
      <c r="B58" s="140"/>
      <c r="L58" s="140"/>
    </row>
    <row r="59" spans="2:12">
      <c r="B59" s="140"/>
      <c r="L59" s="140"/>
    </row>
    <row r="60" spans="2:12">
      <c r="B60" s="140"/>
      <c r="L60" s="140"/>
    </row>
    <row r="61" spans="2:12" s="144" customFormat="1" ht="13.2">
      <c r="B61" s="145"/>
      <c r="D61" s="167" t="s">
        <v>3305</v>
      </c>
      <c r="E61" s="168"/>
      <c r="F61" s="169" t="s">
        <v>3306</v>
      </c>
      <c r="G61" s="167" t="s">
        <v>3305</v>
      </c>
      <c r="H61" s="168"/>
      <c r="I61" s="168"/>
      <c r="J61" s="170" t="s">
        <v>3306</v>
      </c>
      <c r="K61" s="168"/>
      <c r="L61" s="145"/>
    </row>
    <row r="62" spans="2:12">
      <c r="B62" s="140"/>
      <c r="L62" s="140"/>
    </row>
    <row r="63" spans="2:12">
      <c r="B63" s="140"/>
      <c r="L63" s="140"/>
    </row>
    <row r="64" spans="2:12">
      <c r="B64" s="140"/>
      <c r="L64" s="140"/>
    </row>
    <row r="65" spans="2:12" s="144" customFormat="1" ht="13.2">
      <c r="B65" s="145"/>
      <c r="D65" s="165" t="s">
        <v>3307</v>
      </c>
      <c r="E65" s="166"/>
      <c r="F65" s="166"/>
      <c r="G65" s="165" t="s">
        <v>3138</v>
      </c>
      <c r="H65" s="166"/>
      <c r="I65" s="166"/>
      <c r="J65" s="166"/>
      <c r="K65" s="166"/>
      <c r="L65" s="145"/>
    </row>
    <row r="66" spans="2:12">
      <c r="B66" s="140"/>
      <c r="L66" s="140"/>
    </row>
    <row r="67" spans="2:12">
      <c r="B67" s="140"/>
      <c r="L67" s="140"/>
    </row>
    <row r="68" spans="2:12">
      <c r="B68" s="140"/>
      <c r="L68" s="140"/>
    </row>
    <row r="69" spans="2:12">
      <c r="B69" s="140"/>
      <c r="L69" s="140"/>
    </row>
    <row r="70" spans="2:12">
      <c r="B70" s="140"/>
      <c r="L70" s="140"/>
    </row>
    <row r="71" spans="2:12">
      <c r="B71" s="140"/>
      <c r="L71" s="140"/>
    </row>
    <row r="72" spans="2:12">
      <c r="B72" s="140"/>
      <c r="L72" s="140"/>
    </row>
    <row r="73" spans="2:12">
      <c r="B73" s="140"/>
      <c r="L73" s="140"/>
    </row>
    <row r="74" spans="2:12">
      <c r="B74" s="140"/>
      <c r="L74" s="140"/>
    </row>
    <row r="75" spans="2:12">
      <c r="B75" s="140"/>
      <c r="L75" s="140"/>
    </row>
    <row r="76" spans="2:12" s="144" customFormat="1" ht="13.2">
      <c r="B76" s="145"/>
      <c r="D76" s="167" t="s">
        <v>3305</v>
      </c>
      <c r="E76" s="168"/>
      <c r="F76" s="169" t="s">
        <v>3306</v>
      </c>
      <c r="G76" s="167" t="s">
        <v>3305</v>
      </c>
      <c r="H76" s="168"/>
      <c r="I76" s="168"/>
      <c r="J76" s="170" t="s">
        <v>3306</v>
      </c>
      <c r="K76" s="168"/>
      <c r="L76" s="145"/>
    </row>
    <row r="77" spans="2:12" s="144" customFormat="1" ht="14.4" customHeight="1">
      <c r="B77" s="171"/>
      <c r="C77" s="172"/>
      <c r="D77" s="172"/>
      <c r="E77" s="172"/>
      <c r="F77" s="172"/>
      <c r="G77" s="172"/>
      <c r="H77" s="172"/>
      <c r="I77" s="172"/>
      <c r="J77" s="172"/>
      <c r="K77" s="172"/>
      <c r="L77" s="145"/>
    </row>
    <row r="81" spans="2:47" s="144" customFormat="1" ht="6.9" customHeight="1">
      <c r="B81" s="173"/>
      <c r="C81" s="174"/>
      <c r="D81" s="174"/>
      <c r="E81" s="174"/>
      <c r="F81" s="174"/>
      <c r="G81" s="174"/>
      <c r="H81" s="174"/>
      <c r="I81" s="174"/>
      <c r="J81" s="174"/>
      <c r="K81" s="174"/>
      <c r="L81" s="145"/>
    </row>
    <row r="82" spans="2:47" s="144" customFormat="1" ht="24.9" customHeight="1">
      <c r="B82" s="145"/>
      <c r="C82" s="141" t="s">
        <v>3308</v>
      </c>
      <c r="L82" s="145"/>
    </row>
    <row r="83" spans="2:47" s="144" customFormat="1" ht="6.9" customHeight="1">
      <c r="B83" s="145"/>
      <c r="L83" s="145"/>
    </row>
    <row r="84" spans="2:47" s="144" customFormat="1" ht="12" customHeight="1">
      <c r="B84" s="145"/>
      <c r="C84" s="143" t="s">
        <v>3279</v>
      </c>
      <c r="L84" s="145"/>
    </row>
    <row r="85" spans="2:47" s="144" customFormat="1" ht="16.5" customHeight="1">
      <c r="B85" s="145"/>
      <c r="E85" s="968" t="str">
        <f>E7</f>
        <v>Dostavba ZŠ Mnichovice, 3. etapa, školní jídelna a kuchyně</v>
      </c>
      <c r="F85" s="969"/>
      <c r="G85" s="969"/>
      <c r="H85" s="969"/>
      <c r="L85" s="145"/>
    </row>
    <row r="86" spans="2:47" s="144" customFormat="1" ht="12" customHeight="1">
      <c r="B86" s="145"/>
      <c r="C86" s="143" t="s">
        <v>3282</v>
      </c>
      <c r="L86" s="145"/>
    </row>
    <row r="87" spans="2:47" s="144" customFormat="1" ht="16.5" customHeight="1">
      <c r="B87" s="145"/>
      <c r="E87" s="966" t="str">
        <f>E9</f>
        <v>D.2.4 - Přípojka vodovodu</v>
      </c>
      <c r="F87" s="967"/>
      <c r="G87" s="967"/>
      <c r="H87" s="967"/>
      <c r="L87" s="145"/>
    </row>
    <row r="88" spans="2:47" s="144" customFormat="1" ht="6.9" customHeight="1">
      <c r="B88" s="145"/>
      <c r="L88" s="145"/>
    </row>
    <row r="89" spans="2:47" s="144" customFormat="1" ht="12" customHeight="1">
      <c r="B89" s="145"/>
      <c r="C89" s="143" t="s">
        <v>3286</v>
      </c>
      <c r="F89" s="146" t="str">
        <f>F12</f>
        <v xml:space="preserve"> </v>
      </c>
      <c r="I89" s="143" t="s">
        <v>3141</v>
      </c>
      <c r="J89" s="147" t="str">
        <f>IF(J12="","",J12)</f>
        <v>15. 4. 2020</v>
      </c>
      <c r="L89" s="145"/>
    </row>
    <row r="90" spans="2:47" s="144" customFormat="1" ht="6.9" customHeight="1">
      <c r="B90" s="145"/>
      <c r="L90" s="145"/>
    </row>
    <row r="91" spans="2:47" s="144" customFormat="1" ht="15.15" customHeight="1">
      <c r="B91" s="145"/>
      <c r="C91" s="143" t="s">
        <v>3287</v>
      </c>
      <c r="F91" s="146" t="str">
        <f>E15</f>
        <v xml:space="preserve"> </v>
      </c>
      <c r="I91" s="143" t="s">
        <v>1949</v>
      </c>
      <c r="J91" s="150" t="str">
        <f>E21</f>
        <v xml:space="preserve"> </v>
      </c>
      <c r="L91" s="145"/>
    </row>
    <row r="92" spans="2:47" s="144" customFormat="1" ht="15.15" customHeight="1">
      <c r="B92" s="145"/>
      <c r="C92" s="143" t="s">
        <v>1950</v>
      </c>
      <c r="F92" s="146" t="str">
        <f>IF(E18="","",E18)</f>
        <v xml:space="preserve"> </v>
      </c>
      <c r="I92" s="143" t="s">
        <v>3290</v>
      </c>
      <c r="J92" s="150" t="str">
        <f>E24</f>
        <v xml:space="preserve"> </v>
      </c>
      <c r="L92" s="145"/>
    </row>
    <row r="93" spans="2:47" s="144" customFormat="1" ht="10.35" customHeight="1">
      <c r="B93" s="145"/>
      <c r="L93" s="145"/>
    </row>
    <row r="94" spans="2:47" s="144" customFormat="1" ht="29.25" customHeight="1">
      <c r="B94" s="145"/>
      <c r="C94" s="175" t="s">
        <v>3309</v>
      </c>
      <c r="D94" s="158"/>
      <c r="E94" s="158"/>
      <c r="F94" s="158"/>
      <c r="G94" s="158"/>
      <c r="H94" s="158"/>
      <c r="I94" s="158"/>
      <c r="J94" s="176" t="s">
        <v>3310</v>
      </c>
      <c r="K94" s="158"/>
      <c r="L94" s="145"/>
    </row>
    <row r="95" spans="2:47" s="144" customFormat="1" ht="10.35" customHeight="1">
      <c r="B95" s="145"/>
      <c r="L95" s="145"/>
    </row>
    <row r="96" spans="2:47" s="144" customFormat="1" ht="22.95" customHeight="1">
      <c r="B96" s="145"/>
      <c r="C96" s="177" t="s">
        <v>3311</v>
      </c>
      <c r="J96" s="153">
        <f>J124</f>
        <v>0</v>
      </c>
      <c r="L96" s="145"/>
      <c r="AU96" s="136" t="s">
        <v>3312</v>
      </c>
    </row>
    <row r="97" spans="2:12" s="178" customFormat="1" ht="24.9" customHeight="1">
      <c r="B97" s="179"/>
      <c r="D97" s="180" t="s">
        <v>3313</v>
      </c>
      <c r="E97" s="181"/>
      <c r="F97" s="181"/>
      <c r="G97" s="181"/>
      <c r="H97" s="181"/>
      <c r="I97" s="181"/>
      <c r="J97" s="182">
        <f>J125</f>
        <v>0</v>
      </c>
      <c r="L97" s="179"/>
    </row>
    <row r="98" spans="2:12" s="183" customFormat="1" ht="19.95" customHeight="1">
      <c r="B98" s="184"/>
      <c r="D98" s="185" t="s">
        <v>3314</v>
      </c>
      <c r="E98" s="186"/>
      <c r="F98" s="186"/>
      <c r="G98" s="186"/>
      <c r="H98" s="186"/>
      <c r="I98" s="186"/>
      <c r="J98" s="187">
        <f>J126</f>
        <v>0</v>
      </c>
      <c r="L98" s="184"/>
    </row>
    <row r="99" spans="2:12" s="183" customFormat="1" ht="19.95" customHeight="1">
      <c r="B99" s="184"/>
      <c r="D99" s="185" t="s">
        <v>3315</v>
      </c>
      <c r="E99" s="186"/>
      <c r="F99" s="186"/>
      <c r="G99" s="186"/>
      <c r="H99" s="186"/>
      <c r="I99" s="186"/>
      <c r="J99" s="187">
        <f>J165</f>
        <v>0</v>
      </c>
      <c r="L99" s="184"/>
    </row>
    <row r="100" spans="2:12" s="183" customFormat="1" ht="19.95" customHeight="1">
      <c r="B100" s="184"/>
      <c r="D100" s="185" t="s">
        <v>3316</v>
      </c>
      <c r="E100" s="186"/>
      <c r="F100" s="186"/>
      <c r="G100" s="186"/>
      <c r="H100" s="186"/>
      <c r="I100" s="186"/>
      <c r="J100" s="187">
        <f>J169</f>
        <v>0</v>
      </c>
      <c r="L100" s="184"/>
    </row>
    <row r="101" spans="2:12" s="183" customFormat="1" ht="19.95" customHeight="1">
      <c r="B101" s="184"/>
      <c r="D101" s="185" t="s">
        <v>3317</v>
      </c>
      <c r="E101" s="186"/>
      <c r="F101" s="186"/>
      <c r="G101" s="186"/>
      <c r="H101" s="186"/>
      <c r="I101" s="186"/>
      <c r="J101" s="187">
        <f>J194</f>
        <v>0</v>
      </c>
      <c r="L101" s="184"/>
    </row>
    <row r="102" spans="2:12" s="178" customFormat="1" ht="24.9" customHeight="1">
      <c r="B102" s="179"/>
      <c r="D102" s="180" t="s">
        <v>3318</v>
      </c>
      <c r="E102" s="181"/>
      <c r="F102" s="181"/>
      <c r="G102" s="181"/>
      <c r="H102" s="181"/>
      <c r="I102" s="181"/>
      <c r="J102" s="182">
        <f>J199</f>
        <v>0</v>
      </c>
      <c r="L102" s="179"/>
    </row>
    <row r="103" spans="2:12" s="183" customFormat="1" ht="19.95" customHeight="1">
      <c r="B103" s="184"/>
      <c r="D103" s="185" t="s">
        <v>3319</v>
      </c>
      <c r="E103" s="186"/>
      <c r="F103" s="186"/>
      <c r="G103" s="186"/>
      <c r="H103" s="186"/>
      <c r="I103" s="186"/>
      <c r="J103" s="187">
        <f>J200</f>
        <v>0</v>
      </c>
      <c r="L103" s="184"/>
    </row>
    <row r="104" spans="2:12" s="183" customFormat="1" ht="19.95" customHeight="1">
      <c r="B104" s="184"/>
      <c r="D104" s="185" t="s">
        <v>3320</v>
      </c>
      <c r="E104" s="186"/>
      <c r="F104" s="186"/>
      <c r="G104" s="186"/>
      <c r="H104" s="186"/>
      <c r="I104" s="186"/>
      <c r="J104" s="187">
        <f>J205</f>
        <v>0</v>
      </c>
      <c r="L104" s="184"/>
    </row>
    <row r="105" spans="2:12" s="144" customFormat="1" ht="21.75" customHeight="1">
      <c r="B105" s="145"/>
      <c r="L105" s="145"/>
    </row>
    <row r="106" spans="2:12" s="144" customFormat="1" ht="6.9" customHeight="1">
      <c r="B106" s="171"/>
      <c r="C106" s="172"/>
      <c r="D106" s="172"/>
      <c r="E106" s="172"/>
      <c r="F106" s="172"/>
      <c r="G106" s="172"/>
      <c r="H106" s="172"/>
      <c r="I106" s="172"/>
      <c r="J106" s="172"/>
      <c r="K106" s="172"/>
      <c r="L106" s="145"/>
    </row>
    <row r="110" spans="2:12" s="144" customFormat="1" ht="6.9" customHeight="1">
      <c r="B110" s="173"/>
      <c r="C110" s="174"/>
      <c r="D110" s="174"/>
      <c r="E110" s="174"/>
      <c r="F110" s="174"/>
      <c r="G110" s="174"/>
      <c r="H110" s="174"/>
      <c r="I110" s="174"/>
      <c r="J110" s="174"/>
      <c r="K110" s="174"/>
      <c r="L110" s="145"/>
    </row>
    <row r="111" spans="2:12" s="144" customFormat="1" ht="24.9" customHeight="1">
      <c r="B111" s="145"/>
      <c r="C111" s="141" t="s">
        <v>3321</v>
      </c>
      <c r="L111" s="145"/>
    </row>
    <row r="112" spans="2:12" s="144" customFormat="1" ht="6.9" customHeight="1">
      <c r="B112" s="145"/>
      <c r="L112" s="145"/>
    </row>
    <row r="113" spans="2:65" s="144" customFormat="1" ht="12" customHeight="1">
      <c r="B113" s="145"/>
      <c r="C113" s="143" t="s">
        <v>3279</v>
      </c>
      <c r="L113" s="145"/>
    </row>
    <row r="114" spans="2:65" s="144" customFormat="1" ht="16.5" customHeight="1">
      <c r="B114" s="145"/>
      <c r="E114" s="968" t="str">
        <f>E7</f>
        <v>Dostavba ZŠ Mnichovice, 3. etapa, školní jídelna a kuchyně</v>
      </c>
      <c r="F114" s="969"/>
      <c r="G114" s="969"/>
      <c r="H114" s="969"/>
      <c r="L114" s="145"/>
    </row>
    <row r="115" spans="2:65" s="144" customFormat="1" ht="12" customHeight="1">
      <c r="B115" s="145"/>
      <c r="C115" s="143" t="s">
        <v>3282</v>
      </c>
      <c r="L115" s="145"/>
    </row>
    <row r="116" spans="2:65" s="144" customFormat="1" ht="16.5" customHeight="1">
      <c r="B116" s="145"/>
      <c r="E116" s="966" t="str">
        <f>E9</f>
        <v>D.2.4 - Přípojka vodovodu</v>
      </c>
      <c r="F116" s="967"/>
      <c r="G116" s="967"/>
      <c r="H116" s="967"/>
      <c r="L116" s="145"/>
    </row>
    <row r="117" spans="2:65" s="144" customFormat="1" ht="6.9" customHeight="1">
      <c r="B117" s="145"/>
      <c r="L117" s="145"/>
    </row>
    <row r="118" spans="2:65" s="144" customFormat="1" ht="12" customHeight="1">
      <c r="B118" s="145"/>
      <c r="C118" s="143" t="s">
        <v>3286</v>
      </c>
      <c r="F118" s="146" t="str">
        <f>F12</f>
        <v xml:space="preserve"> </v>
      </c>
      <c r="I118" s="143" t="s">
        <v>3141</v>
      </c>
      <c r="J118" s="147" t="str">
        <f>IF(J12="","",J12)</f>
        <v>15. 4. 2020</v>
      </c>
      <c r="L118" s="145"/>
    </row>
    <row r="119" spans="2:65" s="144" customFormat="1" ht="6.9" customHeight="1">
      <c r="B119" s="145"/>
      <c r="L119" s="145"/>
    </row>
    <row r="120" spans="2:65" s="144" customFormat="1" ht="15.15" customHeight="1">
      <c r="B120" s="145"/>
      <c r="C120" s="143" t="s">
        <v>3287</v>
      </c>
      <c r="F120" s="146" t="str">
        <f>E15</f>
        <v xml:space="preserve"> </v>
      </c>
      <c r="I120" s="143" t="s">
        <v>1949</v>
      </c>
      <c r="J120" s="150" t="str">
        <f>E21</f>
        <v xml:space="preserve"> </v>
      </c>
      <c r="L120" s="145"/>
    </row>
    <row r="121" spans="2:65" s="144" customFormat="1" ht="15.15" customHeight="1">
      <c r="B121" s="145"/>
      <c r="C121" s="143" t="s">
        <v>1950</v>
      </c>
      <c r="F121" s="146" t="str">
        <f>IF(E18="","",E18)</f>
        <v xml:space="preserve"> </v>
      </c>
      <c r="I121" s="143" t="s">
        <v>3290</v>
      </c>
      <c r="J121" s="150" t="str">
        <f>E24</f>
        <v xml:space="preserve"> </v>
      </c>
      <c r="L121" s="145"/>
    </row>
    <row r="122" spans="2:65" s="144" customFormat="1" ht="10.35" customHeight="1">
      <c r="B122" s="145"/>
      <c r="L122" s="145"/>
    </row>
    <row r="123" spans="2:65" s="188" customFormat="1" ht="29.25" customHeight="1">
      <c r="B123" s="189"/>
      <c r="C123" s="190" t="s">
        <v>3322</v>
      </c>
      <c r="D123" s="191" t="s">
        <v>3323</v>
      </c>
      <c r="E123" s="191" t="s">
        <v>607</v>
      </c>
      <c r="F123" s="191" t="s">
        <v>3324</v>
      </c>
      <c r="G123" s="191" t="s">
        <v>1937</v>
      </c>
      <c r="H123" s="191" t="s">
        <v>1946</v>
      </c>
      <c r="I123" s="191" t="s">
        <v>3325</v>
      </c>
      <c r="J123" s="191" t="s">
        <v>3310</v>
      </c>
      <c r="K123" s="192" t="s">
        <v>3326</v>
      </c>
      <c r="L123" s="189"/>
      <c r="M123" s="193" t="s">
        <v>3268</v>
      </c>
      <c r="N123" s="194" t="s">
        <v>3295</v>
      </c>
      <c r="O123" s="194" t="s">
        <v>3327</v>
      </c>
      <c r="P123" s="194" t="s">
        <v>3328</v>
      </c>
      <c r="Q123" s="194" t="s">
        <v>3329</v>
      </c>
      <c r="R123" s="194" t="s">
        <v>3330</v>
      </c>
      <c r="S123" s="194" t="s">
        <v>3331</v>
      </c>
      <c r="T123" s="195" t="s">
        <v>3332</v>
      </c>
    </row>
    <row r="124" spans="2:65" s="144" customFormat="1" ht="22.95" customHeight="1">
      <c r="B124" s="145"/>
      <c r="C124" s="196" t="s">
        <v>3333</v>
      </c>
      <c r="J124" s="197">
        <f>BK124</f>
        <v>0</v>
      </c>
      <c r="L124" s="145"/>
      <c r="M124" s="198"/>
      <c r="N124" s="151"/>
      <c r="O124" s="151"/>
      <c r="P124" s="199">
        <f>P125+P199</f>
        <v>30.715263999999998</v>
      </c>
      <c r="Q124" s="151"/>
      <c r="R124" s="199">
        <f>R125+R199</f>
        <v>0.16826000000000002</v>
      </c>
      <c r="S124" s="151"/>
      <c r="T124" s="200">
        <f>T125+T199</f>
        <v>0</v>
      </c>
      <c r="AT124" s="136" t="s">
        <v>3334</v>
      </c>
      <c r="AU124" s="136" t="s">
        <v>3312</v>
      </c>
      <c r="BK124" s="201">
        <f>BK125+BK199</f>
        <v>0</v>
      </c>
    </row>
    <row r="125" spans="2:65" s="202" customFormat="1" ht="25.95" customHeight="1">
      <c r="B125" s="203"/>
      <c r="D125" s="204" t="s">
        <v>3334</v>
      </c>
      <c r="E125" s="205" t="s">
        <v>1219</v>
      </c>
      <c r="F125" s="205" t="s">
        <v>3335</v>
      </c>
      <c r="J125" s="206">
        <f>BK125</f>
        <v>0</v>
      </c>
      <c r="L125" s="203"/>
      <c r="M125" s="207"/>
      <c r="P125" s="208">
        <f>P126+P165+P169+P194</f>
        <v>30.715263999999998</v>
      </c>
      <c r="R125" s="208">
        <f>R126+R165+R169+R194</f>
        <v>0.16826000000000002</v>
      </c>
      <c r="T125" s="209">
        <f>T126+T165+T169+T194</f>
        <v>0</v>
      </c>
      <c r="AR125" s="204" t="s">
        <v>5</v>
      </c>
      <c r="AT125" s="210" t="s">
        <v>3334</v>
      </c>
      <c r="AU125" s="210" t="s">
        <v>3336</v>
      </c>
      <c r="AY125" s="204" t="s">
        <v>3337</v>
      </c>
      <c r="BK125" s="211">
        <f>BK126+BK165+BK169+BK194</f>
        <v>0</v>
      </c>
    </row>
    <row r="126" spans="2:65" s="202" customFormat="1" ht="22.95" customHeight="1">
      <c r="B126" s="203"/>
      <c r="D126" s="204" t="s">
        <v>3334</v>
      </c>
      <c r="E126" s="212" t="s">
        <v>5</v>
      </c>
      <c r="F126" s="212" t="s">
        <v>2050</v>
      </c>
      <c r="J126" s="213">
        <f>BK126</f>
        <v>0</v>
      </c>
      <c r="L126" s="203"/>
      <c r="M126" s="207"/>
      <c r="P126" s="208">
        <f>SUM(P127:P164)</f>
        <v>18.7974</v>
      </c>
      <c r="R126" s="208">
        <f>SUM(R127:R164)</f>
        <v>0</v>
      </c>
      <c r="T126" s="209">
        <f>SUM(T127:T164)</f>
        <v>0</v>
      </c>
      <c r="AR126" s="204" t="s">
        <v>5</v>
      </c>
      <c r="AT126" s="210" t="s">
        <v>3334</v>
      </c>
      <c r="AU126" s="210" t="s">
        <v>5</v>
      </c>
      <c r="AY126" s="204" t="s">
        <v>3337</v>
      </c>
      <c r="BK126" s="211">
        <f>SUM(BK127:BK164)</f>
        <v>0</v>
      </c>
    </row>
    <row r="127" spans="2:65" s="144" customFormat="1" ht="21.75" customHeight="1">
      <c r="B127" s="214"/>
      <c r="C127" s="215" t="s">
        <v>5</v>
      </c>
      <c r="D127" s="215" t="s">
        <v>3338</v>
      </c>
      <c r="E127" s="216" t="s">
        <v>3339</v>
      </c>
      <c r="F127" s="217" t="s">
        <v>3340</v>
      </c>
      <c r="G127" s="218" t="s">
        <v>1941</v>
      </c>
      <c r="H127" s="219">
        <v>10.8</v>
      </c>
      <c r="I127" s="745">
        <v>0</v>
      </c>
      <c r="J127" s="220">
        <f>ROUND(I127*H127,2)</f>
        <v>0</v>
      </c>
      <c r="K127" s="217" t="s">
        <v>3341</v>
      </c>
      <c r="L127" s="145"/>
      <c r="M127" s="221" t="s">
        <v>3268</v>
      </c>
      <c r="N127" s="222" t="s">
        <v>3296</v>
      </c>
      <c r="O127" s="223">
        <v>1.1220000000000001</v>
      </c>
      <c r="P127" s="223">
        <f>O127*H127</f>
        <v>12.117600000000001</v>
      </c>
      <c r="Q127" s="223">
        <v>0</v>
      </c>
      <c r="R127" s="223">
        <f>Q127*H127</f>
        <v>0</v>
      </c>
      <c r="S127" s="223">
        <v>0</v>
      </c>
      <c r="T127" s="224">
        <f>S127*H127</f>
        <v>0</v>
      </c>
      <c r="AR127" s="225" t="s">
        <v>8</v>
      </c>
      <c r="AT127" s="225" t="s">
        <v>3338</v>
      </c>
      <c r="AU127" s="225" t="s">
        <v>6</v>
      </c>
      <c r="AY127" s="136" t="s">
        <v>3337</v>
      </c>
      <c r="BE127" s="226">
        <f>IF(N127="základní",J127,0)</f>
        <v>0</v>
      </c>
      <c r="BF127" s="226">
        <f>IF(N127="snížená",J127,0)</f>
        <v>0</v>
      </c>
      <c r="BG127" s="226">
        <f>IF(N127="zákl. přenesená",J127,0)</f>
        <v>0</v>
      </c>
      <c r="BH127" s="226">
        <f>IF(N127="sníž. přenesená",J127,0)</f>
        <v>0</v>
      </c>
      <c r="BI127" s="226">
        <f>IF(N127="nulová",J127,0)</f>
        <v>0</v>
      </c>
      <c r="BJ127" s="136" t="s">
        <v>5</v>
      </c>
      <c r="BK127" s="226">
        <f>ROUND(I127*H127,2)</f>
        <v>0</v>
      </c>
      <c r="BL127" s="136" t="s">
        <v>8</v>
      </c>
      <c r="BM127" s="225" t="s">
        <v>3484</v>
      </c>
    </row>
    <row r="128" spans="2:65" s="144" customFormat="1" ht="28.8">
      <c r="B128" s="145"/>
      <c r="D128" s="227" t="s">
        <v>3343</v>
      </c>
      <c r="F128" s="228" t="s">
        <v>3344</v>
      </c>
      <c r="L128" s="145"/>
      <c r="M128" s="229"/>
      <c r="T128" s="230"/>
      <c r="AT128" s="136" t="s">
        <v>3343</v>
      </c>
      <c r="AU128" s="136" t="s">
        <v>6</v>
      </c>
    </row>
    <row r="129" spans="2:65" s="231" customFormat="1">
      <c r="B129" s="232"/>
      <c r="D129" s="227" t="s">
        <v>3345</v>
      </c>
      <c r="E129" s="233" t="s">
        <v>3267</v>
      </c>
      <c r="F129" s="234" t="s">
        <v>3485</v>
      </c>
      <c r="H129" s="235">
        <v>10.8</v>
      </c>
      <c r="L129" s="232"/>
      <c r="M129" s="236"/>
      <c r="T129" s="237"/>
      <c r="AT129" s="233" t="s">
        <v>3345</v>
      </c>
      <c r="AU129" s="233" t="s">
        <v>6</v>
      </c>
      <c r="AV129" s="231" t="s">
        <v>6</v>
      </c>
      <c r="AW129" s="231" t="s">
        <v>3347</v>
      </c>
      <c r="AX129" s="231" t="s">
        <v>5</v>
      </c>
      <c r="AY129" s="233" t="s">
        <v>3337</v>
      </c>
    </row>
    <row r="130" spans="2:65" s="144" customFormat="1" ht="21.75" customHeight="1">
      <c r="B130" s="214"/>
      <c r="C130" s="215" t="s">
        <v>6</v>
      </c>
      <c r="D130" s="215" t="s">
        <v>3338</v>
      </c>
      <c r="E130" s="216" t="s">
        <v>3348</v>
      </c>
      <c r="F130" s="217" t="s">
        <v>3349</v>
      </c>
      <c r="G130" s="218" t="s">
        <v>1941</v>
      </c>
      <c r="H130" s="219">
        <v>15.12</v>
      </c>
      <c r="I130" s="745">
        <v>0</v>
      </c>
      <c r="J130" s="220">
        <f>ROUND(I130*H130,2)</f>
        <v>0</v>
      </c>
      <c r="K130" s="217" t="s">
        <v>3341</v>
      </c>
      <c r="L130" s="145"/>
      <c r="M130" s="221" t="s">
        <v>3268</v>
      </c>
      <c r="N130" s="222" t="s">
        <v>3296</v>
      </c>
      <c r="O130" s="223">
        <v>4.3999999999999997E-2</v>
      </c>
      <c r="P130" s="223">
        <f>O130*H130</f>
        <v>0.66527999999999987</v>
      </c>
      <c r="Q130" s="223">
        <v>0</v>
      </c>
      <c r="R130" s="223">
        <f>Q130*H130</f>
        <v>0</v>
      </c>
      <c r="S130" s="223">
        <v>0</v>
      </c>
      <c r="T130" s="224">
        <f>S130*H130</f>
        <v>0</v>
      </c>
      <c r="AR130" s="225" t="s">
        <v>8</v>
      </c>
      <c r="AT130" s="225" t="s">
        <v>3338</v>
      </c>
      <c r="AU130" s="225" t="s">
        <v>6</v>
      </c>
      <c r="AY130" s="136" t="s">
        <v>3337</v>
      </c>
      <c r="BE130" s="226">
        <f>IF(N130="základní",J130,0)</f>
        <v>0</v>
      </c>
      <c r="BF130" s="226">
        <f>IF(N130="snížená",J130,0)</f>
        <v>0</v>
      </c>
      <c r="BG130" s="226">
        <f>IF(N130="zákl. přenesená",J130,0)</f>
        <v>0</v>
      </c>
      <c r="BH130" s="226">
        <f>IF(N130="sníž. přenesená",J130,0)</f>
        <v>0</v>
      </c>
      <c r="BI130" s="226">
        <f>IF(N130="nulová",J130,0)</f>
        <v>0</v>
      </c>
      <c r="BJ130" s="136" t="s">
        <v>5</v>
      </c>
      <c r="BK130" s="226">
        <f>ROUND(I130*H130,2)</f>
        <v>0</v>
      </c>
      <c r="BL130" s="136" t="s">
        <v>8</v>
      </c>
      <c r="BM130" s="225" t="s">
        <v>3486</v>
      </c>
    </row>
    <row r="131" spans="2:65" s="144" customFormat="1" ht="38.4">
      <c r="B131" s="145"/>
      <c r="D131" s="227" t="s">
        <v>3343</v>
      </c>
      <c r="F131" s="228" t="s">
        <v>3351</v>
      </c>
      <c r="L131" s="145"/>
      <c r="M131" s="229"/>
      <c r="T131" s="230"/>
      <c r="AT131" s="136" t="s">
        <v>3343</v>
      </c>
      <c r="AU131" s="136" t="s">
        <v>6</v>
      </c>
    </row>
    <row r="132" spans="2:65" s="238" customFormat="1">
      <c r="B132" s="239"/>
      <c r="D132" s="227" t="s">
        <v>3345</v>
      </c>
      <c r="E132" s="240" t="s">
        <v>3268</v>
      </c>
      <c r="F132" s="241" t="s">
        <v>3352</v>
      </c>
      <c r="H132" s="240" t="s">
        <v>3268</v>
      </c>
      <c r="L132" s="239"/>
      <c r="M132" s="242"/>
      <c r="T132" s="243"/>
      <c r="AT132" s="240" t="s">
        <v>3345</v>
      </c>
      <c r="AU132" s="240" t="s">
        <v>6</v>
      </c>
      <c r="AV132" s="238" t="s">
        <v>5</v>
      </c>
      <c r="AW132" s="238" t="s">
        <v>3347</v>
      </c>
      <c r="AX132" s="238" t="s">
        <v>3336</v>
      </c>
      <c r="AY132" s="240" t="s">
        <v>3337</v>
      </c>
    </row>
    <row r="133" spans="2:65" s="231" customFormat="1">
      <c r="B133" s="232"/>
      <c r="D133" s="227" t="s">
        <v>3345</v>
      </c>
      <c r="E133" s="233" t="s">
        <v>3268</v>
      </c>
      <c r="F133" s="234" t="s">
        <v>3270</v>
      </c>
      <c r="H133" s="235">
        <v>7.56</v>
      </c>
      <c r="L133" s="232"/>
      <c r="M133" s="236"/>
      <c r="T133" s="237"/>
      <c r="AT133" s="233" t="s">
        <v>3345</v>
      </c>
      <c r="AU133" s="233" t="s">
        <v>6</v>
      </c>
      <c r="AV133" s="231" t="s">
        <v>6</v>
      </c>
      <c r="AW133" s="231" t="s">
        <v>3347</v>
      </c>
      <c r="AX133" s="231" t="s">
        <v>3336</v>
      </c>
      <c r="AY133" s="233" t="s">
        <v>3337</v>
      </c>
    </row>
    <row r="134" spans="2:65" s="238" customFormat="1">
      <c r="B134" s="239"/>
      <c r="D134" s="227" t="s">
        <v>3345</v>
      </c>
      <c r="E134" s="240" t="s">
        <v>3268</v>
      </c>
      <c r="F134" s="241" t="s">
        <v>3353</v>
      </c>
      <c r="H134" s="240" t="s">
        <v>3268</v>
      </c>
      <c r="L134" s="239"/>
      <c r="M134" s="242"/>
      <c r="T134" s="243"/>
      <c r="AT134" s="240" t="s">
        <v>3345</v>
      </c>
      <c r="AU134" s="240" t="s">
        <v>6</v>
      </c>
      <c r="AV134" s="238" t="s">
        <v>5</v>
      </c>
      <c r="AW134" s="238" t="s">
        <v>3347</v>
      </c>
      <c r="AX134" s="238" t="s">
        <v>3336</v>
      </c>
      <c r="AY134" s="240" t="s">
        <v>3337</v>
      </c>
    </row>
    <row r="135" spans="2:65" s="231" customFormat="1">
      <c r="B135" s="232"/>
      <c r="D135" s="227" t="s">
        <v>3345</v>
      </c>
      <c r="E135" s="233" t="s">
        <v>3268</v>
      </c>
      <c r="F135" s="234" t="s">
        <v>3270</v>
      </c>
      <c r="H135" s="235">
        <v>7.56</v>
      </c>
      <c r="L135" s="232"/>
      <c r="M135" s="236"/>
      <c r="T135" s="237"/>
      <c r="AT135" s="233" t="s">
        <v>3345</v>
      </c>
      <c r="AU135" s="233" t="s">
        <v>6</v>
      </c>
      <c r="AV135" s="231" t="s">
        <v>6</v>
      </c>
      <c r="AW135" s="231" t="s">
        <v>3347</v>
      </c>
      <c r="AX135" s="231" t="s">
        <v>3336</v>
      </c>
      <c r="AY135" s="233" t="s">
        <v>3337</v>
      </c>
    </row>
    <row r="136" spans="2:65" s="244" customFormat="1">
      <c r="B136" s="245"/>
      <c r="D136" s="227" t="s">
        <v>3345</v>
      </c>
      <c r="E136" s="246" t="s">
        <v>3268</v>
      </c>
      <c r="F136" s="247" t="s">
        <v>3354</v>
      </c>
      <c r="H136" s="248">
        <v>15.12</v>
      </c>
      <c r="L136" s="245"/>
      <c r="M136" s="249"/>
      <c r="T136" s="250"/>
      <c r="AT136" s="246" t="s">
        <v>3345</v>
      </c>
      <c r="AU136" s="246" t="s">
        <v>6</v>
      </c>
      <c r="AV136" s="244" t="s">
        <v>8</v>
      </c>
      <c r="AW136" s="244" t="s">
        <v>3347</v>
      </c>
      <c r="AX136" s="244" t="s">
        <v>5</v>
      </c>
      <c r="AY136" s="246" t="s">
        <v>3337</v>
      </c>
    </row>
    <row r="137" spans="2:65" s="144" customFormat="1" ht="21.75" customHeight="1">
      <c r="B137" s="214"/>
      <c r="C137" s="215" t="s">
        <v>7</v>
      </c>
      <c r="D137" s="215" t="s">
        <v>3338</v>
      </c>
      <c r="E137" s="216" t="s">
        <v>3355</v>
      </c>
      <c r="F137" s="217" t="s">
        <v>3356</v>
      </c>
      <c r="G137" s="218" t="s">
        <v>1941</v>
      </c>
      <c r="H137" s="219">
        <v>3.24</v>
      </c>
      <c r="I137" s="745">
        <v>0</v>
      </c>
      <c r="J137" s="220">
        <f>ROUND(I137*H137,2)</f>
        <v>0</v>
      </c>
      <c r="K137" s="217" t="s">
        <v>3341</v>
      </c>
      <c r="L137" s="145"/>
      <c r="M137" s="221" t="s">
        <v>3268</v>
      </c>
      <c r="N137" s="222" t="s">
        <v>3296</v>
      </c>
      <c r="O137" s="223">
        <v>8.6999999999999994E-2</v>
      </c>
      <c r="P137" s="223">
        <f>O137*H137</f>
        <v>0.28188000000000002</v>
      </c>
      <c r="Q137" s="223">
        <v>0</v>
      </c>
      <c r="R137" s="223">
        <f>Q137*H137</f>
        <v>0</v>
      </c>
      <c r="S137" s="223">
        <v>0</v>
      </c>
      <c r="T137" s="224">
        <f>S137*H137</f>
        <v>0</v>
      </c>
      <c r="AR137" s="225" t="s">
        <v>8</v>
      </c>
      <c r="AT137" s="225" t="s">
        <v>3338</v>
      </c>
      <c r="AU137" s="225" t="s">
        <v>6</v>
      </c>
      <c r="AY137" s="136" t="s">
        <v>3337</v>
      </c>
      <c r="BE137" s="226">
        <f>IF(N137="základní",J137,0)</f>
        <v>0</v>
      </c>
      <c r="BF137" s="226">
        <f>IF(N137="snížená",J137,0)</f>
        <v>0</v>
      </c>
      <c r="BG137" s="226">
        <f>IF(N137="zákl. přenesená",J137,0)</f>
        <v>0</v>
      </c>
      <c r="BH137" s="226">
        <f>IF(N137="sníž. přenesená",J137,0)</f>
        <v>0</v>
      </c>
      <c r="BI137" s="226">
        <f>IF(N137="nulová",J137,0)</f>
        <v>0</v>
      </c>
      <c r="BJ137" s="136" t="s">
        <v>5</v>
      </c>
      <c r="BK137" s="226">
        <f>ROUND(I137*H137,2)</f>
        <v>0</v>
      </c>
      <c r="BL137" s="136" t="s">
        <v>8</v>
      </c>
      <c r="BM137" s="225" t="s">
        <v>3487</v>
      </c>
    </row>
    <row r="138" spans="2:65" s="144" customFormat="1" ht="38.4">
      <c r="B138" s="145"/>
      <c r="D138" s="227" t="s">
        <v>3343</v>
      </c>
      <c r="F138" s="228" t="s">
        <v>3358</v>
      </c>
      <c r="L138" s="145"/>
      <c r="M138" s="229"/>
      <c r="T138" s="230"/>
      <c r="AT138" s="136" t="s">
        <v>3343</v>
      </c>
      <c r="AU138" s="136" t="s">
        <v>6</v>
      </c>
    </row>
    <row r="139" spans="2:65" s="238" customFormat="1">
      <c r="B139" s="239"/>
      <c r="D139" s="227" t="s">
        <v>3345</v>
      </c>
      <c r="E139" s="240" t="s">
        <v>3268</v>
      </c>
      <c r="F139" s="241" t="s">
        <v>3359</v>
      </c>
      <c r="H139" s="240" t="s">
        <v>3268</v>
      </c>
      <c r="L139" s="239"/>
      <c r="M139" s="242"/>
      <c r="T139" s="243"/>
      <c r="AT139" s="240" t="s">
        <v>3345</v>
      </c>
      <c r="AU139" s="240" t="s">
        <v>6</v>
      </c>
      <c r="AV139" s="238" t="s">
        <v>5</v>
      </c>
      <c r="AW139" s="238" t="s">
        <v>3347</v>
      </c>
      <c r="AX139" s="238" t="s">
        <v>3336</v>
      </c>
      <c r="AY139" s="240" t="s">
        <v>3337</v>
      </c>
    </row>
    <row r="140" spans="2:65" s="231" customFormat="1">
      <c r="B140" s="232"/>
      <c r="D140" s="227" t="s">
        <v>3345</v>
      </c>
      <c r="E140" s="233" t="s">
        <v>3275</v>
      </c>
      <c r="F140" s="234" t="s">
        <v>3360</v>
      </c>
      <c r="H140" s="235">
        <v>3.24</v>
      </c>
      <c r="L140" s="232"/>
      <c r="M140" s="236"/>
      <c r="T140" s="237"/>
      <c r="AT140" s="233" t="s">
        <v>3345</v>
      </c>
      <c r="AU140" s="233" t="s">
        <v>6</v>
      </c>
      <c r="AV140" s="231" t="s">
        <v>6</v>
      </c>
      <c r="AW140" s="231" t="s">
        <v>3347</v>
      </c>
      <c r="AX140" s="231" t="s">
        <v>5</v>
      </c>
      <c r="AY140" s="233" t="s">
        <v>3337</v>
      </c>
    </row>
    <row r="141" spans="2:65" s="144" customFormat="1" ht="21.75" customHeight="1">
      <c r="B141" s="214"/>
      <c r="C141" s="215" t="s">
        <v>8</v>
      </c>
      <c r="D141" s="215" t="s">
        <v>3338</v>
      </c>
      <c r="E141" s="216" t="s">
        <v>3361</v>
      </c>
      <c r="F141" s="217" t="s">
        <v>3362</v>
      </c>
      <c r="G141" s="218" t="s">
        <v>1941</v>
      </c>
      <c r="H141" s="219">
        <v>10.8</v>
      </c>
      <c r="I141" s="745">
        <v>0</v>
      </c>
      <c r="J141" s="220">
        <f>ROUND(I141*H141,2)</f>
        <v>0</v>
      </c>
      <c r="K141" s="217" t="s">
        <v>3341</v>
      </c>
      <c r="L141" s="145"/>
      <c r="M141" s="221" t="s">
        <v>3268</v>
      </c>
      <c r="N141" s="222" t="s">
        <v>3296</v>
      </c>
      <c r="O141" s="223">
        <v>0.19700000000000001</v>
      </c>
      <c r="P141" s="223">
        <f>O141*H141</f>
        <v>2.1276000000000002</v>
      </c>
      <c r="Q141" s="223">
        <v>0</v>
      </c>
      <c r="R141" s="223">
        <f>Q141*H141</f>
        <v>0</v>
      </c>
      <c r="S141" s="223">
        <v>0</v>
      </c>
      <c r="T141" s="224">
        <f>S141*H141</f>
        <v>0</v>
      </c>
      <c r="AR141" s="225" t="s">
        <v>8</v>
      </c>
      <c r="AT141" s="225" t="s">
        <v>3338</v>
      </c>
      <c r="AU141" s="225" t="s">
        <v>6</v>
      </c>
      <c r="AY141" s="136" t="s">
        <v>3337</v>
      </c>
      <c r="BE141" s="226">
        <f>IF(N141="základní",J141,0)</f>
        <v>0</v>
      </c>
      <c r="BF141" s="226">
        <f>IF(N141="snížená",J141,0)</f>
        <v>0</v>
      </c>
      <c r="BG141" s="226">
        <f>IF(N141="zákl. přenesená",J141,0)</f>
        <v>0</v>
      </c>
      <c r="BH141" s="226">
        <f>IF(N141="sníž. přenesená",J141,0)</f>
        <v>0</v>
      </c>
      <c r="BI141" s="226">
        <f>IF(N141="nulová",J141,0)</f>
        <v>0</v>
      </c>
      <c r="BJ141" s="136" t="s">
        <v>5</v>
      </c>
      <c r="BK141" s="226">
        <f>ROUND(I141*H141,2)</f>
        <v>0</v>
      </c>
      <c r="BL141" s="136" t="s">
        <v>8</v>
      </c>
      <c r="BM141" s="225" t="s">
        <v>3488</v>
      </c>
    </row>
    <row r="142" spans="2:65" s="144" customFormat="1" ht="28.8">
      <c r="B142" s="145"/>
      <c r="D142" s="227" t="s">
        <v>3343</v>
      </c>
      <c r="F142" s="228" t="s">
        <v>3364</v>
      </c>
      <c r="L142" s="145"/>
      <c r="M142" s="229"/>
      <c r="T142" s="230"/>
      <c r="AT142" s="136" t="s">
        <v>3343</v>
      </c>
      <c r="AU142" s="136" t="s">
        <v>6</v>
      </c>
    </row>
    <row r="143" spans="2:65" s="238" customFormat="1">
      <c r="B143" s="239"/>
      <c r="D143" s="227" t="s">
        <v>3345</v>
      </c>
      <c r="E143" s="240" t="s">
        <v>3268</v>
      </c>
      <c r="F143" s="241" t="s">
        <v>3359</v>
      </c>
      <c r="H143" s="240" t="s">
        <v>3268</v>
      </c>
      <c r="L143" s="239"/>
      <c r="M143" s="242"/>
      <c r="T143" s="243"/>
      <c r="AT143" s="240" t="s">
        <v>3345</v>
      </c>
      <c r="AU143" s="240" t="s">
        <v>6</v>
      </c>
      <c r="AV143" s="238" t="s">
        <v>5</v>
      </c>
      <c r="AW143" s="238" t="s">
        <v>3347</v>
      </c>
      <c r="AX143" s="238" t="s">
        <v>3336</v>
      </c>
      <c r="AY143" s="240" t="s">
        <v>3337</v>
      </c>
    </row>
    <row r="144" spans="2:65" s="231" customFormat="1">
      <c r="B144" s="232"/>
      <c r="D144" s="227" t="s">
        <v>3345</v>
      </c>
      <c r="E144" s="233" t="s">
        <v>3268</v>
      </c>
      <c r="F144" s="234" t="s">
        <v>3275</v>
      </c>
      <c r="H144" s="235">
        <v>3.24</v>
      </c>
      <c r="L144" s="232"/>
      <c r="M144" s="236"/>
      <c r="T144" s="237"/>
      <c r="AT144" s="233" t="s">
        <v>3345</v>
      </c>
      <c r="AU144" s="233" t="s">
        <v>6</v>
      </c>
      <c r="AV144" s="231" t="s">
        <v>6</v>
      </c>
      <c r="AW144" s="231" t="s">
        <v>3347</v>
      </c>
      <c r="AX144" s="231" t="s">
        <v>3336</v>
      </c>
      <c r="AY144" s="233" t="s">
        <v>3337</v>
      </c>
    </row>
    <row r="145" spans="2:65" s="238" customFormat="1">
      <c r="B145" s="239"/>
      <c r="D145" s="227" t="s">
        <v>3345</v>
      </c>
      <c r="E145" s="240" t="s">
        <v>3268</v>
      </c>
      <c r="F145" s="241" t="s">
        <v>3365</v>
      </c>
      <c r="H145" s="240" t="s">
        <v>3268</v>
      </c>
      <c r="L145" s="239"/>
      <c r="M145" s="242"/>
      <c r="T145" s="243"/>
      <c r="AT145" s="240" t="s">
        <v>3345</v>
      </c>
      <c r="AU145" s="240" t="s">
        <v>6</v>
      </c>
      <c r="AV145" s="238" t="s">
        <v>5</v>
      </c>
      <c r="AW145" s="238" t="s">
        <v>3347</v>
      </c>
      <c r="AX145" s="238" t="s">
        <v>3336</v>
      </c>
      <c r="AY145" s="240" t="s">
        <v>3337</v>
      </c>
    </row>
    <row r="146" spans="2:65" s="231" customFormat="1">
      <c r="B146" s="232"/>
      <c r="D146" s="227" t="s">
        <v>3345</v>
      </c>
      <c r="E146" s="233" t="s">
        <v>3268</v>
      </c>
      <c r="F146" s="234" t="s">
        <v>3270</v>
      </c>
      <c r="H146" s="235">
        <v>7.56</v>
      </c>
      <c r="L146" s="232"/>
      <c r="M146" s="236"/>
      <c r="T146" s="237"/>
      <c r="AT146" s="233" t="s">
        <v>3345</v>
      </c>
      <c r="AU146" s="233" t="s">
        <v>6</v>
      </c>
      <c r="AV146" s="231" t="s">
        <v>6</v>
      </c>
      <c r="AW146" s="231" t="s">
        <v>3347</v>
      </c>
      <c r="AX146" s="231" t="s">
        <v>3336</v>
      </c>
      <c r="AY146" s="233" t="s">
        <v>3337</v>
      </c>
    </row>
    <row r="147" spans="2:65" s="244" customFormat="1">
      <c r="B147" s="245"/>
      <c r="D147" s="227" t="s">
        <v>3345</v>
      </c>
      <c r="E147" s="246" t="s">
        <v>3268</v>
      </c>
      <c r="F147" s="247" t="s">
        <v>3354</v>
      </c>
      <c r="H147" s="248">
        <v>10.8</v>
      </c>
      <c r="L147" s="245"/>
      <c r="M147" s="249"/>
      <c r="T147" s="250"/>
      <c r="AT147" s="246" t="s">
        <v>3345</v>
      </c>
      <c r="AU147" s="246" t="s">
        <v>6</v>
      </c>
      <c r="AV147" s="244" t="s">
        <v>8</v>
      </c>
      <c r="AW147" s="244" t="s">
        <v>3347</v>
      </c>
      <c r="AX147" s="244" t="s">
        <v>5</v>
      </c>
      <c r="AY147" s="246" t="s">
        <v>3337</v>
      </c>
    </row>
    <row r="148" spans="2:65" s="144" customFormat="1" ht="21.75" customHeight="1">
      <c r="B148" s="214"/>
      <c r="C148" s="215" t="s">
        <v>9</v>
      </c>
      <c r="D148" s="215" t="s">
        <v>3338</v>
      </c>
      <c r="E148" s="216" t="s">
        <v>3366</v>
      </c>
      <c r="F148" s="217" t="s">
        <v>3367</v>
      </c>
      <c r="G148" s="218" t="s">
        <v>1942</v>
      </c>
      <c r="H148" s="219">
        <v>6.48</v>
      </c>
      <c r="I148" s="745">
        <v>0</v>
      </c>
      <c r="J148" s="220">
        <f>ROUND(I148*H148,2)</f>
        <v>0</v>
      </c>
      <c r="K148" s="217" t="s">
        <v>3341</v>
      </c>
      <c r="L148" s="145"/>
      <c r="M148" s="221" t="s">
        <v>3268</v>
      </c>
      <c r="N148" s="222" t="s">
        <v>3296</v>
      </c>
      <c r="O148" s="223">
        <v>0</v>
      </c>
      <c r="P148" s="223">
        <f>O148*H148</f>
        <v>0</v>
      </c>
      <c r="Q148" s="223">
        <v>0</v>
      </c>
      <c r="R148" s="223">
        <f>Q148*H148</f>
        <v>0</v>
      </c>
      <c r="S148" s="223">
        <v>0</v>
      </c>
      <c r="T148" s="224">
        <f>S148*H148</f>
        <v>0</v>
      </c>
      <c r="AR148" s="225" t="s">
        <v>8</v>
      </c>
      <c r="AT148" s="225" t="s">
        <v>3338</v>
      </c>
      <c r="AU148" s="225" t="s">
        <v>6</v>
      </c>
      <c r="AY148" s="136" t="s">
        <v>3337</v>
      </c>
      <c r="BE148" s="226">
        <f>IF(N148="základní",J148,0)</f>
        <v>0</v>
      </c>
      <c r="BF148" s="226">
        <f>IF(N148="snížená",J148,0)</f>
        <v>0</v>
      </c>
      <c r="BG148" s="226">
        <f>IF(N148="zákl. přenesená",J148,0)</f>
        <v>0</v>
      </c>
      <c r="BH148" s="226">
        <f>IF(N148="sníž. přenesená",J148,0)</f>
        <v>0</v>
      </c>
      <c r="BI148" s="226">
        <f>IF(N148="nulová",J148,0)</f>
        <v>0</v>
      </c>
      <c r="BJ148" s="136" t="s">
        <v>5</v>
      </c>
      <c r="BK148" s="226">
        <f>ROUND(I148*H148,2)</f>
        <v>0</v>
      </c>
      <c r="BL148" s="136" t="s">
        <v>8</v>
      </c>
      <c r="BM148" s="225" t="s">
        <v>3489</v>
      </c>
    </row>
    <row r="149" spans="2:65" s="144" customFormat="1" ht="28.8">
      <c r="B149" s="145"/>
      <c r="D149" s="227" t="s">
        <v>3343</v>
      </c>
      <c r="F149" s="228" t="s">
        <v>3369</v>
      </c>
      <c r="L149" s="145"/>
      <c r="M149" s="229"/>
      <c r="T149" s="230"/>
      <c r="AT149" s="136" t="s">
        <v>3343</v>
      </c>
      <c r="AU149" s="136" t="s">
        <v>6</v>
      </c>
    </row>
    <row r="150" spans="2:65" s="231" customFormat="1">
      <c r="B150" s="232"/>
      <c r="D150" s="227" t="s">
        <v>3345</v>
      </c>
      <c r="E150" s="233" t="s">
        <v>3268</v>
      </c>
      <c r="F150" s="234" t="s">
        <v>3275</v>
      </c>
      <c r="H150" s="235">
        <v>3.24</v>
      </c>
      <c r="L150" s="232"/>
      <c r="M150" s="236"/>
      <c r="T150" s="237"/>
      <c r="AT150" s="233" t="s">
        <v>3345</v>
      </c>
      <c r="AU150" s="233" t="s">
        <v>6</v>
      </c>
      <c r="AV150" s="231" t="s">
        <v>6</v>
      </c>
      <c r="AW150" s="231" t="s">
        <v>3347</v>
      </c>
      <c r="AX150" s="231" t="s">
        <v>5</v>
      </c>
      <c r="AY150" s="233" t="s">
        <v>3337</v>
      </c>
    </row>
    <row r="151" spans="2:65" s="231" customFormat="1">
      <c r="B151" s="232"/>
      <c r="D151" s="227" t="s">
        <v>3345</v>
      </c>
      <c r="F151" s="234" t="s">
        <v>3490</v>
      </c>
      <c r="H151" s="235">
        <v>6.48</v>
      </c>
      <c r="L151" s="232"/>
      <c r="M151" s="236"/>
      <c r="T151" s="237"/>
      <c r="AT151" s="233" t="s">
        <v>3345</v>
      </c>
      <c r="AU151" s="233" t="s">
        <v>6</v>
      </c>
      <c r="AV151" s="231" t="s">
        <v>6</v>
      </c>
      <c r="AW151" s="231" t="s">
        <v>3274</v>
      </c>
      <c r="AX151" s="231" t="s">
        <v>5</v>
      </c>
      <c r="AY151" s="233" t="s">
        <v>3337</v>
      </c>
    </row>
    <row r="152" spans="2:65" s="144" customFormat="1" ht="16.5" customHeight="1">
      <c r="B152" s="214"/>
      <c r="C152" s="215" t="s">
        <v>10</v>
      </c>
      <c r="D152" s="215" t="s">
        <v>3338</v>
      </c>
      <c r="E152" s="216" t="s">
        <v>3371</v>
      </c>
      <c r="F152" s="217" t="s">
        <v>3372</v>
      </c>
      <c r="G152" s="218" t="s">
        <v>1941</v>
      </c>
      <c r="H152" s="219">
        <v>3.24</v>
      </c>
      <c r="I152" s="745">
        <v>0</v>
      </c>
      <c r="J152" s="220">
        <f>ROUND(I152*H152,2)</f>
        <v>0</v>
      </c>
      <c r="K152" s="217" t="s">
        <v>3341</v>
      </c>
      <c r="L152" s="145"/>
      <c r="M152" s="221" t="s">
        <v>3268</v>
      </c>
      <c r="N152" s="222" t="s">
        <v>3296</v>
      </c>
      <c r="O152" s="223">
        <v>8.9999999999999993E-3</v>
      </c>
      <c r="P152" s="223">
        <f>O152*H152</f>
        <v>2.9159999999999998E-2</v>
      </c>
      <c r="Q152" s="223">
        <v>0</v>
      </c>
      <c r="R152" s="223">
        <f>Q152*H152</f>
        <v>0</v>
      </c>
      <c r="S152" s="223">
        <v>0</v>
      </c>
      <c r="T152" s="224">
        <f>S152*H152</f>
        <v>0</v>
      </c>
      <c r="AR152" s="225" t="s">
        <v>8</v>
      </c>
      <c r="AT152" s="225" t="s">
        <v>3338</v>
      </c>
      <c r="AU152" s="225" t="s">
        <v>6</v>
      </c>
      <c r="AY152" s="136" t="s">
        <v>3337</v>
      </c>
      <c r="BE152" s="226">
        <f>IF(N152="základní",J152,0)</f>
        <v>0</v>
      </c>
      <c r="BF152" s="226">
        <f>IF(N152="snížená",J152,0)</f>
        <v>0</v>
      </c>
      <c r="BG152" s="226">
        <f>IF(N152="zákl. přenesená",J152,0)</f>
        <v>0</v>
      </c>
      <c r="BH152" s="226">
        <f>IF(N152="sníž. přenesená",J152,0)</f>
        <v>0</v>
      </c>
      <c r="BI152" s="226">
        <f>IF(N152="nulová",J152,0)</f>
        <v>0</v>
      </c>
      <c r="BJ152" s="136" t="s">
        <v>5</v>
      </c>
      <c r="BK152" s="226">
        <f>ROUND(I152*H152,2)</f>
        <v>0</v>
      </c>
      <c r="BL152" s="136" t="s">
        <v>8</v>
      </c>
      <c r="BM152" s="225" t="s">
        <v>3491</v>
      </c>
    </row>
    <row r="153" spans="2:65" s="144" customFormat="1" ht="19.2">
      <c r="B153" s="145"/>
      <c r="D153" s="227" t="s">
        <v>3343</v>
      </c>
      <c r="F153" s="228" t="s">
        <v>3374</v>
      </c>
      <c r="L153" s="145"/>
      <c r="M153" s="229"/>
      <c r="T153" s="230"/>
      <c r="AT153" s="136" t="s">
        <v>3343</v>
      </c>
      <c r="AU153" s="136" t="s">
        <v>6</v>
      </c>
    </row>
    <row r="154" spans="2:65" s="231" customFormat="1">
      <c r="B154" s="232"/>
      <c r="D154" s="227" t="s">
        <v>3345</v>
      </c>
      <c r="E154" s="233" t="s">
        <v>3268</v>
      </c>
      <c r="F154" s="234" t="s">
        <v>3275</v>
      </c>
      <c r="H154" s="235">
        <v>3.24</v>
      </c>
      <c r="L154" s="232"/>
      <c r="M154" s="236"/>
      <c r="T154" s="237"/>
      <c r="AT154" s="233" t="s">
        <v>3345</v>
      </c>
      <c r="AU154" s="233" t="s">
        <v>6</v>
      </c>
      <c r="AV154" s="231" t="s">
        <v>6</v>
      </c>
      <c r="AW154" s="231" t="s">
        <v>3347</v>
      </c>
      <c r="AX154" s="231" t="s">
        <v>5</v>
      </c>
      <c r="AY154" s="233" t="s">
        <v>3337</v>
      </c>
    </row>
    <row r="155" spans="2:65" s="144" customFormat="1" ht="21.75" customHeight="1">
      <c r="B155" s="214"/>
      <c r="C155" s="215" t="s">
        <v>11</v>
      </c>
      <c r="D155" s="215" t="s">
        <v>3338</v>
      </c>
      <c r="E155" s="216" t="s">
        <v>3375</v>
      </c>
      <c r="F155" s="217" t="s">
        <v>3376</v>
      </c>
      <c r="G155" s="218" t="s">
        <v>1941</v>
      </c>
      <c r="H155" s="219">
        <v>7.56</v>
      </c>
      <c r="I155" s="745">
        <v>0</v>
      </c>
      <c r="J155" s="220">
        <f>ROUND(I155*H155,2)</f>
        <v>0</v>
      </c>
      <c r="K155" s="217" t="s">
        <v>3341</v>
      </c>
      <c r="L155" s="145"/>
      <c r="M155" s="221" t="s">
        <v>3268</v>
      </c>
      <c r="N155" s="222" t="s">
        <v>3296</v>
      </c>
      <c r="O155" s="223">
        <v>0.32800000000000001</v>
      </c>
      <c r="P155" s="223">
        <f>O155*H155</f>
        <v>2.4796800000000001</v>
      </c>
      <c r="Q155" s="223">
        <v>0</v>
      </c>
      <c r="R155" s="223">
        <f>Q155*H155</f>
        <v>0</v>
      </c>
      <c r="S155" s="223">
        <v>0</v>
      </c>
      <c r="T155" s="224">
        <f>S155*H155</f>
        <v>0</v>
      </c>
      <c r="AR155" s="225" t="s">
        <v>8</v>
      </c>
      <c r="AT155" s="225" t="s">
        <v>3338</v>
      </c>
      <c r="AU155" s="225" t="s">
        <v>6</v>
      </c>
      <c r="AY155" s="136" t="s">
        <v>3337</v>
      </c>
      <c r="BE155" s="226">
        <f>IF(N155="základní",J155,0)</f>
        <v>0</v>
      </c>
      <c r="BF155" s="226">
        <f>IF(N155="snížená",J155,0)</f>
        <v>0</v>
      </c>
      <c r="BG155" s="226">
        <f>IF(N155="zákl. přenesená",J155,0)</f>
        <v>0</v>
      </c>
      <c r="BH155" s="226">
        <f>IF(N155="sníž. přenesená",J155,0)</f>
        <v>0</v>
      </c>
      <c r="BI155" s="226">
        <f>IF(N155="nulová",J155,0)</f>
        <v>0</v>
      </c>
      <c r="BJ155" s="136" t="s">
        <v>5</v>
      </c>
      <c r="BK155" s="226">
        <f>ROUND(I155*H155,2)</f>
        <v>0</v>
      </c>
      <c r="BL155" s="136" t="s">
        <v>8</v>
      </c>
      <c r="BM155" s="225" t="s">
        <v>3492</v>
      </c>
    </row>
    <row r="156" spans="2:65" s="144" customFormat="1" ht="28.8">
      <c r="B156" s="145"/>
      <c r="D156" s="227" t="s">
        <v>3343</v>
      </c>
      <c r="F156" s="228" t="s">
        <v>3378</v>
      </c>
      <c r="L156" s="145"/>
      <c r="M156" s="229"/>
      <c r="T156" s="230"/>
      <c r="AT156" s="136" t="s">
        <v>3343</v>
      </c>
      <c r="AU156" s="136" t="s">
        <v>6</v>
      </c>
    </row>
    <row r="157" spans="2:65" s="231" customFormat="1">
      <c r="B157" s="232"/>
      <c r="D157" s="227" t="s">
        <v>3345</v>
      </c>
      <c r="E157" s="233" t="s">
        <v>3270</v>
      </c>
      <c r="F157" s="234" t="s">
        <v>3379</v>
      </c>
      <c r="H157" s="235">
        <v>7.56</v>
      </c>
      <c r="L157" s="232"/>
      <c r="M157" s="236"/>
      <c r="T157" s="237"/>
      <c r="AT157" s="233" t="s">
        <v>3345</v>
      </c>
      <c r="AU157" s="233" t="s">
        <v>6</v>
      </c>
      <c r="AV157" s="231" t="s">
        <v>6</v>
      </c>
      <c r="AW157" s="231" t="s">
        <v>3347</v>
      </c>
      <c r="AX157" s="231" t="s">
        <v>5</v>
      </c>
      <c r="AY157" s="233" t="s">
        <v>3337</v>
      </c>
    </row>
    <row r="158" spans="2:65" s="144" customFormat="1" ht="21.75" customHeight="1">
      <c r="B158" s="214"/>
      <c r="C158" s="215" t="s">
        <v>12</v>
      </c>
      <c r="D158" s="215" t="s">
        <v>3338</v>
      </c>
      <c r="E158" s="216" t="s">
        <v>3380</v>
      </c>
      <c r="F158" s="217" t="s">
        <v>3381</v>
      </c>
      <c r="G158" s="218" t="s">
        <v>1941</v>
      </c>
      <c r="H158" s="219">
        <v>2.52</v>
      </c>
      <c r="I158" s="745">
        <v>0</v>
      </c>
      <c r="J158" s="220">
        <f>ROUND(I158*H158,2)</f>
        <v>0</v>
      </c>
      <c r="K158" s="217" t="s">
        <v>3341</v>
      </c>
      <c r="L158" s="145"/>
      <c r="M158" s="221" t="s">
        <v>3268</v>
      </c>
      <c r="N158" s="222" t="s">
        <v>3296</v>
      </c>
      <c r="O158" s="223">
        <v>0.435</v>
      </c>
      <c r="P158" s="223">
        <f>O158*H158</f>
        <v>1.0962000000000001</v>
      </c>
      <c r="Q158" s="223">
        <v>0</v>
      </c>
      <c r="R158" s="223">
        <f>Q158*H158</f>
        <v>0</v>
      </c>
      <c r="S158" s="223">
        <v>0</v>
      </c>
      <c r="T158" s="224">
        <f>S158*H158</f>
        <v>0</v>
      </c>
      <c r="AR158" s="225" t="s">
        <v>8</v>
      </c>
      <c r="AT158" s="225" t="s">
        <v>3338</v>
      </c>
      <c r="AU158" s="225" t="s">
        <v>6</v>
      </c>
      <c r="AY158" s="136" t="s">
        <v>3337</v>
      </c>
      <c r="BE158" s="226">
        <f>IF(N158="základní",J158,0)</f>
        <v>0</v>
      </c>
      <c r="BF158" s="226">
        <f>IF(N158="snížená",J158,0)</f>
        <v>0</v>
      </c>
      <c r="BG158" s="226">
        <f>IF(N158="zákl. přenesená",J158,0)</f>
        <v>0</v>
      </c>
      <c r="BH158" s="226">
        <f>IF(N158="sníž. přenesená",J158,0)</f>
        <v>0</v>
      </c>
      <c r="BI158" s="226">
        <f>IF(N158="nulová",J158,0)</f>
        <v>0</v>
      </c>
      <c r="BJ158" s="136" t="s">
        <v>5</v>
      </c>
      <c r="BK158" s="226">
        <f>ROUND(I158*H158,2)</f>
        <v>0</v>
      </c>
      <c r="BL158" s="136" t="s">
        <v>8</v>
      </c>
      <c r="BM158" s="225" t="s">
        <v>3493</v>
      </c>
    </row>
    <row r="159" spans="2:65" s="144" customFormat="1" ht="38.4">
      <c r="B159" s="145"/>
      <c r="D159" s="227" t="s">
        <v>3343</v>
      </c>
      <c r="F159" s="228" t="s">
        <v>3383</v>
      </c>
      <c r="L159" s="145"/>
      <c r="M159" s="229"/>
      <c r="T159" s="230"/>
      <c r="AT159" s="136" t="s">
        <v>3343</v>
      </c>
      <c r="AU159" s="136" t="s">
        <v>6</v>
      </c>
    </row>
    <row r="160" spans="2:65" s="231" customFormat="1">
      <c r="B160" s="232"/>
      <c r="D160" s="227" t="s">
        <v>3345</v>
      </c>
      <c r="E160" s="233" t="s">
        <v>3280</v>
      </c>
      <c r="F160" s="234" t="s">
        <v>3494</v>
      </c>
      <c r="H160" s="235">
        <v>2.52</v>
      </c>
      <c r="L160" s="232"/>
      <c r="M160" s="236"/>
      <c r="T160" s="237"/>
      <c r="AT160" s="233" t="s">
        <v>3345</v>
      </c>
      <c r="AU160" s="233" t="s">
        <v>6</v>
      </c>
      <c r="AV160" s="231" t="s">
        <v>6</v>
      </c>
      <c r="AW160" s="231" t="s">
        <v>3347</v>
      </c>
      <c r="AX160" s="231" t="s">
        <v>5</v>
      </c>
      <c r="AY160" s="233" t="s">
        <v>3337</v>
      </c>
    </row>
    <row r="161" spans="2:65" s="144" customFormat="1" ht="16.5" customHeight="1">
      <c r="B161" s="214"/>
      <c r="C161" s="251" t="s">
        <v>13</v>
      </c>
      <c r="D161" s="251" t="s">
        <v>3385</v>
      </c>
      <c r="E161" s="252" t="s">
        <v>3386</v>
      </c>
      <c r="F161" s="253" t="s">
        <v>3387</v>
      </c>
      <c r="G161" s="254" t="s">
        <v>1942</v>
      </c>
      <c r="H161" s="255">
        <v>5.04</v>
      </c>
      <c r="I161" s="746">
        <v>0</v>
      </c>
      <c r="J161" s="256">
        <f>ROUND(I161*H161,2)</f>
        <v>0</v>
      </c>
      <c r="K161" s="253" t="s">
        <v>3341</v>
      </c>
      <c r="L161" s="257"/>
      <c r="M161" s="258" t="s">
        <v>3268</v>
      </c>
      <c r="N161" s="259" t="s">
        <v>3296</v>
      </c>
      <c r="O161" s="223">
        <v>0</v>
      </c>
      <c r="P161" s="223">
        <f>O161*H161</f>
        <v>0</v>
      </c>
      <c r="Q161" s="223">
        <v>0</v>
      </c>
      <c r="R161" s="223">
        <f>Q161*H161</f>
        <v>0</v>
      </c>
      <c r="S161" s="223">
        <v>0</v>
      </c>
      <c r="T161" s="224">
        <f>S161*H161</f>
        <v>0</v>
      </c>
      <c r="AR161" s="225" t="s">
        <v>12</v>
      </c>
      <c r="AT161" s="225" t="s">
        <v>3385</v>
      </c>
      <c r="AU161" s="225" t="s">
        <v>6</v>
      </c>
      <c r="AY161" s="136" t="s">
        <v>3337</v>
      </c>
      <c r="BE161" s="226">
        <f>IF(N161="základní",J161,0)</f>
        <v>0</v>
      </c>
      <c r="BF161" s="226">
        <f>IF(N161="snížená",J161,0)</f>
        <v>0</v>
      </c>
      <c r="BG161" s="226">
        <f>IF(N161="zákl. přenesená",J161,0)</f>
        <v>0</v>
      </c>
      <c r="BH161" s="226">
        <f>IF(N161="sníž. přenesená",J161,0)</f>
        <v>0</v>
      </c>
      <c r="BI161" s="226">
        <f>IF(N161="nulová",J161,0)</f>
        <v>0</v>
      </c>
      <c r="BJ161" s="136" t="s">
        <v>5</v>
      </c>
      <c r="BK161" s="226">
        <f>ROUND(I161*H161,2)</f>
        <v>0</v>
      </c>
      <c r="BL161" s="136" t="s">
        <v>8</v>
      </c>
      <c r="BM161" s="225" t="s">
        <v>3495</v>
      </c>
    </row>
    <row r="162" spans="2:65" s="144" customFormat="1">
      <c r="B162" s="145"/>
      <c r="D162" s="227" t="s">
        <v>3343</v>
      </c>
      <c r="F162" s="228" t="s">
        <v>3387</v>
      </c>
      <c r="L162" s="145"/>
      <c r="M162" s="229"/>
      <c r="T162" s="230"/>
      <c r="AT162" s="136" t="s">
        <v>3343</v>
      </c>
      <c r="AU162" s="136" t="s">
        <v>6</v>
      </c>
    </row>
    <row r="163" spans="2:65" s="231" customFormat="1">
      <c r="B163" s="232"/>
      <c r="D163" s="227" t="s">
        <v>3345</v>
      </c>
      <c r="E163" s="233" t="s">
        <v>3268</v>
      </c>
      <c r="F163" s="234" t="s">
        <v>3280</v>
      </c>
      <c r="H163" s="235">
        <v>2.52</v>
      </c>
      <c r="L163" s="232"/>
      <c r="M163" s="236"/>
      <c r="T163" s="237"/>
      <c r="AT163" s="233" t="s">
        <v>3345</v>
      </c>
      <c r="AU163" s="233" t="s">
        <v>6</v>
      </c>
      <c r="AV163" s="231" t="s">
        <v>6</v>
      </c>
      <c r="AW163" s="231" t="s">
        <v>3347</v>
      </c>
      <c r="AX163" s="231" t="s">
        <v>5</v>
      </c>
      <c r="AY163" s="233" t="s">
        <v>3337</v>
      </c>
    </row>
    <row r="164" spans="2:65" s="231" customFormat="1">
      <c r="B164" s="232"/>
      <c r="D164" s="227" t="s">
        <v>3345</v>
      </c>
      <c r="F164" s="234" t="s">
        <v>3496</v>
      </c>
      <c r="H164" s="235">
        <v>5.04</v>
      </c>
      <c r="L164" s="232"/>
      <c r="M164" s="236"/>
      <c r="T164" s="237"/>
      <c r="AT164" s="233" t="s">
        <v>3345</v>
      </c>
      <c r="AU164" s="233" t="s">
        <v>6</v>
      </c>
      <c r="AV164" s="231" t="s">
        <v>6</v>
      </c>
      <c r="AW164" s="231" t="s">
        <v>3274</v>
      </c>
      <c r="AX164" s="231" t="s">
        <v>5</v>
      </c>
      <c r="AY164" s="233" t="s">
        <v>3337</v>
      </c>
    </row>
    <row r="165" spans="2:65" s="202" customFormat="1" ht="22.95" customHeight="1">
      <c r="B165" s="203"/>
      <c r="D165" s="204" t="s">
        <v>3334</v>
      </c>
      <c r="E165" s="212" t="s">
        <v>8</v>
      </c>
      <c r="F165" s="212" t="s">
        <v>2052</v>
      </c>
      <c r="J165" s="213">
        <f>BK165</f>
        <v>0</v>
      </c>
      <c r="L165" s="203"/>
      <c r="M165" s="207"/>
      <c r="P165" s="208">
        <f>SUM(P166:P168)</f>
        <v>0.94823999999999997</v>
      </c>
      <c r="R165" s="208">
        <f>SUM(R166:R168)</f>
        <v>0</v>
      </c>
      <c r="T165" s="209">
        <f>SUM(T166:T168)</f>
        <v>0</v>
      </c>
      <c r="AR165" s="204" t="s">
        <v>5</v>
      </c>
      <c r="AT165" s="210" t="s">
        <v>3334</v>
      </c>
      <c r="AU165" s="210" t="s">
        <v>5</v>
      </c>
      <c r="AY165" s="204" t="s">
        <v>3337</v>
      </c>
      <c r="BK165" s="211">
        <f>SUM(BK166:BK168)</f>
        <v>0</v>
      </c>
    </row>
    <row r="166" spans="2:65" s="144" customFormat="1" ht="16.5" customHeight="1">
      <c r="B166" s="214"/>
      <c r="C166" s="215" t="s">
        <v>14</v>
      </c>
      <c r="D166" s="215" t="s">
        <v>3338</v>
      </c>
      <c r="E166" s="216" t="s">
        <v>3390</v>
      </c>
      <c r="F166" s="217" t="s">
        <v>3391</v>
      </c>
      <c r="G166" s="218" t="s">
        <v>1941</v>
      </c>
      <c r="H166" s="219">
        <v>0.72</v>
      </c>
      <c r="I166" s="745">
        <v>0</v>
      </c>
      <c r="J166" s="220">
        <f>ROUND(I166*H166,2)</f>
        <v>0</v>
      </c>
      <c r="K166" s="217" t="s">
        <v>3341</v>
      </c>
      <c r="L166" s="145"/>
      <c r="M166" s="221" t="s">
        <v>3268</v>
      </c>
      <c r="N166" s="222" t="s">
        <v>3296</v>
      </c>
      <c r="O166" s="223">
        <v>1.3169999999999999</v>
      </c>
      <c r="P166" s="223">
        <f>O166*H166</f>
        <v>0.94823999999999997</v>
      </c>
      <c r="Q166" s="223">
        <v>0</v>
      </c>
      <c r="R166" s="223">
        <f>Q166*H166</f>
        <v>0</v>
      </c>
      <c r="S166" s="223">
        <v>0</v>
      </c>
      <c r="T166" s="224">
        <f>S166*H166</f>
        <v>0</v>
      </c>
      <c r="AR166" s="225" t="s">
        <v>8</v>
      </c>
      <c r="AT166" s="225" t="s">
        <v>3338</v>
      </c>
      <c r="AU166" s="225" t="s">
        <v>6</v>
      </c>
      <c r="AY166" s="136" t="s">
        <v>3337</v>
      </c>
      <c r="BE166" s="226">
        <f>IF(N166="základní",J166,0)</f>
        <v>0</v>
      </c>
      <c r="BF166" s="226">
        <f>IF(N166="snížená",J166,0)</f>
        <v>0</v>
      </c>
      <c r="BG166" s="226">
        <f>IF(N166="zákl. přenesená",J166,0)</f>
        <v>0</v>
      </c>
      <c r="BH166" s="226">
        <f>IF(N166="sníž. přenesená",J166,0)</f>
        <v>0</v>
      </c>
      <c r="BI166" s="226">
        <f>IF(N166="nulová",J166,0)</f>
        <v>0</v>
      </c>
      <c r="BJ166" s="136" t="s">
        <v>5</v>
      </c>
      <c r="BK166" s="226">
        <f>ROUND(I166*H166,2)</f>
        <v>0</v>
      </c>
      <c r="BL166" s="136" t="s">
        <v>8</v>
      </c>
      <c r="BM166" s="225" t="s">
        <v>3497</v>
      </c>
    </row>
    <row r="167" spans="2:65" s="144" customFormat="1" ht="19.2">
      <c r="B167" s="145"/>
      <c r="D167" s="227" t="s">
        <v>3343</v>
      </c>
      <c r="F167" s="228" t="s">
        <v>3393</v>
      </c>
      <c r="L167" s="145"/>
      <c r="M167" s="229"/>
      <c r="T167" s="230"/>
      <c r="AT167" s="136" t="s">
        <v>3343</v>
      </c>
      <c r="AU167" s="136" t="s">
        <v>6</v>
      </c>
    </row>
    <row r="168" spans="2:65" s="231" customFormat="1">
      <c r="B168" s="232"/>
      <c r="D168" s="227" t="s">
        <v>3345</v>
      </c>
      <c r="E168" s="233" t="s">
        <v>3277</v>
      </c>
      <c r="F168" s="234" t="s">
        <v>3498</v>
      </c>
      <c r="H168" s="235">
        <v>0.72</v>
      </c>
      <c r="L168" s="232"/>
      <c r="M168" s="236"/>
      <c r="T168" s="237"/>
      <c r="AT168" s="233" t="s">
        <v>3345</v>
      </c>
      <c r="AU168" s="233" t="s">
        <v>6</v>
      </c>
      <c r="AV168" s="231" t="s">
        <v>6</v>
      </c>
      <c r="AW168" s="231" t="s">
        <v>3347</v>
      </c>
      <c r="AX168" s="231" t="s">
        <v>5</v>
      </c>
      <c r="AY168" s="233" t="s">
        <v>3337</v>
      </c>
    </row>
    <row r="169" spans="2:65" s="202" customFormat="1" ht="22.95" customHeight="1">
      <c r="B169" s="203"/>
      <c r="D169" s="204" t="s">
        <v>3334</v>
      </c>
      <c r="E169" s="212" t="s">
        <v>12</v>
      </c>
      <c r="F169" s="212" t="s">
        <v>2053</v>
      </c>
      <c r="J169" s="213">
        <f>BK169</f>
        <v>0</v>
      </c>
      <c r="L169" s="203"/>
      <c r="M169" s="207"/>
      <c r="P169" s="208">
        <f>SUM(P170:P193)</f>
        <v>10.555</v>
      </c>
      <c r="R169" s="208">
        <f>SUM(R170:R193)</f>
        <v>0.16826000000000002</v>
      </c>
      <c r="T169" s="209">
        <f>SUM(T170:T193)</f>
        <v>0</v>
      </c>
      <c r="AR169" s="204" t="s">
        <v>5</v>
      </c>
      <c r="AT169" s="210" t="s">
        <v>3334</v>
      </c>
      <c r="AU169" s="210" t="s">
        <v>5</v>
      </c>
      <c r="AY169" s="204" t="s">
        <v>3337</v>
      </c>
      <c r="BK169" s="211">
        <f>SUM(BK170:BK193)</f>
        <v>0</v>
      </c>
    </row>
    <row r="170" spans="2:65" s="144" customFormat="1" ht="16.5" customHeight="1">
      <c r="B170" s="214"/>
      <c r="C170" s="215" t="s">
        <v>15</v>
      </c>
      <c r="D170" s="215" t="s">
        <v>3338</v>
      </c>
      <c r="E170" s="216" t="s">
        <v>3499</v>
      </c>
      <c r="F170" s="217" t="s">
        <v>3500</v>
      </c>
      <c r="G170" s="218" t="s">
        <v>1938</v>
      </c>
      <c r="H170" s="219">
        <v>1</v>
      </c>
      <c r="I170" s="745">
        <v>0</v>
      </c>
      <c r="J170" s="220">
        <f>ROUND(I170*H170,2)</f>
        <v>0</v>
      </c>
      <c r="K170" s="217" t="s">
        <v>3341</v>
      </c>
      <c r="L170" s="145"/>
      <c r="M170" s="221" t="s">
        <v>3268</v>
      </c>
      <c r="N170" s="222" t="s">
        <v>3296</v>
      </c>
      <c r="O170" s="223">
        <v>1.7</v>
      </c>
      <c r="P170" s="223">
        <f>O170*H170</f>
        <v>1.7</v>
      </c>
      <c r="Q170" s="223">
        <v>8.0099999999999998E-3</v>
      </c>
      <c r="R170" s="223">
        <f>Q170*H170</f>
        <v>8.0099999999999998E-3</v>
      </c>
      <c r="S170" s="223">
        <v>0</v>
      </c>
      <c r="T170" s="224">
        <f>S170*H170</f>
        <v>0</v>
      </c>
      <c r="AR170" s="225" t="s">
        <v>8</v>
      </c>
      <c r="AT170" s="225" t="s">
        <v>3338</v>
      </c>
      <c r="AU170" s="225" t="s">
        <v>6</v>
      </c>
      <c r="AY170" s="136" t="s">
        <v>3337</v>
      </c>
      <c r="BE170" s="226">
        <f>IF(N170="základní",J170,0)</f>
        <v>0</v>
      </c>
      <c r="BF170" s="226">
        <f>IF(N170="snížená",J170,0)</f>
        <v>0</v>
      </c>
      <c r="BG170" s="226">
        <f>IF(N170="zákl. přenesená",J170,0)</f>
        <v>0</v>
      </c>
      <c r="BH170" s="226">
        <f>IF(N170="sníž. přenesená",J170,0)</f>
        <v>0</v>
      </c>
      <c r="BI170" s="226">
        <f>IF(N170="nulová",J170,0)</f>
        <v>0</v>
      </c>
      <c r="BJ170" s="136" t="s">
        <v>5</v>
      </c>
      <c r="BK170" s="226">
        <f>ROUND(I170*H170,2)</f>
        <v>0</v>
      </c>
      <c r="BL170" s="136" t="s">
        <v>8</v>
      </c>
      <c r="BM170" s="225" t="s">
        <v>3501</v>
      </c>
    </row>
    <row r="171" spans="2:65" s="144" customFormat="1">
      <c r="B171" s="145"/>
      <c r="D171" s="227" t="s">
        <v>3343</v>
      </c>
      <c r="F171" s="228" t="s">
        <v>3502</v>
      </c>
      <c r="L171" s="145"/>
      <c r="M171" s="229"/>
      <c r="T171" s="230"/>
      <c r="AT171" s="136" t="s">
        <v>3343</v>
      </c>
      <c r="AU171" s="136" t="s">
        <v>6</v>
      </c>
    </row>
    <row r="172" spans="2:65" s="144" customFormat="1" ht="21.75" customHeight="1">
      <c r="B172" s="214"/>
      <c r="C172" s="215" t="s">
        <v>16</v>
      </c>
      <c r="D172" s="215" t="s">
        <v>3338</v>
      </c>
      <c r="E172" s="216" t="s">
        <v>3503</v>
      </c>
      <c r="F172" s="217" t="s">
        <v>3504</v>
      </c>
      <c r="G172" s="218" t="s">
        <v>1939</v>
      </c>
      <c r="H172" s="219">
        <v>12</v>
      </c>
      <c r="I172" s="745">
        <v>0</v>
      </c>
      <c r="J172" s="220">
        <f>ROUND(I172*H172,2)</f>
        <v>0</v>
      </c>
      <c r="K172" s="217" t="s">
        <v>3341</v>
      </c>
      <c r="L172" s="145"/>
      <c r="M172" s="221" t="s">
        <v>3268</v>
      </c>
      <c r="N172" s="222" t="s">
        <v>3296</v>
      </c>
      <c r="O172" s="223">
        <v>0.19900000000000001</v>
      </c>
      <c r="P172" s="223">
        <f>O172*H172</f>
        <v>2.3879999999999999</v>
      </c>
      <c r="Q172" s="223">
        <v>0</v>
      </c>
      <c r="R172" s="223">
        <f>Q172*H172</f>
        <v>0</v>
      </c>
      <c r="S172" s="223">
        <v>0</v>
      </c>
      <c r="T172" s="224">
        <f>S172*H172</f>
        <v>0</v>
      </c>
      <c r="AR172" s="225" t="s">
        <v>8</v>
      </c>
      <c r="AT172" s="225" t="s">
        <v>3338</v>
      </c>
      <c r="AU172" s="225" t="s">
        <v>6</v>
      </c>
      <c r="AY172" s="136" t="s">
        <v>3337</v>
      </c>
      <c r="BE172" s="226">
        <f>IF(N172="základní",J172,0)</f>
        <v>0</v>
      </c>
      <c r="BF172" s="226">
        <f>IF(N172="snížená",J172,0)</f>
        <v>0</v>
      </c>
      <c r="BG172" s="226">
        <f>IF(N172="zákl. přenesená",J172,0)</f>
        <v>0</v>
      </c>
      <c r="BH172" s="226">
        <f>IF(N172="sníž. přenesená",J172,0)</f>
        <v>0</v>
      </c>
      <c r="BI172" s="226">
        <f>IF(N172="nulová",J172,0)</f>
        <v>0</v>
      </c>
      <c r="BJ172" s="136" t="s">
        <v>5</v>
      </c>
      <c r="BK172" s="226">
        <f>ROUND(I172*H172,2)</f>
        <v>0</v>
      </c>
      <c r="BL172" s="136" t="s">
        <v>8</v>
      </c>
      <c r="BM172" s="225" t="s">
        <v>3505</v>
      </c>
    </row>
    <row r="173" spans="2:65" s="144" customFormat="1" ht="19.2">
      <c r="B173" s="145"/>
      <c r="D173" s="227" t="s">
        <v>3343</v>
      </c>
      <c r="F173" s="228" t="s">
        <v>3506</v>
      </c>
      <c r="L173" s="145"/>
      <c r="M173" s="229"/>
      <c r="T173" s="230"/>
      <c r="AT173" s="136" t="s">
        <v>3343</v>
      </c>
      <c r="AU173" s="136" t="s">
        <v>6</v>
      </c>
    </row>
    <row r="174" spans="2:65" s="144" customFormat="1" ht="21.75" customHeight="1">
      <c r="B174" s="214"/>
      <c r="C174" s="251" t="s">
        <v>17</v>
      </c>
      <c r="D174" s="251" t="s">
        <v>3385</v>
      </c>
      <c r="E174" s="252" t="s">
        <v>3507</v>
      </c>
      <c r="F174" s="253" t="s">
        <v>3508</v>
      </c>
      <c r="G174" s="254" t="s">
        <v>1939</v>
      </c>
      <c r="H174" s="255">
        <v>12</v>
      </c>
      <c r="I174" s="746">
        <v>0</v>
      </c>
      <c r="J174" s="256">
        <f>ROUND(I174*H174,2)</f>
        <v>0</v>
      </c>
      <c r="K174" s="253" t="s">
        <v>3341</v>
      </c>
      <c r="L174" s="257"/>
      <c r="M174" s="258" t="s">
        <v>3268</v>
      </c>
      <c r="N174" s="259" t="s">
        <v>3296</v>
      </c>
      <c r="O174" s="223">
        <v>0</v>
      </c>
      <c r="P174" s="223">
        <f>O174*H174</f>
        <v>0</v>
      </c>
      <c r="Q174" s="223">
        <v>6.7000000000000002E-4</v>
      </c>
      <c r="R174" s="223">
        <f>Q174*H174</f>
        <v>8.0400000000000003E-3</v>
      </c>
      <c r="S174" s="223">
        <v>0</v>
      </c>
      <c r="T174" s="224">
        <f>S174*H174</f>
        <v>0</v>
      </c>
      <c r="AR174" s="225" t="s">
        <v>12</v>
      </c>
      <c r="AT174" s="225" t="s">
        <v>3385</v>
      </c>
      <c r="AU174" s="225" t="s">
        <v>6</v>
      </c>
      <c r="AY174" s="136" t="s">
        <v>3337</v>
      </c>
      <c r="BE174" s="226">
        <f>IF(N174="základní",J174,0)</f>
        <v>0</v>
      </c>
      <c r="BF174" s="226">
        <f>IF(N174="snížená",J174,0)</f>
        <v>0</v>
      </c>
      <c r="BG174" s="226">
        <f>IF(N174="zákl. přenesená",J174,0)</f>
        <v>0</v>
      </c>
      <c r="BH174" s="226">
        <f>IF(N174="sníž. přenesená",J174,0)</f>
        <v>0</v>
      </c>
      <c r="BI174" s="226">
        <f>IF(N174="nulová",J174,0)</f>
        <v>0</v>
      </c>
      <c r="BJ174" s="136" t="s">
        <v>5</v>
      </c>
      <c r="BK174" s="226">
        <f>ROUND(I174*H174,2)</f>
        <v>0</v>
      </c>
      <c r="BL174" s="136" t="s">
        <v>8</v>
      </c>
      <c r="BM174" s="225" t="s">
        <v>3509</v>
      </c>
    </row>
    <row r="175" spans="2:65" s="144" customFormat="1">
      <c r="B175" s="145"/>
      <c r="D175" s="227" t="s">
        <v>3343</v>
      </c>
      <c r="F175" s="228" t="s">
        <v>3508</v>
      </c>
      <c r="L175" s="145"/>
      <c r="M175" s="229"/>
      <c r="T175" s="230"/>
      <c r="AT175" s="136" t="s">
        <v>3343</v>
      </c>
      <c r="AU175" s="136" t="s">
        <v>6</v>
      </c>
    </row>
    <row r="176" spans="2:65" s="144" customFormat="1" ht="16.5" customHeight="1">
      <c r="B176" s="214"/>
      <c r="C176" s="215" t="s">
        <v>18</v>
      </c>
      <c r="D176" s="215" t="s">
        <v>3338</v>
      </c>
      <c r="E176" s="216" t="s">
        <v>3510</v>
      </c>
      <c r="F176" s="217" t="s">
        <v>3511</v>
      </c>
      <c r="G176" s="218" t="s">
        <v>1943</v>
      </c>
      <c r="H176" s="219">
        <v>1</v>
      </c>
      <c r="I176" s="745">
        <v>0</v>
      </c>
      <c r="J176" s="220">
        <f>ROUND(I176*H176,2)</f>
        <v>0</v>
      </c>
      <c r="K176" s="217" t="s">
        <v>3341</v>
      </c>
      <c r="L176" s="145"/>
      <c r="M176" s="221" t="s">
        <v>3268</v>
      </c>
      <c r="N176" s="222" t="s">
        <v>3296</v>
      </c>
      <c r="O176" s="223">
        <v>1.1819999999999999</v>
      </c>
      <c r="P176" s="223">
        <f>O176*H176</f>
        <v>1.1819999999999999</v>
      </c>
      <c r="Q176" s="223">
        <v>7.2000000000000005E-4</v>
      </c>
      <c r="R176" s="223">
        <f>Q176*H176</f>
        <v>7.2000000000000005E-4</v>
      </c>
      <c r="S176" s="223">
        <v>0</v>
      </c>
      <c r="T176" s="224">
        <f>S176*H176</f>
        <v>0</v>
      </c>
      <c r="AR176" s="225" t="s">
        <v>8</v>
      </c>
      <c r="AT176" s="225" t="s">
        <v>3338</v>
      </c>
      <c r="AU176" s="225" t="s">
        <v>6</v>
      </c>
      <c r="AY176" s="136" t="s">
        <v>3337</v>
      </c>
      <c r="BE176" s="226">
        <f>IF(N176="základní",J176,0)</f>
        <v>0</v>
      </c>
      <c r="BF176" s="226">
        <f>IF(N176="snížená",J176,0)</f>
        <v>0</v>
      </c>
      <c r="BG176" s="226">
        <f>IF(N176="zákl. přenesená",J176,0)</f>
        <v>0</v>
      </c>
      <c r="BH176" s="226">
        <f>IF(N176="sníž. přenesená",J176,0)</f>
        <v>0</v>
      </c>
      <c r="BI176" s="226">
        <f>IF(N176="nulová",J176,0)</f>
        <v>0</v>
      </c>
      <c r="BJ176" s="136" t="s">
        <v>5</v>
      </c>
      <c r="BK176" s="226">
        <f>ROUND(I176*H176,2)</f>
        <v>0</v>
      </c>
      <c r="BL176" s="136" t="s">
        <v>8</v>
      </c>
      <c r="BM176" s="225" t="s">
        <v>3512</v>
      </c>
    </row>
    <row r="177" spans="2:65" s="144" customFormat="1" ht="28.8">
      <c r="B177" s="145"/>
      <c r="D177" s="227" t="s">
        <v>3343</v>
      </c>
      <c r="F177" s="228" t="s">
        <v>3513</v>
      </c>
      <c r="L177" s="145"/>
      <c r="M177" s="229"/>
      <c r="T177" s="230"/>
      <c r="AT177" s="136" t="s">
        <v>3343</v>
      </c>
      <c r="AU177" s="136" t="s">
        <v>6</v>
      </c>
    </row>
    <row r="178" spans="2:65" s="144" customFormat="1" ht="21.75" customHeight="1">
      <c r="B178" s="214"/>
      <c r="C178" s="251" t="s">
        <v>19</v>
      </c>
      <c r="D178" s="251" t="s">
        <v>3385</v>
      </c>
      <c r="E178" s="252" t="s">
        <v>3514</v>
      </c>
      <c r="F178" s="253" t="s">
        <v>3515</v>
      </c>
      <c r="G178" s="254" t="s">
        <v>1943</v>
      </c>
      <c r="H178" s="255">
        <v>1</v>
      </c>
      <c r="I178" s="746">
        <v>0</v>
      </c>
      <c r="J178" s="256">
        <f>ROUND(I178*H178,2)</f>
        <v>0</v>
      </c>
      <c r="K178" s="253" t="s">
        <v>3341</v>
      </c>
      <c r="L178" s="257"/>
      <c r="M178" s="258" t="s">
        <v>3268</v>
      </c>
      <c r="N178" s="259" t="s">
        <v>3296</v>
      </c>
      <c r="O178" s="223">
        <v>0</v>
      </c>
      <c r="P178" s="223">
        <f>O178*H178</f>
        <v>0</v>
      </c>
      <c r="Q178" s="223">
        <v>5.7000000000000002E-3</v>
      </c>
      <c r="R178" s="223">
        <f>Q178*H178</f>
        <v>5.7000000000000002E-3</v>
      </c>
      <c r="S178" s="223">
        <v>0</v>
      </c>
      <c r="T178" s="224">
        <f>S178*H178</f>
        <v>0</v>
      </c>
      <c r="AR178" s="225" t="s">
        <v>12</v>
      </c>
      <c r="AT178" s="225" t="s">
        <v>3385</v>
      </c>
      <c r="AU178" s="225" t="s">
        <v>6</v>
      </c>
      <c r="AY178" s="136" t="s">
        <v>3337</v>
      </c>
      <c r="BE178" s="226">
        <f>IF(N178="základní",J178,0)</f>
        <v>0</v>
      </c>
      <c r="BF178" s="226">
        <f>IF(N178="snížená",J178,0)</f>
        <v>0</v>
      </c>
      <c r="BG178" s="226">
        <f>IF(N178="zákl. přenesená",J178,0)</f>
        <v>0</v>
      </c>
      <c r="BH178" s="226">
        <f>IF(N178="sníž. přenesená",J178,0)</f>
        <v>0</v>
      </c>
      <c r="BI178" s="226">
        <f>IF(N178="nulová",J178,0)</f>
        <v>0</v>
      </c>
      <c r="BJ178" s="136" t="s">
        <v>5</v>
      </c>
      <c r="BK178" s="226">
        <f>ROUND(I178*H178,2)</f>
        <v>0</v>
      </c>
      <c r="BL178" s="136" t="s">
        <v>8</v>
      </c>
      <c r="BM178" s="225" t="s">
        <v>3516</v>
      </c>
    </row>
    <row r="179" spans="2:65" s="144" customFormat="1">
      <c r="B179" s="145"/>
      <c r="D179" s="227" t="s">
        <v>3343</v>
      </c>
      <c r="F179" s="228" t="s">
        <v>3515</v>
      </c>
      <c r="L179" s="145"/>
      <c r="M179" s="229"/>
      <c r="T179" s="230"/>
      <c r="AT179" s="136" t="s">
        <v>3343</v>
      </c>
      <c r="AU179" s="136" t="s">
        <v>6</v>
      </c>
    </row>
    <row r="180" spans="2:65" s="144" customFormat="1" ht="21.75" customHeight="1">
      <c r="B180" s="214"/>
      <c r="C180" s="251" t="s">
        <v>20</v>
      </c>
      <c r="D180" s="251" t="s">
        <v>3385</v>
      </c>
      <c r="E180" s="252" t="s">
        <v>3517</v>
      </c>
      <c r="F180" s="253" t="s">
        <v>3518</v>
      </c>
      <c r="G180" s="254" t="s">
        <v>1943</v>
      </c>
      <c r="H180" s="255">
        <v>1</v>
      </c>
      <c r="I180" s="746">
        <v>0</v>
      </c>
      <c r="J180" s="256">
        <f>ROUND(I180*H180,2)</f>
        <v>0</v>
      </c>
      <c r="K180" s="253" t="s">
        <v>3341</v>
      </c>
      <c r="L180" s="257"/>
      <c r="M180" s="258" t="s">
        <v>3268</v>
      </c>
      <c r="N180" s="259" t="s">
        <v>3296</v>
      </c>
      <c r="O180" s="223">
        <v>0</v>
      </c>
      <c r="P180" s="223">
        <f>O180*H180</f>
        <v>0</v>
      </c>
      <c r="Q180" s="223">
        <v>3.5000000000000001E-3</v>
      </c>
      <c r="R180" s="223">
        <f>Q180*H180</f>
        <v>3.5000000000000001E-3</v>
      </c>
      <c r="S180" s="223">
        <v>0</v>
      </c>
      <c r="T180" s="224">
        <f>S180*H180</f>
        <v>0</v>
      </c>
      <c r="AR180" s="225" t="s">
        <v>12</v>
      </c>
      <c r="AT180" s="225" t="s">
        <v>3385</v>
      </c>
      <c r="AU180" s="225" t="s">
        <v>6</v>
      </c>
      <c r="AY180" s="136" t="s">
        <v>3337</v>
      </c>
      <c r="BE180" s="226">
        <f>IF(N180="základní",J180,0)</f>
        <v>0</v>
      </c>
      <c r="BF180" s="226">
        <f>IF(N180="snížená",J180,0)</f>
        <v>0</v>
      </c>
      <c r="BG180" s="226">
        <f>IF(N180="zákl. přenesená",J180,0)</f>
        <v>0</v>
      </c>
      <c r="BH180" s="226">
        <f>IF(N180="sníž. přenesená",J180,0)</f>
        <v>0</v>
      </c>
      <c r="BI180" s="226">
        <f>IF(N180="nulová",J180,0)</f>
        <v>0</v>
      </c>
      <c r="BJ180" s="136" t="s">
        <v>5</v>
      </c>
      <c r="BK180" s="226">
        <f>ROUND(I180*H180,2)</f>
        <v>0</v>
      </c>
      <c r="BL180" s="136" t="s">
        <v>8</v>
      </c>
      <c r="BM180" s="225" t="s">
        <v>3519</v>
      </c>
    </row>
    <row r="181" spans="2:65" s="144" customFormat="1">
      <c r="B181" s="145"/>
      <c r="D181" s="227" t="s">
        <v>3343</v>
      </c>
      <c r="F181" s="228" t="s">
        <v>3518</v>
      </c>
      <c r="L181" s="145"/>
      <c r="M181" s="229"/>
      <c r="T181" s="230"/>
      <c r="AT181" s="136" t="s">
        <v>3343</v>
      </c>
      <c r="AU181" s="136" t="s">
        <v>6</v>
      </c>
    </row>
    <row r="182" spans="2:65" s="144" customFormat="1" ht="21.75" customHeight="1">
      <c r="B182" s="214"/>
      <c r="C182" s="215" t="s">
        <v>21</v>
      </c>
      <c r="D182" s="215" t="s">
        <v>3338</v>
      </c>
      <c r="E182" s="216" t="s">
        <v>3520</v>
      </c>
      <c r="F182" s="217" t="s">
        <v>3521</v>
      </c>
      <c r="G182" s="218" t="s">
        <v>1943</v>
      </c>
      <c r="H182" s="219">
        <v>1</v>
      </c>
      <c r="I182" s="745">
        <v>0</v>
      </c>
      <c r="J182" s="220">
        <f>ROUND(I182*H182,2)</f>
        <v>0</v>
      </c>
      <c r="K182" s="217" t="s">
        <v>3341</v>
      </c>
      <c r="L182" s="145"/>
      <c r="M182" s="221" t="s">
        <v>3268</v>
      </c>
      <c r="N182" s="222" t="s">
        <v>3296</v>
      </c>
      <c r="O182" s="223">
        <v>3.4740000000000002</v>
      </c>
      <c r="P182" s="223">
        <f>O182*H182</f>
        <v>3.4740000000000002</v>
      </c>
      <c r="Q182" s="223">
        <v>0</v>
      </c>
      <c r="R182" s="223">
        <f>Q182*H182</f>
        <v>0</v>
      </c>
      <c r="S182" s="223">
        <v>0</v>
      </c>
      <c r="T182" s="224">
        <f>S182*H182</f>
        <v>0</v>
      </c>
      <c r="AR182" s="225" t="s">
        <v>8</v>
      </c>
      <c r="AT182" s="225" t="s">
        <v>3338</v>
      </c>
      <c r="AU182" s="225" t="s">
        <v>6</v>
      </c>
      <c r="AY182" s="136" t="s">
        <v>3337</v>
      </c>
      <c r="BE182" s="226">
        <f>IF(N182="základní",J182,0)</f>
        <v>0</v>
      </c>
      <c r="BF182" s="226">
        <f>IF(N182="snížená",J182,0)</f>
        <v>0</v>
      </c>
      <c r="BG182" s="226">
        <f>IF(N182="zákl. přenesená",J182,0)</f>
        <v>0</v>
      </c>
      <c r="BH182" s="226">
        <f>IF(N182="sníž. přenesená",J182,0)</f>
        <v>0</v>
      </c>
      <c r="BI182" s="226">
        <f>IF(N182="nulová",J182,0)</f>
        <v>0</v>
      </c>
      <c r="BJ182" s="136" t="s">
        <v>5</v>
      </c>
      <c r="BK182" s="226">
        <f>ROUND(I182*H182,2)</f>
        <v>0</v>
      </c>
      <c r="BL182" s="136" t="s">
        <v>8</v>
      </c>
      <c r="BM182" s="225" t="s">
        <v>3522</v>
      </c>
    </row>
    <row r="183" spans="2:65" s="144" customFormat="1" ht="28.8">
      <c r="B183" s="145"/>
      <c r="D183" s="227" t="s">
        <v>3343</v>
      </c>
      <c r="F183" s="228" t="s">
        <v>3523</v>
      </c>
      <c r="L183" s="145"/>
      <c r="M183" s="229"/>
      <c r="T183" s="230"/>
      <c r="AT183" s="136" t="s">
        <v>3343</v>
      </c>
      <c r="AU183" s="136" t="s">
        <v>6</v>
      </c>
    </row>
    <row r="184" spans="2:65" s="144" customFormat="1" ht="21.75" customHeight="1">
      <c r="B184" s="214"/>
      <c r="C184" s="251" t="s">
        <v>22</v>
      </c>
      <c r="D184" s="251" t="s">
        <v>3385</v>
      </c>
      <c r="E184" s="252" t="s">
        <v>3524</v>
      </c>
      <c r="F184" s="253" t="s">
        <v>3525</v>
      </c>
      <c r="G184" s="254" t="s">
        <v>1943</v>
      </c>
      <c r="H184" s="255">
        <v>1</v>
      </c>
      <c r="I184" s="746">
        <v>0</v>
      </c>
      <c r="J184" s="256">
        <f>ROUND(I184*H184,2)</f>
        <v>0</v>
      </c>
      <c r="K184" s="253" t="s">
        <v>3341</v>
      </c>
      <c r="L184" s="257"/>
      <c r="M184" s="258" t="s">
        <v>3268</v>
      </c>
      <c r="N184" s="259" t="s">
        <v>3296</v>
      </c>
      <c r="O184" s="223">
        <v>0</v>
      </c>
      <c r="P184" s="223">
        <f>O184*H184</f>
        <v>0</v>
      </c>
      <c r="Q184" s="223">
        <v>2.5999999999999999E-3</v>
      </c>
      <c r="R184" s="223">
        <f>Q184*H184</f>
        <v>2.5999999999999999E-3</v>
      </c>
      <c r="S184" s="223">
        <v>0</v>
      </c>
      <c r="T184" s="224">
        <f>S184*H184</f>
        <v>0</v>
      </c>
      <c r="AR184" s="225" t="s">
        <v>12</v>
      </c>
      <c r="AT184" s="225" t="s">
        <v>3385</v>
      </c>
      <c r="AU184" s="225" t="s">
        <v>6</v>
      </c>
      <c r="AY184" s="136" t="s">
        <v>3337</v>
      </c>
      <c r="BE184" s="226">
        <f>IF(N184="základní",J184,0)</f>
        <v>0</v>
      </c>
      <c r="BF184" s="226">
        <f>IF(N184="snížená",J184,0)</f>
        <v>0</v>
      </c>
      <c r="BG184" s="226">
        <f>IF(N184="zákl. přenesená",J184,0)</f>
        <v>0</v>
      </c>
      <c r="BH184" s="226">
        <f>IF(N184="sníž. přenesená",J184,0)</f>
        <v>0</v>
      </c>
      <c r="BI184" s="226">
        <f>IF(N184="nulová",J184,0)</f>
        <v>0</v>
      </c>
      <c r="BJ184" s="136" t="s">
        <v>5</v>
      </c>
      <c r="BK184" s="226">
        <f>ROUND(I184*H184,2)</f>
        <v>0</v>
      </c>
      <c r="BL184" s="136" t="s">
        <v>8</v>
      </c>
      <c r="BM184" s="225" t="s">
        <v>3526</v>
      </c>
    </row>
    <row r="185" spans="2:65" s="144" customFormat="1" ht="19.2">
      <c r="B185" s="145"/>
      <c r="D185" s="227" t="s">
        <v>3343</v>
      </c>
      <c r="F185" s="228" t="s">
        <v>3525</v>
      </c>
      <c r="L185" s="145"/>
      <c r="M185" s="229"/>
      <c r="T185" s="230"/>
      <c r="AT185" s="136" t="s">
        <v>3343</v>
      </c>
      <c r="AU185" s="136" t="s">
        <v>6</v>
      </c>
    </row>
    <row r="186" spans="2:65" s="144" customFormat="1" ht="16.5" customHeight="1">
      <c r="B186" s="214"/>
      <c r="C186" s="215" t="s">
        <v>23</v>
      </c>
      <c r="D186" s="215" t="s">
        <v>3338</v>
      </c>
      <c r="E186" s="216" t="s">
        <v>3527</v>
      </c>
      <c r="F186" s="217" t="s">
        <v>3528</v>
      </c>
      <c r="G186" s="218" t="s">
        <v>1943</v>
      </c>
      <c r="H186" s="219">
        <v>1</v>
      </c>
      <c r="I186" s="745">
        <v>0</v>
      </c>
      <c r="J186" s="220">
        <f>ROUND(I186*H186,2)</f>
        <v>0</v>
      </c>
      <c r="K186" s="217" t="s">
        <v>3341</v>
      </c>
      <c r="L186" s="145"/>
      <c r="M186" s="221" t="s">
        <v>3268</v>
      </c>
      <c r="N186" s="222" t="s">
        <v>3296</v>
      </c>
      <c r="O186" s="223">
        <v>0.86299999999999999</v>
      </c>
      <c r="P186" s="223">
        <f>O186*H186</f>
        <v>0.86299999999999999</v>
      </c>
      <c r="Q186" s="223">
        <v>0.12303</v>
      </c>
      <c r="R186" s="223">
        <f>Q186*H186</f>
        <v>0.12303</v>
      </c>
      <c r="S186" s="223">
        <v>0</v>
      </c>
      <c r="T186" s="224">
        <f>S186*H186</f>
        <v>0</v>
      </c>
      <c r="AR186" s="225" t="s">
        <v>8</v>
      </c>
      <c r="AT186" s="225" t="s">
        <v>3338</v>
      </c>
      <c r="AU186" s="225" t="s">
        <v>6</v>
      </c>
      <c r="AY186" s="136" t="s">
        <v>3337</v>
      </c>
      <c r="BE186" s="226">
        <f>IF(N186="základní",J186,0)</f>
        <v>0</v>
      </c>
      <c r="BF186" s="226">
        <f>IF(N186="snížená",J186,0)</f>
        <v>0</v>
      </c>
      <c r="BG186" s="226">
        <f>IF(N186="zákl. přenesená",J186,0)</f>
        <v>0</v>
      </c>
      <c r="BH186" s="226">
        <f>IF(N186="sníž. přenesená",J186,0)</f>
        <v>0</v>
      </c>
      <c r="BI186" s="226">
        <f>IF(N186="nulová",J186,0)</f>
        <v>0</v>
      </c>
      <c r="BJ186" s="136" t="s">
        <v>5</v>
      </c>
      <c r="BK186" s="226">
        <f>ROUND(I186*H186,2)</f>
        <v>0</v>
      </c>
      <c r="BL186" s="136" t="s">
        <v>8</v>
      </c>
      <c r="BM186" s="225" t="s">
        <v>3529</v>
      </c>
    </row>
    <row r="187" spans="2:65" s="144" customFormat="1">
      <c r="B187" s="145"/>
      <c r="D187" s="227" t="s">
        <v>3343</v>
      </c>
      <c r="F187" s="228" t="s">
        <v>3528</v>
      </c>
      <c r="L187" s="145"/>
      <c r="M187" s="229"/>
      <c r="T187" s="230"/>
      <c r="AT187" s="136" t="s">
        <v>3343</v>
      </c>
      <c r="AU187" s="136" t="s">
        <v>6</v>
      </c>
    </row>
    <row r="188" spans="2:65" s="144" customFormat="1" ht="21.75" customHeight="1">
      <c r="B188" s="214"/>
      <c r="C188" s="251" t="s">
        <v>24</v>
      </c>
      <c r="D188" s="251" t="s">
        <v>3385</v>
      </c>
      <c r="E188" s="252" t="s">
        <v>3530</v>
      </c>
      <c r="F188" s="253" t="s">
        <v>3531</v>
      </c>
      <c r="G188" s="254" t="s">
        <v>1943</v>
      </c>
      <c r="H188" s="255">
        <v>1</v>
      </c>
      <c r="I188" s="746">
        <v>0</v>
      </c>
      <c r="J188" s="256">
        <f>ROUND(I188*H188,2)</f>
        <v>0</v>
      </c>
      <c r="K188" s="253" t="s">
        <v>3341</v>
      </c>
      <c r="L188" s="257"/>
      <c r="M188" s="258" t="s">
        <v>3268</v>
      </c>
      <c r="N188" s="259" t="s">
        <v>3296</v>
      </c>
      <c r="O188" s="223">
        <v>0</v>
      </c>
      <c r="P188" s="223">
        <f>O188*H188</f>
        <v>0</v>
      </c>
      <c r="Q188" s="223">
        <v>1.3299999999999999E-2</v>
      </c>
      <c r="R188" s="223">
        <f>Q188*H188</f>
        <v>1.3299999999999999E-2</v>
      </c>
      <c r="S188" s="223">
        <v>0</v>
      </c>
      <c r="T188" s="224">
        <f>S188*H188</f>
        <v>0</v>
      </c>
      <c r="AR188" s="225" t="s">
        <v>12</v>
      </c>
      <c r="AT188" s="225" t="s">
        <v>3385</v>
      </c>
      <c r="AU188" s="225" t="s">
        <v>6</v>
      </c>
      <c r="AY188" s="136" t="s">
        <v>3337</v>
      </c>
      <c r="BE188" s="226">
        <f>IF(N188="základní",J188,0)</f>
        <v>0</v>
      </c>
      <c r="BF188" s="226">
        <f>IF(N188="snížená",J188,0)</f>
        <v>0</v>
      </c>
      <c r="BG188" s="226">
        <f>IF(N188="zákl. přenesená",J188,0)</f>
        <v>0</v>
      </c>
      <c r="BH188" s="226">
        <f>IF(N188="sníž. přenesená",J188,0)</f>
        <v>0</v>
      </c>
      <c r="BI188" s="226">
        <f>IF(N188="nulová",J188,0)</f>
        <v>0</v>
      </c>
      <c r="BJ188" s="136" t="s">
        <v>5</v>
      </c>
      <c r="BK188" s="226">
        <f>ROUND(I188*H188,2)</f>
        <v>0</v>
      </c>
      <c r="BL188" s="136" t="s">
        <v>8</v>
      </c>
      <c r="BM188" s="225" t="s">
        <v>3532</v>
      </c>
    </row>
    <row r="189" spans="2:65" s="144" customFormat="1" ht="19.2">
      <c r="B189" s="145"/>
      <c r="D189" s="227" t="s">
        <v>3343</v>
      </c>
      <c r="F189" s="228" t="s">
        <v>3531</v>
      </c>
      <c r="L189" s="145"/>
      <c r="M189" s="229"/>
      <c r="T189" s="230"/>
      <c r="AT189" s="136" t="s">
        <v>3343</v>
      </c>
      <c r="AU189" s="136" t="s">
        <v>6</v>
      </c>
    </row>
    <row r="190" spans="2:65" s="144" customFormat="1" ht="16.5" customHeight="1">
      <c r="B190" s="214"/>
      <c r="C190" s="215" t="s">
        <v>25</v>
      </c>
      <c r="D190" s="215" t="s">
        <v>3338</v>
      </c>
      <c r="E190" s="216" t="s">
        <v>3444</v>
      </c>
      <c r="F190" s="217" t="s">
        <v>3445</v>
      </c>
      <c r="G190" s="218" t="s">
        <v>1939</v>
      </c>
      <c r="H190" s="219">
        <v>12</v>
      </c>
      <c r="I190" s="745">
        <v>0</v>
      </c>
      <c r="J190" s="220">
        <f>ROUND(I190*H190,2)</f>
        <v>0</v>
      </c>
      <c r="K190" s="217" t="s">
        <v>3341</v>
      </c>
      <c r="L190" s="145"/>
      <c r="M190" s="221" t="s">
        <v>3268</v>
      </c>
      <c r="N190" s="222" t="s">
        <v>3296</v>
      </c>
      <c r="O190" s="223">
        <v>5.3999999999999999E-2</v>
      </c>
      <c r="P190" s="223">
        <f>O190*H190</f>
        <v>0.64800000000000002</v>
      </c>
      <c r="Q190" s="223">
        <v>1.9000000000000001E-4</v>
      </c>
      <c r="R190" s="223">
        <f>Q190*H190</f>
        <v>2.2799999999999999E-3</v>
      </c>
      <c r="S190" s="223">
        <v>0</v>
      </c>
      <c r="T190" s="224">
        <f>S190*H190</f>
        <v>0</v>
      </c>
      <c r="AR190" s="225" t="s">
        <v>8</v>
      </c>
      <c r="AT190" s="225" t="s">
        <v>3338</v>
      </c>
      <c r="AU190" s="225" t="s">
        <v>6</v>
      </c>
      <c r="AY190" s="136" t="s">
        <v>3337</v>
      </c>
      <c r="BE190" s="226">
        <f>IF(N190="základní",J190,0)</f>
        <v>0</v>
      </c>
      <c r="BF190" s="226">
        <f>IF(N190="snížená",J190,0)</f>
        <v>0</v>
      </c>
      <c r="BG190" s="226">
        <f>IF(N190="zákl. přenesená",J190,0)</f>
        <v>0</v>
      </c>
      <c r="BH190" s="226">
        <f>IF(N190="sníž. přenesená",J190,0)</f>
        <v>0</v>
      </c>
      <c r="BI190" s="226">
        <f>IF(N190="nulová",J190,0)</f>
        <v>0</v>
      </c>
      <c r="BJ190" s="136" t="s">
        <v>5</v>
      </c>
      <c r="BK190" s="226">
        <f>ROUND(I190*H190,2)</f>
        <v>0</v>
      </c>
      <c r="BL190" s="136" t="s">
        <v>8</v>
      </c>
      <c r="BM190" s="225" t="s">
        <v>3533</v>
      </c>
    </row>
    <row r="191" spans="2:65" s="144" customFormat="1">
      <c r="B191" s="145"/>
      <c r="D191" s="227" t="s">
        <v>3343</v>
      </c>
      <c r="F191" s="228" t="s">
        <v>3447</v>
      </c>
      <c r="L191" s="145"/>
      <c r="M191" s="229"/>
      <c r="T191" s="230"/>
      <c r="AT191" s="136" t="s">
        <v>3343</v>
      </c>
      <c r="AU191" s="136" t="s">
        <v>6</v>
      </c>
    </row>
    <row r="192" spans="2:65" s="144" customFormat="1" ht="16.5" customHeight="1">
      <c r="B192" s="214"/>
      <c r="C192" s="215" t="s">
        <v>26</v>
      </c>
      <c r="D192" s="215" t="s">
        <v>3338</v>
      </c>
      <c r="E192" s="216" t="s">
        <v>3448</v>
      </c>
      <c r="F192" s="217" t="s">
        <v>3449</v>
      </c>
      <c r="G192" s="218" t="s">
        <v>1939</v>
      </c>
      <c r="H192" s="219">
        <v>12</v>
      </c>
      <c r="I192" s="745">
        <v>0</v>
      </c>
      <c r="J192" s="220">
        <f>ROUND(I192*H192,2)</f>
        <v>0</v>
      </c>
      <c r="K192" s="217" t="s">
        <v>3341</v>
      </c>
      <c r="L192" s="145"/>
      <c r="M192" s="221" t="s">
        <v>3268</v>
      </c>
      <c r="N192" s="222" t="s">
        <v>3296</v>
      </c>
      <c r="O192" s="223">
        <v>2.5000000000000001E-2</v>
      </c>
      <c r="P192" s="223">
        <f>O192*H192</f>
        <v>0.30000000000000004</v>
      </c>
      <c r="Q192" s="223">
        <v>9.0000000000000006E-5</v>
      </c>
      <c r="R192" s="223">
        <f>Q192*H192</f>
        <v>1.08E-3</v>
      </c>
      <c r="S192" s="223">
        <v>0</v>
      </c>
      <c r="T192" s="224">
        <f>S192*H192</f>
        <v>0</v>
      </c>
      <c r="AR192" s="225" t="s">
        <v>8</v>
      </c>
      <c r="AT192" s="225" t="s">
        <v>3338</v>
      </c>
      <c r="AU192" s="225" t="s">
        <v>6</v>
      </c>
      <c r="AY192" s="136" t="s">
        <v>3337</v>
      </c>
      <c r="BE192" s="226">
        <f>IF(N192="základní",J192,0)</f>
        <v>0</v>
      </c>
      <c r="BF192" s="226">
        <f>IF(N192="snížená",J192,0)</f>
        <v>0</v>
      </c>
      <c r="BG192" s="226">
        <f>IF(N192="zákl. přenesená",J192,0)</f>
        <v>0</v>
      </c>
      <c r="BH192" s="226">
        <f>IF(N192="sníž. přenesená",J192,0)</f>
        <v>0</v>
      </c>
      <c r="BI192" s="226">
        <f>IF(N192="nulová",J192,0)</f>
        <v>0</v>
      </c>
      <c r="BJ192" s="136" t="s">
        <v>5</v>
      </c>
      <c r="BK192" s="226">
        <f>ROUND(I192*H192,2)</f>
        <v>0</v>
      </c>
      <c r="BL192" s="136" t="s">
        <v>8</v>
      </c>
      <c r="BM192" s="225" t="s">
        <v>3534</v>
      </c>
    </row>
    <row r="193" spans="2:65" s="144" customFormat="1">
      <c r="B193" s="145"/>
      <c r="D193" s="227" t="s">
        <v>3343</v>
      </c>
      <c r="F193" s="228" t="s">
        <v>3451</v>
      </c>
      <c r="L193" s="145"/>
      <c r="M193" s="229"/>
      <c r="T193" s="230"/>
      <c r="AT193" s="136" t="s">
        <v>3343</v>
      </c>
      <c r="AU193" s="136" t="s">
        <v>6</v>
      </c>
    </row>
    <row r="194" spans="2:65" s="202" customFormat="1" ht="22.95" customHeight="1">
      <c r="B194" s="203"/>
      <c r="D194" s="204" t="s">
        <v>3334</v>
      </c>
      <c r="E194" s="212" t="s">
        <v>3452</v>
      </c>
      <c r="F194" s="212" t="s">
        <v>3453</v>
      </c>
      <c r="J194" s="213">
        <f>BK194</f>
        <v>0</v>
      </c>
      <c r="L194" s="203"/>
      <c r="M194" s="207"/>
      <c r="P194" s="208">
        <f>SUM(P195:P198)</f>
        <v>0.41462399999999999</v>
      </c>
      <c r="R194" s="208">
        <f>SUM(R195:R198)</f>
        <v>0</v>
      </c>
      <c r="T194" s="209">
        <f>SUM(T195:T198)</f>
        <v>0</v>
      </c>
      <c r="AR194" s="204" t="s">
        <v>5</v>
      </c>
      <c r="AT194" s="210" t="s">
        <v>3334</v>
      </c>
      <c r="AU194" s="210" t="s">
        <v>5</v>
      </c>
      <c r="AY194" s="204" t="s">
        <v>3337</v>
      </c>
      <c r="BK194" s="211">
        <f>SUM(BK195:BK198)</f>
        <v>0</v>
      </c>
    </row>
    <row r="195" spans="2:65" s="144" customFormat="1" ht="21.75" customHeight="1">
      <c r="B195" s="214"/>
      <c r="C195" s="215" t="s">
        <v>27</v>
      </c>
      <c r="D195" s="215" t="s">
        <v>3338</v>
      </c>
      <c r="E195" s="216" t="s">
        <v>3454</v>
      </c>
      <c r="F195" s="217" t="s">
        <v>3455</v>
      </c>
      <c r="G195" s="218" t="s">
        <v>1942</v>
      </c>
      <c r="H195" s="219">
        <v>0.16800000000000001</v>
      </c>
      <c r="I195" s="745">
        <v>0</v>
      </c>
      <c r="J195" s="220">
        <f>ROUND(I195*H195,2)</f>
        <v>0</v>
      </c>
      <c r="K195" s="217" t="s">
        <v>3341</v>
      </c>
      <c r="L195" s="145"/>
      <c r="M195" s="221" t="s">
        <v>3268</v>
      </c>
      <c r="N195" s="222" t="s">
        <v>3296</v>
      </c>
      <c r="O195" s="223">
        <v>1.48</v>
      </c>
      <c r="P195" s="223">
        <f>O195*H195</f>
        <v>0.24864</v>
      </c>
      <c r="Q195" s="223">
        <v>0</v>
      </c>
      <c r="R195" s="223">
        <f>Q195*H195</f>
        <v>0</v>
      </c>
      <c r="S195" s="223">
        <v>0</v>
      </c>
      <c r="T195" s="224">
        <f>S195*H195</f>
        <v>0</v>
      </c>
      <c r="AR195" s="225" t="s">
        <v>8</v>
      </c>
      <c r="AT195" s="225" t="s">
        <v>3338</v>
      </c>
      <c r="AU195" s="225" t="s">
        <v>6</v>
      </c>
      <c r="AY195" s="136" t="s">
        <v>3337</v>
      </c>
      <c r="BE195" s="226">
        <f>IF(N195="základní",J195,0)</f>
        <v>0</v>
      </c>
      <c r="BF195" s="226">
        <f>IF(N195="snížená",J195,0)</f>
        <v>0</v>
      </c>
      <c r="BG195" s="226">
        <f>IF(N195="zákl. přenesená",J195,0)</f>
        <v>0</v>
      </c>
      <c r="BH195" s="226">
        <f>IF(N195="sníž. přenesená",J195,0)</f>
        <v>0</v>
      </c>
      <c r="BI195" s="226">
        <f>IF(N195="nulová",J195,0)</f>
        <v>0</v>
      </c>
      <c r="BJ195" s="136" t="s">
        <v>5</v>
      </c>
      <c r="BK195" s="226">
        <f>ROUND(I195*H195,2)</f>
        <v>0</v>
      </c>
      <c r="BL195" s="136" t="s">
        <v>8</v>
      </c>
      <c r="BM195" s="225" t="s">
        <v>3535</v>
      </c>
    </row>
    <row r="196" spans="2:65" s="144" customFormat="1" ht="28.8">
      <c r="B196" s="145"/>
      <c r="D196" s="227" t="s">
        <v>3343</v>
      </c>
      <c r="F196" s="228" t="s">
        <v>3457</v>
      </c>
      <c r="L196" s="145"/>
      <c r="M196" s="229"/>
      <c r="T196" s="230"/>
      <c r="AT196" s="136" t="s">
        <v>3343</v>
      </c>
      <c r="AU196" s="136" t="s">
        <v>6</v>
      </c>
    </row>
    <row r="197" spans="2:65" s="144" customFormat="1" ht="21.75" customHeight="1">
      <c r="B197" s="214"/>
      <c r="C197" s="215" t="s">
        <v>28</v>
      </c>
      <c r="D197" s="215" t="s">
        <v>3338</v>
      </c>
      <c r="E197" s="216" t="s">
        <v>3458</v>
      </c>
      <c r="F197" s="217" t="s">
        <v>3459</v>
      </c>
      <c r="G197" s="218" t="s">
        <v>1942</v>
      </c>
      <c r="H197" s="219">
        <v>0.16800000000000001</v>
      </c>
      <c r="I197" s="745">
        <v>0</v>
      </c>
      <c r="J197" s="220">
        <f>ROUND(I197*H197,2)</f>
        <v>0</v>
      </c>
      <c r="K197" s="217" t="s">
        <v>3341</v>
      </c>
      <c r="L197" s="145"/>
      <c r="M197" s="221" t="s">
        <v>3268</v>
      </c>
      <c r="N197" s="222" t="s">
        <v>3296</v>
      </c>
      <c r="O197" s="223">
        <v>0.98799999999999999</v>
      </c>
      <c r="P197" s="223">
        <f>O197*H197</f>
        <v>0.16598400000000002</v>
      </c>
      <c r="Q197" s="223">
        <v>0</v>
      </c>
      <c r="R197" s="223">
        <f>Q197*H197</f>
        <v>0</v>
      </c>
      <c r="S197" s="223">
        <v>0</v>
      </c>
      <c r="T197" s="224">
        <f>S197*H197</f>
        <v>0</v>
      </c>
      <c r="AR197" s="225" t="s">
        <v>8</v>
      </c>
      <c r="AT197" s="225" t="s">
        <v>3338</v>
      </c>
      <c r="AU197" s="225" t="s">
        <v>6</v>
      </c>
      <c r="AY197" s="136" t="s">
        <v>3337</v>
      </c>
      <c r="BE197" s="226">
        <f>IF(N197="základní",J197,0)</f>
        <v>0</v>
      </c>
      <c r="BF197" s="226">
        <f>IF(N197="snížená",J197,0)</f>
        <v>0</v>
      </c>
      <c r="BG197" s="226">
        <f>IF(N197="zákl. přenesená",J197,0)</f>
        <v>0</v>
      </c>
      <c r="BH197" s="226">
        <f>IF(N197="sníž. přenesená",J197,0)</f>
        <v>0</v>
      </c>
      <c r="BI197" s="226">
        <f>IF(N197="nulová",J197,0)</f>
        <v>0</v>
      </c>
      <c r="BJ197" s="136" t="s">
        <v>5</v>
      </c>
      <c r="BK197" s="226">
        <f>ROUND(I197*H197,2)</f>
        <v>0</v>
      </c>
      <c r="BL197" s="136" t="s">
        <v>8</v>
      </c>
      <c r="BM197" s="225" t="s">
        <v>3536</v>
      </c>
    </row>
    <row r="198" spans="2:65" s="144" customFormat="1" ht="28.8">
      <c r="B198" s="145"/>
      <c r="D198" s="227" t="s">
        <v>3343</v>
      </c>
      <c r="F198" s="228" t="s">
        <v>3461</v>
      </c>
      <c r="L198" s="145"/>
      <c r="M198" s="229"/>
      <c r="T198" s="230"/>
      <c r="AT198" s="136" t="s">
        <v>3343</v>
      </c>
      <c r="AU198" s="136" t="s">
        <v>6</v>
      </c>
    </row>
    <row r="199" spans="2:65" s="202" customFormat="1" ht="25.95" customHeight="1">
      <c r="B199" s="203"/>
      <c r="D199" s="204" t="s">
        <v>3334</v>
      </c>
      <c r="E199" s="205" t="s">
        <v>3462</v>
      </c>
      <c r="F199" s="205" t="s">
        <v>3463</v>
      </c>
      <c r="J199" s="206">
        <f>BK199</f>
        <v>0</v>
      </c>
      <c r="L199" s="203"/>
      <c r="M199" s="207"/>
      <c r="P199" s="208">
        <f>P200+P205</f>
        <v>0</v>
      </c>
      <c r="R199" s="208">
        <f>R200+R205</f>
        <v>0</v>
      </c>
      <c r="T199" s="209">
        <f>T200+T205</f>
        <v>0</v>
      </c>
      <c r="AR199" s="204" t="s">
        <v>9</v>
      </c>
      <c r="AT199" s="210" t="s">
        <v>3334</v>
      </c>
      <c r="AU199" s="210" t="s">
        <v>3336</v>
      </c>
      <c r="AY199" s="204" t="s">
        <v>3337</v>
      </c>
      <c r="BK199" s="211">
        <f>BK200+BK205</f>
        <v>0</v>
      </c>
    </row>
    <row r="200" spans="2:65" s="202" customFormat="1" ht="22.95" customHeight="1">
      <c r="B200" s="203"/>
      <c r="D200" s="204" t="s">
        <v>3334</v>
      </c>
      <c r="E200" s="212" t="s">
        <v>3464</v>
      </c>
      <c r="F200" s="212" t="s">
        <v>3465</v>
      </c>
      <c r="J200" s="213">
        <f>BK200</f>
        <v>0</v>
      </c>
      <c r="L200" s="203"/>
      <c r="M200" s="207"/>
      <c r="P200" s="208">
        <f>SUM(P201:P204)</f>
        <v>0</v>
      </c>
      <c r="R200" s="208">
        <f>SUM(R201:R204)</f>
        <v>0</v>
      </c>
      <c r="T200" s="209">
        <f>SUM(T201:T204)</f>
        <v>0</v>
      </c>
      <c r="AR200" s="204" t="s">
        <v>9</v>
      </c>
      <c r="AT200" s="210" t="s">
        <v>3334</v>
      </c>
      <c r="AU200" s="210" t="s">
        <v>5</v>
      </c>
      <c r="AY200" s="204" t="s">
        <v>3337</v>
      </c>
      <c r="BK200" s="211">
        <f>SUM(BK201:BK204)</f>
        <v>0</v>
      </c>
    </row>
    <row r="201" spans="2:65" s="144" customFormat="1" ht="16.5" customHeight="1">
      <c r="B201" s="214"/>
      <c r="C201" s="215" t="s">
        <v>29</v>
      </c>
      <c r="D201" s="215" t="s">
        <v>3338</v>
      </c>
      <c r="E201" s="216" t="s">
        <v>3466</v>
      </c>
      <c r="F201" s="217" t="s">
        <v>3467</v>
      </c>
      <c r="G201" s="218" t="s">
        <v>1938</v>
      </c>
      <c r="H201" s="219">
        <v>1</v>
      </c>
      <c r="I201" s="745">
        <v>0</v>
      </c>
      <c r="J201" s="220">
        <f>ROUND(I201*H201,2)</f>
        <v>0</v>
      </c>
      <c r="K201" s="217" t="s">
        <v>3341</v>
      </c>
      <c r="L201" s="145"/>
      <c r="M201" s="221" t="s">
        <v>3268</v>
      </c>
      <c r="N201" s="222" t="s">
        <v>3296</v>
      </c>
      <c r="O201" s="223">
        <v>0</v>
      </c>
      <c r="P201" s="223">
        <f>O201*H201</f>
        <v>0</v>
      </c>
      <c r="Q201" s="223">
        <v>0</v>
      </c>
      <c r="R201" s="223">
        <f>Q201*H201</f>
        <v>0</v>
      </c>
      <c r="S201" s="223">
        <v>0</v>
      </c>
      <c r="T201" s="224">
        <f>S201*H201</f>
        <v>0</v>
      </c>
      <c r="AR201" s="225" t="s">
        <v>3468</v>
      </c>
      <c r="AT201" s="225" t="s">
        <v>3338</v>
      </c>
      <c r="AU201" s="225" t="s">
        <v>6</v>
      </c>
      <c r="AY201" s="136" t="s">
        <v>3337</v>
      </c>
      <c r="BE201" s="226">
        <f>IF(N201="základní",J201,0)</f>
        <v>0</v>
      </c>
      <c r="BF201" s="226">
        <f>IF(N201="snížená",J201,0)</f>
        <v>0</v>
      </c>
      <c r="BG201" s="226">
        <f>IF(N201="zákl. přenesená",J201,0)</f>
        <v>0</v>
      </c>
      <c r="BH201" s="226">
        <f>IF(N201="sníž. přenesená",J201,0)</f>
        <v>0</v>
      </c>
      <c r="BI201" s="226">
        <f>IF(N201="nulová",J201,0)</f>
        <v>0</v>
      </c>
      <c r="BJ201" s="136" t="s">
        <v>5</v>
      </c>
      <c r="BK201" s="226">
        <f>ROUND(I201*H201,2)</f>
        <v>0</v>
      </c>
      <c r="BL201" s="136" t="s">
        <v>3468</v>
      </c>
      <c r="BM201" s="225" t="s">
        <v>3537</v>
      </c>
    </row>
    <row r="202" spans="2:65" s="144" customFormat="1">
      <c r="B202" s="145"/>
      <c r="D202" s="227" t="s">
        <v>3343</v>
      </c>
      <c r="F202" s="228" t="s">
        <v>3467</v>
      </c>
      <c r="L202" s="145"/>
      <c r="M202" s="229"/>
      <c r="T202" s="230"/>
      <c r="AT202" s="136" t="s">
        <v>3343</v>
      </c>
      <c r="AU202" s="136" t="s">
        <v>6</v>
      </c>
    </row>
    <row r="203" spans="2:65" s="144" customFormat="1" ht="16.5" customHeight="1">
      <c r="B203" s="214"/>
      <c r="C203" s="215" t="s">
        <v>30</v>
      </c>
      <c r="D203" s="215" t="s">
        <v>3338</v>
      </c>
      <c r="E203" s="216" t="s">
        <v>3470</v>
      </c>
      <c r="F203" s="217" t="s">
        <v>3471</v>
      </c>
      <c r="G203" s="218" t="s">
        <v>1938</v>
      </c>
      <c r="H203" s="219">
        <v>1</v>
      </c>
      <c r="I203" s="745">
        <v>0</v>
      </c>
      <c r="J203" s="220">
        <f>ROUND(I203*H203,2)</f>
        <v>0</v>
      </c>
      <c r="K203" s="217" t="s">
        <v>3341</v>
      </c>
      <c r="L203" s="145"/>
      <c r="M203" s="221" t="s">
        <v>3268</v>
      </c>
      <c r="N203" s="222" t="s">
        <v>3296</v>
      </c>
      <c r="O203" s="223">
        <v>0</v>
      </c>
      <c r="P203" s="223">
        <f>O203*H203</f>
        <v>0</v>
      </c>
      <c r="Q203" s="223">
        <v>0</v>
      </c>
      <c r="R203" s="223">
        <f>Q203*H203</f>
        <v>0</v>
      </c>
      <c r="S203" s="223">
        <v>0</v>
      </c>
      <c r="T203" s="224">
        <f>S203*H203</f>
        <v>0</v>
      </c>
      <c r="AR203" s="225" t="s">
        <v>3468</v>
      </c>
      <c r="AT203" s="225" t="s">
        <v>3338</v>
      </c>
      <c r="AU203" s="225" t="s">
        <v>6</v>
      </c>
      <c r="AY203" s="136" t="s">
        <v>3337</v>
      </c>
      <c r="BE203" s="226">
        <f>IF(N203="základní",J203,0)</f>
        <v>0</v>
      </c>
      <c r="BF203" s="226">
        <f>IF(N203="snížená",J203,0)</f>
        <v>0</v>
      </c>
      <c r="BG203" s="226">
        <f>IF(N203="zákl. přenesená",J203,0)</f>
        <v>0</v>
      </c>
      <c r="BH203" s="226">
        <f>IF(N203="sníž. přenesená",J203,0)</f>
        <v>0</v>
      </c>
      <c r="BI203" s="226">
        <f>IF(N203="nulová",J203,0)</f>
        <v>0</v>
      </c>
      <c r="BJ203" s="136" t="s">
        <v>5</v>
      </c>
      <c r="BK203" s="226">
        <f>ROUND(I203*H203,2)</f>
        <v>0</v>
      </c>
      <c r="BL203" s="136" t="s">
        <v>3468</v>
      </c>
      <c r="BM203" s="225" t="s">
        <v>3538</v>
      </c>
    </row>
    <row r="204" spans="2:65" s="144" customFormat="1">
      <c r="B204" s="145"/>
      <c r="D204" s="227" t="s">
        <v>3343</v>
      </c>
      <c r="F204" s="228" t="s">
        <v>3471</v>
      </c>
      <c r="L204" s="145"/>
      <c r="M204" s="229"/>
      <c r="T204" s="230"/>
      <c r="AT204" s="136" t="s">
        <v>3343</v>
      </c>
      <c r="AU204" s="136" t="s">
        <v>6</v>
      </c>
    </row>
    <row r="205" spans="2:65" s="202" customFormat="1" ht="22.95" customHeight="1">
      <c r="B205" s="203"/>
      <c r="D205" s="204" t="s">
        <v>3334</v>
      </c>
      <c r="E205" s="212" t="s">
        <v>3473</v>
      </c>
      <c r="F205" s="212" t="s">
        <v>3169</v>
      </c>
      <c r="J205" s="213">
        <f>BK205</f>
        <v>0</v>
      </c>
      <c r="L205" s="203"/>
      <c r="M205" s="207"/>
      <c r="P205" s="208">
        <f>SUM(P206:P207)</f>
        <v>0</v>
      </c>
      <c r="R205" s="208">
        <f>SUM(R206:R207)</f>
        <v>0</v>
      </c>
      <c r="T205" s="209">
        <f>SUM(T206:T207)</f>
        <v>0</v>
      </c>
      <c r="AR205" s="204" t="s">
        <v>9</v>
      </c>
      <c r="AT205" s="210" t="s">
        <v>3334</v>
      </c>
      <c r="AU205" s="210" t="s">
        <v>5</v>
      </c>
      <c r="AY205" s="204" t="s">
        <v>3337</v>
      </c>
      <c r="BK205" s="211">
        <f>SUM(BK206:BK207)</f>
        <v>0</v>
      </c>
    </row>
    <row r="206" spans="2:65" s="144" customFormat="1" ht="21.75" customHeight="1">
      <c r="B206" s="214"/>
      <c r="C206" s="215" t="s">
        <v>31</v>
      </c>
      <c r="D206" s="215" t="s">
        <v>3338</v>
      </c>
      <c r="E206" s="216" t="s">
        <v>3539</v>
      </c>
      <c r="F206" s="217" t="s">
        <v>3540</v>
      </c>
      <c r="G206" s="218" t="s">
        <v>1938</v>
      </c>
      <c r="H206" s="219">
        <v>1</v>
      </c>
      <c r="I206" s="745">
        <v>0</v>
      </c>
      <c r="J206" s="220">
        <f>ROUND(I206*H206,2)</f>
        <v>0</v>
      </c>
      <c r="K206" s="217" t="s">
        <v>3268</v>
      </c>
      <c r="L206" s="145"/>
      <c r="M206" s="221" t="s">
        <v>3268</v>
      </c>
      <c r="N206" s="222" t="s">
        <v>3296</v>
      </c>
      <c r="O206" s="223">
        <v>0</v>
      </c>
      <c r="P206" s="223">
        <f>O206*H206</f>
        <v>0</v>
      </c>
      <c r="Q206" s="223">
        <v>0</v>
      </c>
      <c r="R206" s="223">
        <f>Q206*H206</f>
        <v>0</v>
      </c>
      <c r="S206" s="223">
        <v>0</v>
      </c>
      <c r="T206" s="224">
        <f>S206*H206</f>
        <v>0</v>
      </c>
      <c r="AR206" s="225" t="s">
        <v>3468</v>
      </c>
      <c r="AT206" s="225" t="s">
        <v>3338</v>
      </c>
      <c r="AU206" s="225" t="s">
        <v>6</v>
      </c>
      <c r="AY206" s="136" t="s">
        <v>3337</v>
      </c>
      <c r="BE206" s="226">
        <f>IF(N206="základní",J206,0)</f>
        <v>0</v>
      </c>
      <c r="BF206" s="226">
        <f>IF(N206="snížená",J206,0)</f>
        <v>0</v>
      </c>
      <c r="BG206" s="226">
        <f>IF(N206="zákl. přenesená",J206,0)</f>
        <v>0</v>
      </c>
      <c r="BH206" s="226">
        <f>IF(N206="sníž. přenesená",J206,0)</f>
        <v>0</v>
      </c>
      <c r="BI206" s="226">
        <f>IF(N206="nulová",J206,0)</f>
        <v>0</v>
      </c>
      <c r="BJ206" s="136" t="s">
        <v>5</v>
      </c>
      <c r="BK206" s="226">
        <f>ROUND(I206*H206,2)</f>
        <v>0</v>
      </c>
      <c r="BL206" s="136" t="s">
        <v>3468</v>
      </c>
      <c r="BM206" s="225" t="s">
        <v>3541</v>
      </c>
    </row>
    <row r="207" spans="2:65" s="144" customFormat="1">
      <c r="B207" s="145"/>
      <c r="D207" s="227" t="s">
        <v>3343</v>
      </c>
      <c r="F207" s="228" t="s">
        <v>3540</v>
      </c>
      <c r="L207" s="145"/>
      <c r="M207" s="260"/>
      <c r="N207" s="261"/>
      <c r="O207" s="261"/>
      <c r="P207" s="261"/>
      <c r="Q207" s="261"/>
      <c r="R207" s="261"/>
      <c r="S207" s="261"/>
      <c r="T207" s="262"/>
      <c r="AT207" s="136" t="s">
        <v>3343</v>
      </c>
      <c r="AU207" s="136" t="s">
        <v>6</v>
      </c>
    </row>
    <row r="208" spans="2:65" s="144" customFormat="1" ht="6.9" customHeight="1">
      <c r="B208" s="171"/>
      <c r="C208" s="172"/>
      <c r="D208" s="172"/>
      <c r="E208" s="172"/>
      <c r="F208" s="172"/>
      <c r="G208" s="172"/>
      <c r="H208" s="172"/>
      <c r="I208" s="172"/>
      <c r="J208" s="172"/>
      <c r="K208" s="172"/>
      <c r="L208" s="145"/>
    </row>
  </sheetData>
  <mergeCells count="9">
    <mergeCell ref="E87:H87"/>
    <mergeCell ref="E114:H114"/>
    <mergeCell ref="E116:H116"/>
    <mergeCell ref="L2:V2"/>
    <mergeCell ref="E7:H7"/>
    <mergeCell ref="E9:H9"/>
    <mergeCell ref="E18:H18"/>
    <mergeCell ref="E27:H27"/>
    <mergeCell ref="E85:H85"/>
  </mergeCells>
  <pageMargins left="0.7" right="0.7" top="0.78740157499999996" bottom="0.78740157499999996" header="0.3" footer="0.3"/>
  <pageSetup paperSize="9" scale="66" orientation="portrait" verticalDpi="0" r:id="rId1"/>
  <rowBreaks count="1" manualBreakCount="1">
    <brk id="79" min="1" max="10" man="1"/>
  </rowBreaks>
</worksheet>
</file>

<file path=xl/worksheets/sheet18.xml><?xml version="1.0" encoding="utf-8"?>
<worksheet xmlns="http://schemas.openxmlformats.org/spreadsheetml/2006/main" xmlns:r="http://schemas.openxmlformats.org/officeDocument/2006/relationships">
  <dimension ref="B2:BM214"/>
  <sheetViews>
    <sheetView topLeftCell="A23" zoomScaleNormal="100" workbookViewId="0">
      <selection activeCell="X126" sqref="X126"/>
    </sheetView>
  </sheetViews>
  <sheetFormatPr defaultColWidth="9.109375" defaultRowHeight="10.199999999999999"/>
  <cols>
    <col min="1" max="1" width="7.109375" style="135" customWidth="1"/>
    <col min="2" max="2" width="1.44140625" style="135" customWidth="1"/>
    <col min="3" max="3" width="3.5546875" style="135" customWidth="1"/>
    <col min="4" max="4" width="3.6640625" style="135" customWidth="1"/>
    <col min="5" max="5" width="14.6640625" style="135" customWidth="1"/>
    <col min="6" max="6" width="43.5546875" style="135" customWidth="1"/>
    <col min="7" max="7" width="8.33203125" style="135" customWidth="1"/>
    <col min="8" max="8" width="9.88671875" style="135" customWidth="1"/>
    <col min="9" max="11" width="17.33203125" style="135" customWidth="1"/>
    <col min="12" max="12" width="8" style="135" customWidth="1"/>
    <col min="13" max="13" width="9.33203125" style="135" hidden="1" customWidth="1"/>
    <col min="14" max="14" width="9.109375" style="135"/>
    <col min="15" max="20" width="12.109375" style="135" hidden="1" customWidth="1"/>
    <col min="21" max="21" width="14" style="135" hidden="1" customWidth="1"/>
    <col min="22" max="22" width="10.5546875" style="135" customWidth="1"/>
    <col min="23" max="23" width="14" style="135" customWidth="1"/>
    <col min="24" max="24" width="10.5546875" style="135" customWidth="1"/>
    <col min="25" max="25" width="12.88671875" style="135" customWidth="1"/>
    <col min="26" max="26" width="9.44140625" style="135" customWidth="1"/>
    <col min="27" max="27" width="12.88671875" style="135" customWidth="1"/>
    <col min="28" max="28" width="14" style="135" customWidth="1"/>
    <col min="29" max="29" width="9.44140625" style="135" customWidth="1"/>
    <col min="30" max="30" width="12.88671875" style="135" customWidth="1"/>
    <col min="31" max="31" width="14" style="135" customWidth="1"/>
    <col min="32" max="16384" width="9.109375" style="135"/>
  </cols>
  <sheetData>
    <row r="2" spans="2:56" ht="36.9" customHeight="1">
      <c r="L2" s="970" t="s">
        <v>3265</v>
      </c>
      <c r="M2" s="971"/>
      <c r="N2" s="971"/>
      <c r="O2" s="971"/>
      <c r="P2" s="971"/>
      <c r="Q2" s="971"/>
      <c r="R2" s="971"/>
      <c r="S2" s="971"/>
      <c r="T2" s="971"/>
      <c r="U2" s="971"/>
      <c r="V2" s="971"/>
      <c r="AT2" s="136" t="s">
        <v>3266</v>
      </c>
      <c r="AZ2" s="137" t="s">
        <v>3267</v>
      </c>
      <c r="BA2" s="137" t="s">
        <v>3268</v>
      </c>
      <c r="BB2" s="137" t="s">
        <v>3268</v>
      </c>
      <c r="BC2" s="137" t="s">
        <v>3269</v>
      </c>
      <c r="BD2" s="137" t="s">
        <v>6</v>
      </c>
    </row>
    <row r="3" spans="2:56" ht="6.9" customHeight="1">
      <c r="B3" s="138"/>
      <c r="C3" s="139"/>
      <c r="D3" s="139"/>
      <c r="E3" s="139"/>
      <c r="F3" s="139"/>
      <c r="G3" s="139"/>
      <c r="H3" s="139"/>
      <c r="I3" s="139"/>
      <c r="J3" s="139"/>
      <c r="K3" s="139"/>
      <c r="L3" s="140"/>
      <c r="AT3" s="136" t="s">
        <v>6</v>
      </c>
      <c r="AZ3" s="137" t="s">
        <v>3270</v>
      </c>
      <c r="BA3" s="137" t="s">
        <v>3268</v>
      </c>
      <c r="BB3" s="137" t="s">
        <v>3268</v>
      </c>
      <c r="BC3" s="137" t="s">
        <v>3271</v>
      </c>
      <c r="BD3" s="137" t="s">
        <v>6</v>
      </c>
    </row>
    <row r="4" spans="2:56" ht="24.9" customHeight="1">
      <c r="B4" s="140"/>
      <c r="D4" s="141" t="s">
        <v>3272</v>
      </c>
      <c r="L4" s="140"/>
      <c r="M4" s="142" t="s">
        <v>3273</v>
      </c>
      <c r="AT4" s="136" t="s">
        <v>3274</v>
      </c>
      <c r="AZ4" s="137" t="s">
        <v>3275</v>
      </c>
      <c r="BA4" s="137" t="s">
        <v>3268</v>
      </c>
      <c r="BB4" s="137" t="s">
        <v>3268</v>
      </c>
      <c r="BC4" s="137" t="s">
        <v>3276</v>
      </c>
      <c r="BD4" s="137" t="s">
        <v>6</v>
      </c>
    </row>
    <row r="5" spans="2:56" ht="6.9" customHeight="1">
      <c r="B5" s="140"/>
      <c r="L5" s="140"/>
      <c r="AZ5" s="137" t="s">
        <v>3277</v>
      </c>
      <c r="BA5" s="137" t="s">
        <v>3268</v>
      </c>
      <c r="BB5" s="137" t="s">
        <v>3268</v>
      </c>
      <c r="BC5" s="137" t="s">
        <v>3278</v>
      </c>
      <c r="BD5" s="137" t="s">
        <v>6</v>
      </c>
    </row>
    <row r="6" spans="2:56" ht="12" customHeight="1">
      <c r="B6" s="140"/>
      <c r="D6" s="143" t="s">
        <v>3279</v>
      </c>
      <c r="L6" s="140"/>
      <c r="AZ6" s="137" t="s">
        <v>3280</v>
      </c>
      <c r="BA6" s="137" t="s">
        <v>3268</v>
      </c>
      <c r="BB6" s="137" t="s">
        <v>3268</v>
      </c>
      <c r="BC6" s="137" t="s">
        <v>3281</v>
      </c>
      <c r="BD6" s="137" t="s">
        <v>6</v>
      </c>
    </row>
    <row r="7" spans="2:56" ht="16.5" customHeight="1">
      <c r="B7" s="140"/>
      <c r="E7" s="968" t="s">
        <v>5796</v>
      </c>
      <c r="F7" s="969"/>
      <c r="G7" s="969"/>
      <c r="H7" s="969"/>
      <c r="L7" s="140"/>
    </row>
    <row r="8" spans="2:56" s="144" customFormat="1" ht="12" customHeight="1">
      <c r="B8" s="145"/>
      <c r="D8" s="143" t="s">
        <v>3282</v>
      </c>
      <c r="L8" s="145"/>
    </row>
    <row r="9" spans="2:56" s="144" customFormat="1" ht="16.5" customHeight="1">
      <c r="B9" s="145"/>
      <c r="E9" s="966" t="s">
        <v>3283</v>
      </c>
      <c r="F9" s="967"/>
      <c r="G9" s="967"/>
      <c r="H9" s="967"/>
      <c r="L9" s="145"/>
    </row>
    <row r="10" spans="2:56" s="144" customFormat="1">
      <c r="B10" s="145"/>
      <c r="L10" s="145"/>
    </row>
    <row r="11" spans="2:56" s="144" customFormat="1" ht="12" customHeight="1">
      <c r="B11" s="145"/>
      <c r="D11" s="143" t="s">
        <v>3284</v>
      </c>
      <c r="F11" s="146" t="s">
        <v>3268</v>
      </c>
      <c r="I11" s="143" t="s">
        <v>3285</v>
      </c>
      <c r="J11" s="146" t="s">
        <v>3268</v>
      </c>
      <c r="L11" s="145"/>
    </row>
    <row r="12" spans="2:56" s="144" customFormat="1" ht="12" customHeight="1">
      <c r="B12" s="145"/>
      <c r="D12" s="143" t="s">
        <v>3286</v>
      </c>
      <c r="F12" s="146" t="s">
        <v>4</v>
      </c>
      <c r="I12" s="143" t="s">
        <v>3141</v>
      </c>
      <c r="J12" s="147" t="s">
        <v>5797</v>
      </c>
      <c r="L12" s="145"/>
    </row>
    <row r="13" spans="2:56" s="144" customFormat="1" ht="10.95" customHeight="1">
      <c r="B13" s="145"/>
      <c r="L13" s="145"/>
    </row>
    <row r="14" spans="2:56" s="144" customFormat="1" ht="12" customHeight="1">
      <c r="B14" s="145"/>
      <c r="D14" s="143" t="s">
        <v>3287</v>
      </c>
      <c r="I14" s="143" t="s">
        <v>3288</v>
      </c>
      <c r="J14" s="146" t="s">
        <v>3268</v>
      </c>
      <c r="L14" s="145"/>
    </row>
    <row r="15" spans="2:56" s="144" customFormat="1" ht="18" customHeight="1">
      <c r="B15" s="145"/>
      <c r="E15" s="146" t="s">
        <v>4</v>
      </c>
      <c r="I15" s="143" t="s">
        <v>3289</v>
      </c>
      <c r="J15" s="146" t="s">
        <v>3268</v>
      </c>
      <c r="L15" s="145"/>
    </row>
    <row r="16" spans="2:56" s="144" customFormat="1" ht="6.9" customHeight="1">
      <c r="B16" s="145"/>
      <c r="L16" s="145"/>
    </row>
    <row r="17" spans="2:12" s="144" customFormat="1" ht="12" customHeight="1">
      <c r="B17" s="145"/>
      <c r="D17" s="143" t="s">
        <v>1950</v>
      </c>
      <c r="I17" s="143" t="s">
        <v>3288</v>
      </c>
      <c r="J17" s="146" t="s">
        <v>3268</v>
      </c>
      <c r="L17" s="145"/>
    </row>
    <row r="18" spans="2:12" s="144" customFormat="1" ht="18" customHeight="1">
      <c r="B18" s="145"/>
      <c r="E18" s="972" t="s">
        <v>4</v>
      </c>
      <c r="F18" s="972"/>
      <c r="G18" s="972"/>
      <c r="H18" s="972"/>
      <c r="I18" s="143" t="s">
        <v>3289</v>
      </c>
      <c r="J18" s="146" t="s">
        <v>3268</v>
      </c>
      <c r="L18" s="145"/>
    </row>
    <row r="19" spans="2:12" s="144" customFormat="1" ht="6.9" customHeight="1">
      <c r="B19" s="145"/>
      <c r="L19" s="145"/>
    </row>
    <row r="20" spans="2:12" s="144" customFormat="1" ht="12" customHeight="1">
      <c r="B20" s="145"/>
      <c r="D20" s="143" t="s">
        <v>1949</v>
      </c>
      <c r="I20" s="143" t="s">
        <v>3288</v>
      </c>
      <c r="J20" s="146" t="s">
        <v>3268</v>
      </c>
      <c r="L20" s="145"/>
    </row>
    <row r="21" spans="2:12" s="144" customFormat="1" ht="18" customHeight="1">
      <c r="B21" s="145"/>
      <c r="E21" s="146" t="s">
        <v>4</v>
      </c>
      <c r="I21" s="143" t="s">
        <v>3289</v>
      </c>
      <c r="J21" s="146" t="s">
        <v>3268</v>
      </c>
      <c r="L21" s="145"/>
    </row>
    <row r="22" spans="2:12" s="144" customFormat="1" ht="6.9" customHeight="1">
      <c r="B22" s="145"/>
      <c r="L22" s="145"/>
    </row>
    <row r="23" spans="2:12" s="144" customFormat="1" ht="12" customHeight="1">
      <c r="B23" s="145"/>
      <c r="D23" s="143" t="s">
        <v>3290</v>
      </c>
      <c r="I23" s="143" t="s">
        <v>3288</v>
      </c>
      <c r="J23" s="146" t="s">
        <v>3268</v>
      </c>
      <c r="L23" s="145"/>
    </row>
    <row r="24" spans="2:12" s="144" customFormat="1" ht="18" customHeight="1">
      <c r="B24" s="145"/>
      <c r="E24" s="146" t="s">
        <v>4</v>
      </c>
      <c r="I24" s="143" t="s">
        <v>3289</v>
      </c>
      <c r="J24" s="146" t="s">
        <v>3268</v>
      </c>
      <c r="L24" s="145"/>
    </row>
    <row r="25" spans="2:12" s="144" customFormat="1" ht="6.9" customHeight="1">
      <c r="B25" s="145"/>
      <c r="L25" s="145"/>
    </row>
    <row r="26" spans="2:12" s="144" customFormat="1" ht="12" customHeight="1">
      <c r="B26" s="145"/>
      <c r="D26" s="143" t="s">
        <v>605</v>
      </c>
      <c r="L26" s="145"/>
    </row>
    <row r="27" spans="2:12" s="148" customFormat="1" ht="16.5" customHeight="1">
      <c r="B27" s="149"/>
      <c r="E27" s="973" t="s">
        <v>3268</v>
      </c>
      <c r="F27" s="973"/>
      <c r="G27" s="973"/>
      <c r="H27" s="973"/>
      <c r="L27" s="149"/>
    </row>
    <row r="28" spans="2:12" s="144" customFormat="1" ht="6.9" customHeight="1">
      <c r="B28" s="145"/>
      <c r="L28" s="145"/>
    </row>
    <row r="29" spans="2:12" s="144" customFormat="1" ht="6.9" customHeight="1">
      <c r="B29" s="145"/>
      <c r="D29" s="151"/>
      <c r="E29" s="151"/>
      <c r="F29" s="151"/>
      <c r="G29" s="151"/>
      <c r="H29" s="151"/>
      <c r="I29" s="151"/>
      <c r="J29" s="151"/>
      <c r="K29" s="151"/>
      <c r="L29" s="145"/>
    </row>
    <row r="30" spans="2:12" s="144" customFormat="1" ht="25.35" customHeight="1">
      <c r="B30" s="145"/>
      <c r="D30" s="152" t="s">
        <v>3291</v>
      </c>
      <c r="J30" s="153">
        <f>ROUND(J124, 2)</f>
        <v>0</v>
      </c>
      <c r="L30" s="145"/>
    </row>
    <row r="31" spans="2:12" s="144" customFormat="1" ht="6.9" customHeight="1">
      <c r="B31" s="145"/>
      <c r="D31" s="151"/>
      <c r="E31" s="151"/>
      <c r="F31" s="151"/>
      <c r="G31" s="151"/>
      <c r="H31" s="151"/>
      <c r="I31" s="151"/>
      <c r="J31" s="151"/>
      <c r="K31" s="151"/>
      <c r="L31" s="145"/>
    </row>
    <row r="32" spans="2:12" s="144" customFormat="1" ht="14.4" customHeight="1">
      <c r="B32" s="145"/>
      <c r="F32" s="154" t="s">
        <v>3292</v>
      </c>
      <c r="I32" s="154" t="s">
        <v>3293</v>
      </c>
      <c r="J32" s="154" t="s">
        <v>3294</v>
      </c>
      <c r="L32" s="145"/>
    </row>
    <row r="33" spans="2:12" s="144" customFormat="1" ht="14.4" customHeight="1">
      <c r="B33" s="145"/>
      <c r="D33" s="155" t="s">
        <v>3295</v>
      </c>
      <c r="E33" s="143" t="s">
        <v>3296</v>
      </c>
      <c r="F33" s="156">
        <f>ROUND((SUM(BE124:BE213)),  2)</f>
        <v>0</v>
      </c>
      <c r="I33" s="157">
        <v>0.21</v>
      </c>
      <c r="J33" s="156">
        <f>ROUND(((SUM(BE124:BE213))*I33),  2)</f>
        <v>0</v>
      </c>
      <c r="L33" s="145"/>
    </row>
    <row r="34" spans="2:12" s="144" customFormat="1" ht="14.4" customHeight="1">
      <c r="B34" s="145"/>
      <c r="E34" s="143" t="s">
        <v>3297</v>
      </c>
      <c r="F34" s="156">
        <f>ROUND((SUM(BF124:BF213)),  2)</f>
        <v>0</v>
      </c>
      <c r="I34" s="157">
        <v>0.15</v>
      </c>
      <c r="J34" s="156">
        <f>ROUND(((SUM(BF124:BF213))*I34),  2)</f>
        <v>0</v>
      </c>
      <c r="L34" s="145"/>
    </row>
    <row r="35" spans="2:12" s="144" customFormat="1" ht="14.4" hidden="1" customHeight="1">
      <c r="B35" s="145"/>
      <c r="E35" s="143" t="s">
        <v>3298</v>
      </c>
      <c r="F35" s="156">
        <f>ROUND((SUM(BG124:BG213)),  2)</f>
        <v>0</v>
      </c>
      <c r="I35" s="157">
        <v>0.21</v>
      </c>
      <c r="J35" s="156">
        <f>0</f>
        <v>0</v>
      </c>
      <c r="L35" s="145"/>
    </row>
    <row r="36" spans="2:12" s="144" customFormat="1" ht="14.4" hidden="1" customHeight="1">
      <c r="B36" s="145"/>
      <c r="E36" s="143" t="s">
        <v>3299</v>
      </c>
      <c r="F36" s="156">
        <f>ROUND((SUM(BH124:BH213)),  2)</f>
        <v>0</v>
      </c>
      <c r="I36" s="157">
        <v>0.15</v>
      </c>
      <c r="J36" s="156">
        <f>0</f>
        <v>0</v>
      </c>
      <c r="L36" s="145"/>
    </row>
    <row r="37" spans="2:12" s="144" customFormat="1" ht="14.4" hidden="1" customHeight="1">
      <c r="B37" s="145"/>
      <c r="E37" s="143" t="s">
        <v>3300</v>
      </c>
      <c r="F37" s="156">
        <f>ROUND((SUM(BI124:BI213)),  2)</f>
        <v>0</v>
      </c>
      <c r="I37" s="157">
        <v>0</v>
      </c>
      <c r="J37" s="156">
        <f>0</f>
        <v>0</v>
      </c>
      <c r="L37" s="145"/>
    </row>
    <row r="38" spans="2:12" s="144" customFormat="1" ht="6.9" customHeight="1">
      <c r="B38" s="145"/>
      <c r="L38" s="145"/>
    </row>
    <row r="39" spans="2:12" s="144" customFormat="1" ht="25.35" customHeight="1">
      <c r="B39" s="145"/>
      <c r="C39" s="158"/>
      <c r="D39" s="159" t="s">
        <v>3301</v>
      </c>
      <c r="E39" s="160"/>
      <c r="F39" s="160"/>
      <c r="G39" s="161" t="s">
        <v>3302</v>
      </c>
      <c r="H39" s="162" t="s">
        <v>3303</v>
      </c>
      <c r="I39" s="160"/>
      <c r="J39" s="163">
        <f>SUM(J30:J37)</f>
        <v>0</v>
      </c>
      <c r="K39" s="164"/>
      <c r="L39" s="145"/>
    </row>
    <row r="40" spans="2:12" s="144" customFormat="1" ht="14.4" customHeight="1">
      <c r="B40" s="145"/>
      <c r="L40" s="145"/>
    </row>
    <row r="41" spans="2:12" ht="14.4" customHeight="1">
      <c r="B41" s="140"/>
      <c r="L41" s="140"/>
    </row>
    <row r="42" spans="2:12" ht="14.4" customHeight="1">
      <c r="B42" s="140"/>
      <c r="L42" s="140"/>
    </row>
    <row r="43" spans="2:12" ht="14.4" customHeight="1">
      <c r="B43" s="140"/>
      <c r="L43" s="140"/>
    </row>
    <row r="44" spans="2:12" ht="14.4" customHeight="1">
      <c r="B44" s="140"/>
      <c r="L44" s="140"/>
    </row>
    <row r="45" spans="2:12" ht="14.4" customHeight="1">
      <c r="B45" s="140"/>
      <c r="L45" s="140"/>
    </row>
    <row r="46" spans="2:12" ht="14.4" customHeight="1">
      <c r="B46" s="140"/>
      <c r="L46" s="140"/>
    </row>
    <row r="47" spans="2:12" ht="14.4" customHeight="1">
      <c r="B47" s="140"/>
      <c r="L47" s="140"/>
    </row>
    <row r="48" spans="2:12" ht="14.4" customHeight="1">
      <c r="B48" s="140"/>
      <c r="L48" s="140"/>
    </row>
    <row r="49" spans="2:12" ht="14.4" customHeight="1">
      <c r="B49" s="140"/>
      <c r="L49" s="140"/>
    </row>
    <row r="50" spans="2:12" s="144" customFormat="1" ht="14.4" customHeight="1">
      <c r="B50" s="145"/>
      <c r="D50" s="165" t="s">
        <v>3115</v>
      </c>
      <c r="E50" s="166"/>
      <c r="F50" s="166"/>
      <c r="G50" s="165" t="s">
        <v>3304</v>
      </c>
      <c r="H50" s="166"/>
      <c r="I50" s="166"/>
      <c r="J50" s="166"/>
      <c r="K50" s="166"/>
      <c r="L50" s="145"/>
    </row>
    <row r="51" spans="2:12">
      <c r="B51" s="140"/>
      <c r="L51" s="140"/>
    </row>
    <row r="52" spans="2:12">
      <c r="B52" s="140"/>
      <c r="L52" s="140"/>
    </row>
    <row r="53" spans="2:12">
      <c r="B53" s="140"/>
      <c r="L53" s="140"/>
    </row>
    <row r="54" spans="2:12">
      <c r="B54" s="140"/>
      <c r="L54" s="140"/>
    </row>
    <row r="55" spans="2:12">
      <c r="B55" s="140"/>
      <c r="L55" s="140"/>
    </row>
    <row r="56" spans="2:12">
      <c r="B56" s="140"/>
      <c r="L56" s="140"/>
    </row>
    <row r="57" spans="2:12">
      <c r="B57" s="140"/>
      <c r="L57" s="140"/>
    </row>
    <row r="58" spans="2:12">
      <c r="B58" s="140"/>
      <c r="L58" s="140"/>
    </row>
    <row r="59" spans="2:12">
      <c r="B59" s="140"/>
      <c r="L59" s="140"/>
    </row>
    <row r="60" spans="2:12">
      <c r="B60" s="140"/>
      <c r="L60" s="140"/>
    </row>
    <row r="61" spans="2:12" s="144" customFormat="1" ht="13.2">
      <c r="B61" s="145"/>
      <c r="D61" s="167" t="s">
        <v>3305</v>
      </c>
      <c r="E61" s="168"/>
      <c r="F61" s="169" t="s">
        <v>3306</v>
      </c>
      <c r="G61" s="167" t="s">
        <v>3305</v>
      </c>
      <c r="H61" s="168"/>
      <c r="I61" s="168"/>
      <c r="J61" s="170" t="s">
        <v>3306</v>
      </c>
      <c r="K61" s="168"/>
      <c r="L61" s="145"/>
    </row>
    <row r="62" spans="2:12">
      <c r="B62" s="140"/>
      <c r="L62" s="140"/>
    </row>
    <row r="63" spans="2:12">
      <c r="B63" s="140"/>
      <c r="L63" s="140"/>
    </row>
    <row r="64" spans="2:12">
      <c r="B64" s="140"/>
      <c r="L64" s="140"/>
    </row>
    <row r="65" spans="2:12" s="144" customFormat="1" ht="13.2">
      <c r="B65" s="145"/>
      <c r="D65" s="165" t="s">
        <v>3307</v>
      </c>
      <c r="E65" s="166"/>
      <c r="F65" s="166"/>
      <c r="G65" s="165" t="s">
        <v>3138</v>
      </c>
      <c r="H65" s="166"/>
      <c r="I65" s="166"/>
      <c r="J65" s="166"/>
      <c r="K65" s="166"/>
      <c r="L65" s="145"/>
    </row>
    <row r="66" spans="2:12">
      <c r="B66" s="140"/>
      <c r="L66" s="140"/>
    </row>
    <row r="67" spans="2:12">
      <c r="B67" s="140"/>
      <c r="L67" s="140"/>
    </row>
    <row r="68" spans="2:12">
      <c r="B68" s="140"/>
      <c r="L68" s="140"/>
    </row>
    <row r="69" spans="2:12">
      <c r="B69" s="140"/>
      <c r="L69" s="140"/>
    </row>
    <row r="70" spans="2:12">
      <c r="B70" s="140"/>
      <c r="L70" s="140"/>
    </row>
    <row r="71" spans="2:12">
      <c r="B71" s="140"/>
      <c r="L71" s="140"/>
    </row>
    <row r="72" spans="2:12">
      <c r="B72" s="140"/>
      <c r="L72" s="140"/>
    </row>
    <row r="73" spans="2:12">
      <c r="B73" s="140"/>
      <c r="L73" s="140"/>
    </row>
    <row r="74" spans="2:12">
      <c r="B74" s="140"/>
      <c r="L74" s="140"/>
    </row>
    <row r="75" spans="2:12">
      <c r="B75" s="140"/>
      <c r="L75" s="140"/>
    </row>
    <row r="76" spans="2:12" s="144" customFormat="1" ht="13.2">
      <c r="B76" s="145"/>
      <c r="D76" s="167" t="s">
        <v>3305</v>
      </c>
      <c r="E76" s="168"/>
      <c r="F76" s="169" t="s">
        <v>3306</v>
      </c>
      <c r="G76" s="167" t="s">
        <v>3305</v>
      </c>
      <c r="H76" s="168"/>
      <c r="I76" s="168"/>
      <c r="J76" s="170" t="s">
        <v>3306</v>
      </c>
      <c r="K76" s="168"/>
      <c r="L76" s="145"/>
    </row>
    <row r="77" spans="2:12" s="144" customFormat="1" ht="14.4" customHeight="1">
      <c r="B77" s="171"/>
      <c r="C77" s="172"/>
      <c r="D77" s="172"/>
      <c r="E77" s="172"/>
      <c r="F77" s="172"/>
      <c r="G77" s="172"/>
      <c r="H77" s="172"/>
      <c r="I77" s="172"/>
      <c r="J77" s="172"/>
      <c r="K77" s="172"/>
      <c r="L77" s="145"/>
    </row>
    <row r="81" spans="2:47" s="144" customFormat="1" ht="6.9" customHeight="1">
      <c r="B81" s="173"/>
      <c r="C81" s="174"/>
      <c r="D81" s="174"/>
      <c r="E81" s="174"/>
      <c r="F81" s="174"/>
      <c r="G81" s="174"/>
      <c r="H81" s="174"/>
      <c r="I81" s="174"/>
      <c r="J81" s="174"/>
      <c r="K81" s="174"/>
      <c r="L81" s="145"/>
    </row>
    <row r="82" spans="2:47" s="144" customFormat="1" ht="24.9" customHeight="1">
      <c r="B82" s="145"/>
      <c r="C82" s="141" t="s">
        <v>3308</v>
      </c>
      <c r="L82" s="145"/>
    </row>
    <row r="83" spans="2:47" s="144" customFormat="1" ht="6.9" customHeight="1">
      <c r="B83" s="145"/>
      <c r="L83" s="145"/>
    </row>
    <row r="84" spans="2:47" s="144" customFormat="1" ht="12" customHeight="1">
      <c r="B84" s="145"/>
      <c r="C84" s="143" t="s">
        <v>3279</v>
      </c>
      <c r="L84" s="145"/>
    </row>
    <row r="85" spans="2:47" s="144" customFormat="1" ht="16.5" customHeight="1">
      <c r="B85" s="145"/>
      <c r="E85" s="968" t="str">
        <f>E7</f>
        <v>Dostavba ZŠ Mnichovice, 3. etapa, školní jídelna a kuchyně</v>
      </c>
      <c r="F85" s="969"/>
      <c r="G85" s="969"/>
      <c r="H85" s="969"/>
      <c r="L85" s="145"/>
    </row>
    <row r="86" spans="2:47" s="144" customFormat="1" ht="12" customHeight="1">
      <c r="B86" s="145"/>
      <c r="C86" s="143" t="s">
        <v>3282</v>
      </c>
      <c r="L86" s="145"/>
    </row>
    <row r="87" spans="2:47" s="144" customFormat="1" ht="16.5" customHeight="1">
      <c r="B87" s="145"/>
      <c r="E87" s="966" t="str">
        <f>E9</f>
        <v>D.2.5 - Přípojka plynovodu</v>
      </c>
      <c r="F87" s="967"/>
      <c r="G87" s="967"/>
      <c r="H87" s="967"/>
      <c r="L87" s="145"/>
    </row>
    <row r="88" spans="2:47" s="144" customFormat="1" ht="6.9" customHeight="1">
      <c r="B88" s="145"/>
      <c r="L88" s="145"/>
    </row>
    <row r="89" spans="2:47" s="144" customFormat="1" ht="12" customHeight="1">
      <c r="B89" s="145"/>
      <c r="C89" s="143" t="s">
        <v>3286</v>
      </c>
      <c r="F89" s="146" t="str">
        <f>F12</f>
        <v xml:space="preserve"> </v>
      </c>
      <c r="I89" s="143" t="s">
        <v>3141</v>
      </c>
      <c r="J89" s="147" t="str">
        <f>IF(J12="","",J12)</f>
        <v>15. 4. 2020</v>
      </c>
      <c r="L89" s="145"/>
    </row>
    <row r="90" spans="2:47" s="144" customFormat="1" ht="6.9" customHeight="1">
      <c r="B90" s="145"/>
      <c r="L90" s="145"/>
    </row>
    <row r="91" spans="2:47" s="144" customFormat="1" ht="15.15" customHeight="1">
      <c r="B91" s="145"/>
      <c r="C91" s="143" t="s">
        <v>3287</v>
      </c>
      <c r="F91" s="146" t="str">
        <f>E15</f>
        <v xml:space="preserve"> </v>
      </c>
      <c r="I91" s="143" t="s">
        <v>1949</v>
      </c>
      <c r="J91" s="150" t="str">
        <f>E21</f>
        <v xml:space="preserve"> </v>
      </c>
      <c r="L91" s="145"/>
    </row>
    <row r="92" spans="2:47" s="144" customFormat="1" ht="15.15" customHeight="1">
      <c r="B92" s="145"/>
      <c r="C92" s="143" t="s">
        <v>1950</v>
      </c>
      <c r="F92" s="146" t="str">
        <f>IF(E18="","",E18)</f>
        <v xml:space="preserve"> </v>
      </c>
      <c r="I92" s="143" t="s">
        <v>3290</v>
      </c>
      <c r="J92" s="150" t="str">
        <f>E24</f>
        <v xml:space="preserve"> </v>
      </c>
      <c r="L92" s="145"/>
    </row>
    <row r="93" spans="2:47" s="144" customFormat="1" ht="10.35" customHeight="1">
      <c r="B93" s="145"/>
      <c r="L93" s="145"/>
    </row>
    <row r="94" spans="2:47" s="144" customFormat="1" ht="29.25" customHeight="1">
      <c r="B94" s="145"/>
      <c r="C94" s="175" t="s">
        <v>3309</v>
      </c>
      <c r="D94" s="158"/>
      <c r="E94" s="158"/>
      <c r="F94" s="158"/>
      <c r="G94" s="158"/>
      <c r="H94" s="158"/>
      <c r="I94" s="158"/>
      <c r="J94" s="176" t="s">
        <v>3310</v>
      </c>
      <c r="K94" s="158"/>
      <c r="L94" s="145"/>
    </row>
    <row r="95" spans="2:47" s="144" customFormat="1" ht="10.35" customHeight="1">
      <c r="B95" s="145"/>
      <c r="L95" s="145"/>
    </row>
    <row r="96" spans="2:47" s="144" customFormat="1" ht="22.95" customHeight="1">
      <c r="B96" s="145"/>
      <c r="C96" s="177" t="s">
        <v>3311</v>
      </c>
      <c r="J96" s="153">
        <f>J124</f>
        <v>0</v>
      </c>
      <c r="L96" s="145"/>
      <c r="AU96" s="136" t="s">
        <v>3312</v>
      </c>
    </row>
    <row r="97" spans="2:12" s="178" customFormat="1" ht="24.9" customHeight="1">
      <c r="B97" s="179"/>
      <c r="D97" s="180" t="s">
        <v>3313</v>
      </c>
      <c r="E97" s="181"/>
      <c r="F97" s="181"/>
      <c r="G97" s="181"/>
      <c r="H97" s="181"/>
      <c r="I97" s="181"/>
      <c r="J97" s="182">
        <f>J125</f>
        <v>0</v>
      </c>
      <c r="L97" s="179"/>
    </row>
    <row r="98" spans="2:12" s="183" customFormat="1" ht="19.95" customHeight="1">
      <c r="B98" s="184"/>
      <c r="D98" s="185" t="s">
        <v>3314</v>
      </c>
      <c r="E98" s="186"/>
      <c r="F98" s="186"/>
      <c r="G98" s="186"/>
      <c r="H98" s="186"/>
      <c r="I98" s="186"/>
      <c r="J98" s="187">
        <f>J126</f>
        <v>0</v>
      </c>
      <c r="L98" s="184"/>
    </row>
    <row r="99" spans="2:12" s="183" customFormat="1" ht="19.95" customHeight="1">
      <c r="B99" s="184"/>
      <c r="D99" s="185" t="s">
        <v>3315</v>
      </c>
      <c r="E99" s="186"/>
      <c r="F99" s="186"/>
      <c r="G99" s="186"/>
      <c r="H99" s="186"/>
      <c r="I99" s="186"/>
      <c r="J99" s="187">
        <f>J165</f>
        <v>0</v>
      </c>
      <c r="L99" s="184"/>
    </row>
    <row r="100" spans="2:12" s="183" customFormat="1" ht="19.95" customHeight="1">
      <c r="B100" s="184"/>
      <c r="D100" s="185" t="s">
        <v>3316</v>
      </c>
      <c r="E100" s="186"/>
      <c r="F100" s="186"/>
      <c r="G100" s="186"/>
      <c r="H100" s="186"/>
      <c r="I100" s="186"/>
      <c r="J100" s="187">
        <f>J169</f>
        <v>0</v>
      </c>
      <c r="L100" s="184"/>
    </row>
    <row r="101" spans="2:12" s="183" customFormat="1" ht="19.95" customHeight="1">
      <c r="B101" s="184"/>
      <c r="D101" s="185" t="s">
        <v>3317</v>
      </c>
      <c r="E101" s="186"/>
      <c r="F101" s="186"/>
      <c r="G101" s="186"/>
      <c r="H101" s="186"/>
      <c r="I101" s="186"/>
      <c r="J101" s="187">
        <f>J200</f>
        <v>0</v>
      </c>
      <c r="L101" s="184"/>
    </row>
    <row r="102" spans="2:12" s="178" customFormat="1" ht="24.9" customHeight="1">
      <c r="B102" s="179"/>
      <c r="D102" s="180" t="s">
        <v>3318</v>
      </c>
      <c r="E102" s="181"/>
      <c r="F102" s="181"/>
      <c r="G102" s="181"/>
      <c r="H102" s="181"/>
      <c r="I102" s="181"/>
      <c r="J102" s="182">
        <f>J205</f>
        <v>0</v>
      </c>
      <c r="L102" s="179"/>
    </row>
    <row r="103" spans="2:12" s="183" customFormat="1" ht="19.95" customHeight="1">
      <c r="B103" s="184"/>
      <c r="D103" s="185" t="s">
        <v>3319</v>
      </c>
      <c r="E103" s="186"/>
      <c r="F103" s="186"/>
      <c r="G103" s="186"/>
      <c r="H103" s="186"/>
      <c r="I103" s="186"/>
      <c r="J103" s="187">
        <f>J206</f>
        <v>0</v>
      </c>
      <c r="L103" s="184"/>
    </row>
    <row r="104" spans="2:12" s="183" customFormat="1" ht="19.95" customHeight="1">
      <c r="B104" s="184"/>
      <c r="D104" s="185" t="s">
        <v>3320</v>
      </c>
      <c r="E104" s="186"/>
      <c r="F104" s="186"/>
      <c r="G104" s="186"/>
      <c r="H104" s="186"/>
      <c r="I104" s="186"/>
      <c r="J104" s="187">
        <f>J211</f>
        <v>0</v>
      </c>
      <c r="L104" s="184"/>
    </row>
    <row r="105" spans="2:12" s="144" customFormat="1" ht="21.75" customHeight="1">
      <c r="B105" s="145"/>
      <c r="L105" s="145"/>
    </row>
    <row r="106" spans="2:12" s="144" customFormat="1" ht="6.9" customHeight="1">
      <c r="B106" s="171"/>
      <c r="C106" s="172"/>
      <c r="D106" s="172"/>
      <c r="E106" s="172"/>
      <c r="F106" s="172"/>
      <c r="G106" s="172"/>
      <c r="H106" s="172"/>
      <c r="I106" s="172"/>
      <c r="J106" s="172"/>
      <c r="K106" s="172"/>
      <c r="L106" s="145"/>
    </row>
    <row r="110" spans="2:12" s="144" customFormat="1" ht="6.9" customHeight="1">
      <c r="B110" s="173"/>
      <c r="C110" s="174"/>
      <c r="D110" s="174"/>
      <c r="E110" s="174"/>
      <c r="F110" s="174"/>
      <c r="G110" s="174"/>
      <c r="H110" s="174"/>
      <c r="I110" s="174"/>
      <c r="J110" s="174"/>
      <c r="K110" s="174"/>
      <c r="L110" s="145"/>
    </row>
    <row r="111" spans="2:12" s="144" customFormat="1" ht="24.9" customHeight="1">
      <c r="B111" s="145"/>
      <c r="C111" s="141" t="s">
        <v>3321</v>
      </c>
      <c r="L111" s="145"/>
    </row>
    <row r="112" spans="2:12" s="144" customFormat="1" ht="6.9" customHeight="1">
      <c r="B112" s="145"/>
      <c r="L112" s="145"/>
    </row>
    <row r="113" spans="2:65" s="144" customFormat="1" ht="12" customHeight="1">
      <c r="B113" s="145"/>
      <c r="C113" s="143" t="s">
        <v>3279</v>
      </c>
      <c r="L113" s="145"/>
    </row>
    <row r="114" spans="2:65" s="144" customFormat="1" ht="16.5" customHeight="1">
      <c r="B114" s="145"/>
      <c r="E114" s="968" t="str">
        <f>E7</f>
        <v>Dostavba ZŠ Mnichovice, 3. etapa, školní jídelna a kuchyně</v>
      </c>
      <c r="F114" s="969"/>
      <c r="G114" s="969"/>
      <c r="H114" s="969"/>
      <c r="L114" s="145"/>
    </row>
    <row r="115" spans="2:65" s="144" customFormat="1" ht="12" customHeight="1">
      <c r="B115" s="145"/>
      <c r="C115" s="143" t="s">
        <v>3282</v>
      </c>
      <c r="L115" s="145"/>
    </row>
    <row r="116" spans="2:65" s="144" customFormat="1" ht="16.5" customHeight="1">
      <c r="B116" s="145"/>
      <c r="E116" s="966" t="str">
        <f>E9</f>
        <v>D.2.5 - Přípojka plynovodu</v>
      </c>
      <c r="F116" s="967"/>
      <c r="G116" s="967"/>
      <c r="H116" s="967"/>
      <c r="L116" s="145"/>
    </row>
    <row r="117" spans="2:65" s="144" customFormat="1" ht="6.9" customHeight="1">
      <c r="B117" s="145"/>
      <c r="L117" s="145"/>
    </row>
    <row r="118" spans="2:65" s="144" customFormat="1" ht="12" customHeight="1">
      <c r="B118" s="145"/>
      <c r="C118" s="143" t="s">
        <v>3286</v>
      </c>
      <c r="F118" s="146" t="str">
        <f>F12</f>
        <v xml:space="preserve"> </v>
      </c>
      <c r="I118" s="143" t="s">
        <v>3141</v>
      </c>
      <c r="J118" s="147" t="str">
        <f>IF(J12="","",J12)</f>
        <v>15. 4. 2020</v>
      </c>
      <c r="L118" s="145"/>
    </row>
    <row r="119" spans="2:65" s="144" customFormat="1" ht="6.9" customHeight="1">
      <c r="B119" s="145"/>
      <c r="L119" s="145"/>
    </row>
    <row r="120" spans="2:65" s="144" customFormat="1" ht="15.15" customHeight="1">
      <c r="B120" s="145"/>
      <c r="C120" s="143" t="s">
        <v>3287</v>
      </c>
      <c r="F120" s="146" t="str">
        <f>E15</f>
        <v xml:space="preserve"> </v>
      </c>
      <c r="I120" s="143" t="s">
        <v>1949</v>
      </c>
      <c r="J120" s="150" t="str">
        <f>E21</f>
        <v xml:space="preserve"> </v>
      </c>
      <c r="L120" s="145"/>
    </row>
    <row r="121" spans="2:65" s="144" customFormat="1" ht="15.15" customHeight="1">
      <c r="B121" s="145"/>
      <c r="C121" s="143" t="s">
        <v>1950</v>
      </c>
      <c r="F121" s="146" t="str">
        <f>IF(E18="","",E18)</f>
        <v xml:space="preserve"> </v>
      </c>
      <c r="I121" s="143" t="s">
        <v>3290</v>
      </c>
      <c r="J121" s="150" t="str">
        <f>E24</f>
        <v xml:space="preserve"> </v>
      </c>
      <c r="L121" s="145"/>
    </row>
    <row r="122" spans="2:65" s="144" customFormat="1" ht="10.35" customHeight="1">
      <c r="B122" s="145"/>
      <c r="L122" s="145"/>
    </row>
    <row r="123" spans="2:65" s="188" customFormat="1" ht="29.25" customHeight="1">
      <c r="B123" s="189"/>
      <c r="C123" s="190" t="s">
        <v>3322</v>
      </c>
      <c r="D123" s="191" t="s">
        <v>3323</v>
      </c>
      <c r="E123" s="191" t="s">
        <v>607</v>
      </c>
      <c r="F123" s="191" t="s">
        <v>3324</v>
      </c>
      <c r="G123" s="191" t="s">
        <v>1937</v>
      </c>
      <c r="H123" s="191" t="s">
        <v>1946</v>
      </c>
      <c r="I123" s="191" t="s">
        <v>3325</v>
      </c>
      <c r="J123" s="191" t="s">
        <v>3310</v>
      </c>
      <c r="K123" s="192" t="s">
        <v>3326</v>
      </c>
      <c r="L123" s="189"/>
      <c r="M123" s="193" t="s">
        <v>3268</v>
      </c>
      <c r="N123" s="194" t="s">
        <v>3295</v>
      </c>
      <c r="O123" s="194" t="s">
        <v>3327</v>
      </c>
      <c r="P123" s="194" t="s">
        <v>3328</v>
      </c>
      <c r="Q123" s="194" t="s">
        <v>3329</v>
      </c>
      <c r="R123" s="194" t="s">
        <v>3330</v>
      </c>
      <c r="S123" s="194" t="s">
        <v>3331</v>
      </c>
      <c r="T123" s="195" t="s">
        <v>3332</v>
      </c>
    </row>
    <row r="124" spans="2:65" s="144" customFormat="1" ht="22.95" customHeight="1">
      <c r="B124" s="145"/>
      <c r="C124" s="196" t="s">
        <v>3333</v>
      </c>
      <c r="J124" s="197">
        <f>BK124</f>
        <v>0</v>
      </c>
      <c r="L124" s="145"/>
      <c r="M124" s="198"/>
      <c r="N124" s="151"/>
      <c r="O124" s="151"/>
      <c r="P124" s="199">
        <f>P125+P205</f>
        <v>16.320259999999998</v>
      </c>
      <c r="Q124" s="151"/>
      <c r="R124" s="199">
        <f>R125+R205</f>
        <v>3.0060000000000003E-2</v>
      </c>
      <c r="S124" s="151"/>
      <c r="T124" s="200">
        <f>T125+T205</f>
        <v>0</v>
      </c>
      <c r="AT124" s="136" t="s">
        <v>3334</v>
      </c>
      <c r="AU124" s="136" t="s">
        <v>3312</v>
      </c>
      <c r="BK124" s="201">
        <f>BK125+BK205</f>
        <v>0</v>
      </c>
    </row>
    <row r="125" spans="2:65" s="202" customFormat="1" ht="25.95" customHeight="1">
      <c r="B125" s="203"/>
      <c r="D125" s="204" t="s">
        <v>3334</v>
      </c>
      <c r="E125" s="205" t="s">
        <v>1219</v>
      </c>
      <c r="F125" s="205" t="s">
        <v>3335</v>
      </c>
      <c r="J125" s="206">
        <f>BK125</f>
        <v>0</v>
      </c>
      <c r="L125" s="203"/>
      <c r="M125" s="207"/>
      <c r="P125" s="208">
        <f>P126+P165+P169+P200</f>
        <v>16.320259999999998</v>
      </c>
      <c r="R125" s="208">
        <f>R126+R165+R169+R200</f>
        <v>3.0060000000000003E-2</v>
      </c>
      <c r="T125" s="209">
        <f>T126+T165+T169+T200</f>
        <v>0</v>
      </c>
      <c r="AR125" s="204" t="s">
        <v>5</v>
      </c>
      <c r="AT125" s="210" t="s">
        <v>3334</v>
      </c>
      <c r="AU125" s="210" t="s">
        <v>3336</v>
      </c>
      <c r="AY125" s="204" t="s">
        <v>3337</v>
      </c>
      <c r="BK125" s="211">
        <f>BK126+BK165+BK169+BK200</f>
        <v>0</v>
      </c>
    </row>
    <row r="126" spans="2:65" s="202" customFormat="1" ht="22.95" customHeight="1">
      <c r="B126" s="203"/>
      <c r="D126" s="204" t="s">
        <v>3334</v>
      </c>
      <c r="E126" s="212" t="s">
        <v>5</v>
      </c>
      <c r="F126" s="212" t="s">
        <v>2050</v>
      </c>
      <c r="J126" s="213">
        <f>BK126</f>
        <v>0</v>
      </c>
      <c r="L126" s="203"/>
      <c r="M126" s="207"/>
      <c r="P126" s="208">
        <f>SUM(P127:P164)</f>
        <v>8.7740999999999989</v>
      </c>
      <c r="R126" s="208">
        <f>SUM(R127:R164)</f>
        <v>0</v>
      </c>
      <c r="T126" s="209">
        <f>SUM(T127:T164)</f>
        <v>0</v>
      </c>
      <c r="AR126" s="204" t="s">
        <v>5</v>
      </c>
      <c r="AT126" s="210" t="s">
        <v>3334</v>
      </c>
      <c r="AU126" s="210" t="s">
        <v>5</v>
      </c>
      <c r="AY126" s="204" t="s">
        <v>3337</v>
      </c>
      <c r="BK126" s="211">
        <f>SUM(BK127:BK164)</f>
        <v>0</v>
      </c>
    </row>
    <row r="127" spans="2:65" s="144" customFormat="1" ht="21.75" customHeight="1">
      <c r="B127" s="214"/>
      <c r="C127" s="215" t="s">
        <v>5</v>
      </c>
      <c r="D127" s="215" t="s">
        <v>3338</v>
      </c>
      <c r="E127" s="216" t="s">
        <v>3339</v>
      </c>
      <c r="F127" s="217" t="s">
        <v>3340</v>
      </c>
      <c r="G127" s="218" t="s">
        <v>1941</v>
      </c>
      <c r="H127" s="219">
        <v>5.04</v>
      </c>
      <c r="I127" s="745">
        <v>0</v>
      </c>
      <c r="J127" s="220">
        <f>ROUND(I127*H127,2)</f>
        <v>0</v>
      </c>
      <c r="K127" s="217" t="s">
        <v>3341</v>
      </c>
      <c r="L127" s="145"/>
      <c r="M127" s="221" t="s">
        <v>3268</v>
      </c>
      <c r="N127" s="222" t="s">
        <v>3296</v>
      </c>
      <c r="O127" s="223">
        <v>1.1220000000000001</v>
      </c>
      <c r="P127" s="223">
        <f>O127*H127</f>
        <v>5.6548800000000004</v>
      </c>
      <c r="Q127" s="223">
        <v>0</v>
      </c>
      <c r="R127" s="223">
        <f>Q127*H127</f>
        <v>0</v>
      </c>
      <c r="S127" s="223">
        <v>0</v>
      </c>
      <c r="T127" s="224">
        <f>S127*H127</f>
        <v>0</v>
      </c>
      <c r="AR127" s="225" t="s">
        <v>8</v>
      </c>
      <c r="AT127" s="225" t="s">
        <v>3338</v>
      </c>
      <c r="AU127" s="225" t="s">
        <v>6</v>
      </c>
      <c r="AY127" s="136" t="s">
        <v>3337</v>
      </c>
      <c r="BE127" s="226">
        <f>IF(N127="základní",J127,0)</f>
        <v>0</v>
      </c>
      <c r="BF127" s="226">
        <f>IF(N127="snížená",J127,0)</f>
        <v>0</v>
      </c>
      <c r="BG127" s="226">
        <f>IF(N127="zákl. přenesená",J127,0)</f>
        <v>0</v>
      </c>
      <c r="BH127" s="226">
        <f>IF(N127="sníž. přenesená",J127,0)</f>
        <v>0</v>
      </c>
      <c r="BI127" s="226">
        <f>IF(N127="nulová",J127,0)</f>
        <v>0</v>
      </c>
      <c r="BJ127" s="136" t="s">
        <v>5</v>
      </c>
      <c r="BK127" s="226">
        <f>ROUND(I127*H127,2)</f>
        <v>0</v>
      </c>
      <c r="BL127" s="136" t="s">
        <v>8</v>
      </c>
      <c r="BM127" s="225" t="s">
        <v>3342</v>
      </c>
    </row>
    <row r="128" spans="2:65" s="144" customFormat="1" ht="28.8">
      <c r="B128" s="145"/>
      <c r="D128" s="227" t="s">
        <v>3343</v>
      </c>
      <c r="F128" s="228" t="s">
        <v>3344</v>
      </c>
      <c r="L128" s="145"/>
      <c r="M128" s="229"/>
      <c r="T128" s="230"/>
      <c r="AT128" s="136" t="s">
        <v>3343</v>
      </c>
      <c r="AU128" s="136" t="s">
        <v>6</v>
      </c>
    </row>
    <row r="129" spans="2:65" s="231" customFormat="1">
      <c r="B129" s="232"/>
      <c r="D129" s="227" t="s">
        <v>3345</v>
      </c>
      <c r="E129" s="233" t="s">
        <v>3267</v>
      </c>
      <c r="F129" s="234" t="s">
        <v>3346</v>
      </c>
      <c r="H129" s="235">
        <v>5.04</v>
      </c>
      <c r="L129" s="232"/>
      <c r="M129" s="236"/>
      <c r="T129" s="237"/>
      <c r="AT129" s="233" t="s">
        <v>3345</v>
      </c>
      <c r="AU129" s="233" t="s">
        <v>6</v>
      </c>
      <c r="AV129" s="231" t="s">
        <v>6</v>
      </c>
      <c r="AW129" s="231" t="s">
        <v>3347</v>
      </c>
      <c r="AX129" s="231" t="s">
        <v>5</v>
      </c>
      <c r="AY129" s="233" t="s">
        <v>3337</v>
      </c>
    </row>
    <row r="130" spans="2:65" s="144" customFormat="1" ht="21.75" customHeight="1">
      <c r="B130" s="214"/>
      <c r="C130" s="215" t="s">
        <v>6</v>
      </c>
      <c r="D130" s="215" t="s">
        <v>3338</v>
      </c>
      <c r="E130" s="216" t="s">
        <v>3348</v>
      </c>
      <c r="F130" s="217" t="s">
        <v>3349</v>
      </c>
      <c r="G130" s="218" t="s">
        <v>1941</v>
      </c>
      <c r="H130" s="219">
        <v>6.84</v>
      </c>
      <c r="I130" s="745">
        <v>0</v>
      </c>
      <c r="J130" s="220">
        <f>ROUND(I130*H130,2)</f>
        <v>0</v>
      </c>
      <c r="K130" s="217" t="s">
        <v>3341</v>
      </c>
      <c r="L130" s="145"/>
      <c r="M130" s="221" t="s">
        <v>3268</v>
      </c>
      <c r="N130" s="222" t="s">
        <v>3296</v>
      </c>
      <c r="O130" s="223">
        <v>4.3999999999999997E-2</v>
      </c>
      <c r="P130" s="223">
        <f>O130*H130</f>
        <v>0.30095999999999995</v>
      </c>
      <c r="Q130" s="223">
        <v>0</v>
      </c>
      <c r="R130" s="223">
        <f>Q130*H130</f>
        <v>0</v>
      </c>
      <c r="S130" s="223">
        <v>0</v>
      </c>
      <c r="T130" s="224">
        <f>S130*H130</f>
        <v>0</v>
      </c>
      <c r="AR130" s="225" t="s">
        <v>8</v>
      </c>
      <c r="AT130" s="225" t="s">
        <v>3338</v>
      </c>
      <c r="AU130" s="225" t="s">
        <v>6</v>
      </c>
      <c r="AY130" s="136" t="s">
        <v>3337</v>
      </c>
      <c r="BE130" s="226">
        <f>IF(N130="základní",J130,0)</f>
        <v>0</v>
      </c>
      <c r="BF130" s="226">
        <f>IF(N130="snížená",J130,0)</f>
        <v>0</v>
      </c>
      <c r="BG130" s="226">
        <f>IF(N130="zákl. přenesená",J130,0)</f>
        <v>0</v>
      </c>
      <c r="BH130" s="226">
        <f>IF(N130="sníž. přenesená",J130,0)</f>
        <v>0</v>
      </c>
      <c r="BI130" s="226">
        <f>IF(N130="nulová",J130,0)</f>
        <v>0</v>
      </c>
      <c r="BJ130" s="136" t="s">
        <v>5</v>
      </c>
      <c r="BK130" s="226">
        <f>ROUND(I130*H130,2)</f>
        <v>0</v>
      </c>
      <c r="BL130" s="136" t="s">
        <v>8</v>
      </c>
      <c r="BM130" s="225" t="s">
        <v>3350</v>
      </c>
    </row>
    <row r="131" spans="2:65" s="144" customFormat="1" ht="38.4">
      <c r="B131" s="145"/>
      <c r="D131" s="227" t="s">
        <v>3343</v>
      </c>
      <c r="F131" s="228" t="s">
        <v>3351</v>
      </c>
      <c r="L131" s="145"/>
      <c r="M131" s="229"/>
      <c r="T131" s="230"/>
      <c r="AT131" s="136" t="s">
        <v>3343</v>
      </c>
      <c r="AU131" s="136" t="s">
        <v>6</v>
      </c>
    </row>
    <row r="132" spans="2:65" s="238" customFormat="1">
      <c r="B132" s="239"/>
      <c r="D132" s="227" t="s">
        <v>3345</v>
      </c>
      <c r="E132" s="240" t="s">
        <v>3268</v>
      </c>
      <c r="F132" s="241" t="s">
        <v>3352</v>
      </c>
      <c r="H132" s="240" t="s">
        <v>3268</v>
      </c>
      <c r="L132" s="239"/>
      <c r="M132" s="242"/>
      <c r="T132" s="243"/>
      <c r="AT132" s="240" t="s">
        <v>3345</v>
      </c>
      <c r="AU132" s="240" t="s">
        <v>6</v>
      </c>
      <c r="AV132" s="238" t="s">
        <v>5</v>
      </c>
      <c r="AW132" s="238" t="s">
        <v>3347</v>
      </c>
      <c r="AX132" s="238" t="s">
        <v>3336</v>
      </c>
      <c r="AY132" s="240" t="s">
        <v>3337</v>
      </c>
    </row>
    <row r="133" spans="2:65" s="231" customFormat="1">
      <c r="B133" s="232"/>
      <c r="D133" s="227" t="s">
        <v>3345</v>
      </c>
      <c r="E133" s="233" t="s">
        <v>3268</v>
      </c>
      <c r="F133" s="234" t="s">
        <v>3270</v>
      </c>
      <c r="H133" s="235">
        <v>3.42</v>
      </c>
      <c r="L133" s="232"/>
      <c r="M133" s="236"/>
      <c r="T133" s="237"/>
      <c r="AT133" s="233" t="s">
        <v>3345</v>
      </c>
      <c r="AU133" s="233" t="s">
        <v>6</v>
      </c>
      <c r="AV133" s="231" t="s">
        <v>6</v>
      </c>
      <c r="AW133" s="231" t="s">
        <v>3347</v>
      </c>
      <c r="AX133" s="231" t="s">
        <v>3336</v>
      </c>
      <c r="AY133" s="233" t="s">
        <v>3337</v>
      </c>
    </row>
    <row r="134" spans="2:65" s="238" customFormat="1">
      <c r="B134" s="239"/>
      <c r="D134" s="227" t="s">
        <v>3345</v>
      </c>
      <c r="E134" s="240" t="s">
        <v>3268</v>
      </c>
      <c r="F134" s="241" t="s">
        <v>3353</v>
      </c>
      <c r="H134" s="240" t="s">
        <v>3268</v>
      </c>
      <c r="L134" s="239"/>
      <c r="M134" s="242"/>
      <c r="T134" s="243"/>
      <c r="AT134" s="240" t="s">
        <v>3345</v>
      </c>
      <c r="AU134" s="240" t="s">
        <v>6</v>
      </c>
      <c r="AV134" s="238" t="s">
        <v>5</v>
      </c>
      <c r="AW134" s="238" t="s">
        <v>3347</v>
      </c>
      <c r="AX134" s="238" t="s">
        <v>3336</v>
      </c>
      <c r="AY134" s="240" t="s">
        <v>3337</v>
      </c>
    </row>
    <row r="135" spans="2:65" s="231" customFormat="1">
      <c r="B135" s="232"/>
      <c r="D135" s="227" t="s">
        <v>3345</v>
      </c>
      <c r="E135" s="233" t="s">
        <v>3268</v>
      </c>
      <c r="F135" s="234" t="s">
        <v>3270</v>
      </c>
      <c r="H135" s="235">
        <v>3.42</v>
      </c>
      <c r="L135" s="232"/>
      <c r="M135" s="236"/>
      <c r="T135" s="237"/>
      <c r="AT135" s="233" t="s">
        <v>3345</v>
      </c>
      <c r="AU135" s="233" t="s">
        <v>6</v>
      </c>
      <c r="AV135" s="231" t="s">
        <v>6</v>
      </c>
      <c r="AW135" s="231" t="s">
        <v>3347</v>
      </c>
      <c r="AX135" s="231" t="s">
        <v>3336</v>
      </c>
      <c r="AY135" s="233" t="s">
        <v>3337</v>
      </c>
    </row>
    <row r="136" spans="2:65" s="244" customFormat="1">
      <c r="B136" s="245"/>
      <c r="D136" s="227" t="s">
        <v>3345</v>
      </c>
      <c r="E136" s="246" t="s">
        <v>3268</v>
      </c>
      <c r="F136" s="247" t="s">
        <v>3354</v>
      </c>
      <c r="H136" s="248">
        <v>6.84</v>
      </c>
      <c r="L136" s="245"/>
      <c r="M136" s="249"/>
      <c r="T136" s="250"/>
      <c r="AT136" s="246" t="s">
        <v>3345</v>
      </c>
      <c r="AU136" s="246" t="s">
        <v>6</v>
      </c>
      <c r="AV136" s="244" t="s">
        <v>8</v>
      </c>
      <c r="AW136" s="244" t="s">
        <v>3347</v>
      </c>
      <c r="AX136" s="244" t="s">
        <v>5</v>
      </c>
      <c r="AY136" s="246" t="s">
        <v>3337</v>
      </c>
    </row>
    <row r="137" spans="2:65" s="144" customFormat="1" ht="21.75" customHeight="1">
      <c r="B137" s="214"/>
      <c r="C137" s="215" t="s">
        <v>7</v>
      </c>
      <c r="D137" s="215" t="s">
        <v>3338</v>
      </c>
      <c r="E137" s="216" t="s">
        <v>3355</v>
      </c>
      <c r="F137" s="217" t="s">
        <v>3356</v>
      </c>
      <c r="G137" s="218" t="s">
        <v>1941</v>
      </c>
      <c r="H137" s="219">
        <v>1.62</v>
      </c>
      <c r="I137" s="745">
        <v>0</v>
      </c>
      <c r="J137" s="220">
        <f>ROUND(I137*H137,2)</f>
        <v>0</v>
      </c>
      <c r="K137" s="217" t="s">
        <v>3341</v>
      </c>
      <c r="L137" s="145"/>
      <c r="M137" s="221" t="s">
        <v>3268</v>
      </c>
      <c r="N137" s="222" t="s">
        <v>3296</v>
      </c>
      <c r="O137" s="223">
        <v>8.6999999999999994E-2</v>
      </c>
      <c r="P137" s="223">
        <f>O137*H137</f>
        <v>0.14094000000000001</v>
      </c>
      <c r="Q137" s="223">
        <v>0</v>
      </c>
      <c r="R137" s="223">
        <f>Q137*H137</f>
        <v>0</v>
      </c>
      <c r="S137" s="223">
        <v>0</v>
      </c>
      <c r="T137" s="224">
        <f>S137*H137</f>
        <v>0</v>
      </c>
      <c r="AR137" s="225" t="s">
        <v>8</v>
      </c>
      <c r="AT137" s="225" t="s">
        <v>3338</v>
      </c>
      <c r="AU137" s="225" t="s">
        <v>6</v>
      </c>
      <c r="AY137" s="136" t="s">
        <v>3337</v>
      </c>
      <c r="BE137" s="226">
        <f>IF(N137="základní",J137,0)</f>
        <v>0</v>
      </c>
      <c r="BF137" s="226">
        <f>IF(N137="snížená",J137,0)</f>
        <v>0</v>
      </c>
      <c r="BG137" s="226">
        <f>IF(N137="zákl. přenesená",J137,0)</f>
        <v>0</v>
      </c>
      <c r="BH137" s="226">
        <f>IF(N137="sníž. přenesená",J137,0)</f>
        <v>0</v>
      </c>
      <c r="BI137" s="226">
        <f>IF(N137="nulová",J137,0)</f>
        <v>0</v>
      </c>
      <c r="BJ137" s="136" t="s">
        <v>5</v>
      </c>
      <c r="BK137" s="226">
        <f>ROUND(I137*H137,2)</f>
        <v>0</v>
      </c>
      <c r="BL137" s="136" t="s">
        <v>8</v>
      </c>
      <c r="BM137" s="225" t="s">
        <v>3357</v>
      </c>
    </row>
    <row r="138" spans="2:65" s="144" customFormat="1" ht="38.4">
      <c r="B138" s="145"/>
      <c r="D138" s="227" t="s">
        <v>3343</v>
      </c>
      <c r="F138" s="228" t="s">
        <v>3358</v>
      </c>
      <c r="L138" s="145"/>
      <c r="M138" s="229"/>
      <c r="T138" s="230"/>
      <c r="AT138" s="136" t="s">
        <v>3343</v>
      </c>
      <c r="AU138" s="136" t="s">
        <v>6</v>
      </c>
    </row>
    <row r="139" spans="2:65" s="238" customFormat="1">
      <c r="B139" s="239"/>
      <c r="D139" s="227" t="s">
        <v>3345</v>
      </c>
      <c r="E139" s="240" t="s">
        <v>3268</v>
      </c>
      <c r="F139" s="241" t="s">
        <v>3359</v>
      </c>
      <c r="H139" s="240" t="s">
        <v>3268</v>
      </c>
      <c r="L139" s="239"/>
      <c r="M139" s="242"/>
      <c r="T139" s="243"/>
      <c r="AT139" s="240" t="s">
        <v>3345</v>
      </c>
      <c r="AU139" s="240" t="s">
        <v>6</v>
      </c>
      <c r="AV139" s="238" t="s">
        <v>5</v>
      </c>
      <c r="AW139" s="238" t="s">
        <v>3347</v>
      </c>
      <c r="AX139" s="238" t="s">
        <v>3336</v>
      </c>
      <c r="AY139" s="240" t="s">
        <v>3337</v>
      </c>
    </row>
    <row r="140" spans="2:65" s="231" customFormat="1">
      <c r="B140" s="232"/>
      <c r="D140" s="227" t="s">
        <v>3345</v>
      </c>
      <c r="E140" s="233" t="s">
        <v>3275</v>
      </c>
      <c r="F140" s="234" t="s">
        <v>3360</v>
      </c>
      <c r="H140" s="235">
        <v>1.62</v>
      </c>
      <c r="L140" s="232"/>
      <c r="M140" s="236"/>
      <c r="T140" s="237"/>
      <c r="AT140" s="233" t="s">
        <v>3345</v>
      </c>
      <c r="AU140" s="233" t="s">
        <v>6</v>
      </c>
      <c r="AV140" s="231" t="s">
        <v>6</v>
      </c>
      <c r="AW140" s="231" t="s">
        <v>3347</v>
      </c>
      <c r="AX140" s="231" t="s">
        <v>5</v>
      </c>
      <c r="AY140" s="233" t="s">
        <v>3337</v>
      </c>
    </row>
    <row r="141" spans="2:65" s="144" customFormat="1" ht="21.75" customHeight="1">
      <c r="B141" s="214"/>
      <c r="C141" s="215" t="s">
        <v>8</v>
      </c>
      <c r="D141" s="215" t="s">
        <v>3338</v>
      </c>
      <c r="E141" s="216" t="s">
        <v>3361</v>
      </c>
      <c r="F141" s="217" t="s">
        <v>3362</v>
      </c>
      <c r="G141" s="218" t="s">
        <v>1941</v>
      </c>
      <c r="H141" s="219">
        <v>5.04</v>
      </c>
      <c r="I141" s="745">
        <v>0</v>
      </c>
      <c r="J141" s="220">
        <f>ROUND(I141*H141,2)</f>
        <v>0</v>
      </c>
      <c r="K141" s="217" t="s">
        <v>3341</v>
      </c>
      <c r="L141" s="145"/>
      <c r="M141" s="221" t="s">
        <v>3268</v>
      </c>
      <c r="N141" s="222" t="s">
        <v>3296</v>
      </c>
      <c r="O141" s="223">
        <v>0.19700000000000001</v>
      </c>
      <c r="P141" s="223">
        <f>O141*H141</f>
        <v>0.9928800000000001</v>
      </c>
      <c r="Q141" s="223">
        <v>0</v>
      </c>
      <c r="R141" s="223">
        <f>Q141*H141</f>
        <v>0</v>
      </c>
      <c r="S141" s="223">
        <v>0</v>
      </c>
      <c r="T141" s="224">
        <f>S141*H141</f>
        <v>0</v>
      </c>
      <c r="AR141" s="225" t="s">
        <v>8</v>
      </c>
      <c r="AT141" s="225" t="s">
        <v>3338</v>
      </c>
      <c r="AU141" s="225" t="s">
        <v>6</v>
      </c>
      <c r="AY141" s="136" t="s">
        <v>3337</v>
      </c>
      <c r="BE141" s="226">
        <f>IF(N141="základní",J141,0)</f>
        <v>0</v>
      </c>
      <c r="BF141" s="226">
        <f>IF(N141="snížená",J141,0)</f>
        <v>0</v>
      </c>
      <c r="BG141" s="226">
        <f>IF(N141="zákl. přenesená",J141,0)</f>
        <v>0</v>
      </c>
      <c r="BH141" s="226">
        <f>IF(N141="sníž. přenesená",J141,0)</f>
        <v>0</v>
      </c>
      <c r="BI141" s="226">
        <f>IF(N141="nulová",J141,0)</f>
        <v>0</v>
      </c>
      <c r="BJ141" s="136" t="s">
        <v>5</v>
      </c>
      <c r="BK141" s="226">
        <f>ROUND(I141*H141,2)</f>
        <v>0</v>
      </c>
      <c r="BL141" s="136" t="s">
        <v>8</v>
      </c>
      <c r="BM141" s="225" t="s">
        <v>3363</v>
      </c>
    </row>
    <row r="142" spans="2:65" s="144" customFormat="1" ht="28.8">
      <c r="B142" s="145"/>
      <c r="D142" s="227" t="s">
        <v>3343</v>
      </c>
      <c r="F142" s="228" t="s">
        <v>3364</v>
      </c>
      <c r="L142" s="145"/>
      <c r="M142" s="229"/>
      <c r="T142" s="230"/>
      <c r="AT142" s="136" t="s">
        <v>3343</v>
      </c>
      <c r="AU142" s="136" t="s">
        <v>6</v>
      </c>
    </row>
    <row r="143" spans="2:65" s="238" customFormat="1">
      <c r="B143" s="239"/>
      <c r="D143" s="227" t="s">
        <v>3345</v>
      </c>
      <c r="E143" s="240" t="s">
        <v>3268</v>
      </c>
      <c r="F143" s="241" t="s">
        <v>3359</v>
      </c>
      <c r="H143" s="240" t="s">
        <v>3268</v>
      </c>
      <c r="L143" s="239"/>
      <c r="M143" s="242"/>
      <c r="T143" s="243"/>
      <c r="AT143" s="240" t="s">
        <v>3345</v>
      </c>
      <c r="AU143" s="240" t="s">
        <v>6</v>
      </c>
      <c r="AV143" s="238" t="s">
        <v>5</v>
      </c>
      <c r="AW143" s="238" t="s">
        <v>3347</v>
      </c>
      <c r="AX143" s="238" t="s">
        <v>3336</v>
      </c>
      <c r="AY143" s="240" t="s">
        <v>3337</v>
      </c>
    </row>
    <row r="144" spans="2:65" s="231" customFormat="1">
      <c r="B144" s="232"/>
      <c r="D144" s="227" t="s">
        <v>3345</v>
      </c>
      <c r="E144" s="233" t="s">
        <v>3268</v>
      </c>
      <c r="F144" s="234" t="s">
        <v>3275</v>
      </c>
      <c r="H144" s="235">
        <v>1.62</v>
      </c>
      <c r="L144" s="232"/>
      <c r="M144" s="236"/>
      <c r="T144" s="237"/>
      <c r="AT144" s="233" t="s">
        <v>3345</v>
      </c>
      <c r="AU144" s="233" t="s">
        <v>6</v>
      </c>
      <c r="AV144" s="231" t="s">
        <v>6</v>
      </c>
      <c r="AW144" s="231" t="s">
        <v>3347</v>
      </c>
      <c r="AX144" s="231" t="s">
        <v>3336</v>
      </c>
      <c r="AY144" s="233" t="s">
        <v>3337</v>
      </c>
    </row>
    <row r="145" spans="2:65" s="238" customFormat="1">
      <c r="B145" s="239"/>
      <c r="D145" s="227" t="s">
        <v>3345</v>
      </c>
      <c r="E145" s="240" t="s">
        <v>3268</v>
      </c>
      <c r="F145" s="241" t="s">
        <v>3365</v>
      </c>
      <c r="H145" s="240" t="s">
        <v>3268</v>
      </c>
      <c r="L145" s="239"/>
      <c r="M145" s="242"/>
      <c r="T145" s="243"/>
      <c r="AT145" s="240" t="s">
        <v>3345</v>
      </c>
      <c r="AU145" s="240" t="s">
        <v>6</v>
      </c>
      <c r="AV145" s="238" t="s">
        <v>5</v>
      </c>
      <c r="AW145" s="238" t="s">
        <v>3347</v>
      </c>
      <c r="AX145" s="238" t="s">
        <v>3336</v>
      </c>
      <c r="AY145" s="240" t="s">
        <v>3337</v>
      </c>
    </row>
    <row r="146" spans="2:65" s="231" customFormat="1">
      <c r="B146" s="232"/>
      <c r="D146" s="227" t="s">
        <v>3345</v>
      </c>
      <c r="E146" s="233" t="s">
        <v>3268</v>
      </c>
      <c r="F146" s="234" t="s">
        <v>3270</v>
      </c>
      <c r="H146" s="235">
        <v>3.42</v>
      </c>
      <c r="L146" s="232"/>
      <c r="M146" s="236"/>
      <c r="T146" s="237"/>
      <c r="AT146" s="233" t="s">
        <v>3345</v>
      </c>
      <c r="AU146" s="233" t="s">
        <v>6</v>
      </c>
      <c r="AV146" s="231" t="s">
        <v>6</v>
      </c>
      <c r="AW146" s="231" t="s">
        <v>3347</v>
      </c>
      <c r="AX146" s="231" t="s">
        <v>3336</v>
      </c>
      <c r="AY146" s="233" t="s">
        <v>3337</v>
      </c>
    </row>
    <row r="147" spans="2:65" s="244" customFormat="1">
      <c r="B147" s="245"/>
      <c r="D147" s="227" t="s">
        <v>3345</v>
      </c>
      <c r="E147" s="246" t="s">
        <v>3268</v>
      </c>
      <c r="F147" s="247" t="s">
        <v>3354</v>
      </c>
      <c r="H147" s="248">
        <v>5.04</v>
      </c>
      <c r="L147" s="245"/>
      <c r="M147" s="249"/>
      <c r="T147" s="250"/>
      <c r="AT147" s="246" t="s">
        <v>3345</v>
      </c>
      <c r="AU147" s="246" t="s">
        <v>6</v>
      </c>
      <c r="AV147" s="244" t="s">
        <v>8</v>
      </c>
      <c r="AW147" s="244" t="s">
        <v>3347</v>
      </c>
      <c r="AX147" s="244" t="s">
        <v>5</v>
      </c>
      <c r="AY147" s="246" t="s">
        <v>3337</v>
      </c>
    </row>
    <row r="148" spans="2:65" s="144" customFormat="1" ht="21.75" customHeight="1">
      <c r="B148" s="214"/>
      <c r="C148" s="215" t="s">
        <v>9</v>
      </c>
      <c r="D148" s="215" t="s">
        <v>3338</v>
      </c>
      <c r="E148" s="216" t="s">
        <v>3366</v>
      </c>
      <c r="F148" s="217" t="s">
        <v>3367</v>
      </c>
      <c r="G148" s="218" t="s">
        <v>1942</v>
      </c>
      <c r="H148" s="219">
        <v>3.24</v>
      </c>
      <c r="I148" s="745">
        <v>0</v>
      </c>
      <c r="J148" s="220">
        <f>ROUND(I148*H148,2)</f>
        <v>0</v>
      </c>
      <c r="K148" s="217" t="s">
        <v>3341</v>
      </c>
      <c r="L148" s="145"/>
      <c r="M148" s="221" t="s">
        <v>3268</v>
      </c>
      <c r="N148" s="222" t="s">
        <v>3296</v>
      </c>
      <c r="O148" s="223">
        <v>0</v>
      </c>
      <c r="P148" s="223">
        <f>O148*H148</f>
        <v>0</v>
      </c>
      <c r="Q148" s="223">
        <v>0</v>
      </c>
      <c r="R148" s="223">
        <f>Q148*H148</f>
        <v>0</v>
      </c>
      <c r="S148" s="223">
        <v>0</v>
      </c>
      <c r="T148" s="224">
        <f>S148*H148</f>
        <v>0</v>
      </c>
      <c r="AR148" s="225" t="s">
        <v>8</v>
      </c>
      <c r="AT148" s="225" t="s">
        <v>3338</v>
      </c>
      <c r="AU148" s="225" t="s">
        <v>6</v>
      </c>
      <c r="AY148" s="136" t="s">
        <v>3337</v>
      </c>
      <c r="BE148" s="226">
        <f>IF(N148="základní",J148,0)</f>
        <v>0</v>
      </c>
      <c r="BF148" s="226">
        <f>IF(N148="snížená",J148,0)</f>
        <v>0</v>
      </c>
      <c r="BG148" s="226">
        <f>IF(N148="zákl. přenesená",J148,0)</f>
        <v>0</v>
      </c>
      <c r="BH148" s="226">
        <f>IF(N148="sníž. přenesená",J148,0)</f>
        <v>0</v>
      </c>
      <c r="BI148" s="226">
        <f>IF(N148="nulová",J148,0)</f>
        <v>0</v>
      </c>
      <c r="BJ148" s="136" t="s">
        <v>5</v>
      </c>
      <c r="BK148" s="226">
        <f>ROUND(I148*H148,2)</f>
        <v>0</v>
      </c>
      <c r="BL148" s="136" t="s">
        <v>8</v>
      </c>
      <c r="BM148" s="225" t="s">
        <v>3368</v>
      </c>
    </row>
    <row r="149" spans="2:65" s="144" customFormat="1" ht="28.8">
      <c r="B149" s="145"/>
      <c r="D149" s="227" t="s">
        <v>3343</v>
      </c>
      <c r="F149" s="228" t="s">
        <v>3369</v>
      </c>
      <c r="L149" s="145"/>
      <c r="M149" s="229"/>
      <c r="T149" s="230"/>
      <c r="AT149" s="136" t="s">
        <v>3343</v>
      </c>
      <c r="AU149" s="136" t="s">
        <v>6</v>
      </c>
    </row>
    <row r="150" spans="2:65" s="231" customFormat="1">
      <c r="B150" s="232"/>
      <c r="D150" s="227" t="s">
        <v>3345</v>
      </c>
      <c r="E150" s="233" t="s">
        <v>3268</v>
      </c>
      <c r="F150" s="234" t="s">
        <v>3275</v>
      </c>
      <c r="H150" s="235">
        <v>1.62</v>
      </c>
      <c r="L150" s="232"/>
      <c r="M150" s="236"/>
      <c r="T150" s="237"/>
      <c r="AT150" s="233" t="s">
        <v>3345</v>
      </c>
      <c r="AU150" s="233" t="s">
        <v>6</v>
      </c>
      <c r="AV150" s="231" t="s">
        <v>6</v>
      </c>
      <c r="AW150" s="231" t="s">
        <v>3347</v>
      </c>
      <c r="AX150" s="231" t="s">
        <v>5</v>
      </c>
      <c r="AY150" s="233" t="s">
        <v>3337</v>
      </c>
    </row>
    <row r="151" spans="2:65" s="231" customFormat="1">
      <c r="B151" s="232"/>
      <c r="D151" s="227" t="s">
        <v>3345</v>
      </c>
      <c r="F151" s="234" t="s">
        <v>3370</v>
      </c>
      <c r="H151" s="235">
        <v>3.24</v>
      </c>
      <c r="L151" s="232"/>
      <c r="M151" s="236"/>
      <c r="T151" s="237"/>
      <c r="AT151" s="233" t="s">
        <v>3345</v>
      </c>
      <c r="AU151" s="233" t="s">
        <v>6</v>
      </c>
      <c r="AV151" s="231" t="s">
        <v>6</v>
      </c>
      <c r="AW151" s="231" t="s">
        <v>3274</v>
      </c>
      <c r="AX151" s="231" t="s">
        <v>5</v>
      </c>
      <c r="AY151" s="233" t="s">
        <v>3337</v>
      </c>
    </row>
    <row r="152" spans="2:65" s="144" customFormat="1" ht="16.5" customHeight="1">
      <c r="B152" s="214"/>
      <c r="C152" s="215" t="s">
        <v>10</v>
      </c>
      <c r="D152" s="215" t="s">
        <v>3338</v>
      </c>
      <c r="E152" s="216" t="s">
        <v>3371</v>
      </c>
      <c r="F152" s="217" t="s">
        <v>3372</v>
      </c>
      <c r="G152" s="218" t="s">
        <v>1941</v>
      </c>
      <c r="H152" s="219">
        <v>1.62</v>
      </c>
      <c r="I152" s="745">
        <v>0</v>
      </c>
      <c r="J152" s="220">
        <f>ROUND(I152*H152,2)</f>
        <v>0</v>
      </c>
      <c r="K152" s="217" t="s">
        <v>3341</v>
      </c>
      <c r="L152" s="145"/>
      <c r="M152" s="221" t="s">
        <v>3268</v>
      </c>
      <c r="N152" s="222" t="s">
        <v>3296</v>
      </c>
      <c r="O152" s="223">
        <v>8.9999999999999993E-3</v>
      </c>
      <c r="P152" s="223">
        <f>O152*H152</f>
        <v>1.4579999999999999E-2</v>
      </c>
      <c r="Q152" s="223">
        <v>0</v>
      </c>
      <c r="R152" s="223">
        <f>Q152*H152</f>
        <v>0</v>
      </c>
      <c r="S152" s="223">
        <v>0</v>
      </c>
      <c r="T152" s="224">
        <f>S152*H152</f>
        <v>0</v>
      </c>
      <c r="AR152" s="225" t="s">
        <v>8</v>
      </c>
      <c r="AT152" s="225" t="s">
        <v>3338</v>
      </c>
      <c r="AU152" s="225" t="s">
        <v>6</v>
      </c>
      <c r="AY152" s="136" t="s">
        <v>3337</v>
      </c>
      <c r="BE152" s="226">
        <f>IF(N152="základní",J152,0)</f>
        <v>0</v>
      </c>
      <c r="BF152" s="226">
        <f>IF(N152="snížená",J152,0)</f>
        <v>0</v>
      </c>
      <c r="BG152" s="226">
        <f>IF(N152="zákl. přenesená",J152,0)</f>
        <v>0</v>
      </c>
      <c r="BH152" s="226">
        <f>IF(N152="sníž. přenesená",J152,0)</f>
        <v>0</v>
      </c>
      <c r="BI152" s="226">
        <f>IF(N152="nulová",J152,0)</f>
        <v>0</v>
      </c>
      <c r="BJ152" s="136" t="s">
        <v>5</v>
      </c>
      <c r="BK152" s="226">
        <f>ROUND(I152*H152,2)</f>
        <v>0</v>
      </c>
      <c r="BL152" s="136" t="s">
        <v>8</v>
      </c>
      <c r="BM152" s="225" t="s">
        <v>3373</v>
      </c>
    </row>
    <row r="153" spans="2:65" s="144" customFormat="1" ht="19.2">
      <c r="B153" s="145"/>
      <c r="D153" s="227" t="s">
        <v>3343</v>
      </c>
      <c r="F153" s="228" t="s">
        <v>3374</v>
      </c>
      <c r="L153" s="145"/>
      <c r="M153" s="229"/>
      <c r="T153" s="230"/>
      <c r="AT153" s="136" t="s">
        <v>3343</v>
      </c>
      <c r="AU153" s="136" t="s">
        <v>6</v>
      </c>
    </row>
    <row r="154" spans="2:65" s="231" customFormat="1">
      <c r="B154" s="232"/>
      <c r="D154" s="227" t="s">
        <v>3345</v>
      </c>
      <c r="E154" s="233" t="s">
        <v>3268</v>
      </c>
      <c r="F154" s="234" t="s">
        <v>3275</v>
      </c>
      <c r="H154" s="235">
        <v>1.62</v>
      </c>
      <c r="L154" s="232"/>
      <c r="M154" s="236"/>
      <c r="T154" s="237"/>
      <c r="AT154" s="233" t="s">
        <v>3345</v>
      </c>
      <c r="AU154" s="233" t="s">
        <v>6</v>
      </c>
      <c r="AV154" s="231" t="s">
        <v>6</v>
      </c>
      <c r="AW154" s="231" t="s">
        <v>3347</v>
      </c>
      <c r="AX154" s="231" t="s">
        <v>5</v>
      </c>
      <c r="AY154" s="233" t="s">
        <v>3337</v>
      </c>
    </row>
    <row r="155" spans="2:65" s="144" customFormat="1" ht="21.75" customHeight="1">
      <c r="B155" s="214"/>
      <c r="C155" s="215" t="s">
        <v>11</v>
      </c>
      <c r="D155" s="215" t="s">
        <v>3338</v>
      </c>
      <c r="E155" s="216" t="s">
        <v>3375</v>
      </c>
      <c r="F155" s="217" t="s">
        <v>3376</v>
      </c>
      <c r="G155" s="218" t="s">
        <v>1941</v>
      </c>
      <c r="H155" s="219">
        <v>3.42</v>
      </c>
      <c r="I155" s="745">
        <v>0</v>
      </c>
      <c r="J155" s="220">
        <f>ROUND(I155*H155,2)</f>
        <v>0</v>
      </c>
      <c r="K155" s="217" t="s">
        <v>3341</v>
      </c>
      <c r="L155" s="145"/>
      <c r="M155" s="221" t="s">
        <v>3268</v>
      </c>
      <c r="N155" s="222" t="s">
        <v>3296</v>
      </c>
      <c r="O155" s="223">
        <v>0.32800000000000001</v>
      </c>
      <c r="P155" s="223">
        <f>O155*H155</f>
        <v>1.1217600000000001</v>
      </c>
      <c r="Q155" s="223">
        <v>0</v>
      </c>
      <c r="R155" s="223">
        <f>Q155*H155</f>
        <v>0</v>
      </c>
      <c r="S155" s="223">
        <v>0</v>
      </c>
      <c r="T155" s="224">
        <f>S155*H155</f>
        <v>0</v>
      </c>
      <c r="AR155" s="225" t="s">
        <v>8</v>
      </c>
      <c r="AT155" s="225" t="s">
        <v>3338</v>
      </c>
      <c r="AU155" s="225" t="s">
        <v>6</v>
      </c>
      <c r="AY155" s="136" t="s">
        <v>3337</v>
      </c>
      <c r="BE155" s="226">
        <f>IF(N155="základní",J155,0)</f>
        <v>0</v>
      </c>
      <c r="BF155" s="226">
        <f>IF(N155="snížená",J155,0)</f>
        <v>0</v>
      </c>
      <c r="BG155" s="226">
        <f>IF(N155="zákl. přenesená",J155,0)</f>
        <v>0</v>
      </c>
      <c r="BH155" s="226">
        <f>IF(N155="sníž. přenesená",J155,0)</f>
        <v>0</v>
      </c>
      <c r="BI155" s="226">
        <f>IF(N155="nulová",J155,0)</f>
        <v>0</v>
      </c>
      <c r="BJ155" s="136" t="s">
        <v>5</v>
      </c>
      <c r="BK155" s="226">
        <f>ROUND(I155*H155,2)</f>
        <v>0</v>
      </c>
      <c r="BL155" s="136" t="s">
        <v>8</v>
      </c>
      <c r="BM155" s="225" t="s">
        <v>3377</v>
      </c>
    </row>
    <row r="156" spans="2:65" s="144" customFormat="1" ht="28.8">
      <c r="B156" s="145"/>
      <c r="D156" s="227" t="s">
        <v>3343</v>
      </c>
      <c r="F156" s="228" t="s">
        <v>3378</v>
      </c>
      <c r="L156" s="145"/>
      <c r="M156" s="229"/>
      <c r="T156" s="230"/>
      <c r="AT156" s="136" t="s">
        <v>3343</v>
      </c>
      <c r="AU156" s="136" t="s">
        <v>6</v>
      </c>
    </row>
    <row r="157" spans="2:65" s="231" customFormat="1">
      <c r="B157" s="232"/>
      <c r="D157" s="227" t="s">
        <v>3345</v>
      </c>
      <c r="E157" s="233" t="s">
        <v>3270</v>
      </c>
      <c r="F157" s="234" t="s">
        <v>3379</v>
      </c>
      <c r="H157" s="235">
        <v>3.42</v>
      </c>
      <c r="L157" s="232"/>
      <c r="M157" s="236"/>
      <c r="T157" s="237"/>
      <c r="AT157" s="233" t="s">
        <v>3345</v>
      </c>
      <c r="AU157" s="233" t="s">
        <v>6</v>
      </c>
      <c r="AV157" s="231" t="s">
        <v>6</v>
      </c>
      <c r="AW157" s="231" t="s">
        <v>3347</v>
      </c>
      <c r="AX157" s="231" t="s">
        <v>5</v>
      </c>
      <c r="AY157" s="233" t="s">
        <v>3337</v>
      </c>
    </row>
    <row r="158" spans="2:65" s="144" customFormat="1" ht="21.75" customHeight="1">
      <c r="B158" s="214"/>
      <c r="C158" s="215" t="s">
        <v>12</v>
      </c>
      <c r="D158" s="215" t="s">
        <v>3338</v>
      </c>
      <c r="E158" s="216" t="s">
        <v>3380</v>
      </c>
      <c r="F158" s="217" t="s">
        <v>3381</v>
      </c>
      <c r="G158" s="218" t="s">
        <v>1941</v>
      </c>
      <c r="H158" s="219">
        <v>1.26</v>
      </c>
      <c r="I158" s="745">
        <v>0</v>
      </c>
      <c r="J158" s="220">
        <f>ROUND(I158*H158,2)</f>
        <v>0</v>
      </c>
      <c r="K158" s="217" t="s">
        <v>3341</v>
      </c>
      <c r="L158" s="145"/>
      <c r="M158" s="221" t="s">
        <v>3268</v>
      </c>
      <c r="N158" s="222" t="s">
        <v>3296</v>
      </c>
      <c r="O158" s="223">
        <v>0.435</v>
      </c>
      <c r="P158" s="223">
        <f>O158*H158</f>
        <v>0.54810000000000003</v>
      </c>
      <c r="Q158" s="223">
        <v>0</v>
      </c>
      <c r="R158" s="223">
        <f>Q158*H158</f>
        <v>0</v>
      </c>
      <c r="S158" s="223">
        <v>0</v>
      </c>
      <c r="T158" s="224">
        <f>S158*H158</f>
        <v>0</v>
      </c>
      <c r="AR158" s="225" t="s">
        <v>8</v>
      </c>
      <c r="AT158" s="225" t="s">
        <v>3338</v>
      </c>
      <c r="AU158" s="225" t="s">
        <v>6</v>
      </c>
      <c r="AY158" s="136" t="s">
        <v>3337</v>
      </c>
      <c r="BE158" s="226">
        <f>IF(N158="základní",J158,0)</f>
        <v>0</v>
      </c>
      <c r="BF158" s="226">
        <f>IF(N158="snížená",J158,0)</f>
        <v>0</v>
      </c>
      <c r="BG158" s="226">
        <f>IF(N158="zákl. přenesená",J158,0)</f>
        <v>0</v>
      </c>
      <c r="BH158" s="226">
        <f>IF(N158="sníž. přenesená",J158,0)</f>
        <v>0</v>
      </c>
      <c r="BI158" s="226">
        <f>IF(N158="nulová",J158,0)</f>
        <v>0</v>
      </c>
      <c r="BJ158" s="136" t="s">
        <v>5</v>
      </c>
      <c r="BK158" s="226">
        <f>ROUND(I158*H158,2)</f>
        <v>0</v>
      </c>
      <c r="BL158" s="136" t="s">
        <v>8</v>
      </c>
      <c r="BM158" s="225" t="s">
        <v>3382</v>
      </c>
    </row>
    <row r="159" spans="2:65" s="144" customFormat="1" ht="38.4">
      <c r="B159" s="145"/>
      <c r="D159" s="227" t="s">
        <v>3343</v>
      </c>
      <c r="F159" s="228" t="s">
        <v>3383</v>
      </c>
      <c r="L159" s="145"/>
      <c r="M159" s="229"/>
      <c r="T159" s="230"/>
      <c r="AT159" s="136" t="s">
        <v>3343</v>
      </c>
      <c r="AU159" s="136" t="s">
        <v>6</v>
      </c>
    </row>
    <row r="160" spans="2:65" s="231" customFormat="1">
      <c r="B160" s="232"/>
      <c r="D160" s="227" t="s">
        <v>3345</v>
      </c>
      <c r="E160" s="233" t="s">
        <v>3280</v>
      </c>
      <c r="F160" s="234" t="s">
        <v>3384</v>
      </c>
      <c r="H160" s="235">
        <v>1.26</v>
      </c>
      <c r="L160" s="232"/>
      <c r="M160" s="236"/>
      <c r="T160" s="237"/>
      <c r="AT160" s="233" t="s">
        <v>3345</v>
      </c>
      <c r="AU160" s="233" t="s">
        <v>6</v>
      </c>
      <c r="AV160" s="231" t="s">
        <v>6</v>
      </c>
      <c r="AW160" s="231" t="s">
        <v>3347</v>
      </c>
      <c r="AX160" s="231" t="s">
        <v>5</v>
      </c>
      <c r="AY160" s="233" t="s">
        <v>3337</v>
      </c>
    </row>
    <row r="161" spans="2:65" s="144" customFormat="1" ht="16.5" customHeight="1">
      <c r="B161" s="214"/>
      <c r="C161" s="251" t="s">
        <v>13</v>
      </c>
      <c r="D161" s="251" t="s">
        <v>3385</v>
      </c>
      <c r="E161" s="252" t="s">
        <v>3386</v>
      </c>
      <c r="F161" s="253" t="s">
        <v>3387</v>
      </c>
      <c r="G161" s="254" t="s">
        <v>1942</v>
      </c>
      <c r="H161" s="255">
        <v>2.52</v>
      </c>
      <c r="I161" s="746">
        <v>0</v>
      </c>
      <c r="J161" s="256">
        <f>ROUND(I161*H161,2)</f>
        <v>0</v>
      </c>
      <c r="K161" s="253" t="s">
        <v>3341</v>
      </c>
      <c r="L161" s="257"/>
      <c r="M161" s="258" t="s">
        <v>3268</v>
      </c>
      <c r="N161" s="259" t="s">
        <v>3296</v>
      </c>
      <c r="O161" s="223">
        <v>0</v>
      </c>
      <c r="P161" s="223">
        <f>O161*H161</f>
        <v>0</v>
      </c>
      <c r="Q161" s="223">
        <v>0</v>
      </c>
      <c r="R161" s="223">
        <f>Q161*H161</f>
        <v>0</v>
      </c>
      <c r="S161" s="223">
        <v>0</v>
      </c>
      <c r="T161" s="224">
        <f>S161*H161</f>
        <v>0</v>
      </c>
      <c r="AR161" s="225" t="s">
        <v>12</v>
      </c>
      <c r="AT161" s="225" t="s">
        <v>3385</v>
      </c>
      <c r="AU161" s="225" t="s">
        <v>6</v>
      </c>
      <c r="AY161" s="136" t="s">
        <v>3337</v>
      </c>
      <c r="BE161" s="226">
        <f>IF(N161="základní",J161,0)</f>
        <v>0</v>
      </c>
      <c r="BF161" s="226">
        <f>IF(N161="snížená",J161,0)</f>
        <v>0</v>
      </c>
      <c r="BG161" s="226">
        <f>IF(N161="zákl. přenesená",J161,0)</f>
        <v>0</v>
      </c>
      <c r="BH161" s="226">
        <f>IF(N161="sníž. přenesená",J161,0)</f>
        <v>0</v>
      </c>
      <c r="BI161" s="226">
        <f>IF(N161="nulová",J161,0)</f>
        <v>0</v>
      </c>
      <c r="BJ161" s="136" t="s">
        <v>5</v>
      </c>
      <c r="BK161" s="226">
        <f>ROUND(I161*H161,2)</f>
        <v>0</v>
      </c>
      <c r="BL161" s="136" t="s">
        <v>8</v>
      </c>
      <c r="BM161" s="225" t="s">
        <v>3388</v>
      </c>
    </row>
    <row r="162" spans="2:65" s="144" customFormat="1">
      <c r="B162" s="145"/>
      <c r="D162" s="227" t="s">
        <v>3343</v>
      </c>
      <c r="F162" s="228" t="s">
        <v>3387</v>
      </c>
      <c r="L162" s="145"/>
      <c r="M162" s="229"/>
      <c r="T162" s="230"/>
      <c r="AT162" s="136" t="s">
        <v>3343</v>
      </c>
      <c r="AU162" s="136" t="s">
        <v>6</v>
      </c>
    </row>
    <row r="163" spans="2:65" s="231" customFormat="1">
      <c r="B163" s="232"/>
      <c r="D163" s="227" t="s">
        <v>3345</v>
      </c>
      <c r="E163" s="233" t="s">
        <v>3268</v>
      </c>
      <c r="F163" s="234" t="s">
        <v>3280</v>
      </c>
      <c r="H163" s="235">
        <v>1.26</v>
      </c>
      <c r="L163" s="232"/>
      <c r="M163" s="236"/>
      <c r="T163" s="237"/>
      <c r="AT163" s="233" t="s">
        <v>3345</v>
      </c>
      <c r="AU163" s="233" t="s">
        <v>6</v>
      </c>
      <c r="AV163" s="231" t="s">
        <v>6</v>
      </c>
      <c r="AW163" s="231" t="s">
        <v>3347</v>
      </c>
      <c r="AX163" s="231" t="s">
        <v>5</v>
      </c>
      <c r="AY163" s="233" t="s">
        <v>3337</v>
      </c>
    </row>
    <row r="164" spans="2:65" s="231" customFormat="1">
      <c r="B164" s="232"/>
      <c r="D164" s="227" t="s">
        <v>3345</v>
      </c>
      <c r="F164" s="234" t="s">
        <v>3389</v>
      </c>
      <c r="H164" s="235">
        <v>2.52</v>
      </c>
      <c r="L164" s="232"/>
      <c r="M164" s="236"/>
      <c r="T164" s="237"/>
      <c r="AT164" s="233" t="s">
        <v>3345</v>
      </c>
      <c r="AU164" s="233" t="s">
        <v>6</v>
      </c>
      <c r="AV164" s="231" t="s">
        <v>6</v>
      </c>
      <c r="AW164" s="231" t="s">
        <v>3274</v>
      </c>
      <c r="AX164" s="231" t="s">
        <v>5</v>
      </c>
      <c r="AY164" s="233" t="s">
        <v>3337</v>
      </c>
    </row>
    <row r="165" spans="2:65" s="202" customFormat="1" ht="22.95" customHeight="1">
      <c r="B165" s="203"/>
      <c r="D165" s="204" t="s">
        <v>3334</v>
      </c>
      <c r="E165" s="212" t="s">
        <v>8</v>
      </c>
      <c r="F165" s="212" t="s">
        <v>2052</v>
      </c>
      <c r="J165" s="213">
        <f>BK165</f>
        <v>0</v>
      </c>
      <c r="L165" s="203"/>
      <c r="M165" s="207"/>
      <c r="P165" s="208">
        <f>SUM(P166:P168)</f>
        <v>0.47411999999999999</v>
      </c>
      <c r="R165" s="208">
        <f>SUM(R166:R168)</f>
        <v>0</v>
      </c>
      <c r="T165" s="209">
        <f>SUM(T166:T168)</f>
        <v>0</v>
      </c>
      <c r="AR165" s="204" t="s">
        <v>5</v>
      </c>
      <c r="AT165" s="210" t="s">
        <v>3334</v>
      </c>
      <c r="AU165" s="210" t="s">
        <v>5</v>
      </c>
      <c r="AY165" s="204" t="s">
        <v>3337</v>
      </c>
      <c r="BK165" s="211">
        <f>SUM(BK166:BK168)</f>
        <v>0</v>
      </c>
    </row>
    <row r="166" spans="2:65" s="144" customFormat="1" ht="16.5" customHeight="1">
      <c r="B166" s="214"/>
      <c r="C166" s="215" t="s">
        <v>14</v>
      </c>
      <c r="D166" s="215" t="s">
        <v>3338</v>
      </c>
      <c r="E166" s="216" t="s">
        <v>3390</v>
      </c>
      <c r="F166" s="217" t="s">
        <v>3391</v>
      </c>
      <c r="G166" s="218" t="s">
        <v>1941</v>
      </c>
      <c r="H166" s="219">
        <v>0.36</v>
      </c>
      <c r="I166" s="745">
        <v>0</v>
      </c>
      <c r="J166" s="220">
        <f>ROUND(I166*H166,2)</f>
        <v>0</v>
      </c>
      <c r="K166" s="217" t="s">
        <v>3341</v>
      </c>
      <c r="L166" s="145"/>
      <c r="M166" s="221" t="s">
        <v>3268</v>
      </c>
      <c r="N166" s="222" t="s">
        <v>3296</v>
      </c>
      <c r="O166" s="223">
        <v>1.3169999999999999</v>
      </c>
      <c r="P166" s="223">
        <f>O166*H166</f>
        <v>0.47411999999999999</v>
      </c>
      <c r="Q166" s="223">
        <v>0</v>
      </c>
      <c r="R166" s="223">
        <f>Q166*H166</f>
        <v>0</v>
      </c>
      <c r="S166" s="223">
        <v>0</v>
      </c>
      <c r="T166" s="224">
        <f>S166*H166</f>
        <v>0</v>
      </c>
      <c r="AR166" s="225" t="s">
        <v>8</v>
      </c>
      <c r="AT166" s="225" t="s">
        <v>3338</v>
      </c>
      <c r="AU166" s="225" t="s">
        <v>6</v>
      </c>
      <c r="AY166" s="136" t="s">
        <v>3337</v>
      </c>
      <c r="BE166" s="226">
        <f>IF(N166="základní",J166,0)</f>
        <v>0</v>
      </c>
      <c r="BF166" s="226">
        <f>IF(N166="snížená",J166,0)</f>
        <v>0</v>
      </c>
      <c r="BG166" s="226">
        <f>IF(N166="zákl. přenesená",J166,0)</f>
        <v>0</v>
      </c>
      <c r="BH166" s="226">
        <f>IF(N166="sníž. přenesená",J166,0)</f>
        <v>0</v>
      </c>
      <c r="BI166" s="226">
        <f>IF(N166="nulová",J166,0)</f>
        <v>0</v>
      </c>
      <c r="BJ166" s="136" t="s">
        <v>5</v>
      </c>
      <c r="BK166" s="226">
        <f>ROUND(I166*H166,2)</f>
        <v>0</v>
      </c>
      <c r="BL166" s="136" t="s">
        <v>8</v>
      </c>
      <c r="BM166" s="225" t="s">
        <v>3392</v>
      </c>
    </row>
    <row r="167" spans="2:65" s="144" customFormat="1" ht="19.2">
      <c r="B167" s="145"/>
      <c r="D167" s="227" t="s">
        <v>3343</v>
      </c>
      <c r="F167" s="228" t="s">
        <v>3393</v>
      </c>
      <c r="L167" s="145"/>
      <c r="M167" s="229"/>
      <c r="T167" s="230"/>
      <c r="AT167" s="136" t="s">
        <v>3343</v>
      </c>
      <c r="AU167" s="136" t="s">
        <v>6</v>
      </c>
    </row>
    <row r="168" spans="2:65" s="231" customFormat="1">
      <c r="B168" s="232"/>
      <c r="D168" s="227" t="s">
        <v>3345</v>
      </c>
      <c r="E168" s="233" t="s">
        <v>3277</v>
      </c>
      <c r="F168" s="234" t="s">
        <v>3394</v>
      </c>
      <c r="H168" s="235">
        <v>0.36</v>
      </c>
      <c r="L168" s="232"/>
      <c r="M168" s="236"/>
      <c r="T168" s="237"/>
      <c r="AT168" s="233" t="s">
        <v>3345</v>
      </c>
      <c r="AU168" s="233" t="s">
        <v>6</v>
      </c>
      <c r="AV168" s="231" t="s">
        <v>6</v>
      </c>
      <c r="AW168" s="231" t="s">
        <v>3347</v>
      </c>
      <c r="AX168" s="231" t="s">
        <v>5</v>
      </c>
      <c r="AY168" s="233" t="s">
        <v>3337</v>
      </c>
    </row>
    <row r="169" spans="2:65" s="202" customFormat="1" ht="22.95" customHeight="1">
      <c r="B169" s="203"/>
      <c r="D169" s="204" t="s">
        <v>3334</v>
      </c>
      <c r="E169" s="212" t="s">
        <v>12</v>
      </c>
      <c r="F169" s="212" t="s">
        <v>2053</v>
      </c>
      <c r="J169" s="213">
        <f>BK169</f>
        <v>0</v>
      </c>
      <c r="L169" s="203"/>
      <c r="M169" s="207"/>
      <c r="P169" s="208">
        <f>SUM(P170:P199)</f>
        <v>6.9979999999999993</v>
      </c>
      <c r="R169" s="208">
        <f>SUM(R170:R199)</f>
        <v>3.0060000000000003E-2</v>
      </c>
      <c r="T169" s="209">
        <f>SUM(T170:T199)</f>
        <v>0</v>
      </c>
      <c r="AR169" s="204" t="s">
        <v>5</v>
      </c>
      <c r="AT169" s="210" t="s">
        <v>3334</v>
      </c>
      <c r="AU169" s="210" t="s">
        <v>5</v>
      </c>
      <c r="AY169" s="204" t="s">
        <v>3337</v>
      </c>
      <c r="BK169" s="211">
        <f>SUM(BK170:BK199)</f>
        <v>0</v>
      </c>
    </row>
    <row r="170" spans="2:65" s="144" customFormat="1" ht="16.5" customHeight="1">
      <c r="B170" s="214"/>
      <c r="C170" s="215" t="s">
        <v>15</v>
      </c>
      <c r="D170" s="215" t="s">
        <v>3338</v>
      </c>
      <c r="E170" s="216" t="s">
        <v>3395</v>
      </c>
      <c r="F170" s="217" t="s">
        <v>3396</v>
      </c>
      <c r="G170" s="218" t="s">
        <v>1943</v>
      </c>
      <c r="H170" s="219">
        <v>1</v>
      </c>
      <c r="I170" s="745">
        <v>0</v>
      </c>
      <c r="J170" s="220">
        <f>ROUND(I170*H170,2)</f>
        <v>0</v>
      </c>
      <c r="K170" s="217" t="s">
        <v>3341</v>
      </c>
      <c r="L170" s="145"/>
      <c r="M170" s="221" t="s">
        <v>3268</v>
      </c>
      <c r="N170" s="222" t="s">
        <v>3296</v>
      </c>
      <c r="O170" s="223">
        <v>0.2</v>
      </c>
      <c r="P170" s="223">
        <f>O170*H170</f>
        <v>0.2</v>
      </c>
      <c r="Q170" s="223">
        <v>5.0000000000000001E-3</v>
      </c>
      <c r="R170" s="223">
        <f>Q170*H170</f>
        <v>5.0000000000000001E-3</v>
      </c>
      <c r="S170" s="223">
        <v>0</v>
      </c>
      <c r="T170" s="224">
        <f>S170*H170</f>
        <v>0</v>
      </c>
      <c r="AR170" s="225" t="s">
        <v>8</v>
      </c>
      <c r="AT170" s="225" t="s">
        <v>3338</v>
      </c>
      <c r="AU170" s="225" t="s">
        <v>6</v>
      </c>
      <c r="AY170" s="136" t="s">
        <v>3337</v>
      </c>
      <c r="BE170" s="226">
        <f>IF(N170="základní",J170,0)</f>
        <v>0</v>
      </c>
      <c r="BF170" s="226">
        <f>IF(N170="snížená",J170,0)</f>
        <v>0</v>
      </c>
      <c r="BG170" s="226">
        <f>IF(N170="zákl. přenesená",J170,0)</f>
        <v>0</v>
      </c>
      <c r="BH170" s="226">
        <f>IF(N170="sníž. přenesená",J170,0)</f>
        <v>0</v>
      </c>
      <c r="BI170" s="226">
        <f>IF(N170="nulová",J170,0)</f>
        <v>0</v>
      </c>
      <c r="BJ170" s="136" t="s">
        <v>5</v>
      </c>
      <c r="BK170" s="226">
        <f>ROUND(I170*H170,2)</f>
        <v>0</v>
      </c>
      <c r="BL170" s="136" t="s">
        <v>8</v>
      </c>
      <c r="BM170" s="225" t="s">
        <v>3397</v>
      </c>
    </row>
    <row r="171" spans="2:65" s="144" customFormat="1" ht="19.2">
      <c r="B171" s="145"/>
      <c r="D171" s="227" t="s">
        <v>3343</v>
      </c>
      <c r="F171" s="228" t="s">
        <v>3398</v>
      </c>
      <c r="L171" s="145"/>
      <c r="M171" s="229"/>
      <c r="T171" s="230"/>
      <c r="AT171" s="136" t="s">
        <v>3343</v>
      </c>
      <c r="AU171" s="136" t="s">
        <v>6</v>
      </c>
    </row>
    <row r="172" spans="2:65" s="144" customFormat="1" ht="16.5" customHeight="1">
      <c r="B172" s="214"/>
      <c r="C172" s="215" t="s">
        <v>16</v>
      </c>
      <c r="D172" s="215" t="s">
        <v>3338</v>
      </c>
      <c r="E172" s="216" t="s">
        <v>3399</v>
      </c>
      <c r="F172" s="217" t="s">
        <v>3400</v>
      </c>
      <c r="G172" s="218" t="s">
        <v>1943</v>
      </c>
      <c r="H172" s="219">
        <v>1</v>
      </c>
      <c r="I172" s="745">
        <v>0</v>
      </c>
      <c r="J172" s="220">
        <f>ROUND(I172*H172,2)</f>
        <v>0</v>
      </c>
      <c r="K172" s="217" t="s">
        <v>3341</v>
      </c>
      <c r="L172" s="145"/>
      <c r="M172" s="221" t="s">
        <v>3268</v>
      </c>
      <c r="N172" s="222" t="s">
        <v>3296</v>
      </c>
      <c r="O172" s="223">
        <v>0.18</v>
      </c>
      <c r="P172" s="223">
        <f>O172*H172</f>
        <v>0.18</v>
      </c>
      <c r="Q172" s="223">
        <v>6.0000000000000001E-3</v>
      </c>
      <c r="R172" s="223">
        <f>Q172*H172</f>
        <v>6.0000000000000001E-3</v>
      </c>
      <c r="S172" s="223">
        <v>0</v>
      </c>
      <c r="T172" s="224">
        <f>S172*H172</f>
        <v>0</v>
      </c>
      <c r="AR172" s="225" t="s">
        <v>8</v>
      </c>
      <c r="AT172" s="225" t="s">
        <v>3338</v>
      </c>
      <c r="AU172" s="225" t="s">
        <v>6</v>
      </c>
      <c r="AY172" s="136" t="s">
        <v>3337</v>
      </c>
      <c r="BE172" s="226">
        <f>IF(N172="základní",J172,0)</f>
        <v>0</v>
      </c>
      <c r="BF172" s="226">
        <f>IF(N172="snížená",J172,0)</f>
        <v>0</v>
      </c>
      <c r="BG172" s="226">
        <f>IF(N172="zákl. přenesená",J172,0)</f>
        <v>0</v>
      </c>
      <c r="BH172" s="226">
        <f>IF(N172="sníž. přenesená",J172,0)</f>
        <v>0</v>
      </c>
      <c r="BI172" s="226">
        <f>IF(N172="nulová",J172,0)</f>
        <v>0</v>
      </c>
      <c r="BJ172" s="136" t="s">
        <v>5</v>
      </c>
      <c r="BK172" s="226">
        <f>ROUND(I172*H172,2)</f>
        <v>0</v>
      </c>
      <c r="BL172" s="136" t="s">
        <v>8</v>
      </c>
      <c r="BM172" s="225" t="s">
        <v>3401</v>
      </c>
    </row>
    <row r="173" spans="2:65" s="144" customFormat="1" ht="19.2">
      <c r="B173" s="145"/>
      <c r="D173" s="227" t="s">
        <v>3343</v>
      </c>
      <c r="F173" s="228" t="s">
        <v>3402</v>
      </c>
      <c r="L173" s="145"/>
      <c r="M173" s="229"/>
      <c r="T173" s="230"/>
      <c r="AT173" s="136" t="s">
        <v>3343</v>
      </c>
      <c r="AU173" s="136" t="s">
        <v>6</v>
      </c>
    </row>
    <row r="174" spans="2:65" s="144" customFormat="1" ht="21.75" customHeight="1">
      <c r="B174" s="214"/>
      <c r="C174" s="215" t="s">
        <v>17</v>
      </c>
      <c r="D174" s="215" t="s">
        <v>3338</v>
      </c>
      <c r="E174" s="216" t="s">
        <v>3403</v>
      </c>
      <c r="F174" s="217" t="s">
        <v>3404</v>
      </c>
      <c r="G174" s="218" t="s">
        <v>1943</v>
      </c>
      <c r="H174" s="219">
        <v>1</v>
      </c>
      <c r="I174" s="745">
        <v>0</v>
      </c>
      <c r="J174" s="220">
        <f>ROUND(I174*H174,2)</f>
        <v>0</v>
      </c>
      <c r="K174" s="217" t="s">
        <v>3341</v>
      </c>
      <c r="L174" s="145"/>
      <c r="M174" s="221" t="s">
        <v>3268</v>
      </c>
      <c r="N174" s="222" t="s">
        <v>3296</v>
      </c>
      <c r="O174" s="223">
        <v>0.22800000000000001</v>
      </c>
      <c r="P174" s="223">
        <f>O174*H174</f>
        <v>0.22800000000000001</v>
      </c>
      <c r="Q174" s="223">
        <v>6.0999999999999997E-4</v>
      </c>
      <c r="R174" s="223">
        <f>Q174*H174</f>
        <v>6.0999999999999997E-4</v>
      </c>
      <c r="S174" s="223">
        <v>0</v>
      </c>
      <c r="T174" s="224">
        <f>S174*H174</f>
        <v>0</v>
      </c>
      <c r="AR174" s="225" t="s">
        <v>8</v>
      </c>
      <c r="AT174" s="225" t="s">
        <v>3338</v>
      </c>
      <c r="AU174" s="225" t="s">
        <v>6</v>
      </c>
      <c r="AY174" s="136" t="s">
        <v>3337</v>
      </c>
      <c r="BE174" s="226">
        <f>IF(N174="základní",J174,0)</f>
        <v>0</v>
      </c>
      <c r="BF174" s="226">
        <f>IF(N174="snížená",J174,0)</f>
        <v>0</v>
      </c>
      <c r="BG174" s="226">
        <f>IF(N174="zákl. přenesená",J174,0)</f>
        <v>0</v>
      </c>
      <c r="BH174" s="226">
        <f>IF(N174="sníž. přenesená",J174,0)</f>
        <v>0</v>
      </c>
      <c r="BI174" s="226">
        <f>IF(N174="nulová",J174,0)</f>
        <v>0</v>
      </c>
      <c r="BJ174" s="136" t="s">
        <v>5</v>
      </c>
      <c r="BK174" s="226">
        <f>ROUND(I174*H174,2)</f>
        <v>0</v>
      </c>
      <c r="BL174" s="136" t="s">
        <v>8</v>
      </c>
      <c r="BM174" s="225" t="s">
        <v>3405</v>
      </c>
    </row>
    <row r="175" spans="2:65" s="144" customFormat="1" ht="19.2">
      <c r="B175" s="145"/>
      <c r="D175" s="227" t="s">
        <v>3343</v>
      </c>
      <c r="F175" s="228" t="s">
        <v>3406</v>
      </c>
      <c r="L175" s="145"/>
      <c r="M175" s="229"/>
      <c r="T175" s="230"/>
      <c r="AT175" s="136" t="s">
        <v>3343</v>
      </c>
      <c r="AU175" s="136" t="s">
        <v>6</v>
      </c>
    </row>
    <row r="176" spans="2:65" s="144" customFormat="1" ht="21.75" customHeight="1">
      <c r="B176" s="214"/>
      <c r="C176" s="215" t="s">
        <v>18</v>
      </c>
      <c r="D176" s="215" t="s">
        <v>3338</v>
      </c>
      <c r="E176" s="216" t="s">
        <v>3407</v>
      </c>
      <c r="F176" s="217" t="s">
        <v>3408</v>
      </c>
      <c r="G176" s="218" t="s">
        <v>1943</v>
      </c>
      <c r="H176" s="219">
        <v>1</v>
      </c>
      <c r="I176" s="745">
        <v>0</v>
      </c>
      <c r="J176" s="220">
        <f>ROUND(I176*H176,2)</f>
        <v>0</v>
      </c>
      <c r="K176" s="217" t="s">
        <v>3341</v>
      </c>
      <c r="L176" s="145"/>
      <c r="M176" s="221" t="s">
        <v>3268</v>
      </c>
      <c r="N176" s="222" t="s">
        <v>3296</v>
      </c>
      <c r="O176" s="223">
        <v>0.42399999999999999</v>
      </c>
      <c r="P176" s="223">
        <f>O176*H176</f>
        <v>0.42399999999999999</v>
      </c>
      <c r="Q176" s="223">
        <v>2.0799999999999998E-3</v>
      </c>
      <c r="R176" s="223">
        <f>Q176*H176</f>
        <v>2.0799999999999998E-3</v>
      </c>
      <c r="S176" s="223">
        <v>0</v>
      </c>
      <c r="T176" s="224">
        <f>S176*H176</f>
        <v>0</v>
      </c>
      <c r="AR176" s="225" t="s">
        <v>8</v>
      </c>
      <c r="AT176" s="225" t="s">
        <v>3338</v>
      </c>
      <c r="AU176" s="225" t="s">
        <v>6</v>
      </c>
      <c r="AY176" s="136" t="s">
        <v>3337</v>
      </c>
      <c r="BE176" s="226">
        <f>IF(N176="základní",J176,0)</f>
        <v>0</v>
      </c>
      <c r="BF176" s="226">
        <f>IF(N176="snížená",J176,0)</f>
        <v>0</v>
      </c>
      <c r="BG176" s="226">
        <f>IF(N176="zákl. přenesená",J176,0)</f>
        <v>0</v>
      </c>
      <c r="BH176" s="226">
        <f>IF(N176="sníž. přenesená",J176,0)</f>
        <v>0</v>
      </c>
      <c r="BI176" s="226">
        <f>IF(N176="nulová",J176,0)</f>
        <v>0</v>
      </c>
      <c r="BJ176" s="136" t="s">
        <v>5</v>
      </c>
      <c r="BK176" s="226">
        <f>ROUND(I176*H176,2)</f>
        <v>0</v>
      </c>
      <c r="BL176" s="136" t="s">
        <v>8</v>
      </c>
      <c r="BM176" s="225" t="s">
        <v>3409</v>
      </c>
    </row>
    <row r="177" spans="2:65" s="144" customFormat="1" ht="19.2">
      <c r="B177" s="145"/>
      <c r="D177" s="227" t="s">
        <v>3343</v>
      </c>
      <c r="F177" s="228" t="s">
        <v>3410</v>
      </c>
      <c r="L177" s="145"/>
      <c r="M177" s="229"/>
      <c r="T177" s="230"/>
      <c r="AT177" s="136" t="s">
        <v>3343</v>
      </c>
      <c r="AU177" s="136" t="s">
        <v>6</v>
      </c>
    </row>
    <row r="178" spans="2:65" s="144" customFormat="1" ht="21.75" customHeight="1">
      <c r="B178" s="214"/>
      <c r="C178" s="215" t="s">
        <v>19</v>
      </c>
      <c r="D178" s="215" t="s">
        <v>3338</v>
      </c>
      <c r="E178" s="216" t="s">
        <v>3411</v>
      </c>
      <c r="F178" s="217" t="s">
        <v>3412</v>
      </c>
      <c r="G178" s="218" t="s">
        <v>1938</v>
      </c>
      <c r="H178" s="219">
        <v>1</v>
      </c>
      <c r="I178" s="745">
        <v>0</v>
      </c>
      <c r="J178" s="220">
        <f>ROUND(I178*H178,2)</f>
        <v>0</v>
      </c>
      <c r="K178" s="217" t="s">
        <v>3341</v>
      </c>
      <c r="L178" s="145"/>
      <c r="M178" s="221" t="s">
        <v>3268</v>
      </c>
      <c r="N178" s="222" t="s">
        <v>3296</v>
      </c>
      <c r="O178" s="223">
        <v>0.74</v>
      </c>
      <c r="P178" s="223">
        <f>O178*H178</f>
        <v>0.74</v>
      </c>
      <c r="Q178" s="223">
        <v>9.0200000000000002E-3</v>
      </c>
      <c r="R178" s="223">
        <f>Q178*H178</f>
        <v>9.0200000000000002E-3</v>
      </c>
      <c r="S178" s="223">
        <v>0</v>
      </c>
      <c r="T178" s="224">
        <f>S178*H178</f>
        <v>0</v>
      </c>
      <c r="AR178" s="225" t="s">
        <v>8</v>
      </c>
      <c r="AT178" s="225" t="s">
        <v>3338</v>
      </c>
      <c r="AU178" s="225" t="s">
        <v>6</v>
      </c>
      <c r="AY178" s="136" t="s">
        <v>3337</v>
      </c>
      <c r="BE178" s="226">
        <f>IF(N178="základní",J178,0)</f>
        <v>0</v>
      </c>
      <c r="BF178" s="226">
        <f>IF(N178="snížená",J178,0)</f>
        <v>0</v>
      </c>
      <c r="BG178" s="226">
        <f>IF(N178="zákl. přenesená",J178,0)</f>
        <v>0</v>
      </c>
      <c r="BH178" s="226">
        <f>IF(N178="sníž. přenesená",J178,0)</f>
        <v>0</v>
      </c>
      <c r="BI178" s="226">
        <f>IF(N178="nulová",J178,0)</f>
        <v>0</v>
      </c>
      <c r="BJ178" s="136" t="s">
        <v>5</v>
      </c>
      <c r="BK178" s="226">
        <f>ROUND(I178*H178,2)</f>
        <v>0</v>
      </c>
      <c r="BL178" s="136" t="s">
        <v>8</v>
      </c>
      <c r="BM178" s="225" t="s">
        <v>3413</v>
      </c>
    </row>
    <row r="179" spans="2:65" s="144" customFormat="1" ht="19.2">
      <c r="B179" s="145"/>
      <c r="D179" s="227" t="s">
        <v>3343</v>
      </c>
      <c r="F179" s="228" t="s">
        <v>3414</v>
      </c>
      <c r="L179" s="145"/>
      <c r="M179" s="229"/>
      <c r="T179" s="230"/>
      <c r="AT179" s="136" t="s">
        <v>3343</v>
      </c>
      <c r="AU179" s="136" t="s">
        <v>6</v>
      </c>
    </row>
    <row r="180" spans="2:65" s="144" customFormat="1" ht="21.75" customHeight="1">
      <c r="B180" s="214"/>
      <c r="C180" s="215" t="s">
        <v>20</v>
      </c>
      <c r="D180" s="215" t="s">
        <v>3338</v>
      </c>
      <c r="E180" s="216" t="s">
        <v>3415</v>
      </c>
      <c r="F180" s="217" t="s">
        <v>3416</v>
      </c>
      <c r="G180" s="218" t="s">
        <v>1938</v>
      </c>
      <c r="H180" s="219">
        <v>1</v>
      </c>
      <c r="I180" s="745">
        <v>0</v>
      </c>
      <c r="J180" s="220">
        <f>ROUND(I180*H180,2)</f>
        <v>0</v>
      </c>
      <c r="K180" s="217" t="s">
        <v>3341</v>
      </c>
      <c r="L180" s="145"/>
      <c r="M180" s="221" t="s">
        <v>3268</v>
      </c>
      <c r="N180" s="222" t="s">
        <v>3296</v>
      </c>
      <c r="O180" s="223">
        <v>1.78</v>
      </c>
      <c r="P180" s="223">
        <f>O180*H180</f>
        <v>1.78</v>
      </c>
      <c r="Q180" s="223">
        <v>3.3800000000000002E-3</v>
      </c>
      <c r="R180" s="223">
        <f>Q180*H180</f>
        <v>3.3800000000000002E-3</v>
      </c>
      <c r="S180" s="223">
        <v>0</v>
      </c>
      <c r="T180" s="224">
        <f>S180*H180</f>
        <v>0</v>
      </c>
      <c r="AR180" s="225" t="s">
        <v>8</v>
      </c>
      <c r="AT180" s="225" t="s">
        <v>3338</v>
      </c>
      <c r="AU180" s="225" t="s">
        <v>6</v>
      </c>
      <c r="AY180" s="136" t="s">
        <v>3337</v>
      </c>
      <c r="BE180" s="226">
        <f>IF(N180="základní",J180,0)</f>
        <v>0</v>
      </c>
      <c r="BF180" s="226">
        <f>IF(N180="snížená",J180,0)</f>
        <v>0</v>
      </c>
      <c r="BG180" s="226">
        <f>IF(N180="zákl. přenesená",J180,0)</f>
        <v>0</v>
      </c>
      <c r="BH180" s="226">
        <f>IF(N180="sníž. přenesená",J180,0)</f>
        <v>0</v>
      </c>
      <c r="BI180" s="226">
        <f>IF(N180="nulová",J180,0)</f>
        <v>0</v>
      </c>
      <c r="BJ180" s="136" t="s">
        <v>5</v>
      </c>
      <c r="BK180" s="226">
        <f>ROUND(I180*H180,2)</f>
        <v>0</v>
      </c>
      <c r="BL180" s="136" t="s">
        <v>8</v>
      </c>
      <c r="BM180" s="225" t="s">
        <v>3417</v>
      </c>
    </row>
    <row r="181" spans="2:65" s="144" customFormat="1">
      <c r="B181" s="145"/>
      <c r="D181" s="227" t="s">
        <v>3343</v>
      </c>
      <c r="F181" s="228" t="s">
        <v>3418</v>
      </c>
      <c r="L181" s="145"/>
      <c r="M181" s="229"/>
      <c r="T181" s="230"/>
      <c r="AT181" s="136" t="s">
        <v>3343</v>
      </c>
      <c r="AU181" s="136" t="s">
        <v>6</v>
      </c>
    </row>
    <row r="182" spans="2:65" s="144" customFormat="1" ht="16.5" customHeight="1">
      <c r="B182" s="214"/>
      <c r="C182" s="215" t="s">
        <v>21</v>
      </c>
      <c r="D182" s="215" t="s">
        <v>3338</v>
      </c>
      <c r="E182" s="216" t="s">
        <v>3419</v>
      </c>
      <c r="F182" s="217" t="s">
        <v>3420</v>
      </c>
      <c r="G182" s="218" t="s">
        <v>1938</v>
      </c>
      <c r="H182" s="219">
        <v>1</v>
      </c>
      <c r="I182" s="745">
        <v>0</v>
      </c>
      <c r="J182" s="220">
        <f>ROUND(I182*H182,2)</f>
        <v>0</v>
      </c>
      <c r="K182" s="217" t="s">
        <v>3341</v>
      </c>
      <c r="L182" s="145"/>
      <c r="M182" s="221" t="s">
        <v>3268</v>
      </c>
      <c r="N182" s="222" t="s">
        <v>3296</v>
      </c>
      <c r="O182" s="223">
        <v>0.83799999999999997</v>
      </c>
      <c r="P182" s="223">
        <f>O182*H182</f>
        <v>0.83799999999999997</v>
      </c>
      <c r="Q182" s="223">
        <v>2.2000000000000001E-4</v>
      </c>
      <c r="R182" s="223">
        <f>Q182*H182</f>
        <v>2.2000000000000001E-4</v>
      </c>
      <c r="S182" s="223">
        <v>0</v>
      </c>
      <c r="T182" s="224">
        <f>S182*H182</f>
        <v>0</v>
      </c>
      <c r="AR182" s="225" t="s">
        <v>8</v>
      </c>
      <c r="AT182" s="225" t="s">
        <v>3338</v>
      </c>
      <c r="AU182" s="225" t="s">
        <v>6</v>
      </c>
      <c r="AY182" s="136" t="s">
        <v>3337</v>
      </c>
      <c r="BE182" s="226">
        <f>IF(N182="základní",J182,0)</f>
        <v>0</v>
      </c>
      <c r="BF182" s="226">
        <f>IF(N182="snížená",J182,0)</f>
        <v>0</v>
      </c>
      <c r="BG182" s="226">
        <f>IF(N182="zákl. přenesená",J182,0)</f>
        <v>0</v>
      </c>
      <c r="BH182" s="226">
        <f>IF(N182="sníž. přenesená",J182,0)</f>
        <v>0</v>
      </c>
      <c r="BI182" s="226">
        <f>IF(N182="nulová",J182,0)</f>
        <v>0</v>
      </c>
      <c r="BJ182" s="136" t="s">
        <v>5</v>
      </c>
      <c r="BK182" s="226">
        <f>ROUND(I182*H182,2)</f>
        <v>0</v>
      </c>
      <c r="BL182" s="136" t="s">
        <v>8</v>
      </c>
      <c r="BM182" s="225" t="s">
        <v>3421</v>
      </c>
    </row>
    <row r="183" spans="2:65" s="144" customFormat="1">
      <c r="B183" s="145"/>
      <c r="D183" s="227" t="s">
        <v>3343</v>
      </c>
      <c r="F183" s="228" t="s">
        <v>3422</v>
      </c>
      <c r="L183" s="145"/>
      <c r="M183" s="229"/>
      <c r="T183" s="230"/>
      <c r="AT183" s="136" t="s">
        <v>3343</v>
      </c>
      <c r="AU183" s="136" t="s">
        <v>6</v>
      </c>
    </row>
    <row r="184" spans="2:65" s="144" customFormat="1" ht="21.75" customHeight="1">
      <c r="B184" s="214"/>
      <c r="C184" s="215" t="s">
        <v>22</v>
      </c>
      <c r="D184" s="215" t="s">
        <v>3338</v>
      </c>
      <c r="E184" s="216" t="s">
        <v>3423</v>
      </c>
      <c r="F184" s="217" t="s">
        <v>3424</v>
      </c>
      <c r="G184" s="218" t="s">
        <v>1939</v>
      </c>
      <c r="H184" s="219">
        <v>6</v>
      </c>
      <c r="I184" s="745">
        <v>0</v>
      </c>
      <c r="J184" s="220">
        <f>ROUND(I184*H184,2)</f>
        <v>0</v>
      </c>
      <c r="K184" s="217" t="s">
        <v>3341</v>
      </c>
      <c r="L184" s="145"/>
      <c r="M184" s="221" t="s">
        <v>3268</v>
      </c>
      <c r="N184" s="222" t="s">
        <v>3296</v>
      </c>
      <c r="O184" s="223">
        <v>0.17100000000000001</v>
      </c>
      <c r="P184" s="223">
        <f>O184*H184</f>
        <v>1.026</v>
      </c>
      <c r="Q184" s="223">
        <v>0</v>
      </c>
      <c r="R184" s="223">
        <f>Q184*H184</f>
        <v>0</v>
      </c>
      <c r="S184" s="223">
        <v>0</v>
      </c>
      <c r="T184" s="224">
        <f>S184*H184</f>
        <v>0</v>
      </c>
      <c r="AR184" s="225" t="s">
        <v>8</v>
      </c>
      <c r="AT184" s="225" t="s">
        <v>3338</v>
      </c>
      <c r="AU184" s="225" t="s">
        <v>6</v>
      </c>
      <c r="AY184" s="136" t="s">
        <v>3337</v>
      </c>
      <c r="BE184" s="226">
        <f>IF(N184="základní",J184,0)</f>
        <v>0</v>
      </c>
      <c r="BF184" s="226">
        <f>IF(N184="snížená",J184,0)</f>
        <v>0</v>
      </c>
      <c r="BG184" s="226">
        <f>IF(N184="zákl. přenesená",J184,0)</f>
        <v>0</v>
      </c>
      <c r="BH184" s="226">
        <f>IF(N184="sníž. přenesená",J184,0)</f>
        <v>0</v>
      </c>
      <c r="BI184" s="226">
        <f>IF(N184="nulová",J184,0)</f>
        <v>0</v>
      </c>
      <c r="BJ184" s="136" t="s">
        <v>5</v>
      </c>
      <c r="BK184" s="226">
        <f>ROUND(I184*H184,2)</f>
        <v>0</v>
      </c>
      <c r="BL184" s="136" t="s">
        <v>8</v>
      </c>
      <c r="BM184" s="225" t="s">
        <v>3425</v>
      </c>
    </row>
    <row r="185" spans="2:65" s="144" customFormat="1" ht="19.2">
      <c r="B185" s="145"/>
      <c r="D185" s="227" t="s">
        <v>3343</v>
      </c>
      <c r="F185" s="228" t="s">
        <v>3426</v>
      </c>
      <c r="L185" s="145"/>
      <c r="M185" s="229"/>
      <c r="T185" s="230"/>
      <c r="AT185" s="136" t="s">
        <v>3343</v>
      </c>
      <c r="AU185" s="136" t="s">
        <v>6</v>
      </c>
    </row>
    <row r="186" spans="2:65" s="144" customFormat="1" ht="21.75" customHeight="1">
      <c r="B186" s="214"/>
      <c r="C186" s="251" t="s">
        <v>23</v>
      </c>
      <c r="D186" s="251" t="s">
        <v>3385</v>
      </c>
      <c r="E186" s="252" t="s">
        <v>3427</v>
      </c>
      <c r="F186" s="253" t="s">
        <v>3428</v>
      </c>
      <c r="G186" s="254" t="s">
        <v>1939</v>
      </c>
      <c r="H186" s="255">
        <v>6</v>
      </c>
      <c r="I186" s="746">
        <v>0</v>
      </c>
      <c r="J186" s="256">
        <f>ROUND(I186*H186,2)</f>
        <v>0</v>
      </c>
      <c r="K186" s="253" t="s">
        <v>3341</v>
      </c>
      <c r="L186" s="257"/>
      <c r="M186" s="258" t="s">
        <v>3268</v>
      </c>
      <c r="N186" s="259" t="s">
        <v>3296</v>
      </c>
      <c r="O186" s="223">
        <v>0</v>
      </c>
      <c r="P186" s="223">
        <f>O186*H186</f>
        <v>0</v>
      </c>
      <c r="Q186" s="223">
        <v>2.7999999999999998E-4</v>
      </c>
      <c r="R186" s="223">
        <f>Q186*H186</f>
        <v>1.6799999999999999E-3</v>
      </c>
      <c r="S186" s="223">
        <v>0</v>
      </c>
      <c r="T186" s="224">
        <f>S186*H186</f>
        <v>0</v>
      </c>
      <c r="AR186" s="225" t="s">
        <v>12</v>
      </c>
      <c r="AT186" s="225" t="s">
        <v>3385</v>
      </c>
      <c r="AU186" s="225" t="s">
        <v>6</v>
      </c>
      <c r="AY186" s="136" t="s">
        <v>3337</v>
      </c>
      <c r="BE186" s="226">
        <f>IF(N186="základní",J186,0)</f>
        <v>0</v>
      </c>
      <c r="BF186" s="226">
        <f>IF(N186="snížená",J186,0)</f>
        <v>0</v>
      </c>
      <c r="BG186" s="226">
        <f>IF(N186="zákl. přenesená",J186,0)</f>
        <v>0</v>
      </c>
      <c r="BH186" s="226">
        <f>IF(N186="sníž. přenesená",J186,0)</f>
        <v>0</v>
      </c>
      <c r="BI186" s="226">
        <f>IF(N186="nulová",J186,0)</f>
        <v>0</v>
      </c>
      <c r="BJ186" s="136" t="s">
        <v>5</v>
      </c>
      <c r="BK186" s="226">
        <f>ROUND(I186*H186,2)</f>
        <v>0</v>
      </c>
      <c r="BL186" s="136" t="s">
        <v>8</v>
      </c>
      <c r="BM186" s="225" t="s">
        <v>3429</v>
      </c>
    </row>
    <row r="187" spans="2:65" s="144" customFormat="1">
      <c r="B187" s="145"/>
      <c r="D187" s="227" t="s">
        <v>3343</v>
      </c>
      <c r="F187" s="228" t="s">
        <v>3428</v>
      </c>
      <c r="L187" s="145"/>
      <c r="M187" s="229"/>
      <c r="T187" s="230"/>
      <c r="AT187" s="136" t="s">
        <v>3343</v>
      </c>
      <c r="AU187" s="136" t="s">
        <v>6</v>
      </c>
    </row>
    <row r="188" spans="2:65" s="144" customFormat="1" ht="16.5" customHeight="1">
      <c r="B188" s="214"/>
      <c r="C188" s="215" t="s">
        <v>24</v>
      </c>
      <c r="D188" s="215" t="s">
        <v>3338</v>
      </c>
      <c r="E188" s="216" t="s">
        <v>3430</v>
      </c>
      <c r="F188" s="217" t="s">
        <v>3431</v>
      </c>
      <c r="G188" s="218" t="s">
        <v>1943</v>
      </c>
      <c r="H188" s="219">
        <v>1</v>
      </c>
      <c r="I188" s="745">
        <v>0</v>
      </c>
      <c r="J188" s="220">
        <f>ROUND(I188*H188,2)</f>
        <v>0</v>
      </c>
      <c r="K188" s="217" t="s">
        <v>3341</v>
      </c>
      <c r="L188" s="145"/>
      <c r="M188" s="221" t="s">
        <v>3268</v>
      </c>
      <c r="N188" s="222" t="s">
        <v>3296</v>
      </c>
      <c r="O188" s="223">
        <v>0.47299999999999998</v>
      </c>
      <c r="P188" s="223">
        <f>O188*H188</f>
        <v>0.47299999999999998</v>
      </c>
      <c r="Q188" s="223">
        <v>0</v>
      </c>
      <c r="R188" s="223">
        <f>Q188*H188</f>
        <v>0</v>
      </c>
      <c r="S188" s="223">
        <v>0</v>
      </c>
      <c r="T188" s="224">
        <f>S188*H188</f>
        <v>0</v>
      </c>
      <c r="AR188" s="225" t="s">
        <v>8</v>
      </c>
      <c r="AT188" s="225" t="s">
        <v>3338</v>
      </c>
      <c r="AU188" s="225" t="s">
        <v>6</v>
      </c>
      <c r="AY188" s="136" t="s">
        <v>3337</v>
      </c>
      <c r="BE188" s="226">
        <f>IF(N188="základní",J188,0)</f>
        <v>0</v>
      </c>
      <c r="BF188" s="226">
        <f>IF(N188="snížená",J188,0)</f>
        <v>0</v>
      </c>
      <c r="BG188" s="226">
        <f>IF(N188="zákl. přenesená",J188,0)</f>
        <v>0</v>
      </c>
      <c r="BH188" s="226">
        <f>IF(N188="sníž. přenesená",J188,0)</f>
        <v>0</v>
      </c>
      <c r="BI188" s="226">
        <f>IF(N188="nulová",J188,0)</f>
        <v>0</v>
      </c>
      <c r="BJ188" s="136" t="s">
        <v>5</v>
      </c>
      <c r="BK188" s="226">
        <f>ROUND(I188*H188,2)</f>
        <v>0</v>
      </c>
      <c r="BL188" s="136" t="s">
        <v>8</v>
      </c>
      <c r="BM188" s="225" t="s">
        <v>3432</v>
      </c>
    </row>
    <row r="189" spans="2:65" s="144" customFormat="1" ht="19.2">
      <c r="B189" s="145"/>
      <c r="D189" s="227" t="s">
        <v>3343</v>
      </c>
      <c r="F189" s="228" t="s">
        <v>3433</v>
      </c>
      <c r="L189" s="145"/>
      <c r="M189" s="229"/>
      <c r="T189" s="230"/>
      <c r="AT189" s="136" t="s">
        <v>3343</v>
      </c>
      <c r="AU189" s="136" t="s">
        <v>6</v>
      </c>
    </row>
    <row r="190" spans="2:65" s="144" customFormat="1" ht="16.5" customHeight="1">
      <c r="B190" s="214"/>
      <c r="C190" s="251" t="s">
        <v>25</v>
      </c>
      <c r="D190" s="251" t="s">
        <v>3385</v>
      </c>
      <c r="E190" s="252" t="s">
        <v>3434</v>
      </c>
      <c r="F190" s="253" t="s">
        <v>3435</v>
      </c>
      <c r="G190" s="254" t="s">
        <v>1943</v>
      </c>
      <c r="H190" s="255">
        <v>1</v>
      </c>
      <c r="I190" s="746">
        <v>0</v>
      </c>
      <c r="J190" s="256">
        <f>ROUND(I190*H190,2)</f>
        <v>0</v>
      </c>
      <c r="K190" s="253" t="s">
        <v>3341</v>
      </c>
      <c r="L190" s="257"/>
      <c r="M190" s="258" t="s">
        <v>3268</v>
      </c>
      <c r="N190" s="259" t="s">
        <v>3296</v>
      </c>
      <c r="O190" s="223">
        <v>0</v>
      </c>
      <c r="P190" s="223">
        <f>O190*H190</f>
        <v>0</v>
      </c>
      <c r="Q190" s="223">
        <v>8.0000000000000007E-5</v>
      </c>
      <c r="R190" s="223">
        <f>Q190*H190</f>
        <v>8.0000000000000007E-5</v>
      </c>
      <c r="S190" s="223">
        <v>0</v>
      </c>
      <c r="T190" s="224">
        <f>S190*H190</f>
        <v>0</v>
      </c>
      <c r="AR190" s="225" t="s">
        <v>12</v>
      </c>
      <c r="AT190" s="225" t="s">
        <v>3385</v>
      </c>
      <c r="AU190" s="225" t="s">
        <v>6</v>
      </c>
      <c r="AY190" s="136" t="s">
        <v>3337</v>
      </c>
      <c r="BE190" s="226">
        <f>IF(N190="základní",J190,0)</f>
        <v>0</v>
      </c>
      <c r="BF190" s="226">
        <f>IF(N190="snížená",J190,0)</f>
        <v>0</v>
      </c>
      <c r="BG190" s="226">
        <f>IF(N190="zákl. přenesená",J190,0)</f>
        <v>0</v>
      </c>
      <c r="BH190" s="226">
        <f>IF(N190="sníž. přenesená",J190,0)</f>
        <v>0</v>
      </c>
      <c r="BI190" s="226">
        <f>IF(N190="nulová",J190,0)</f>
        <v>0</v>
      </c>
      <c r="BJ190" s="136" t="s">
        <v>5</v>
      </c>
      <c r="BK190" s="226">
        <f>ROUND(I190*H190,2)</f>
        <v>0</v>
      </c>
      <c r="BL190" s="136" t="s">
        <v>8</v>
      </c>
      <c r="BM190" s="225" t="s">
        <v>3436</v>
      </c>
    </row>
    <row r="191" spans="2:65" s="144" customFormat="1">
      <c r="B191" s="145"/>
      <c r="D191" s="227" t="s">
        <v>3343</v>
      </c>
      <c r="F191" s="228" t="s">
        <v>3435</v>
      </c>
      <c r="L191" s="145"/>
      <c r="M191" s="229"/>
      <c r="T191" s="230"/>
      <c r="AT191" s="136" t="s">
        <v>3343</v>
      </c>
      <c r="AU191" s="136" t="s">
        <v>6</v>
      </c>
    </row>
    <row r="192" spans="2:65" s="144" customFormat="1" ht="16.5" customHeight="1">
      <c r="B192" s="214"/>
      <c r="C192" s="215" t="s">
        <v>26</v>
      </c>
      <c r="D192" s="215" t="s">
        <v>3338</v>
      </c>
      <c r="E192" s="216" t="s">
        <v>3437</v>
      </c>
      <c r="F192" s="217" t="s">
        <v>3438</v>
      </c>
      <c r="G192" s="218" t="s">
        <v>1943</v>
      </c>
      <c r="H192" s="219">
        <v>1</v>
      </c>
      <c r="I192" s="745">
        <v>0</v>
      </c>
      <c r="J192" s="220">
        <f>ROUND(I192*H192,2)</f>
        <v>0</v>
      </c>
      <c r="K192" s="217" t="s">
        <v>3341</v>
      </c>
      <c r="L192" s="145"/>
      <c r="M192" s="221" t="s">
        <v>3268</v>
      </c>
      <c r="N192" s="222" t="s">
        <v>3296</v>
      </c>
      <c r="O192" s="223">
        <v>0.63500000000000001</v>
      </c>
      <c r="P192" s="223">
        <f>O192*H192</f>
        <v>0.63500000000000001</v>
      </c>
      <c r="Q192" s="223">
        <v>0</v>
      </c>
      <c r="R192" s="223">
        <f>Q192*H192</f>
        <v>0</v>
      </c>
      <c r="S192" s="223">
        <v>0</v>
      </c>
      <c r="T192" s="224">
        <f>S192*H192</f>
        <v>0</v>
      </c>
      <c r="AR192" s="225" t="s">
        <v>8</v>
      </c>
      <c r="AT192" s="225" t="s">
        <v>3338</v>
      </c>
      <c r="AU192" s="225" t="s">
        <v>6</v>
      </c>
      <c r="AY192" s="136" t="s">
        <v>3337</v>
      </c>
      <c r="BE192" s="226">
        <f>IF(N192="základní",J192,0)</f>
        <v>0</v>
      </c>
      <c r="BF192" s="226">
        <f>IF(N192="snížená",J192,0)</f>
        <v>0</v>
      </c>
      <c r="BG192" s="226">
        <f>IF(N192="zákl. přenesená",J192,0)</f>
        <v>0</v>
      </c>
      <c r="BH192" s="226">
        <f>IF(N192="sníž. přenesená",J192,0)</f>
        <v>0</v>
      </c>
      <c r="BI192" s="226">
        <f>IF(N192="nulová",J192,0)</f>
        <v>0</v>
      </c>
      <c r="BJ192" s="136" t="s">
        <v>5</v>
      </c>
      <c r="BK192" s="226">
        <f>ROUND(I192*H192,2)</f>
        <v>0</v>
      </c>
      <c r="BL192" s="136" t="s">
        <v>8</v>
      </c>
      <c r="BM192" s="225" t="s">
        <v>3439</v>
      </c>
    </row>
    <row r="193" spans="2:65" s="144" customFormat="1" ht="19.2">
      <c r="B193" s="145"/>
      <c r="D193" s="227" t="s">
        <v>3343</v>
      </c>
      <c r="F193" s="228" t="s">
        <v>3440</v>
      </c>
      <c r="L193" s="145"/>
      <c r="M193" s="229"/>
      <c r="T193" s="230"/>
      <c r="AT193" s="136" t="s">
        <v>3343</v>
      </c>
      <c r="AU193" s="136" t="s">
        <v>6</v>
      </c>
    </row>
    <row r="194" spans="2:65" s="144" customFormat="1" ht="21.75" customHeight="1">
      <c r="B194" s="214"/>
      <c r="C194" s="251" t="s">
        <v>27</v>
      </c>
      <c r="D194" s="251" t="s">
        <v>3385</v>
      </c>
      <c r="E194" s="252" t="s">
        <v>3441</v>
      </c>
      <c r="F194" s="253" t="s">
        <v>3442</v>
      </c>
      <c r="G194" s="254" t="s">
        <v>1943</v>
      </c>
      <c r="H194" s="255">
        <v>1</v>
      </c>
      <c r="I194" s="746">
        <v>0</v>
      </c>
      <c r="J194" s="256">
        <f>ROUND(I194*H194,2)</f>
        <v>0</v>
      </c>
      <c r="K194" s="253" t="s">
        <v>3268</v>
      </c>
      <c r="L194" s="257"/>
      <c r="M194" s="258" t="s">
        <v>3268</v>
      </c>
      <c r="N194" s="259" t="s">
        <v>3296</v>
      </c>
      <c r="O194" s="223">
        <v>0</v>
      </c>
      <c r="P194" s="223">
        <f>O194*H194</f>
        <v>0</v>
      </c>
      <c r="Q194" s="223">
        <v>3.1E-4</v>
      </c>
      <c r="R194" s="223">
        <f>Q194*H194</f>
        <v>3.1E-4</v>
      </c>
      <c r="S194" s="223">
        <v>0</v>
      </c>
      <c r="T194" s="224">
        <f>S194*H194</f>
        <v>0</v>
      </c>
      <c r="AR194" s="225" t="s">
        <v>12</v>
      </c>
      <c r="AT194" s="225" t="s">
        <v>3385</v>
      </c>
      <c r="AU194" s="225" t="s">
        <v>6</v>
      </c>
      <c r="AY194" s="136" t="s">
        <v>3337</v>
      </c>
      <c r="BE194" s="226">
        <f>IF(N194="základní",J194,0)</f>
        <v>0</v>
      </c>
      <c r="BF194" s="226">
        <f>IF(N194="snížená",J194,0)</f>
        <v>0</v>
      </c>
      <c r="BG194" s="226">
        <f>IF(N194="zákl. přenesená",J194,0)</f>
        <v>0</v>
      </c>
      <c r="BH194" s="226">
        <f>IF(N194="sníž. přenesená",J194,0)</f>
        <v>0</v>
      </c>
      <c r="BI194" s="226">
        <f>IF(N194="nulová",J194,0)</f>
        <v>0</v>
      </c>
      <c r="BJ194" s="136" t="s">
        <v>5</v>
      </c>
      <c r="BK194" s="226">
        <f>ROUND(I194*H194,2)</f>
        <v>0</v>
      </c>
      <c r="BL194" s="136" t="s">
        <v>8</v>
      </c>
      <c r="BM194" s="225" t="s">
        <v>3443</v>
      </c>
    </row>
    <row r="195" spans="2:65" s="144" customFormat="1">
      <c r="B195" s="145"/>
      <c r="D195" s="227" t="s">
        <v>3343</v>
      </c>
      <c r="F195" s="228" t="s">
        <v>3442</v>
      </c>
      <c r="L195" s="145"/>
      <c r="M195" s="229"/>
      <c r="T195" s="230"/>
      <c r="AT195" s="136" t="s">
        <v>3343</v>
      </c>
      <c r="AU195" s="136" t="s">
        <v>6</v>
      </c>
    </row>
    <row r="196" spans="2:65" s="144" customFormat="1" ht="16.5" customHeight="1">
      <c r="B196" s="214"/>
      <c r="C196" s="215" t="s">
        <v>28</v>
      </c>
      <c r="D196" s="215" t="s">
        <v>3338</v>
      </c>
      <c r="E196" s="216" t="s">
        <v>3444</v>
      </c>
      <c r="F196" s="217" t="s">
        <v>3445</v>
      </c>
      <c r="G196" s="218" t="s">
        <v>1939</v>
      </c>
      <c r="H196" s="219">
        <v>6</v>
      </c>
      <c r="I196" s="745">
        <v>0</v>
      </c>
      <c r="J196" s="220">
        <f>ROUND(I196*H196,2)</f>
        <v>0</v>
      </c>
      <c r="K196" s="217" t="s">
        <v>3341</v>
      </c>
      <c r="L196" s="145"/>
      <c r="M196" s="221" t="s">
        <v>3268</v>
      </c>
      <c r="N196" s="222" t="s">
        <v>3296</v>
      </c>
      <c r="O196" s="223">
        <v>5.3999999999999999E-2</v>
      </c>
      <c r="P196" s="223">
        <f>O196*H196</f>
        <v>0.32400000000000001</v>
      </c>
      <c r="Q196" s="223">
        <v>1.9000000000000001E-4</v>
      </c>
      <c r="R196" s="223">
        <f>Q196*H196</f>
        <v>1.14E-3</v>
      </c>
      <c r="S196" s="223">
        <v>0</v>
      </c>
      <c r="T196" s="224">
        <f>S196*H196</f>
        <v>0</v>
      </c>
      <c r="AR196" s="225" t="s">
        <v>8</v>
      </c>
      <c r="AT196" s="225" t="s">
        <v>3338</v>
      </c>
      <c r="AU196" s="225" t="s">
        <v>6</v>
      </c>
      <c r="AY196" s="136" t="s">
        <v>3337</v>
      </c>
      <c r="BE196" s="226">
        <f>IF(N196="základní",J196,0)</f>
        <v>0</v>
      </c>
      <c r="BF196" s="226">
        <f>IF(N196="snížená",J196,0)</f>
        <v>0</v>
      </c>
      <c r="BG196" s="226">
        <f>IF(N196="zákl. přenesená",J196,0)</f>
        <v>0</v>
      </c>
      <c r="BH196" s="226">
        <f>IF(N196="sníž. přenesená",J196,0)</f>
        <v>0</v>
      </c>
      <c r="BI196" s="226">
        <f>IF(N196="nulová",J196,0)</f>
        <v>0</v>
      </c>
      <c r="BJ196" s="136" t="s">
        <v>5</v>
      </c>
      <c r="BK196" s="226">
        <f>ROUND(I196*H196,2)</f>
        <v>0</v>
      </c>
      <c r="BL196" s="136" t="s">
        <v>8</v>
      </c>
      <c r="BM196" s="225" t="s">
        <v>3446</v>
      </c>
    </row>
    <row r="197" spans="2:65" s="144" customFormat="1">
      <c r="B197" s="145"/>
      <c r="D197" s="227" t="s">
        <v>3343</v>
      </c>
      <c r="F197" s="228" t="s">
        <v>3447</v>
      </c>
      <c r="L197" s="145"/>
      <c r="M197" s="229"/>
      <c r="T197" s="230"/>
      <c r="AT197" s="136" t="s">
        <v>3343</v>
      </c>
      <c r="AU197" s="136" t="s">
        <v>6</v>
      </c>
    </row>
    <row r="198" spans="2:65" s="144" customFormat="1" ht="16.5" customHeight="1">
      <c r="B198" s="214"/>
      <c r="C198" s="215" t="s">
        <v>29</v>
      </c>
      <c r="D198" s="215" t="s">
        <v>3338</v>
      </c>
      <c r="E198" s="216" t="s">
        <v>3448</v>
      </c>
      <c r="F198" s="217" t="s">
        <v>3449</v>
      </c>
      <c r="G198" s="218" t="s">
        <v>1939</v>
      </c>
      <c r="H198" s="219">
        <v>6</v>
      </c>
      <c r="I198" s="745">
        <v>0</v>
      </c>
      <c r="J198" s="220">
        <f>ROUND(I198*H198,2)</f>
        <v>0</v>
      </c>
      <c r="K198" s="217" t="s">
        <v>3341</v>
      </c>
      <c r="L198" s="145"/>
      <c r="M198" s="221" t="s">
        <v>3268</v>
      </c>
      <c r="N198" s="222" t="s">
        <v>3296</v>
      </c>
      <c r="O198" s="223">
        <v>2.5000000000000001E-2</v>
      </c>
      <c r="P198" s="223">
        <f>O198*H198</f>
        <v>0.15000000000000002</v>
      </c>
      <c r="Q198" s="223">
        <v>9.0000000000000006E-5</v>
      </c>
      <c r="R198" s="223">
        <f>Q198*H198</f>
        <v>5.4000000000000001E-4</v>
      </c>
      <c r="S198" s="223">
        <v>0</v>
      </c>
      <c r="T198" s="224">
        <f>S198*H198</f>
        <v>0</v>
      </c>
      <c r="AR198" s="225" t="s">
        <v>8</v>
      </c>
      <c r="AT198" s="225" t="s">
        <v>3338</v>
      </c>
      <c r="AU198" s="225" t="s">
        <v>6</v>
      </c>
      <c r="AY198" s="136" t="s">
        <v>3337</v>
      </c>
      <c r="BE198" s="226">
        <f>IF(N198="základní",J198,0)</f>
        <v>0</v>
      </c>
      <c r="BF198" s="226">
        <f>IF(N198="snížená",J198,0)</f>
        <v>0</v>
      </c>
      <c r="BG198" s="226">
        <f>IF(N198="zákl. přenesená",J198,0)</f>
        <v>0</v>
      </c>
      <c r="BH198" s="226">
        <f>IF(N198="sníž. přenesená",J198,0)</f>
        <v>0</v>
      </c>
      <c r="BI198" s="226">
        <f>IF(N198="nulová",J198,0)</f>
        <v>0</v>
      </c>
      <c r="BJ198" s="136" t="s">
        <v>5</v>
      </c>
      <c r="BK198" s="226">
        <f>ROUND(I198*H198,2)</f>
        <v>0</v>
      </c>
      <c r="BL198" s="136" t="s">
        <v>8</v>
      </c>
      <c r="BM198" s="225" t="s">
        <v>3450</v>
      </c>
    </row>
    <row r="199" spans="2:65" s="144" customFormat="1">
      <c r="B199" s="145"/>
      <c r="D199" s="227" t="s">
        <v>3343</v>
      </c>
      <c r="F199" s="228" t="s">
        <v>3451</v>
      </c>
      <c r="L199" s="145"/>
      <c r="M199" s="229"/>
      <c r="T199" s="230"/>
      <c r="AT199" s="136" t="s">
        <v>3343</v>
      </c>
      <c r="AU199" s="136" t="s">
        <v>6</v>
      </c>
    </row>
    <row r="200" spans="2:65" s="202" customFormat="1" ht="22.95" customHeight="1">
      <c r="B200" s="203"/>
      <c r="D200" s="204" t="s">
        <v>3334</v>
      </c>
      <c r="E200" s="212" t="s">
        <v>3452</v>
      </c>
      <c r="F200" s="212" t="s">
        <v>3453</v>
      </c>
      <c r="J200" s="213">
        <f>BK200</f>
        <v>0</v>
      </c>
      <c r="L200" s="203"/>
      <c r="M200" s="207"/>
      <c r="P200" s="208">
        <f>SUM(P201:P204)</f>
        <v>7.4039999999999995E-2</v>
      </c>
      <c r="R200" s="208">
        <f>SUM(R201:R204)</f>
        <v>0</v>
      </c>
      <c r="T200" s="209">
        <f>SUM(T201:T204)</f>
        <v>0</v>
      </c>
      <c r="AR200" s="204" t="s">
        <v>5</v>
      </c>
      <c r="AT200" s="210" t="s">
        <v>3334</v>
      </c>
      <c r="AU200" s="210" t="s">
        <v>5</v>
      </c>
      <c r="AY200" s="204" t="s">
        <v>3337</v>
      </c>
      <c r="BK200" s="211">
        <f>SUM(BK201:BK204)</f>
        <v>0</v>
      </c>
    </row>
    <row r="201" spans="2:65" s="144" customFormat="1" ht="21.75" customHeight="1">
      <c r="B201" s="214"/>
      <c r="C201" s="215" t="s">
        <v>30</v>
      </c>
      <c r="D201" s="215" t="s">
        <v>3338</v>
      </c>
      <c r="E201" s="216" t="s">
        <v>3454</v>
      </c>
      <c r="F201" s="217" t="s">
        <v>3455</v>
      </c>
      <c r="G201" s="218" t="s">
        <v>1942</v>
      </c>
      <c r="H201" s="219">
        <v>0.03</v>
      </c>
      <c r="I201" s="745">
        <v>0</v>
      </c>
      <c r="J201" s="220">
        <f>ROUND(I201*H201,2)</f>
        <v>0</v>
      </c>
      <c r="K201" s="217" t="s">
        <v>3341</v>
      </c>
      <c r="L201" s="145"/>
      <c r="M201" s="221" t="s">
        <v>3268</v>
      </c>
      <c r="N201" s="222" t="s">
        <v>3296</v>
      </c>
      <c r="O201" s="223">
        <v>1.48</v>
      </c>
      <c r="P201" s="223">
        <f>O201*H201</f>
        <v>4.4399999999999995E-2</v>
      </c>
      <c r="Q201" s="223">
        <v>0</v>
      </c>
      <c r="R201" s="223">
        <f>Q201*H201</f>
        <v>0</v>
      </c>
      <c r="S201" s="223">
        <v>0</v>
      </c>
      <c r="T201" s="224">
        <f>S201*H201</f>
        <v>0</v>
      </c>
      <c r="AR201" s="225" t="s">
        <v>8</v>
      </c>
      <c r="AT201" s="225" t="s">
        <v>3338</v>
      </c>
      <c r="AU201" s="225" t="s">
        <v>6</v>
      </c>
      <c r="AY201" s="136" t="s">
        <v>3337</v>
      </c>
      <c r="BE201" s="226">
        <f>IF(N201="základní",J201,0)</f>
        <v>0</v>
      </c>
      <c r="BF201" s="226">
        <f>IF(N201="snížená",J201,0)</f>
        <v>0</v>
      </c>
      <c r="BG201" s="226">
        <f>IF(N201="zákl. přenesená",J201,0)</f>
        <v>0</v>
      </c>
      <c r="BH201" s="226">
        <f>IF(N201="sníž. přenesená",J201,0)</f>
        <v>0</v>
      </c>
      <c r="BI201" s="226">
        <f>IF(N201="nulová",J201,0)</f>
        <v>0</v>
      </c>
      <c r="BJ201" s="136" t="s">
        <v>5</v>
      </c>
      <c r="BK201" s="226">
        <f>ROUND(I201*H201,2)</f>
        <v>0</v>
      </c>
      <c r="BL201" s="136" t="s">
        <v>8</v>
      </c>
      <c r="BM201" s="225" t="s">
        <v>3456</v>
      </c>
    </row>
    <row r="202" spans="2:65" s="144" customFormat="1" ht="28.8">
      <c r="B202" s="145"/>
      <c r="D202" s="227" t="s">
        <v>3343</v>
      </c>
      <c r="F202" s="228" t="s">
        <v>3457</v>
      </c>
      <c r="L202" s="145"/>
      <c r="M202" s="229"/>
      <c r="T202" s="230"/>
      <c r="AT202" s="136" t="s">
        <v>3343</v>
      </c>
      <c r="AU202" s="136" t="s">
        <v>6</v>
      </c>
    </row>
    <row r="203" spans="2:65" s="144" customFormat="1" ht="21.75" customHeight="1">
      <c r="B203" s="214"/>
      <c r="C203" s="215" t="s">
        <v>31</v>
      </c>
      <c r="D203" s="215" t="s">
        <v>3338</v>
      </c>
      <c r="E203" s="216" t="s">
        <v>3458</v>
      </c>
      <c r="F203" s="217" t="s">
        <v>3459</v>
      </c>
      <c r="G203" s="218" t="s">
        <v>1942</v>
      </c>
      <c r="H203" s="219">
        <v>0.03</v>
      </c>
      <c r="I203" s="745">
        <v>0</v>
      </c>
      <c r="J203" s="220">
        <f>ROUND(I203*H203,2)</f>
        <v>0</v>
      </c>
      <c r="K203" s="217" t="s">
        <v>3341</v>
      </c>
      <c r="L203" s="145"/>
      <c r="M203" s="221" t="s">
        <v>3268</v>
      </c>
      <c r="N203" s="222" t="s">
        <v>3296</v>
      </c>
      <c r="O203" s="223">
        <v>0.98799999999999999</v>
      </c>
      <c r="P203" s="223">
        <f>O203*H203</f>
        <v>2.964E-2</v>
      </c>
      <c r="Q203" s="223">
        <v>0</v>
      </c>
      <c r="R203" s="223">
        <f>Q203*H203</f>
        <v>0</v>
      </c>
      <c r="S203" s="223">
        <v>0</v>
      </c>
      <c r="T203" s="224">
        <f>S203*H203</f>
        <v>0</v>
      </c>
      <c r="AR203" s="225" t="s">
        <v>8</v>
      </c>
      <c r="AT203" s="225" t="s">
        <v>3338</v>
      </c>
      <c r="AU203" s="225" t="s">
        <v>6</v>
      </c>
      <c r="AY203" s="136" t="s">
        <v>3337</v>
      </c>
      <c r="BE203" s="226">
        <f>IF(N203="základní",J203,0)</f>
        <v>0</v>
      </c>
      <c r="BF203" s="226">
        <f>IF(N203="snížená",J203,0)</f>
        <v>0</v>
      </c>
      <c r="BG203" s="226">
        <f>IF(N203="zákl. přenesená",J203,0)</f>
        <v>0</v>
      </c>
      <c r="BH203" s="226">
        <f>IF(N203="sníž. přenesená",J203,0)</f>
        <v>0</v>
      </c>
      <c r="BI203" s="226">
        <f>IF(N203="nulová",J203,0)</f>
        <v>0</v>
      </c>
      <c r="BJ203" s="136" t="s">
        <v>5</v>
      </c>
      <c r="BK203" s="226">
        <f>ROUND(I203*H203,2)</f>
        <v>0</v>
      </c>
      <c r="BL203" s="136" t="s">
        <v>8</v>
      </c>
      <c r="BM203" s="225" t="s">
        <v>3460</v>
      </c>
    </row>
    <row r="204" spans="2:65" s="144" customFormat="1" ht="28.8">
      <c r="B204" s="145"/>
      <c r="D204" s="227" t="s">
        <v>3343</v>
      </c>
      <c r="F204" s="228" t="s">
        <v>3461</v>
      </c>
      <c r="L204" s="145"/>
      <c r="M204" s="229"/>
      <c r="T204" s="230"/>
      <c r="AT204" s="136" t="s">
        <v>3343</v>
      </c>
      <c r="AU204" s="136" t="s">
        <v>6</v>
      </c>
    </row>
    <row r="205" spans="2:65" s="202" customFormat="1" ht="25.95" customHeight="1">
      <c r="B205" s="203"/>
      <c r="D205" s="204" t="s">
        <v>3334</v>
      </c>
      <c r="E205" s="205" t="s">
        <v>3462</v>
      </c>
      <c r="F205" s="205" t="s">
        <v>3463</v>
      </c>
      <c r="J205" s="206">
        <f>BK205</f>
        <v>0</v>
      </c>
      <c r="L205" s="203"/>
      <c r="M205" s="207"/>
      <c r="P205" s="208">
        <f>P206+P211</f>
        <v>0</v>
      </c>
      <c r="R205" s="208">
        <f>R206+R211</f>
        <v>0</v>
      </c>
      <c r="T205" s="209">
        <f>T206+T211</f>
        <v>0</v>
      </c>
      <c r="AR205" s="204" t="s">
        <v>9</v>
      </c>
      <c r="AT205" s="210" t="s">
        <v>3334</v>
      </c>
      <c r="AU205" s="210" t="s">
        <v>3336</v>
      </c>
      <c r="AY205" s="204" t="s">
        <v>3337</v>
      </c>
      <c r="BK205" s="211">
        <f>BK206+BK211</f>
        <v>0</v>
      </c>
    </row>
    <row r="206" spans="2:65" s="202" customFormat="1" ht="22.95" customHeight="1">
      <c r="B206" s="203"/>
      <c r="D206" s="204" t="s">
        <v>3334</v>
      </c>
      <c r="E206" s="212" t="s">
        <v>3464</v>
      </c>
      <c r="F206" s="212" t="s">
        <v>3465</v>
      </c>
      <c r="J206" s="213">
        <f>BK206</f>
        <v>0</v>
      </c>
      <c r="L206" s="203"/>
      <c r="M206" s="207"/>
      <c r="P206" s="208">
        <f>SUM(P207:P210)</f>
        <v>0</v>
      </c>
      <c r="R206" s="208">
        <f>SUM(R207:R210)</f>
        <v>0</v>
      </c>
      <c r="T206" s="209">
        <f>SUM(T207:T210)</f>
        <v>0</v>
      </c>
      <c r="AR206" s="204" t="s">
        <v>9</v>
      </c>
      <c r="AT206" s="210" t="s">
        <v>3334</v>
      </c>
      <c r="AU206" s="210" t="s">
        <v>5</v>
      </c>
      <c r="AY206" s="204" t="s">
        <v>3337</v>
      </c>
      <c r="BK206" s="211">
        <f>SUM(BK207:BK210)</f>
        <v>0</v>
      </c>
    </row>
    <row r="207" spans="2:65" s="144" customFormat="1" ht="16.5" customHeight="1">
      <c r="B207" s="214"/>
      <c r="C207" s="215" t="s">
        <v>32</v>
      </c>
      <c r="D207" s="215" t="s">
        <v>3338</v>
      </c>
      <c r="E207" s="216" t="s">
        <v>3466</v>
      </c>
      <c r="F207" s="217" t="s">
        <v>3467</v>
      </c>
      <c r="G207" s="218" t="s">
        <v>1938</v>
      </c>
      <c r="H207" s="219">
        <v>1</v>
      </c>
      <c r="I207" s="745">
        <v>0</v>
      </c>
      <c r="J207" s="220">
        <f>ROUND(I207*H207,2)</f>
        <v>0</v>
      </c>
      <c r="K207" s="217" t="s">
        <v>3341</v>
      </c>
      <c r="L207" s="145"/>
      <c r="M207" s="221" t="s">
        <v>3268</v>
      </c>
      <c r="N207" s="222" t="s">
        <v>3296</v>
      </c>
      <c r="O207" s="223">
        <v>0</v>
      </c>
      <c r="P207" s="223">
        <f>O207*H207</f>
        <v>0</v>
      </c>
      <c r="Q207" s="223">
        <v>0</v>
      </c>
      <c r="R207" s="223">
        <f>Q207*H207</f>
        <v>0</v>
      </c>
      <c r="S207" s="223">
        <v>0</v>
      </c>
      <c r="T207" s="224">
        <f>S207*H207</f>
        <v>0</v>
      </c>
      <c r="AR207" s="225" t="s">
        <v>3468</v>
      </c>
      <c r="AT207" s="225" t="s">
        <v>3338</v>
      </c>
      <c r="AU207" s="225" t="s">
        <v>6</v>
      </c>
      <c r="AY207" s="136" t="s">
        <v>3337</v>
      </c>
      <c r="BE207" s="226">
        <f>IF(N207="základní",J207,0)</f>
        <v>0</v>
      </c>
      <c r="BF207" s="226">
        <f>IF(N207="snížená",J207,0)</f>
        <v>0</v>
      </c>
      <c r="BG207" s="226">
        <f>IF(N207="zákl. přenesená",J207,0)</f>
        <v>0</v>
      </c>
      <c r="BH207" s="226">
        <f>IF(N207="sníž. přenesená",J207,0)</f>
        <v>0</v>
      </c>
      <c r="BI207" s="226">
        <f>IF(N207="nulová",J207,0)</f>
        <v>0</v>
      </c>
      <c r="BJ207" s="136" t="s">
        <v>5</v>
      </c>
      <c r="BK207" s="226">
        <f>ROUND(I207*H207,2)</f>
        <v>0</v>
      </c>
      <c r="BL207" s="136" t="s">
        <v>3468</v>
      </c>
      <c r="BM207" s="225" t="s">
        <v>3469</v>
      </c>
    </row>
    <row r="208" spans="2:65" s="144" customFormat="1">
      <c r="B208" s="145"/>
      <c r="D208" s="227" t="s">
        <v>3343</v>
      </c>
      <c r="F208" s="228" t="s">
        <v>3467</v>
      </c>
      <c r="L208" s="145"/>
      <c r="M208" s="229"/>
      <c r="T208" s="230"/>
      <c r="AT208" s="136" t="s">
        <v>3343</v>
      </c>
      <c r="AU208" s="136" t="s">
        <v>6</v>
      </c>
    </row>
    <row r="209" spans="2:65" s="144" customFormat="1" ht="16.5" customHeight="1">
      <c r="B209" s="214"/>
      <c r="C209" s="215" t="s">
        <v>33</v>
      </c>
      <c r="D209" s="215" t="s">
        <v>3338</v>
      </c>
      <c r="E209" s="216" t="s">
        <v>3470</v>
      </c>
      <c r="F209" s="217" t="s">
        <v>3471</v>
      </c>
      <c r="G209" s="218" t="s">
        <v>1938</v>
      </c>
      <c r="H209" s="219">
        <v>1</v>
      </c>
      <c r="I209" s="745">
        <v>0</v>
      </c>
      <c r="J209" s="220">
        <f>ROUND(I209*H209,2)</f>
        <v>0</v>
      </c>
      <c r="K209" s="217" t="s">
        <v>3341</v>
      </c>
      <c r="L209" s="145"/>
      <c r="M209" s="221" t="s">
        <v>3268</v>
      </c>
      <c r="N209" s="222" t="s">
        <v>3296</v>
      </c>
      <c r="O209" s="223">
        <v>0</v>
      </c>
      <c r="P209" s="223">
        <f>O209*H209</f>
        <v>0</v>
      </c>
      <c r="Q209" s="223">
        <v>0</v>
      </c>
      <c r="R209" s="223">
        <f>Q209*H209</f>
        <v>0</v>
      </c>
      <c r="S209" s="223">
        <v>0</v>
      </c>
      <c r="T209" s="224">
        <f>S209*H209</f>
        <v>0</v>
      </c>
      <c r="AR209" s="225" t="s">
        <v>3468</v>
      </c>
      <c r="AT209" s="225" t="s">
        <v>3338</v>
      </c>
      <c r="AU209" s="225" t="s">
        <v>6</v>
      </c>
      <c r="AY209" s="136" t="s">
        <v>3337</v>
      </c>
      <c r="BE209" s="226">
        <f>IF(N209="základní",J209,0)</f>
        <v>0</v>
      </c>
      <c r="BF209" s="226">
        <f>IF(N209="snížená",J209,0)</f>
        <v>0</v>
      </c>
      <c r="BG209" s="226">
        <f>IF(N209="zákl. přenesená",J209,0)</f>
        <v>0</v>
      </c>
      <c r="BH209" s="226">
        <f>IF(N209="sníž. přenesená",J209,0)</f>
        <v>0</v>
      </c>
      <c r="BI209" s="226">
        <f>IF(N209="nulová",J209,0)</f>
        <v>0</v>
      </c>
      <c r="BJ209" s="136" t="s">
        <v>5</v>
      </c>
      <c r="BK209" s="226">
        <f>ROUND(I209*H209,2)</f>
        <v>0</v>
      </c>
      <c r="BL209" s="136" t="s">
        <v>3468</v>
      </c>
      <c r="BM209" s="225" t="s">
        <v>3472</v>
      </c>
    </row>
    <row r="210" spans="2:65" s="144" customFormat="1">
      <c r="B210" s="145"/>
      <c r="D210" s="227" t="s">
        <v>3343</v>
      </c>
      <c r="F210" s="228" t="s">
        <v>3471</v>
      </c>
      <c r="L210" s="145"/>
      <c r="M210" s="229"/>
      <c r="T210" s="230"/>
      <c r="AT210" s="136" t="s">
        <v>3343</v>
      </c>
      <c r="AU210" s="136" t="s">
        <v>6</v>
      </c>
    </row>
    <row r="211" spans="2:65" s="202" customFormat="1" ht="22.95" customHeight="1">
      <c r="B211" s="203"/>
      <c r="D211" s="204" t="s">
        <v>3334</v>
      </c>
      <c r="E211" s="212" t="s">
        <v>3473</v>
      </c>
      <c r="F211" s="212" t="s">
        <v>3169</v>
      </c>
      <c r="J211" s="213">
        <f>BK211</f>
        <v>0</v>
      </c>
      <c r="L211" s="203"/>
      <c r="M211" s="207"/>
      <c r="P211" s="208">
        <f>SUM(P212:P213)</f>
        <v>0</v>
      </c>
      <c r="R211" s="208">
        <f>SUM(R212:R213)</f>
        <v>0</v>
      </c>
      <c r="T211" s="209">
        <f>SUM(T212:T213)</f>
        <v>0</v>
      </c>
      <c r="AR211" s="204" t="s">
        <v>9</v>
      </c>
      <c r="AT211" s="210" t="s">
        <v>3334</v>
      </c>
      <c r="AU211" s="210" t="s">
        <v>5</v>
      </c>
      <c r="AY211" s="204" t="s">
        <v>3337</v>
      </c>
      <c r="BK211" s="211">
        <f>SUM(BK212:BK213)</f>
        <v>0</v>
      </c>
    </row>
    <row r="212" spans="2:65" s="144" customFormat="1" ht="16.5" customHeight="1">
      <c r="B212" s="214"/>
      <c r="C212" s="215" t="s">
        <v>34</v>
      </c>
      <c r="D212" s="215" t="s">
        <v>3338</v>
      </c>
      <c r="E212" s="216" t="s">
        <v>3474</v>
      </c>
      <c r="F212" s="217" t="s">
        <v>3475</v>
      </c>
      <c r="G212" s="218" t="s">
        <v>1938</v>
      </c>
      <c r="H212" s="219">
        <v>1</v>
      </c>
      <c r="I212" s="745">
        <v>0</v>
      </c>
      <c r="J212" s="220">
        <f>ROUND(I212*H212,2)</f>
        <v>0</v>
      </c>
      <c r="K212" s="217" t="s">
        <v>3268</v>
      </c>
      <c r="L212" s="145"/>
      <c r="M212" s="221" t="s">
        <v>3268</v>
      </c>
      <c r="N212" s="222" t="s">
        <v>3296</v>
      </c>
      <c r="O212" s="223">
        <v>0</v>
      </c>
      <c r="P212" s="223">
        <f>O212*H212</f>
        <v>0</v>
      </c>
      <c r="Q212" s="223">
        <v>0</v>
      </c>
      <c r="R212" s="223">
        <f>Q212*H212</f>
        <v>0</v>
      </c>
      <c r="S212" s="223">
        <v>0</v>
      </c>
      <c r="T212" s="224">
        <f>S212*H212</f>
        <v>0</v>
      </c>
      <c r="AR212" s="225" t="s">
        <v>3468</v>
      </c>
      <c r="AT212" s="225" t="s">
        <v>3338</v>
      </c>
      <c r="AU212" s="225" t="s">
        <v>6</v>
      </c>
      <c r="AY212" s="136" t="s">
        <v>3337</v>
      </c>
      <c r="BE212" s="226">
        <f>IF(N212="základní",J212,0)</f>
        <v>0</v>
      </c>
      <c r="BF212" s="226">
        <f>IF(N212="snížená",J212,0)</f>
        <v>0</v>
      </c>
      <c r="BG212" s="226">
        <f>IF(N212="zákl. přenesená",J212,0)</f>
        <v>0</v>
      </c>
      <c r="BH212" s="226">
        <f>IF(N212="sníž. přenesená",J212,0)</f>
        <v>0</v>
      </c>
      <c r="BI212" s="226">
        <f>IF(N212="nulová",J212,0)</f>
        <v>0</v>
      </c>
      <c r="BJ212" s="136" t="s">
        <v>5</v>
      </c>
      <c r="BK212" s="226">
        <f>ROUND(I212*H212,2)</f>
        <v>0</v>
      </c>
      <c r="BL212" s="136" t="s">
        <v>3468</v>
      </c>
      <c r="BM212" s="225" t="s">
        <v>3476</v>
      </c>
    </row>
    <row r="213" spans="2:65" s="144" customFormat="1">
      <c r="B213" s="145"/>
      <c r="D213" s="227" t="s">
        <v>3343</v>
      </c>
      <c r="F213" s="228" t="s">
        <v>3475</v>
      </c>
      <c r="L213" s="145"/>
      <c r="M213" s="260"/>
      <c r="N213" s="261"/>
      <c r="O213" s="261"/>
      <c r="P213" s="261"/>
      <c r="Q213" s="261"/>
      <c r="R213" s="261"/>
      <c r="S213" s="261"/>
      <c r="T213" s="262"/>
      <c r="AT213" s="136" t="s">
        <v>3343</v>
      </c>
      <c r="AU213" s="136" t="s">
        <v>6</v>
      </c>
    </row>
    <row r="214" spans="2:65" s="144" customFormat="1" ht="6.9" customHeight="1">
      <c r="B214" s="171"/>
      <c r="C214" s="172"/>
      <c r="D214" s="172"/>
      <c r="E214" s="172"/>
      <c r="F214" s="172"/>
      <c r="G214" s="172"/>
      <c r="H214" s="172"/>
      <c r="I214" s="172"/>
      <c r="J214" s="172"/>
      <c r="K214" s="172"/>
      <c r="L214" s="145"/>
    </row>
  </sheetData>
  <mergeCells count="9">
    <mergeCell ref="E87:H87"/>
    <mergeCell ref="E114:H114"/>
    <mergeCell ref="E116:H116"/>
    <mergeCell ref="L2:V2"/>
    <mergeCell ref="E7:H7"/>
    <mergeCell ref="E9:H9"/>
    <mergeCell ref="E18:H18"/>
    <mergeCell ref="E27:H27"/>
    <mergeCell ref="E85:H85"/>
  </mergeCells>
  <pageMargins left="0.7" right="0.7" top="0.78740157499999996" bottom="0.78740157499999996" header="0.3" footer="0.3"/>
  <pageSetup paperSize="9" scale="66" orientation="portrait" verticalDpi="0" r:id="rId1"/>
  <rowBreaks count="1" manualBreakCount="1">
    <brk id="79" min="1" max="10" man="1"/>
  </rowBreaks>
</worksheet>
</file>

<file path=xl/worksheets/sheet19.xml><?xml version="1.0" encoding="utf-8"?>
<worksheet xmlns="http://schemas.openxmlformats.org/spreadsheetml/2006/main" xmlns:r="http://schemas.openxmlformats.org/officeDocument/2006/relationships">
  <dimension ref="A1:I62"/>
  <sheetViews>
    <sheetView workbookViewId="0">
      <selection activeCell="H37" sqref="H37:H38"/>
    </sheetView>
  </sheetViews>
  <sheetFormatPr defaultColWidth="9.109375" defaultRowHeight="14.4"/>
  <cols>
    <col min="1" max="1" width="9.109375" style="743"/>
    <col min="2" max="2" width="9.109375" style="99"/>
    <col min="3" max="3" width="111.33203125" style="98" bestFit="1" customWidth="1"/>
    <col min="4" max="5" width="9.109375" style="98"/>
    <col min="6" max="6" width="9.33203125" style="100" bestFit="1" customWidth="1"/>
    <col min="7" max="7" width="16.44140625" style="100" customWidth="1"/>
    <col min="8" max="8" width="16.6640625" style="98" customWidth="1"/>
    <col min="9" max="9" width="3.33203125" style="98" customWidth="1"/>
    <col min="10" max="16384" width="9.109375" style="98"/>
  </cols>
  <sheetData>
    <row r="1" spans="1:9" ht="15.6">
      <c r="A1" s="739" t="s">
        <v>5860</v>
      </c>
    </row>
    <row r="2" spans="1:9" ht="26.4">
      <c r="A2" s="740" t="s">
        <v>5851</v>
      </c>
      <c r="B2" s="102" t="s">
        <v>3182</v>
      </c>
      <c r="C2" s="101" t="s">
        <v>3183</v>
      </c>
      <c r="D2" s="101" t="s">
        <v>1937</v>
      </c>
      <c r="E2" s="103" t="s">
        <v>1946</v>
      </c>
      <c r="F2" s="103" t="s">
        <v>3184</v>
      </c>
      <c r="G2" s="103" t="s">
        <v>3185</v>
      </c>
      <c r="H2" s="103" t="s">
        <v>5861</v>
      </c>
      <c r="I2" s="104"/>
    </row>
    <row r="3" spans="1:9" ht="17.399999999999999">
      <c r="A3" s="741"/>
      <c r="B3" s="105"/>
      <c r="C3" s="106" t="s">
        <v>3181</v>
      </c>
      <c r="D3" s="106"/>
      <c r="E3" s="107"/>
      <c r="F3" s="107"/>
      <c r="G3" s="107">
        <f>SUM(G4:G62)</f>
        <v>0</v>
      </c>
      <c r="H3" s="108"/>
      <c r="I3" s="109"/>
    </row>
    <row r="4" spans="1:9" ht="13.2">
      <c r="A4" s="742"/>
      <c r="B4" s="111"/>
      <c r="C4" s="112" t="s">
        <v>3186</v>
      </c>
      <c r="D4" s="113"/>
      <c r="E4" s="114"/>
      <c r="F4" s="114"/>
      <c r="G4" s="114"/>
      <c r="H4" s="115"/>
      <c r="I4" s="116"/>
    </row>
    <row r="5" spans="1:9" ht="13.2">
      <c r="A5" s="742">
        <v>1</v>
      </c>
      <c r="B5" s="111" t="s">
        <v>3187</v>
      </c>
      <c r="C5" s="117" t="s">
        <v>3188</v>
      </c>
      <c r="D5" s="118" t="s">
        <v>1940</v>
      </c>
      <c r="E5" s="119">
        <f>271*1.1</f>
        <v>298.10000000000002</v>
      </c>
      <c r="F5" s="744">
        <v>0</v>
      </c>
      <c r="G5" s="120">
        <f>E5*F5</f>
        <v>0</v>
      </c>
      <c r="H5" s="115" t="s">
        <v>5862</v>
      </c>
      <c r="I5" s="116"/>
    </row>
    <row r="6" spans="1:9" ht="13.2">
      <c r="A6" s="742">
        <f>A5+1</f>
        <v>2</v>
      </c>
      <c r="B6" s="111" t="s">
        <v>3189</v>
      </c>
      <c r="C6" s="117" t="s">
        <v>3190</v>
      </c>
      <c r="D6" s="118" t="s">
        <v>1940</v>
      </c>
      <c r="E6" s="119">
        <f>12*1.1</f>
        <v>13.200000000000001</v>
      </c>
      <c r="F6" s="744">
        <v>0</v>
      </c>
      <c r="G6" s="120">
        <f>E6*F6</f>
        <v>0</v>
      </c>
      <c r="H6" s="115" t="s">
        <v>5862</v>
      </c>
      <c r="I6" s="116"/>
    </row>
    <row r="7" spans="1:9" ht="13.2">
      <c r="A7" s="742">
        <f>A6+1</f>
        <v>3</v>
      </c>
      <c r="B7" s="111"/>
      <c r="C7" s="121" t="s">
        <v>3191</v>
      </c>
      <c r="D7" s="118" t="s">
        <v>1940</v>
      </c>
      <c r="E7" s="119">
        <f>E6+E5</f>
        <v>311.3</v>
      </c>
      <c r="F7" s="744">
        <v>0</v>
      </c>
      <c r="G7" s="120">
        <f>E7*F7</f>
        <v>0</v>
      </c>
      <c r="H7" s="115" t="s">
        <v>5862</v>
      </c>
      <c r="I7" s="116"/>
    </row>
    <row r="8" spans="1:9" ht="26.4">
      <c r="A8" s="742">
        <f>A7+1</f>
        <v>4</v>
      </c>
      <c r="B8" s="111" t="s">
        <v>3192</v>
      </c>
      <c r="C8" s="121" t="s">
        <v>3193</v>
      </c>
      <c r="D8" s="118" t="s">
        <v>1940</v>
      </c>
      <c r="E8" s="119">
        <f>E7</f>
        <v>311.3</v>
      </c>
      <c r="F8" s="744">
        <v>0</v>
      </c>
      <c r="G8" s="120">
        <f>E8*F8</f>
        <v>0</v>
      </c>
      <c r="H8" s="115" t="s">
        <v>5862</v>
      </c>
      <c r="I8" s="116"/>
    </row>
    <row r="9" spans="1:9" ht="13.2">
      <c r="A9" s="742"/>
      <c r="B9" s="111"/>
      <c r="C9" s="121"/>
      <c r="D9" s="118"/>
      <c r="E9" s="119"/>
      <c r="F9" s="114"/>
      <c r="G9" s="120"/>
      <c r="H9" s="115"/>
      <c r="I9" s="116"/>
    </row>
    <row r="10" spans="1:9" ht="13.2">
      <c r="A10" s="742"/>
      <c r="B10" s="111"/>
      <c r="C10" s="112" t="s">
        <v>3194</v>
      </c>
      <c r="D10" s="118"/>
      <c r="E10" s="114"/>
      <c r="F10" s="114"/>
      <c r="G10" s="120"/>
      <c r="H10" s="115"/>
      <c r="I10" s="116"/>
    </row>
    <row r="11" spans="1:9" ht="13.2">
      <c r="A11" s="742">
        <f>A8+1</f>
        <v>5</v>
      </c>
      <c r="B11" s="111" t="s">
        <v>3187</v>
      </c>
      <c r="C11" s="117" t="s">
        <v>3195</v>
      </c>
      <c r="D11" s="118" t="s">
        <v>1940</v>
      </c>
      <c r="E11" s="119">
        <f>50*1.1</f>
        <v>55.000000000000007</v>
      </c>
      <c r="F11" s="744">
        <v>0</v>
      </c>
      <c r="G11" s="120">
        <f t="shared" ref="G11:G18" si="0">E11*F11</f>
        <v>0</v>
      </c>
      <c r="H11" s="115" t="s">
        <v>5862</v>
      </c>
      <c r="I11" s="116"/>
    </row>
    <row r="12" spans="1:9" ht="13.2">
      <c r="A12" s="742">
        <f>A11+1</f>
        <v>6</v>
      </c>
      <c r="B12" s="111"/>
      <c r="C12" s="121" t="s">
        <v>3191</v>
      </c>
      <c r="D12" s="118" t="s">
        <v>1940</v>
      </c>
      <c r="E12" s="119">
        <f>E11</f>
        <v>55.000000000000007</v>
      </c>
      <c r="F12" s="744">
        <v>0</v>
      </c>
      <c r="G12" s="120">
        <f t="shared" si="0"/>
        <v>0</v>
      </c>
      <c r="H12" s="115" t="s">
        <v>5862</v>
      </c>
      <c r="I12" s="116"/>
    </row>
    <row r="13" spans="1:9" ht="26.4">
      <c r="A13" s="742">
        <f>A12+1</f>
        <v>7</v>
      </c>
      <c r="B13" s="111" t="s">
        <v>3192</v>
      </c>
      <c r="C13" s="121" t="s">
        <v>3193</v>
      </c>
      <c r="D13" s="118" t="s">
        <v>1940</v>
      </c>
      <c r="E13" s="119">
        <f>E12</f>
        <v>55.000000000000007</v>
      </c>
      <c r="F13" s="744">
        <v>0</v>
      </c>
      <c r="G13" s="120">
        <f t="shared" si="0"/>
        <v>0</v>
      </c>
      <c r="H13" s="115" t="s">
        <v>5862</v>
      </c>
      <c r="I13" s="116"/>
    </row>
    <row r="14" spans="1:9" ht="13.2">
      <c r="A14" s="742"/>
      <c r="B14" s="111"/>
      <c r="C14" s="121"/>
      <c r="D14" s="118"/>
      <c r="E14" s="119"/>
      <c r="F14" s="114"/>
      <c r="G14" s="120"/>
      <c r="H14" s="115"/>
      <c r="I14" s="116"/>
    </row>
    <row r="15" spans="1:9" ht="13.2">
      <c r="A15" s="742"/>
      <c r="B15" s="111"/>
      <c r="C15" s="112" t="s">
        <v>3196</v>
      </c>
      <c r="D15" s="122"/>
      <c r="E15" s="119"/>
      <c r="F15" s="114"/>
      <c r="G15" s="120"/>
      <c r="H15" s="115"/>
      <c r="I15" s="116"/>
    </row>
    <row r="16" spans="1:9" ht="13.2">
      <c r="A16" s="742">
        <f>A13+1</f>
        <v>8</v>
      </c>
      <c r="B16" s="111" t="s">
        <v>3197</v>
      </c>
      <c r="C16" s="121" t="s">
        <v>3198</v>
      </c>
      <c r="D16" s="123" t="s">
        <v>1941</v>
      </c>
      <c r="E16" s="119">
        <f>E18/0.04*0.06</f>
        <v>5.4780000000000006</v>
      </c>
      <c r="F16" s="744">
        <v>0</v>
      </c>
      <c r="G16" s="120">
        <f t="shared" si="0"/>
        <v>0</v>
      </c>
      <c r="H16" s="115" t="s">
        <v>5862</v>
      </c>
      <c r="I16" s="116"/>
    </row>
    <row r="17" spans="1:9" ht="13.2">
      <c r="A17" s="742">
        <f>A16+1</f>
        <v>9</v>
      </c>
      <c r="B17" s="111" t="s">
        <v>3199</v>
      </c>
      <c r="C17" s="121" t="s">
        <v>3200</v>
      </c>
      <c r="D17" s="118" t="s">
        <v>1940</v>
      </c>
      <c r="E17" s="119">
        <f>E18/0.04*1.1</f>
        <v>100.43000000000002</v>
      </c>
      <c r="F17" s="744">
        <v>0</v>
      </c>
      <c r="G17" s="120">
        <f t="shared" si="0"/>
        <v>0</v>
      </c>
      <c r="H17" s="115" t="s">
        <v>5862</v>
      </c>
      <c r="I17" s="116"/>
    </row>
    <row r="18" spans="1:9" ht="13.2">
      <c r="A18" s="742">
        <f>A17+1</f>
        <v>10</v>
      </c>
      <c r="B18" s="111" t="s">
        <v>3201</v>
      </c>
      <c r="C18" s="117" t="s">
        <v>3202</v>
      </c>
      <c r="D18" s="123" t="s">
        <v>1941</v>
      </c>
      <c r="E18" s="119">
        <f>83*1.1*0.04</f>
        <v>3.6520000000000006</v>
      </c>
      <c r="F18" s="744">
        <v>0</v>
      </c>
      <c r="G18" s="120">
        <f t="shared" si="0"/>
        <v>0</v>
      </c>
      <c r="H18" s="115" t="s">
        <v>5862</v>
      </c>
      <c r="I18" s="116"/>
    </row>
    <row r="19" spans="1:9" ht="13.2">
      <c r="A19" s="742"/>
      <c r="B19" s="111"/>
      <c r="C19" s="117"/>
      <c r="D19" s="123"/>
      <c r="E19" s="119"/>
      <c r="F19" s="114"/>
      <c r="G19" s="120"/>
      <c r="H19" s="115"/>
      <c r="I19" s="116"/>
    </row>
    <row r="20" spans="1:9" ht="13.2">
      <c r="A20" s="742"/>
      <c r="B20" s="111"/>
      <c r="C20" s="112" t="s">
        <v>3203</v>
      </c>
      <c r="D20" s="122"/>
      <c r="E20" s="119"/>
      <c r="F20" s="114"/>
      <c r="G20" s="120"/>
      <c r="H20" s="115"/>
      <c r="I20" s="116"/>
    </row>
    <row r="21" spans="1:9" ht="13.2">
      <c r="A21" s="742">
        <f>A18+1</f>
        <v>11</v>
      </c>
      <c r="B21" s="111" t="s">
        <v>3204</v>
      </c>
      <c r="C21" s="117" t="s">
        <v>3205</v>
      </c>
      <c r="D21" s="123" t="s">
        <v>1940</v>
      </c>
      <c r="E21" s="119">
        <f>49*1.1</f>
        <v>53.900000000000006</v>
      </c>
      <c r="F21" s="744">
        <v>0</v>
      </c>
      <c r="G21" s="120">
        <f>E21*F21</f>
        <v>0</v>
      </c>
      <c r="H21" s="115" t="s">
        <v>5862</v>
      </c>
      <c r="I21" s="116"/>
    </row>
    <row r="22" spans="1:9" ht="13.2">
      <c r="A22" s="742">
        <f>A21+1</f>
        <v>12</v>
      </c>
      <c r="B22" s="111" t="s">
        <v>3206</v>
      </c>
      <c r="C22" s="117" t="s">
        <v>3207</v>
      </c>
      <c r="D22" s="123" t="s">
        <v>1940</v>
      </c>
      <c r="E22" s="119">
        <v>2</v>
      </c>
      <c r="F22" s="744">
        <v>0</v>
      </c>
      <c r="G22" s="120">
        <f>E22*F22</f>
        <v>0</v>
      </c>
      <c r="H22" s="115" t="s">
        <v>5862</v>
      </c>
      <c r="I22" s="116"/>
    </row>
    <row r="23" spans="1:9" ht="13.2">
      <c r="A23" s="742">
        <f>A22+1</f>
        <v>13</v>
      </c>
      <c r="B23" s="111"/>
      <c r="C23" s="117" t="s">
        <v>3208</v>
      </c>
      <c r="D23" s="123" t="s">
        <v>1940</v>
      </c>
      <c r="E23" s="119">
        <f>E22+E21</f>
        <v>55.900000000000006</v>
      </c>
      <c r="F23" s="744">
        <v>0</v>
      </c>
      <c r="G23" s="120">
        <f>E23*F23</f>
        <v>0</v>
      </c>
      <c r="H23" s="115" t="s">
        <v>5862</v>
      </c>
      <c r="I23" s="116"/>
    </row>
    <row r="24" spans="1:9" ht="13.2">
      <c r="A24" s="742">
        <f>A23+1</f>
        <v>14</v>
      </c>
      <c r="B24" s="111" t="s">
        <v>3209</v>
      </c>
      <c r="C24" s="117" t="s">
        <v>3210</v>
      </c>
      <c r="D24" s="123" t="s">
        <v>1940</v>
      </c>
      <c r="E24" s="119">
        <f>E23</f>
        <v>55.900000000000006</v>
      </c>
      <c r="F24" s="744">
        <v>0</v>
      </c>
      <c r="G24" s="120">
        <f>E24*F24</f>
        <v>0</v>
      </c>
      <c r="H24" s="115" t="s">
        <v>5862</v>
      </c>
      <c r="I24" s="116"/>
    </row>
    <row r="25" spans="1:9" ht="13.2">
      <c r="A25" s="742"/>
      <c r="B25" s="111"/>
      <c r="C25" s="117"/>
      <c r="D25" s="123"/>
      <c r="E25" s="119"/>
      <c r="F25" s="114"/>
      <c r="G25" s="120"/>
      <c r="H25" s="115"/>
      <c r="I25" s="116"/>
    </row>
    <row r="26" spans="1:9" ht="13.2">
      <c r="A26" s="742"/>
      <c r="B26" s="111"/>
      <c r="C26" s="112" t="s">
        <v>3211</v>
      </c>
      <c r="D26" s="124"/>
      <c r="E26" s="119"/>
      <c r="F26" s="114"/>
      <c r="G26" s="120"/>
      <c r="H26" s="115"/>
      <c r="I26" s="116"/>
    </row>
    <row r="27" spans="1:9" ht="13.2">
      <c r="A27" s="742">
        <f>A24+1</f>
        <v>15</v>
      </c>
      <c r="B27" s="111" t="s">
        <v>3212</v>
      </c>
      <c r="C27" s="121" t="s">
        <v>3213</v>
      </c>
      <c r="D27" s="118" t="s">
        <v>3214</v>
      </c>
      <c r="E27" s="119">
        <f>38*1.1</f>
        <v>41.800000000000004</v>
      </c>
      <c r="F27" s="744">
        <v>0</v>
      </c>
      <c r="G27" s="120">
        <f>E27*F27</f>
        <v>0</v>
      </c>
      <c r="H27" s="115" t="s">
        <v>5862</v>
      </c>
      <c r="I27" s="116"/>
    </row>
    <row r="28" spans="1:9" ht="13.2">
      <c r="A28" s="742">
        <f>A27+1</f>
        <v>16</v>
      </c>
      <c r="B28" s="111" t="s">
        <v>3215</v>
      </c>
      <c r="C28" s="121" t="s">
        <v>3216</v>
      </c>
      <c r="D28" s="118" t="s">
        <v>3214</v>
      </c>
      <c r="E28" s="119">
        <f>27*1.1</f>
        <v>29.700000000000003</v>
      </c>
      <c r="F28" s="744">
        <v>0</v>
      </c>
      <c r="G28" s="120">
        <f>E28*F28</f>
        <v>0</v>
      </c>
      <c r="H28" s="115" t="s">
        <v>5862</v>
      </c>
      <c r="I28" s="116"/>
    </row>
    <row r="29" spans="1:9" ht="13.2">
      <c r="A29" s="742">
        <f>A28+1</f>
        <v>17</v>
      </c>
      <c r="B29" s="111" t="s">
        <v>3217</v>
      </c>
      <c r="C29" s="121" t="s">
        <v>3218</v>
      </c>
      <c r="D29" s="118" t="s">
        <v>3214</v>
      </c>
      <c r="E29" s="119">
        <f>60.5*1.1</f>
        <v>66.550000000000011</v>
      </c>
      <c r="F29" s="744">
        <v>0</v>
      </c>
      <c r="G29" s="120">
        <f>E29*F29</f>
        <v>0</v>
      </c>
      <c r="H29" s="115" t="s">
        <v>5862</v>
      </c>
      <c r="I29" s="116"/>
    </row>
    <row r="30" spans="1:9" ht="13.2">
      <c r="A30" s="742">
        <f>A29+1</f>
        <v>18</v>
      </c>
      <c r="B30" s="111" t="s">
        <v>3219</v>
      </c>
      <c r="C30" s="121" t="s">
        <v>3220</v>
      </c>
      <c r="D30" s="118" t="s">
        <v>3214</v>
      </c>
      <c r="E30" s="119">
        <f>12.5*1.1</f>
        <v>13.750000000000002</v>
      </c>
      <c r="F30" s="744">
        <v>0</v>
      </c>
      <c r="G30" s="120">
        <f>E30*F30</f>
        <v>0</v>
      </c>
      <c r="H30" s="115" t="s">
        <v>5862</v>
      </c>
      <c r="I30" s="116"/>
    </row>
    <row r="31" spans="1:9" ht="13.2">
      <c r="A31" s="742">
        <f>A30+1</f>
        <v>19</v>
      </c>
      <c r="B31" s="111" t="s">
        <v>3221</v>
      </c>
      <c r="C31" s="121" t="s">
        <v>3222</v>
      </c>
      <c r="D31" s="118" t="s">
        <v>3214</v>
      </c>
      <c r="E31" s="119">
        <f>47*1.1</f>
        <v>51.7</v>
      </c>
      <c r="F31" s="744">
        <v>0</v>
      </c>
      <c r="G31" s="120">
        <f>E31*F31</f>
        <v>0</v>
      </c>
      <c r="H31" s="115" t="s">
        <v>5862</v>
      </c>
      <c r="I31" s="116"/>
    </row>
    <row r="32" spans="1:9" ht="13.2">
      <c r="A32" s="742"/>
      <c r="B32" s="111"/>
      <c r="C32" s="121"/>
      <c r="D32" s="118"/>
      <c r="E32" s="119"/>
      <c r="F32" s="114"/>
      <c r="G32" s="120"/>
      <c r="H32" s="115"/>
      <c r="I32" s="116"/>
    </row>
    <row r="33" spans="1:9" ht="20.399999999999999">
      <c r="A33" s="742"/>
      <c r="B33" s="111"/>
      <c r="C33" s="125" t="s">
        <v>3223</v>
      </c>
      <c r="D33" s="126"/>
      <c r="E33" s="119"/>
      <c r="F33" s="114"/>
      <c r="G33" s="120"/>
      <c r="H33" s="115"/>
      <c r="I33" s="116"/>
    </row>
    <row r="34" spans="1:9" ht="20.399999999999999">
      <c r="A34" s="742">
        <f>A31+1</f>
        <v>20</v>
      </c>
      <c r="B34" s="111" t="s">
        <v>3224</v>
      </c>
      <c r="C34" s="117" t="s">
        <v>3225</v>
      </c>
      <c r="D34" s="118" t="s">
        <v>3226</v>
      </c>
      <c r="E34" s="119">
        <v>1</v>
      </c>
      <c r="F34" s="744">
        <v>0</v>
      </c>
      <c r="G34" s="120">
        <f t="shared" ref="G34:G42" si="1">E34*F34</f>
        <v>0</v>
      </c>
      <c r="H34" s="115" t="s">
        <v>5862</v>
      </c>
      <c r="I34" s="116"/>
    </row>
    <row r="35" spans="1:9" ht="20.399999999999999">
      <c r="A35" s="742">
        <f>A34+1</f>
        <v>21</v>
      </c>
      <c r="B35" s="111" t="s">
        <v>3227</v>
      </c>
      <c r="C35" s="117" t="s">
        <v>3228</v>
      </c>
      <c r="D35" s="118" t="s">
        <v>3226</v>
      </c>
      <c r="E35" s="119">
        <v>1</v>
      </c>
      <c r="F35" s="744">
        <v>0</v>
      </c>
      <c r="G35" s="120">
        <f t="shared" si="1"/>
        <v>0</v>
      </c>
      <c r="H35" s="115" t="s">
        <v>5862</v>
      </c>
      <c r="I35" s="116"/>
    </row>
    <row r="36" spans="1:9" ht="20.399999999999999">
      <c r="A36" s="742">
        <f>A35+1</f>
        <v>22</v>
      </c>
      <c r="B36" s="111" t="s">
        <v>3229</v>
      </c>
      <c r="C36" s="117" t="s">
        <v>3230</v>
      </c>
      <c r="D36" s="118" t="s">
        <v>3226</v>
      </c>
      <c r="E36" s="119">
        <v>1</v>
      </c>
      <c r="F36" s="744">
        <v>0</v>
      </c>
      <c r="G36" s="120">
        <f t="shared" si="1"/>
        <v>0</v>
      </c>
      <c r="H36" s="115" t="s">
        <v>5862</v>
      </c>
      <c r="I36" s="116"/>
    </row>
    <row r="37" spans="1:9" ht="13.2">
      <c r="A37" s="742"/>
      <c r="B37" s="111"/>
      <c r="C37" s="127"/>
      <c r="D37" s="128"/>
      <c r="E37" s="119"/>
      <c r="F37" s="750"/>
      <c r="G37" s="120"/>
      <c r="H37" s="115"/>
      <c r="I37" s="116"/>
    </row>
    <row r="38" spans="1:9" ht="13.2">
      <c r="A38" s="742"/>
      <c r="B38" s="111"/>
      <c r="C38" s="112" t="s">
        <v>3231</v>
      </c>
      <c r="D38" s="124"/>
      <c r="E38" s="119"/>
      <c r="F38" s="114"/>
      <c r="G38" s="120"/>
      <c r="H38" s="115"/>
      <c r="I38" s="116"/>
    </row>
    <row r="39" spans="1:9" ht="13.2">
      <c r="A39" s="742">
        <f>A36+1</f>
        <v>23</v>
      </c>
      <c r="B39" s="111"/>
      <c r="C39" s="121" t="s">
        <v>3232</v>
      </c>
      <c r="D39" s="118" t="s">
        <v>3233</v>
      </c>
      <c r="E39" s="119">
        <v>1</v>
      </c>
      <c r="F39" s="744">
        <v>0</v>
      </c>
      <c r="G39" s="120">
        <f t="shared" si="1"/>
        <v>0</v>
      </c>
      <c r="H39" s="115" t="s">
        <v>5862</v>
      </c>
      <c r="I39" s="116"/>
    </row>
    <row r="40" spans="1:9" ht="13.2">
      <c r="A40" s="742"/>
      <c r="B40" s="111"/>
      <c r="C40" s="127"/>
      <c r="D40" s="128"/>
      <c r="E40" s="119"/>
      <c r="F40" s="114"/>
      <c r="G40" s="120">
        <f t="shared" si="1"/>
        <v>0</v>
      </c>
      <c r="H40" s="115" t="s">
        <v>5862</v>
      </c>
      <c r="I40" s="116"/>
    </row>
    <row r="41" spans="1:9" ht="13.2">
      <c r="A41" s="742"/>
      <c r="B41" s="111"/>
      <c r="C41" s="125" t="s">
        <v>3234</v>
      </c>
      <c r="D41" s="124"/>
      <c r="E41" s="119"/>
      <c r="F41" s="114"/>
      <c r="G41" s="120">
        <f t="shared" si="1"/>
        <v>0</v>
      </c>
      <c r="H41" s="115" t="s">
        <v>5862</v>
      </c>
      <c r="I41" s="116"/>
    </row>
    <row r="42" spans="1:9" ht="13.2">
      <c r="A42" s="742">
        <f>A39+1</f>
        <v>24</v>
      </c>
      <c r="B42" s="111" t="s">
        <v>3235</v>
      </c>
      <c r="C42" s="129" t="s">
        <v>3236</v>
      </c>
      <c r="D42" s="128" t="s">
        <v>3214</v>
      </c>
      <c r="E42" s="119">
        <v>15</v>
      </c>
      <c r="F42" s="744">
        <v>0</v>
      </c>
      <c r="G42" s="120">
        <f t="shared" si="1"/>
        <v>0</v>
      </c>
      <c r="H42" s="115" t="s">
        <v>5862</v>
      </c>
      <c r="I42" s="116"/>
    </row>
    <row r="43" spans="1:9" ht="13.2">
      <c r="A43" s="742"/>
      <c r="B43" s="111"/>
      <c r="C43" s="129"/>
      <c r="D43" s="128"/>
      <c r="E43" s="119"/>
      <c r="F43" s="114"/>
      <c r="G43" s="120"/>
      <c r="H43" s="115"/>
      <c r="I43" s="116"/>
    </row>
    <row r="44" spans="1:9" ht="30.6">
      <c r="A44" s="742"/>
      <c r="B44" s="111"/>
      <c r="C44" s="125" t="s">
        <v>3237</v>
      </c>
      <c r="D44" s="128"/>
      <c r="E44" s="119"/>
      <c r="F44" s="114"/>
      <c r="G44" s="120"/>
      <c r="H44" s="115"/>
      <c r="I44" s="116"/>
    </row>
    <row r="45" spans="1:9" ht="26.4">
      <c r="A45" s="742">
        <f>A42+1</f>
        <v>25</v>
      </c>
      <c r="B45" s="111" t="s">
        <v>3238</v>
      </c>
      <c r="C45" s="130" t="s">
        <v>3239</v>
      </c>
      <c r="D45" s="128" t="s">
        <v>1941</v>
      </c>
      <c r="E45" s="119">
        <f>276*1.1*0.5</f>
        <v>151.80000000000001</v>
      </c>
      <c r="F45" s="744">
        <v>0</v>
      </c>
      <c r="G45" s="120">
        <f t="shared" ref="G45:G54" si="2">E45*F45</f>
        <v>0</v>
      </c>
      <c r="H45" s="115" t="s">
        <v>5862</v>
      </c>
      <c r="I45" s="116"/>
    </row>
    <row r="46" spans="1:9" ht="26.4">
      <c r="A46" s="742">
        <f t="shared" ref="A46:A54" si="3">A45+1</f>
        <v>26</v>
      </c>
      <c r="B46" s="111" t="s">
        <v>3240</v>
      </c>
      <c r="C46" s="130" t="s">
        <v>3241</v>
      </c>
      <c r="D46" s="128" t="s">
        <v>1941</v>
      </c>
      <c r="E46" s="119">
        <f>26*1.1*0.5</f>
        <v>14.3</v>
      </c>
      <c r="F46" s="744">
        <v>0</v>
      </c>
      <c r="G46" s="120">
        <f t="shared" si="2"/>
        <v>0</v>
      </c>
      <c r="H46" s="115" t="s">
        <v>5862</v>
      </c>
      <c r="I46" s="116"/>
    </row>
    <row r="47" spans="1:9" ht="13.2">
      <c r="A47" s="742">
        <f t="shared" si="3"/>
        <v>27</v>
      </c>
      <c r="B47" s="111" t="s">
        <v>3242</v>
      </c>
      <c r="C47" s="130" t="s">
        <v>3243</v>
      </c>
      <c r="D47" s="128" t="s">
        <v>1940</v>
      </c>
      <c r="E47" s="119">
        <f>E5+E6+E11+E21</f>
        <v>420.20000000000005</v>
      </c>
      <c r="F47" s="744">
        <v>0</v>
      </c>
      <c r="G47" s="120">
        <f t="shared" si="2"/>
        <v>0</v>
      </c>
      <c r="H47" s="115" t="s">
        <v>5862</v>
      </c>
      <c r="I47" s="116"/>
    </row>
    <row r="48" spans="1:9" ht="20.399999999999999">
      <c r="A48" s="742">
        <f t="shared" si="3"/>
        <v>28</v>
      </c>
      <c r="B48" s="111" t="s">
        <v>3244</v>
      </c>
      <c r="C48" s="129" t="s">
        <v>3245</v>
      </c>
      <c r="D48" s="128" t="s">
        <v>1940</v>
      </c>
      <c r="E48" s="119">
        <f>E47*50%</f>
        <v>210.10000000000002</v>
      </c>
      <c r="F48" s="744">
        <v>0</v>
      </c>
      <c r="G48" s="120">
        <f t="shared" si="2"/>
        <v>0</v>
      </c>
      <c r="H48" s="115" t="s">
        <v>5862</v>
      </c>
      <c r="I48" s="116"/>
    </row>
    <row r="49" spans="1:9" ht="26.4">
      <c r="A49" s="742">
        <f t="shared" si="3"/>
        <v>29</v>
      </c>
      <c r="B49" s="111" t="s">
        <v>3246</v>
      </c>
      <c r="C49" s="129" t="s">
        <v>3247</v>
      </c>
      <c r="D49" s="128" t="s">
        <v>1940</v>
      </c>
      <c r="E49" s="119">
        <f>E47*50%</f>
        <v>210.10000000000002</v>
      </c>
      <c r="F49" s="744">
        <v>0</v>
      </c>
      <c r="G49" s="120">
        <f t="shared" si="2"/>
        <v>0</v>
      </c>
      <c r="H49" s="115" t="s">
        <v>5862</v>
      </c>
      <c r="I49" s="116"/>
    </row>
    <row r="50" spans="1:9" ht="26.4">
      <c r="A50" s="742">
        <f t="shared" si="3"/>
        <v>30</v>
      </c>
      <c r="B50" s="111" t="s">
        <v>3238</v>
      </c>
      <c r="C50" s="129" t="s">
        <v>3248</v>
      </c>
      <c r="D50" s="128" t="s">
        <v>1940</v>
      </c>
      <c r="E50" s="119">
        <f>E11</f>
        <v>55.000000000000007</v>
      </c>
      <c r="F50" s="744">
        <v>0</v>
      </c>
      <c r="G50" s="120">
        <f t="shared" si="2"/>
        <v>0</v>
      </c>
      <c r="H50" s="115" t="s">
        <v>5862</v>
      </c>
      <c r="I50" s="116"/>
    </row>
    <row r="51" spans="1:9" ht="30.6">
      <c r="A51" s="742">
        <f t="shared" si="3"/>
        <v>31</v>
      </c>
      <c r="B51" s="111" t="s">
        <v>3249</v>
      </c>
      <c r="C51" s="129" t="s">
        <v>3250</v>
      </c>
      <c r="D51" s="128" t="s">
        <v>1941</v>
      </c>
      <c r="E51" s="119">
        <f>E47*0.5</f>
        <v>210.10000000000002</v>
      </c>
      <c r="F51" s="744">
        <v>0</v>
      </c>
      <c r="G51" s="120">
        <f t="shared" si="2"/>
        <v>0</v>
      </c>
      <c r="H51" s="115" t="s">
        <v>5862</v>
      </c>
      <c r="I51" s="116"/>
    </row>
    <row r="52" spans="1:9" ht="20.399999999999999">
      <c r="A52" s="742">
        <f t="shared" si="3"/>
        <v>32</v>
      </c>
      <c r="B52" s="111" t="s">
        <v>3251</v>
      </c>
      <c r="C52" s="129" t="s">
        <v>3252</v>
      </c>
      <c r="D52" s="128" t="s">
        <v>1941</v>
      </c>
      <c r="E52" s="119">
        <f>50</f>
        <v>50</v>
      </c>
      <c r="F52" s="744">
        <v>0</v>
      </c>
      <c r="G52" s="120">
        <f t="shared" si="2"/>
        <v>0</v>
      </c>
      <c r="H52" s="115" t="s">
        <v>5862</v>
      </c>
      <c r="I52" s="116"/>
    </row>
    <row r="53" spans="1:9" ht="39.6">
      <c r="A53" s="742">
        <f t="shared" si="3"/>
        <v>33</v>
      </c>
      <c r="B53" s="111" t="s">
        <v>3253</v>
      </c>
      <c r="C53" s="129" t="s">
        <v>3254</v>
      </c>
      <c r="D53" s="128" t="s">
        <v>1940</v>
      </c>
      <c r="E53" s="119">
        <f>93*1.1</f>
        <v>102.30000000000001</v>
      </c>
      <c r="F53" s="744">
        <v>0</v>
      </c>
      <c r="G53" s="120">
        <f t="shared" si="2"/>
        <v>0</v>
      </c>
      <c r="H53" s="115" t="s">
        <v>5862</v>
      </c>
      <c r="I53" s="116"/>
    </row>
    <row r="54" spans="1:9" ht="20.399999999999999">
      <c r="A54" s="742">
        <f t="shared" si="3"/>
        <v>34</v>
      </c>
      <c r="B54" s="111" t="s">
        <v>3255</v>
      </c>
      <c r="C54" s="129" t="s">
        <v>3256</v>
      </c>
      <c r="D54" s="128" t="s">
        <v>1940</v>
      </c>
      <c r="E54" s="119">
        <f>E47</f>
        <v>420.20000000000005</v>
      </c>
      <c r="F54" s="744">
        <v>0</v>
      </c>
      <c r="G54" s="120">
        <f t="shared" si="2"/>
        <v>0</v>
      </c>
      <c r="H54" s="115" t="s">
        <v>5862</v>
      </c>
      <c r="I54" s="116"/>
    </row>
    <row r="55" spans="1:9" ht="13.2">
      <c r="A55" s="742"/>
      <c r="B55" s="111"/>
      <c r="C55" s="129"/>
      <c r="D55" s="128"/>
      <c r="E55" s="119"/>
      <c r="F55" s="114"/>
      <c r="G55" s="120"/>
      <c r="H55" s="115"/>
      <c r="I55" s="116"/>
    </row>
    <row r="56" spans="1:9" ht="20.399999999999999">
      <c r="A56" s="742"/>
      <c r="B56" s="111"/>
      <c r="C56" s="125" t="s">
        <v>3257</v>
      </c>
      <c r="D56" s="128"/>
      <c r="E56" s="119"/>
      <c r="F56" s="114"/>
      <c r="G56" s="120"/>
      <c r="H56" s="115"/>
      <c r="I56" s="116"/>
    </row>
    <row r="57" spans="1:9" ht="13.2">
      <c r="A57" s="742">
        <f>A54+1</f>
        <v>35</v>
      </c>
      <c r="B57" s="111" t="s">
        <v>3258</v>
      </c>
      <c r="C57" s="129" t="s">
        <v>3259</v>
      </c>
      <c r="D57" s="128" t="s">
        <v>3226</v>
      </c>
      <c r="E57" s="119">
        <v>5</v>
      </c>
      <c r="F57" s="744">
        <v>0</v>
      </c>
      <c r="G57" s="120">
        <f>E57*F57</f>
        <v>0</v>
      </c>
      <c r="H57" s="115" t="s">
        <v>5862</v>
      </c>
      <c r="I57" s="116"/>
    </row>
    <row r="58" spans="1:9" ht="20.399999999999999">
      <c r="A58" s="742">
        <f>A57+1</f>
        <v>36</v>
      </c>
      <c r="B58" s="111" t="s">
        <v>3260</v>
      </c>
      <c r="C58" s="129" t="s">
        <v>3261</v>
      </c>
      <c r="D58" s="128" t="s">
        <v>3214</v>
      </c>
      <c r="E58" s="119">
        <f>6.5+15</f>
        <v>21.5</v>
      </c>
      <c r="F58" s="744">
        <v>0</v>
      </c>
      <c r="G58" s="120">
        <f>E58*F58</f>
        <v>0</v>
      </c>
      <c r="H58" s="115" t="s">
        <v>5862</v>
      </c>
      <c r="I58" s="116"/>
    </row>
    <row r="59" spans="1:9" ht="13.2">
      <c r="A59" s="742">
        <f>A58+1</f>
        <v>37</v>
      </c>
      <c r="B59" s="111" t="s">
        <v>3262</v>
      </c>
      <c r="C59" s="129" t="s">
        <v>3263</v>
      </c>
      <c r="D59" s="128" t="s">
        <v>3214</v>
      </c>
      <c r="E59" s="119">
        <f>E58</f>
        <v>21.5</v>
      </c>
      <c r="F59" s="744">
        <v>0</v>
      </c>
      <c r="G59" s="120">
        <f>E59*F59</f>
        <v>0</v>
      </c>
      <c r="H59" s="115" t="s">
        <v>5862</v>
      </c>
      <c r="I59" s="116"/>
    </row>
    <row r="60" spans="1:9" ht="13.2">
      <c r="A60" s="742"/>
      <c r="B60" s="111"/>
      <c r="C60" s="129"/>
      <c r="D60" s="128"/>
      <c r="E60" s="114"/>
      <c r="F60" s="114"/>
      <c r="G60" s="120"/>
      <c r="H60" s="114"/>
      <c r="I60" s="116"/>
    </row>
    <row r="61" spans="1:9">
      <c r="A61" s="742"/>
      <c r="B61" s="131"/>
      <c r="C61" s="132" t="s">
        <v>3264</v>
      </c>
      <c r="D61" s="110"/>
      <c r="E61" s="133"/>
      <c r="F61" s="134"/>
      <c r="G61" s="120"/>
      <c r="H61" s="133"/>
      <c r="I61" s="133"/>
    </row>
    <row r="62" spans="1:9">
      <c r="A62" s="742"/>
      <c r="B62" s="131"/>
      <c r="C62" s="124"/>
      <c r="D62" s="110"/>
      <c r="E62" s="133"/>
      <c r="F62" s="134"/>
      <c r="G62" s="120"/>
      <c r="H62" s="133"/>
      <c r="I62" s="13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pageSetUpPr fitToPage="1"/>
  </sheetPr>
  <dimension ref="A1:L41"/>
  <sheetViews>
    <sheetView tabSelected="1" topLeftCell="A12" workbookViewId="0">
      <selection activeCell="M22" sqref="M22"/>
    </sheetView>
  </sheetViews>
  <sheetFormatPr defaultColWidth="11.5546875" defaultRowHeight="13.2"/>
  <cols>
    <col min="1" max="1" width="9.109375" style="418" customWidth="1"/>
    <col min="2" max="2" width="12.88671875" style="418" customWidth="1"/>
    <col min="3" max="3" width="22.88671875" style="418" customWidth="1"/>
    <col min="4" max="4" width="10" style="418" customWidth="1"/>
    <col min="5" max="5" width="14" style="418" customWidth="1"/>
    <col min="6" max="6" width="22.88671875" style="418" customWidth="1"/>
    <col min="7" max="7" width="9.109375" style="418" customWidth="1"/>
    <col min="8" max="8" width="17.109375" style="418" customWidth="1"/>
    <col min="9" max="9" width="22.88671875" style="418" customWidth="1"/>
    <col min="10" max="16384" width="11.5546875" style="418"/>
  </cols>
  <sheetData>
    <row r="1" spans="1:10" ht="72.900000000000006" customHeight="1">
      <c r="A1" s="416"/>
      <c r="B1" s="417"/>
      <c r="C1" s="862" t="s">
        <v>3147</v>
      </c>
      <c r="D1" s="863"/>
      <c r="E1" s="863"/>
      <c r="F1" s="863"/>
      <c r="G1" s="863"/>
      <c r="H1" s="863"/>
      <c r="I1" s="863"/>
    </row>
    <row r="2" spans="1:10">
      <c r="A2" s="808" t="s">
        <v>0</v>
      </c>
      <c r="B2" s="864"/>
      <c r="C2" s="865" t="str">
        <f>'D1.1.+D1.2 - Stav+konstrukční'!D2</f>
        <v xml:space="preserve"> Dostavba ZŠ Mnichovice, 3. etapa, školní jídelna a kuchyň</v>
      </c>
      <c r="D2" s="866"/>
      <c r="E2" s="868" t="s">
        <v>1948</v>
      </c>
      <c r="F2" s="868" t="str">
        <f>'D1.1.+D1.2 - Stav+konstrukční'!I2</f>
        <v>Město Mnichovice, Masarykovo náměstí 83, 251 64 Mnichovice</v>
      </c>
      <c r="G2" s="864"/>
      <c r="H2" s="868" t="s">
        <v>3139</v>
      </c>
      <c r="I2" s="869"/>
      <c r="J2" s="419"/>
    </row>
    <row r="3" spans="1:10">
      <c r="A3" s="860"/>
      <c r="B3" s="845"/>
      <c r="C3" s="867"/>
      <c r="D3" s="867"/>
      <c r="E3" s="845"/>
      <c r="F3" s="845"/>
      <c r="G3" s="845"/>
      <c r="H3" s="845"/>
      <c r="I3" s="861"/>
      <c r="J3" s="419"/>
    </row>
    <row r="4" spans="1:10">
      <c r="A4" s="844" t="s">
        <v>1</v>
      </c>
      <c r="B4" s="845"/>
      <c r="C4" s="848" t="str">
        <f>'D1.1.+D1.2 - Stav+konstrukční'!D4</f>
        <v xml:space="preserve"> Školská stavba - občanská výstavba</v>
      </c>
      <c r="D4" s="845"/>
      <c r="E4" s="848" t="s">
        <v>1949</v>
      </c>
      <c r="F4" s="848" t="str">
        <f>'D1.1.+D1.2 - Stav+konstrukční'!I4</f>
        <v> ing. Tomáš Řičař</v>
      </c>
      <c r="G4" s="845"/>
      <c r="H4" s="848" t="s">
        <v>3139</v>
      </c>
      <c r="I4" s="861"/>
      <c r="J4" s="419"/>
    </row>
    <row r="5" spans="1:10">
      <c r="A5" s="860"/>
      <c r="B5" s="845"/>
      <c r="C5" s="845"/>
      <c r="D5" s="845"/>
      <c r="E5" s="845"/>
      <c r="F5" s="845"/>
      <c r="G5" s="845"/>
      <c r="H5" s="845"/>
      <c r="I5" s="861"/>
      <c r="J5" s="419"/>
    </row>
    <row r="6" spans="1:10">
      <c r="A6" s="844" t="s">
        <v>2</v>
      </c>
      <c r="B6" s="845"/>
      <c r="C6" s="848" t="str">
        <f>'D1.1.+D1.2 - Stav+konstrukční'!D6</f>
        <v xml:space="preserve"> parc.č. 385/2, 1749, 68/3, 74/5, 74/3 a 3854/1, k.ú. Mnichovice</v>
      </c>
      <c r="D6" s="845"/>
      <c r="E6" s="848" t="s">
        <v>1950</v>
      </c>
      <c r="F6" s="848">
        <f>'Krycí list rozpoctu'!F6:G7</f>
        <v>0</v>
      </c>
      <c r="G6" s="845"/>
      <c r="H6" s="848" t="s">
        <v>3139</v>
      </c>
      <c r="I6" s="861"/>
      <c r="J6" s="419"/>
    </row>
    <row r="7" spans="1:10">
      <c r="A7" s="860"/>
      <c r="B7" s="845"/>
      <c r="C7" s="845"/>
      <c r="D7" s="845"/>
      <c r="E7" s="845"/>
      <c r="F7" s="845"/>
      <c r="G7" s="845"/>
      <c r="H7" s="845"/>
      <c r="I7" s="861"/>
      <c r="J7" s="419"/>
    </row>
    <row r="8" spans="1:10">
      <c r="A8" s="844" t="s">
        <v>1934</v>
      </c>
      <c r="B8" s="845"/>
      <c r="C8" s="848">
        <f>'Krycí list rozpoctu'!C8:D9</f>
        <v>0</v>
      </c>
      <c r="D8" s="845"/>
      <c r="E8" s="848" t="s">
        <v>1935</v>
      </c>
      <c r="F8" s="848">
        <f>'Krycí list rozpoctu'!F8:G9</f>
        <v>0</v>
      </c>
      <c r="G8" s="845"/>
      <c r="H8" s="845" t="s">
        <v>3140</v>
      </c>
      <c r="I8" s="861"/>
      <c r="J8" s="419"/>
    </row>
    <row r="9" spans="1:10">
      <c r="A9" s="860"/>
      <c r="B9" s="845"/>
      <c r="C9" s="845"/>
      <c r="D9" s="845"/>
      <c r="E9" s="845"/>
      <c r="F9" s="845"/>
      <c r="G9" s="845"/>
      <c r="H9" s="845"/>
      <c r="I9" s="861"/>
      <c r="J9" s="419"/>
    </row>
    <row r="10" spans="1:10">
      <c r="A10" s="844" t="s">
        <v>3</v>
      </c>
      <c r="B10" s="845"/>
      <c r="C10" s="848">
        <f>'Krycí list rozpoctu'!C10:D11</f>
        <v>0</v>
      </c>
      <c r="D10" s="845"/>
      <c r="E10" s="848" t="s">
        <v>1951</v>
      </c>
      <c r="F10" s="848">
        <f>'Krycí list rozpoctu'!F10:G11</f>
        <v>0</v>
      </c>
      <c r="G10" s="845"/>
      <c r="H10" s="845" t="s">
        <v>3141</v>
      </c>
      <c r="I10" s="858" t="str">
        <f>'D1.1.+D1.2 - Stav+konstrukční'!G8</f>
        <v>23.06.2020</v>
      </c>
      <c r="J10" s="419"/>
    </row>
    <row r="11" spans="1:10">
      <c r="A11" s="846"/>
      <c r="B11" s="847"/>
      <c r="C11" s="847"/>
      <c r="D11" s="847"/>
      <c r="E11" s="847"/>
      <c r="F11" s="847"/>
      <c r="G11" s="847"/>
      <c r="H11" s="847"/>
      <c r="I11" s="859"/>
      <c r="J11" s="419"/>
    </row>
    <row r="12" spans="1:10">
      <c r="A12" s="420"/>
      <c r="B12" s="420"/>
      <c r="C12" s="420"/>
      <c r="D12" s="420"/>
      <c r="E12" s="420"/>
      <c r="F12" s="420"/>
      <c r="G12" s="420"/>
      <c r="H12" s="420"/>
      <c r="I12" s="420"/>
    </row>
    <row r="13" spans="1:10" s="422" customFormat="1" ht="15.15" customHeight="1" thickBot="1">
      <c r="A13" s="822" t="s">
        <v>3164</v>
      </c>
      <c r="B13" s="822"/>
      <c r="C13" s="822"/>
      <c r="D13" s="822"/>
      <c r="E13" s="822"/>
      <c r="F13" s="421"/>
      <c r="G13" s="421"/>
      <c r="H13" s="421"/>
      <c r="I13" s="421"/>
    </row>
    <row r="14" spans="1:10" s="422" customFormat="1">
      <c r="A14" s="849" t="s">
        <v>3173</v>
      </c>
      <c r="B14" s="850"/>
      <c r="C14" s="850"/>
      <c r="D14" s="850"/>
      <c r="E14" s="851"/>
      <c r="F14" s="441" t="s">
        <v>3165</v>
      </c>
      <c r="G14" s="441" t="s">
        <v>1945</v>
      </c>
      <c r="H14" s="441" t="s">
        <v>3148</v>
      </c>
      <c r="I14" s="441" t="s">
        <v>3165</v>
      </c>
      <c r="J14" s="424"/>
    </row>
    <row r="15" spans="1:10" s="422" customFormat="1">
      <c r="A15" s="852" t="s">
        <v>5813</v>
      </c>
      <c r="B15" s="853"/>
      <c r="C15" s="853"/>
      <c r="D15" s="853"/>
      <c r="E15" s="854"/>
      <c r="F15" s="436">
        <v>0</v>
      </c>
      <c r="G15" s="438"/>
      <c r="H15" s="438"/>
      <c r="I15" s="436">
        <f>F15</f>
        <v>0</v>
      </c>
      <c r="J15" s="427"/>
    </row>
    <row r="16" spans="1:10" s="422" customFormat="1">
      <c r="A16" s="852" t="s">
        <v>5814</v>
      </c>
      <c r="B16" s="853"/>
      <c r="C16" s="853"/>
      <c r="D16" s="853"/>
      <c r="E16" s="854"/>
      <c r="F16" s="436">
        <v>0</v>
      </c>
      <c r="G16" s="438"/>
      <c r="H16" s="438"/>
      <c r="I16" s="436">
        <f>F16</f>
        <v>0</v>
      </c>
      <c r="J16" s="427"/>
    </row>
    <row r="17" spans="1:12" s="422" customFormat="1" ht="13.8" thickBot="1">
      <c r="A17" s="855" t="s">
        <v>5815</v>
      </c>
      <c r="B17" s="856"/>
      <c r="C17" s="856"/>
      <c r="D17" s="856"/>
      <c r="E17" s="857"/>
      <c r="F17" s="437">
        <v>0</v>
      </c>
      <c r="G17" s="439"/>
      <c r="H17" s="439"/>
      <c r="I17" s="437">
        <f>F17</f>
        <v>0</v>
      </c>
      <c r="J17" s="427"/>
    </row>
    <row r="18" spans="1:12" s="422" customFormat="1" ht="13.8" thickBot="1">
      <c r="A18" s="841" t="s">
        <v>3143</v>
      </c>
      <c r="B18" s="842"/>
      <c r="C18" s="842"/>
      <c r="D18" s="842"/>
      <c r="E18" s="843"/>
      <c r="F18" s="442"/>
      <c r="G18" s="443"/>
      <c r="H18" s="443"/>
      <c r="I18" s="443">
        <f>SUM(I15:I17)</f>
        <v>0</v>
      </c>
      <c r="J18" s="424"/>
    </row>
    <row r="19" spans="1:12" s="422" customFormat="1" ht="13.8" thickBot="1">
      <c r="A19" s="432"/>
      <c r="B19" s="432"/>
      <c r="C19" s="432"/>
      <c r="D19" s="432"/>
      <c r="E19" s="432"/>
      <c r="F19" s="432"/>
      <c r="G19" s="432"/>
      <c r="H19" s="432"/>
      <c r="I19" s="432"/>
    </row>
    <row r="20" spans="1:12" s="422" customFormat="1">
      <c r="A20" s="823" t="s">
        <v>3142</v>
      </c>
      <c r="B20" s="824"/>
      <c r="C20" s="824"/>
      <c r="D20" s="824"/>
      <c r="E20" s="825"/>
      <c r="F20" s="423" t="s">
        <v>3165</v>
      </c>
      <c r="G20" s="423" t="s">
        <v>1945</v>
      </c>
      <c r="H20" s="423" t="s">
        <v>3148</v>
      </c>
      <c r="I20" s="423" t="s">
        <v>3165</v>
      </c>
      <c r="J20" s="424"/>
    </row>
    <row r="21" spans="1:12" s="422" customFormat="1">
      <c r="A21" s="836" t="s">
        <v>3159</v>
      </c>
      <c r="B21" s="837"/>
      <c r="C21" s="837"/>
      <c r="D21" s="837"/>
      <c r="E21" s="838"/>
      <c r="F21" s="425">
        <v>0</v>
      </c>
      <c r="G21" s="426"/>
      <c r="H21" s="426"/>
      <c r="I21" s="425">
        <f t="shared" ref="I21:I28" si="0">F21</f>
        <v>0</v>
      </c>
      <c r="J21" s="427"/>
    </row>
    <row r="22" spans="1:12" s="422" customFormat="1" ht="336" customHeight="1">
      <c r="A22" s="814" t="s">
        <v>5900</v>
      </c>
      <c r="B22" s="815"/>
      <c r="C22" s="815"/>
      <c r="D22" s="815"/>
      <c r="E22" s="815"/>
      <c r="F22" s="816"/>
      <c r="G22" s="816"/>
      <c r="H22" s="816"/>
      <c r="I22" s="817"/>
      <c r="J22" s="427"/>
      <c r="L22" s="418"/>
    </row>
    <row r="23" spans="1:12" s="422" customFormat="1">
      <c r="A23" s="836" t="s">
        <v>3128</v>
      </c>
      <c r="B23" s="837"/>
      <c r="C23" s="837"/>
      <c r="D23" s="837"/>
      <c r="E23" s="838"/>
      <c r="F23" s="425">
        <v>0</v>
      </c>
      <c r="G23" s="426"/>
      <c r="H23" s="426"/>
      <c r="I23" s="425">
        <f t="shared" si="0"/>
        <v>0</v>
      </c>
      <c r="J23" s="427"/>
    </row>
    <row r="24" spans="1:12" s="422" customFormat="1">
      <c r="A24" s="839" t="s">
        <v>3129</v>
      </c>
      <c r="B24" s="837"/>
      <c r="C24" s="837"/>
      <c r="D24" s="837"/>
      <c r="E24" s="838"/>
      <c r="F24" s="425">
        <v>0</v>
      </c>
      <c r="G24" s="426"/>
      <c r="H24" s="426"/>
      <c r="I24" s="425">
        <f t="shared" si="0"/>
        <v>0</v>
      </c>
      <c r="J24" s="427"/>
    </row>
    <row r="25" spans="1:12" s="422" customFormat="1">
      <c r="A25" s="840" t="s">
        <v>5816</v>
      </c>
      <c r="B25" s="837"/>
      <c r="C25" s="837"/>
      <c r="D25" s="837"/>
      <c r="E25" s="838"/>
      <c r="F25" s="425">
        <v>0</v>
      </c>
      <c r="G25" s="426"/>
      <c r="H25" s="426"/>
      <c r="I25" s="425">
        <f t="shared" si="0"/>
        <v>0</v>
      </c>
      <c r="J25" s="427"/>
    </row>
    <row r="26" spans="1:12" s="422" customFormat="1" ht="65.400000000000006" customHeight="1">
      <c r="A26" s="814" t="s">
        <v>5819</v>
      </c>
      <c r="B26" s="815"/>
      <c r="C26" s="815"/>
      <c r="D26" s="815"/>
      <c r="E26" s="815"/>
      <c r="F26" s="816"/>
      <c r="G26" s="816"/>
      <c r="H26" s="816"/>
      <c r="I26" s="817"/>
      <c r="J26" s="427"/>
    </row>
    <row r="27" spans="1:12" s="422" customFormat="1">
      <c r="A27" s="836" t="s">
        <v>3166</v>
      </c>
      <c r="B27" s="837"/>
      <c r="C27" s="837"/>
      <c r="D27" s="837"/>
      <c r="E27" s="838"/>
      <c r="F27" s="425">
        <v>0</v>
      </c>
      <c r="G27" s="426"/>
      <c r="H27" s="426"/>
      <c r="I27" s="425">
        <f t="shared" si="0"/>
        <v>0</v>
      </c>
      <c r="J27" s="427"/>
    </row>
    <row r="28" spans="1:12" s="422" customFormat="1" ht="13.8" thickBot="1">
      <c r="A28" s="829" t="s">
        <v>3160</v>
      </c>
      <c r="B28" s="812"/>
      <c r="C28" s="812"/>
      <c r="D28" s="812"/>
      <c r="E28" s="813"/>
      <c r="F28" s="428">
        <v>0</v>
      </c>
      <c r="G28" s="429"/>
      <c r="H28" s="429"/>
      <c r="I28" s="428">
        <f t="shared" si="0"/>
        <v>0</v>
      </c>
      <c r="J28" s="427"/>
    </row>
    <row r="29" spans="1:12" s="422" customFormat="1" ht="13.8" thickBot="1">
      <c r="A29" s="818" t="s">
        <v>3144</v>
      </c>
      <c r="B29" s="819"/>
      <c r="C29" s="819"/>
      <c r="D29" s="819"/>
      <c r="E29" s="820"/>
      <c r="F29" s="430"/>
      <c r="G29" s="431"/>
      <c r="H29" s="431"/>
      <c r="I29" s="431">
        <f>SUM(I21:I28)</f>
        <v>0</v>
      </c>
      <c r="J29" s="424"/>
    </row>
    <row r="30" spans="1:12" s="422" customFormat="1" ht="13.8" thickBot="1">
      <c r="A30" s="432"/>
      <c r="B30" s="432"/>
      <c r="C30" s="432"/>
      <c r="D30" s="432"/>
      <c r="E30" s="432"/>
      <c r="F30" s="432"/>
      <c r="G30" s="432"/>
      <c r="H30" s="432"/>
      <c r="I30" s="432"/>
    </row>
    <row r="31" spans="1:12" s="422" customFormat="1" ht="15.15" customHeight="1" thickBot="1">
      <c r="A31" s="830" t="s">
        <v>3145</v>
      </c>
      <c r="B31" s="831"/>
      <c r="C31" s="831"/>
      <c r="D31" s="831"/>
      <c r="E31" s="832"/>
      <c r="F31" s="833">
        <f>I18+I29</f>
        <v>0</v>
      </c>
      <c r="G31" s="834"/>
      <c r="H31" s="834"/>
      <c r="I31" s="835"/>
      <c r="J31" s="424"/>
    </row>
    <row r="32" spans="1:12" s="422" customFormat="1">
      <c r="A32" s="433"/>
      <c r="B32" s="433"/>
      <c r="C32" s="433"/>
      <c r="D32" s="433"/>
      <c r="E32" s="433"/>
      <c r="F32" s="433"/>
      <c r="G32" s="433"/>
      <c r="H32" s="433"/>
      <c r="I32" s="433"/>
    </row>
    <row r="33" spans="1:10" s="422" customFormat="1"/>
    <row r="34" spans="1:10" s="422" customFormat="1"/>
    <row r="35" spans="1:10" s="422" customFormat="1" ht="15.15" customHeight="1" thickBot="1">
      <c r="A35" s="821" t="s">
        <v>3167</v>
      </c>
      <c r="B35" s="822"/>
      <c r="C35" s="822"/>
      <c r="D35" s="822"/>
      <c r="E35" s="822"/>
      <c r="F35" s="421"/>
      <c r="G35" s="421"/>
      <c r="H35" s="421"/>
      <c r="I35" s="421"/>
    </row>
    <row r="36" spans="1:10" s="422" customFormat="1">
      <c r="A36" s="823" t="s">
        <v>3168</v>
      </c>
      <c r="B36" s="824"/>
      <c r="C36" s="824"/>
      <c r="D36" s="824"/>
      <c r="E36" s="825"/>
      <c r="F36" s="423" t="s">
        <v>3165</v>
      </c>
      <c r="G36" s="423" t="s">
        <v>1945</v>
      </c>
      <c r="H36" s="423" t="s">
        <v>3148</v>
      </c>
      <c r="I36" s="423" t="s">
        <v>3165</v>
      </c>
      <c r="J36" s="424"/>
    </row>
    <row r="37" spans="1:10" s="422" customFormat="1" ht="219.6" customHeight="1">
      <c r="A37" s="826" t="s">
        <v>5840</v>
      </c>
      <c r="B37" s="827"/>
      <c r="C37" s="827"/>
      <c r="D37" s="827"/>
      <c r="E37" s="828"/>
      <c r="F37" s="434">
        <v>0</v>
      </c>
      <c r="G37" s="435"/>
      <c r="H37" s="435"/>
      <c r="I37" s="434">
        <f>F37</f>
        <v>0</v>
      </c>
      <c r="J37" s="427"/>
    </row>
    <row r="38" spans="1:10" s="422" customFormat="1" ht="17.399999999999999" customHeight="1">
      <c r="A38" s="808" t="s">
        <v>5841</v>
      </c>
      <c r="B38" s="809"/>
      <c r="C38" s="809"/>
      <c r="D38" s="809"/>
      <c r="E38" s="810"/>
      <c r="F38" s="440">
        <v>0</v>
      </c>
      <c r="G38" s="435"/>
      <c r="H38" s="435"/>
      <c r="I38" s="434">
        <f>F38</f>
        <v>0</v>
      </c>
      <c r="J38" s="427"/>
    </row>
    <row r="39" spans="1:10" s="422" customFormat="1" ht="17.399999999999999" customHeight="1" thickBot="1">
      <c r="A39" s="811" t="s">
        <v>5817</v>
      </c>
      <c r="B39" s="812"/>
      <c r="C39" s="812"/>
      <c r="D39" s="812"/>
      <c r="E39" s="813"/>
      <c r="F39" s="428">
        <v>0</v>
      </c>
      <c r="G39" s="429"/>
      <c r="H39" s="429"/>
      <c r="I39" s="428">
        <f>F39</f>
        <v>0</v>
      </c>
      <c r="J39" s="427"/>
    </row>
    <row r="40" spans="1:10" s="422" customFormat="1" ht="82.5" customHeight="1" thickBot="1">
      <c r="A40" s="814" t="s">
        <v>5818</v>
      </c>
      <c r="B40" s="815"/>
      <c r="C40" s="815"/>
      <c r="D40" s="815"/>
      <c r="E40" s="815"/>
      <c r="F40" s="816"/>
      <c r="G40" s="816"/>
      <c r="H40" s="816"/>
      <c r="I40" s="817"/>
      <c r="J40" s="427"/>
    </row>
    <row r="41" spans="1:10" s="422" customFormat="1" ht="13.8" thickBot="1">
      <c r="A41" s="818" t="s">
        <v>3146</v>
      </c>
      <c r="B41" s="819"/>
      <c r="C41" s="819"/>
      <c r="D41" s="819"/>
      <c r="E41" s="820"/>
      <c r="F41" s="430"/>
      <c r="G41" s="431"/>
      <c r="H41" s="431"/>
      <c r="I41" s="431">
        <f>SUM(I37:I39)</f>
        <v>0</v>
      </c>
      <c r="J41" s="424"/>
    </row>
  </sheetData>
  <sheetProtection password="CF7A" sheet="1"/>
  <mergeCells count="56">
    <mergeCell ref="C1:I1"/>
    <mergeCell ref="A2:B3"/>
    <mergeCell ref="C2:D3"/>
    <mergeCell ref="E2:E3"/>
    <mergeCell ref="F2:G3"/>
    <mergeCell ref="H2:H3"/>
    <mergeCell ref="I2:I3"/>
    <mergeCell ref="I6:I7"/>
    <mergeCell ref="A4:B5"/>
    <mergeCell ref="C4:D5"/>
    <mergeCell ref="E4:E5"/>
    <mergeCell ref="F4:G5"/>
    <mergeCell ref="H4:H5"/>
    <mergeCell ref="I4:I5"/>
    <mergeCell ref="A6:B7"/>
    <mergeCell ref="C6:D7"/>
    <mergeCell ref="E6:E7"/>
    <mergeCell ref="F6:G7"/>
    <mergeCell ref="H6:H7"/>
    <mergeCell ref="H10:H11"/>
    <mergeCell ref="I10:I11"/>
    <mergeCell ref="A8:B9"/>
    <mergeCell ref="C8:D9"/>
    <mergeCell ref="E8:E9"/>
    <mergeCell ref="F8:G9"/>
    <mergeCell ref="H8:H9"/>
    <mergeCell ref="I8:I9"/>
    <mergeCell ref="A18:E18"/>
    <mergeCell ref="A10:B11"/>
    <mergeCell ref="C10:D11"/>
    <mergeCell ref="E10:E11"/>
    <mergeCell ref="F10:G11"/>
    <mergeCell ref="A13:E13"/>
    <mergeCell ref="A14:E14"/>
    <mergeCell ref="A15:E15"/>
    <mergeCell ref="A16:E16"/>
    <mergeCell ref="A17:E17"/>
    <mergeCell ref="A20:E20"/>
    <mergeCell ref="A21:E21"/>
    <mergeCell ref="A23:E23"/>
    <mergeCell ref="A24:E24"/>
    <mergeCell ref="A25:E25"/>
    <mergeCell ref="A22:I22"/>
    <mergeCell ref="A26:I26"/>
    <mergeCell ref="A28:E28"/>
    <mergeCell ref="A31:E31"/>
    <mergeCell ref="F31:I31"/>
    <mergeCell ref="A27:E27"/>
    <mergeCell ref="A29:E29"/>
    <mergeCell ref="A38:E38"/>
    <mergeCell ref="A39:E39"/>
    <mergeCell ref="A40:I40"/>
    <mergeCell ref="A41:E41"/>
    <mergeCell ref="A35:E35"/>
    <mergeCell ref="A36:E36"/>
    <mergeCell ref="A37:E37"/>
  </mergeCells>
  <pageMargins left="0.39400000000000002" right="0.39400000000000002" top="0.59099999999999997" bottom="0.59099999999999997" header="0.5" footer="0.5"/>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pageSetUpPr fitToPage="1"/>
  </sheetPr>
  <dimension ref="A1:M16"/>
  <sheetViews>
    <sheetView workbookViewId="0">
      <pane ySplit="11" topLeftCell="A12" activePane="bottomLeft" state="frozenSplit"/>
      <selection activeCell="I17" sqref="I17"/>
      <selection pane="bottomLeft" activeCell="I13" sqref="I13"/>
    </sheetView>
  </sheetViews>
  <sheetFormatPr defaultColWidth="11.5546875" defaultRowHeight="13.2"/>
  <cols>
    <col min="1" max="1" width="10.88671875" style="84" customWidth="1"/>
    <col min="2" max="2" width="4.5546875" style="84" customWidth="1"/>
    <col min="3" max="3" width="22.5546875" style="84" customWidth="1"/>
    <col min="4" max="4" width="34.109375" style="84" customWidth="1"/>
    <col min="5" max="5" width="4.33203125" style="84" customWidth="1"/>
    <col min="6" max="6" width="13" style="84" customWidth="1"/>
    <col min="7" max="7" width="12" style="84" customWidth="1"/>
    <col min="8" max="9" width="14.33203125" style="84" customWidth="1"/>
    <col min="10" max="13" width="12.109375" style="84" hidden="1" customWidth="1"/>
    <col min="14" max="16384" width="11.5546875" style="84"/>
  </cols>
  <sheetData>
    <row r="1" spans="1:13" ht="72.900000000000006" customHeight="1">
      <c r="A1" s="889" t="s">
        <v>3176</v>
      </c>
      <c r="B1" s="890"/>
      <c r="C1" s="890"/>
      <c r="D1" s="890"/>
      <c r="E1" s="890"/>
      <c r="F1" s="890"/>
      <c r="G1" s="890"/>
      <c r="H1" s="890"/>
      <c r="I1" s="890"/>
    </row>
    <row r="2" spans="1:13" ht="42" customHeight="1">
      <c r="A2" s="891" t="s">
        <v>0</v>
      </c>
      <c r="B2" s="892"/>
      <c r="C2" s="893" t="str">
        <f>'Krycí list rozpoctu'!C2</f>
        <v xml:space="preserve"> Dostavba ZŠ Mnichovice, 3. etapa, školní jídelna a kuchyň</v>
      </c>
      <c r="D2" s="895" t="s">
        <v>1933</v>
      </c>
      <c r="E2" s="892"/>
      <c r="F2" s="896"/>
      <c r="G2" s="896" t="s">
        <v>1948</v>
      </c>
      <c r="H2" s="896" t="str">
        <f>'Krycí list rozpoctu'!F2</f>
        <v>Město Mnichovice, Masarykovo náměstí 83, 251 64 Mnichovice</v>
      </c>
      <c r="I2" s="892"/>
      <c r="J2" s="97"/>
    </row>
    <row r="3" spans="1:13" ht="21" customHeight="1">
      <c r="A3" s="874"/>
      <c r="B3" s="871"/>
      <c r="C3" s="894"/>
      <c r="D3" s="871"/>
      <c r="E3" s="871"/>
      <c r="F3" s="871"/>
      <c r="G3" s="871"/>
      <c r="H3" s="871"/>
      <c r="I3" s="871"/>
      <c r="J3" s="97"/>
    </row>
    <row r="4" spans="1:13" ht="12.75" customHeight="1">
      <c r="A4" s="873" t="s">
        <v>1</v>
      </c>
      <c r="B4" s="871"/>
      <c r="C4" s="875" t="s">
        <v>5811</v>
      </c>
      <c r="D4" s="876" t="s">
        <v>1934</v>
      </c>
      <c r="E4" s="871"/>
      <c r="F4" s="870">
        <f>'Krycí list rozpoctu'!C8</f>
        <v>0</v>
      </c>
      <c r="G4" s="870" t="s">
        <v>1949</v>
      </c>
      <c r="H4" s="870" t="str">
        <f>'Krycí list rozpoctu'!F4</f>
        <v> ing. Tomáš Řičař</v>
      </c>
      <c r="I4" s="871"/>
      <c r="J4" s="97"/>
    </row>
    <row r="5" spans="1:13">
      <c r="A5" s="874"/>
      <c r="B5" s="871"/>
      <c r="C5" s="871"/>
      <c r="D5" s="871"/>
      <c r="E5" s="871"/>
      <c r="F5" s="871"/>
      <c r="G5" s="871"/>
      <c r="H5" s="871"/>
      <c r="I5" s="871"/>
      <c r="J5" s="97"/>
    </row>
    <row r="6" spans="1:13" ht="12.75" customHeight="1">
      <c r="A6" s="873" t="s">
        <v>2</v>
      </c>
      <c r="B6" s="871"/>
      <c r="C6" s="870" t="str">
        <f>'Krycí list rozpoctu'!C6</f>
        <v xml:space="preserve"> parc.č. 385/2, 1749, 68/3, 74/5, 74/3 a 3854/1, k.ú. Mnichovice</v>
      </c>
      <c r="D6" s="876" t="s">
        <v>1935</v>
      </c>
      <c r="E6" s="871"/>
      <c r="F6" s="870">
        <f>'Krycí list rozpoctu'!F8</f>
        <v>0</v>
      </c>
      <c r="G6" s="870" t="s">
        <v>1950</v>
      </c>
      <c r="H6" s="897">
        <f>'Krycí list rozpoctu'!F6</f>
        <v>0</v>
      </c>
      <c r="I6" s="898"/>
      <c r="J6" s="97"/>
    </row>
    <row r="7" spans="1:13">
      <c r="A7" s="874"/>
      <c r="B7" s="871"/>
      <c r="C7" s="871"/>
      <c r="D7" s="871"/>
      <c r="E7" s="871"/>
      <c r="F7" s="871"/>
      <c r="G7" s="871"/>
      <c r="H7" s="897"/>
      <c r="I7" s="898"/>
      <c r="J7" s="97"/>
    </row>
    <row r="8" spans="1:13" ht="12.75" customHeight="1">
      <c r="A8" s="873" t="s">
        <v>3</v>
      </c>
      <c r="B8" s="871"/>
      <c r="C8" s="870">
        <f>'Krycí list rozpoctu'!C10</f>
        <v>0</v>
      </c>
      <c r="D8" s="876" t="s">
        <v>1936</v>
      </c>
      <c r="E8" s="871"/>
      <c r="F8" s="870" t="str">
        <f>'Krycí list rozpoctu'!I10</f>
        <v>23.06.2020</v>
      </c>
      <c r="G8" s="870" t="s">
        <v>1951</v>
      </c>
      <c r="H8" s="870">
        <f>'Krycí list rozpoctu'!F10</f>
        <v>0</v>
      </c>
      <c r="I8" s="871"/>
      <c r="J8" s="97"/>
    </row>
    <row r="9" spans="1:13" ht="13.8" thickBot="1">
      <c r="A9" s="877"/>
      <c r="B9" s="872"/>
      <c r="C9" s="872"/>
      <c r="D9" s="872"/>
      <c r="E9" s="872"/>
      <c r="F9" s="872"/>
      <c r="G9" s="872"/>
      <c r="H9" s="872"/>
      <c r="I9" s="872"/>
      <c r="J9" s="97"/>
    </row>
    <row r="10" spans="1:13">
      <c r="A10" s="96" t="s">
        <v>4</v>
      </c>
      <c r="B10" s="880" t="s">
        <v>4</v>
      </c>
      <c r="C10" s="881"/>
      <c r="D10" s="881"/>
      <c r="E10" s="881"/>
      <c r="F10" s="881"/>
      <c r="G10" s="881"/>
      <c r="H10" s="882"/>
      <c r="I10" s="95"/>
      <c r="J10" s="92"/>
    </row>
    <row r="11" spans="1:13" ht="13.8" thickBot="1">
      <c r="A11" s="94" t="s">
        <v>606</v>
      </c>
      <c r="B11" s="883" t="s">
        <v>2049</v>
      </c>
      <c r="C11" s="884"/>
      <c r="D11" s="884"/>
      <c r="E11" s="884"/>
      <c r="F11" s="884"/>
      <c r="G11" s="884"/>
      <c r="H11" s="885"/>
      <c r="I11" s="93" t="s">
        <v>1955</v>
      </c>
      <c r="J11" s="92"/>
    </row>
    <row r="12" spans="1:13">
      <c r="A12" s="89" t="s">
        <v>3177</v>
      </c>
      <c r="B12" s="886" t="s">
        <v>3180</v>
      </c>
      <c r="C12" s="879"/>
      <c r="D12" s="879"/>
      <c r="E12" s="879"/>
      <c r="F12" s="879"/>
      <c r="G12" s="879"/>
      <c r="H12" s="879"/>
      <c r="I12" s="88">
        <f>'Rekapitulace D1.1+D1.2'!K73</f>
        <v>0</v>
      </c>
      <c r="J12" s="88" t="s">
        <v>2055</v>
      </c>
      <c r="K12" s="88">
        <f>IF(J12="F",0,I12)</f>
        <v>0</v>
      </c>
      <c r="L12" s="89" t="s">
        <v>3175</v>
      </c>
      <c r="M12" s="88">
        <f>IF(J12="T",0,I12)</f>
        <v>0</v>
      </c>
    </row>
    <row r="13" spans="1:13">
      <c r="A13" s="91" t="s">
        <v>3178</v>
      </c>
      <c r="B13" s="887" t="s">
        <v>3179</v>
      </c>
      <c r="C13" s="888"/>
      <c r="D13" s="888"/>
      <c r="E13" s="888"/>
      <c r="F13" s="888"/>
      <c r="G13" s="888"/>
      <c r="H13" s="888"/>
      <c r="I13" s="90">
        <f>'Rekapitulace TZB'!I24</f>
        <v>0</v>
      </c>
      <c r="J13" s="88" t="s">
        <v>2055</v>
      </c>
      <c r="K13" s="88">
        <f>IF(J13="F",0,I13)</f>
        <v>0</v>
      </c>
      <c r="L13" s="89" t="s">
        <v>3174</v>
      </c>
      <c r="M13" s="88">
        <f>IF(J13="T",0,I13)</f>
        <v>0</v>
      </c>
    </row>
    <row r="14" spans="1:13">
      <c r="A14" s="87"/>
      <c r="B14" s="87"/>
      <c r="C14" s="87"/>
      <c r="D14" s="87"/>
      <c r="E14" s="87"/>
      <c r="F14" s="87"/>
      <c r="G14" s="87"/>
      <c r="H14" s="87"/>
      <c r="I14" s="86">
        <f>SUM(M12:M13)</f>
        <v>0</v>
      </c>
    </row>
    <row r="15" spans="1:13" ht="11.25" customHeight="1">
      <c r="A15" s="85" t="s">
        <v>605</v>
      </c>
    </row>
    <row r="16" spans="1:13">
      <c r="A16" s="878"/>
      <c r="B16" s="879"/>
      <c r="C16" s="879"/>
      <c r="D16" s="879"/>
      <c r="E16" s="879"/>
      <c r="F16" s="879"/>
      <c r="G16" s="879"/>
      <c r="H16" s="879"/>
      <c r="I16" s="879"/>
    </row>
  </sheetData>
  <mergeCells count="30">
    <mergeCell ref="A1:I1"/>
    <mergeCell ref="A2:B3"/>
    <mergeCell ref="C2:C3"/>
    <mergeCell ref="D2:E3"/>
    <mergeCell ref="A6:B7"/>
    <mergeCell ref="F2:F3"/>
    <mergeCell ref="G2:G3"/>
    <mergeCell ref="H2:I3"/>
    <mergeCell ref="G6:G7"/>
    <mergeCell ref="H6:I7"/>
    <mergeCell ref="A16:I16"/>
    <mergeCell ref="B10:H10"/>
    <mergeCell ref="B11:H11"/>
    <mergeCell ref="B12:H12"/>
    <mergeCell ref="B13:H13"/>
    <mergeCell ref="H8:I9"/>
    <mergeCell ref="A4:B5"/>
    <mergeCell ref="C4:C5"/>
    <mergeCell ref="D4:E5"/>
    <mergeCell ref="F4:F5"/>
    <mergeCell ref="G4:G5"/>
    <mergeCell ref="H4:I5"/>
    <mergeCell ref="C6:C7"/>
    <mergeCell ref="D6:E7"/>
    <mergeCell ref="F6:F7"/>
    <mergeCell ref="A8:B9"/>
    <mergeCell ref="C8:C9"/>
    <mergeCell ref="D8:E9"/>
    <mergeCell ref="F8:F9"/>
    <mergeCell ref="G8:G9"/>
  </mergeCells>
  <pageMargins left="0.39400000000000002" right="0.39400000000000002" top="0.59099999999999997" bottom="0.59099999999999997" header="0.5" footer="0.5"/>
  <pageSetup paperSize="0" fitToHeight="0" orientation="landscape"/>
  <headerFooter alignWithMargins="0"/>
  <drawing r:id="rId1"/>
</worksheet>
</file>

<file path=xl/worksheets/sheet4.xml><?xml version="1.0" encoding="utf-8"?>
<worksheet xmlns="http://schemas.openxmlformats.org/spreadsheetml/2006/main" xmlns:r="http://schemas.openxmlformats.org/officeDocument/2006/relationships">
  <sheetPr>
    <pageSetUpPr fitToPage="1"/>
  </sheetPr>
  <dimension ref="A1:P75"/>
  <sheetViews>
    <sheetView workbookViewId="0">
      <pane ySplit="11" topLeftCell="A56" activePane="bottomLeft" state="frozenSplit"/>
      <selection activeCell="I17" sqref="I17"/>
      <selection pane="bottomLeft" activeCell="J61" sqref="J61"/>
    </sheetView>
  </sheetViews>
  <sheetFormatPr defaultColWidth="11.5546875" defaultRowHeight="13.2"/>
  <cols>
    <col min="1" max="1" width="6.88671875" customWidth="1"/>
    <col min="2" max="2" width="4.5546875" customWidth="1"/>
    <col min="3" max="3" width="13.33203125" customWidth="1"/>
    <col min="4" max="4" width="34.109375" customWidth="1"/>
    <col min="5" max="5" width="4.33203125" customWidth="1"/>
    <col min="6" max="6" width="10.88671875" customWidth="1"/>
    <col min="7" max="7" width="12" customWidth="1"/>
    <col min="8" max="11" width="14.33203125" customWidth="1"/>
    <col min="12" max="12" width="11.6640625" customWidth="1"/>
    <col min="13" max="16" width="12.109375" hidden="1" customWidth="1"/>
  </cols>
  <sheetData>
    <row r="1" spans="1:16" ht="72.900000000000006" customHeight="1">
      <c r="A1" s="915" t="s">
        <v>2057</v>
      </c>
      <c r="B1" s="800"/>
      <c r="C1" s="800"/>
      <c r="D1" s="800"/>
      <c r="E1" s="800"/>
      <c r="F1" s="800"/>
      <c r="G1" s="800"/>
      <c r="H1" s="800"/>
      <c r="I1" s="800"/>
      <c r="J1" s="800"/>
      <c r="K1" s="800"/>
      <c r="L1" s="800"/>
    </row>
    <row r="2" spans="1:16">
      <c r="A2" s="801" t="s">
        <v>0</v>
      </c>
      <c r="B2" s="802"/>
      <c r="C2" s="802"/>
      <c r="D2" s="803" t="str">
        <f>'D1.1.+D1.2 - Stav+konstrukční'!D2</f>
        <v xml:space="preserve"> Dostavba ZŠ Mnichovice, 3. etapa, školní jídelna a kuchyň</v>
      </c>
      <c r="E2" s="806" t="s">
        <v>1933</v>
      </c>
      <c r="F2" s="802"/>
      <c r="G2" s="806" t="str">
        <f>'D1.1.+D1.2 - Stav+konstrukční'!G2</f>
        <v xml:space="preserve"> </v>
      </c>
      <c r="H2" s="802"/>
      <c r="I2" s="806" t="s">
        <v>1948</v>
      </c>
      <c r="J2" s="806" t="str">
        <f>'D1.1.+D1.2 - Stav+konstrukční'!I2</f>
        <v>Město Mnichovice, Masarykovo náměstí 83, 251 64 Mnichovice</v>
      </c>
      <c r="K2" s="802"/>
      <c r="L2" s="916"/>
      <c r="M2" s="37"/>
    </row>
    <row r="3" spans="1:16">
      <c r="A3" s="788"/>
      <c r="B3" s="765"/>
      <c r="C3" s="765"/>
      <c r="D3" s="805"/>
      <c r="E3" s="765"/>
      <c r="F3" s="765"/>
      <c r="G3" s="765"/>
      <c r="H3" s="765"/>
      <c r="I3" s="765"/>
      <c r="J3" s="765"/>
      <c r="K3" s="765"/>
      <c r="L3" s="793"/>
      <c r="M3" s="37"/>
    </row>
    <row r="4" spans="1:16">
      <c r="A4" s="787" t="s">
        <v>1</v>
      </c>
      <c r="B4" s="765"/>
      <c r="C4" s="765"/>
      <c r="D4" s="764" t="str">
        <f>'D1.1.+D1.2 - Stav+konstrukční'!D4</f>
        <v xml:space="preserve"> Školská stavba - občanská výstavba</v>
      </c>
      <c r="E4" s="764" t="s">
        <v>1934</v>
      </c>
      <c r="F4" s="765"/>
      <c r="G4" s="764">
        <f>'Krycí list rozpoctu'!C8</f>
        <v>0</v>
      </c>
      <c r="H4" s="765"/>
      <c r="I4" s="764" t="s">
        <v>1949</v>
      </c>
      <c r="J4" s="764" t="str">
        <f>'D1.1.+D1.2 - Stav+konstrukční'!I4</f>
        <v> ing. Tomáš Řičař</v>
      </c>
      <c r="K4" s="765"/>
      <c r="L4" s="793"/>
      <c r="M4" s="37"/>
    </row>
    <row r="5" spans="1:16">
      <c r="A5" s="788"/>
      <c r="B5" s="765"/>
      <c r="C5" s="765"/>
      <c r="D5" s="765"/>
      <c r="E5" s="765"/>
      <c r="F5" s="765"/>
      <c r="G5" s="765"/>
      <c r="H5" s="765"/>
      <c r="I5" s="765"/>
      <c r="J5" s="765"/>
      <c r="K5" s="765"/>
      <c r="L5" s="793"/>
      <c r="M5" s="37"/>
    </row>
    <row r="6" spans="1:16" s="414" customFormat="1" ht="13.2" customHeight="1">
      <c r="A6" s="787" t="s">
        <v>2</v>
      </c>
      <c r="B6" s="765"/>
      <c r="C6" s="765"/>
      <c r="D6" s="764" t="str">
        <f>'D1.1.+D1.2 - Stav+konstrukční'!D6</f>
        <v xml:space="preserve"> parc.č. 385/2, 1749, 68/3, 74/5, 74/3 a 3854/1, k.ú. Mnichovice</v>
      </c>
      <c r="E6" s="764" t="s">
        <v>1935</v>
      </c>
      <c r="F6" s="765"/>
      <c r="G6" s="764">
        <f>'Krycí list rozpoctu'!F8</f>
        <v>0</v>
      </c>
      <c r="H6" s="765"/>
      <c r="I6" s="764" t="s">
        <v>1950</v>
      </c>
      <c r="J6" s="914">
        <f>'Krycí list rozpoctu'!F6</f>
        <v>0</v>
      </c>
      <c r="K6" s="897"/>
      <c r="L6" s="898"/>
      <c r="M6" s="37"/>
    </row>
    <row r="7" spans="1:16" s="414" customFormat="1">
      <c r="A7" s="788"/>
      <c r="B7" s="765"/>
      <c r="C7" s="765"/>
      <c r="D7" s="765"/>
      <c r="E7" s="765"/>
      <c r="F7" s="765"/>
      <c r="G7" s="765"/>
      <c r="H7" s="765"/>
      <c r="I7" s="765"/>
      <c r="J7" s="897"/>
      <c r="K7" s="897"/>
      <c r="L7" s="898"/>
      <c r="M7" s="37"/>
    </row>
    <row r="8" spans="1:16">
      <c r="A8" s="787" t="s">
        <v>3</v>
      </c>
      <c r="B8" s="765"/>
      <c r="C8" s="765"/>
      <c r="D8" s="764">
        <f>'Krycí list rozpoctu'!C10</f>
        <v>0</v>
      </c>
      <c r="E8" s="764" t="s">
        <v>1936</v>
      </c>
      <c r="F8" s="765"/>
      <c r="G8" s="764" t="str">
        <f>'D1.1.+D1.2 - Stav+konstrukční'!G8</f>
        <v>23.06.2020</v>
      </c>
      <c r="H8" s="765"/>
      <c r="I8" s="764" t="s">
        <v>1951</v>
      </c>
      <c r="J8" s="764">
        <f>'Krycí list rozpoctu'!F10</f>
        <v>0</v>
      </c>
      <c r="K8" s="765"/>
      <c r="L8" s="793"/>
      <c r="M8" s="37"/>
    </row>
    <row r="9" spans="1:16">
      <c r="A9" s="909"/>
      <c r="B9" s="910"/>
      <c r="C9" s="910"/>
      <c r="D9" s="910"/>
      <c r="E9" s="910"/>
      <c r="F9" s="910"/>
      <c r="G9" s="910"/>
      <c r="H9" s="910"/>
      <c r="I9" s="910"/>
      <c r="J9" s="910"/>
      <c r="K9" s="910"/>
      <c r="L9" s="913"/>
      <c r="M9" s="37"/>
    </row>
    <row r="10" spans="1:16">
      <c r="A10" s="45" t="s">
        <v>4</v>
      </c>
      <c r="B10" s="45" t="s">
        <v>4</v>
      </c>
      <c r="C10" s="911" t="s">
        <v>4</v>
      </c>
      <c r="D10" s="908"/>
      <c r="E10" s="908"/>
      <c r="F10" s="908"/>
      <c r="G10" s="908"/>
      <c r="H10" s="912"/>
      <c r="I10" s="901" t="s">
        <v>3155</v>
      </c>
      <c r="J10" s="902"/>
      <c r="K10" s="903"/>
      <c r="L10" s="48" t="s">
        <v>1956</v>
      </c>
      <c r="M10" s="38"/>
    </row>
    <row r="11" spans="1:16">
      <c r="A11" s="18" t="s">
        <v>606</v>
      </c>
      <c r="B11" s="18" t="s">
        <v>607</v>
      </c>
      <c r="C11" s="904" t="s">
        <v>2049</v>
      </c>
      <c r="D11" s="905"/>
      <c r="E11" s="905"/>
      <c r="F11" s="905"/>
      <c r="G11" s="905"/>
      <c r="H11" s="906"/>
      <c r="I11" s="26" t="s">
        <v>1952</v>
      </c>
      <c r="J11" s="27" t="s">
        <v>1954</v>
      </c>
      <c r="K11" s="27" t="s">
        <v>1955</v>
      </c>
      <c r="L11" s="28" t="s">
        <v>1955</v>
      </c>
      <c r="M11" s="38"/>
    </row>
    <row r="12" spans="1:16">
      <c r="A12" s="46"/>
      <c r="B12" s="46"/>
      <c r="C12" s="907" t="s">
        <v>1219</v>
      </c>
      <c r="D12" s="908"/>
      <c r="E12" s="908"/>
      <c r="F12" s="908"/>
      <c r="G12" s="908"/>
      <c r="H12" s="908"/>
      <c r="I12" s="49">
        <f>'D1.1.+D1.2 - Stav+konstrukční'!H12</f>
        <v>0</v>
      </c>
      <c r="J12" s="49">
        <f>'D1.1.+D1.2 - Stav+konstrukční'!I12</f>
        <v>0</v>
      </c>
      <c r="K12" s="49">
        <f>'D1.1.+D1.2 - Stav+konstrukční'!J12</f>
        <v>0</v>
      </c>
      <c r="L12" s="49">
        <f>'D1.1.+D1.2 - Stav+konstrukční'!L12</f>
        <v>6671.0744886681996</v>
      </c>
      <c r="M12" s="39" t="s">
        <v>2055</v>
      </c>
      <c r="N12" s="39">
        <f t="shared" ref="N12:N43" si="0">IF(M12="F",0,K12)</f>
        <v>0</v>
      </c>
      <c r="O12" s="19"/>
      <c r="P12" s="39">
        <f t="shared" ref="P12:P43" si="1">IF(M12="T",0,K12)</f>
        <v>0</v>
      </c>
    </row>
    <row r="13" spans="1:16">
      <c r="A13" s="19"/>
      <c r="B13" s="19" t="s">
        <v>15</v>
      </c>
      <c r="C13" s="791" t="s">
        <v>1220</v>
      </c>
      <c r="D13" s="765"/>
      <c r="E13" s="765"/>
      <c r="F13" s="765"/>
      <c r="G13" s="765"/>
      <c r="H13" s="765"/>
      <c r="I13" s="39">
        <f>'D1.1.+D1.2 - Stav+konstrukční'!H13</f>
        <v>0</v>
      </c>
      <c r="J13" s="39">
        <f>'D1.1.+D1.2 - Stav+konstrukční'!I13</f>
        <v>0</v>
      </c>
      <c r="K13" s="39">
        <f>'D1.1.+D1.2 - Stav+konstrukční'!J13</f>
        <v>0</v>
      </c>
      <c r="L13" s="39">
        <f>'D1.1.+D1.2 - Stav+konstrukční'!L13</f>
        <v>93.135999999999996</v>
      </c>
      <c r="M13" s="39" t="s">
        <v>2056</v>
      </c>
      <c r="N13" s="39">
        <f t="shared" si="0"/>
        <v>0</v>
      </c>
      <c r="O13" s="19"/>
      <c r="P13" s="39">
        <f t="shared" si="1"/>
        <v>0</v>
      </c>
    </row>
    <row r="14" spans="1:16">
      <c r="A14" s="19"/>
      <c r="B14" s="19" t="s">
        <v>16</v>
      </c>
      <c r="C14" s="791" t="s">
        <v>1243</v>
      </c>
      <c r="D14" s="765"/>
      <c r="E14" s="765"/>
      <c r="F14" s="765"/>
      <c r="G14" s="765"/>
      <c r="H14" s="765"/>
      <c r="I14" s="39">
        <f>'D1.1.+D1.2 - Stav+konstrukční'!H42</f>
        <v>0</v>
      </c>
      <c r="J14" s="39">
        <f>'D1.1.+D1.2 - Stav+konstrukční'!I42</f>
        <v>0</v>
      </c>
      <c r="K14" s="39">
        <f>'D1.1.+D1.2 - Stav+konstrukční'!J42</f>
        <v>0</v>
      </c>
      <c r="L14" s="39">
        <f>'D1.1.+D1.2 - Stav+konstrukční'!L42</f>
        <v>0</v>
      </c>
      <c r="M14" s="39" t="s">
        <v>2056</v>
      </c>
      <c r="N14" s="39">
        <f t="shared" si="0"/>
        <v>0</v>
      </c>
      <c r="O14" s="19"/>
      <c r="P14" s="39">
        <f t="shared" si="1"/>
        <v>0</v>
      </c>
    </row>
    <row r="15" spans="1:16">
      <c r="A15" s="19"/>
      <c r="B15" s="19" t="s">
        <v>17</v>
      </c>
      <c r="C15" s="791" t="s">
        <v>1246</v>
      </c>
      <c r="D15" s="765"/>
      <c r="E15" s="765"/>
      <c r="F15" s="765"/>
      <c r="G15" s="765"/>
      <c r="H15" s="765"/>
      <c r="I15" s="39">
        <f>'D1.1.+D1.2 - Stav+konstrukční'!H45</f>
        <v>0</v>
      </c>
      <c r="J15" s="39">
        <f>'D1.1.+D1.2 - Stav+konstrukční'!I45</f>
        <v>0</v>
      </c>
      <c r="K15" s="39">
        <f>'D1.1.+D1.2 - Stav+konstrukční'!J45</f>
        <v>0</v>
      </c>
      <c r="L15" s="39">
        <f>'D1.1.+D1.2 - Stav+konstrukční'!L45</f>
        <v>0</v>
      </c>
      <c r="M15" s="39" t="s">
        <v>2056</v>
      </c>
      <c r="N15" s="39">
        <f t="shared" si="0"/>
        <v>0</v>
      </c>
      <c r="O15" s="19"/>
      <c r="P15" s="39">
        <f t="shared" si="1"/>
        <v>0</v>
      </c>
    </row>
    <row r="16" spans="1:16">
      <c r="A16" s="19"/>
      <c r="B16" s="19" t="s">
        <v>19</v>
      </c>
      <c r="C16" s="791" t="s">
        <v>1249</v>
      </c>
      <c r="D16" s="765"/>
      <c r="E16" s="765"/>
      <c r="F16" s="765"/>
      <c r="G16" s="765"/>
      <c r="H16" s="765"/>
      <c r="I16" s="39">
        <f>'D1.1.+D1.2 - Stav+konstrukční'!H48</f>
        <v>0</v>
      </c>
      <c r="J16" s="39">
        <f>'D1.1.+D1.2 - Stav+konstrukční'!I48</f>
        <v>0</v>
      </c>
      <c r="K16" s="39">
        <f>'D1.1.+D1.2 - Stav+konstrukční'!J48</f>
        <v>0</v>
      </c>
      <c r="L16" s="39">
        <f>'D1.1.+D1.2 - Stav+konstrukční'!L48</f>
        <v>18.745000000000001</v>
      </c>
      <c r="M16" s="39" t="s">
        <v>2056</v>
      </c>
      <c r="N16" s="39">
        <f t="shared" si="0"/>
        <v>0</v>
      </c>
      <c r="O16" s="19"/>
      <c r="P16" s="39">
        <f t="shared" si="1"/>
        <v>0</v>
      </c>
    </row>
    <row r="17" spans="1:16">
      <c r="A17" s="19"/>
      <c r="B17" s="19" t="s">
        <v>20</v>
      </c>
      <c r="C17" s="791" t="s">
        <v>1251</v>
      </c>
      <c r="D17" s="765"/>
      <c r="E17" s="765"/>
      <c r="F17" s="765"/>
      <c r="G17" s="765"/>
      <c r="H17" s="765"/>
      <c r="I17" s="39">
        <f>'D1.1.+D1.2 - Stav+konstrukční'!H50</f>
        <v>0</v>
      </c>
      <c r="J17" s="39">
        <f>'D1.1.+D1.2 - Stav+konstrukční'!I50</f>
        <v>0</v>
      </c>
      <c r="K17" s="39">
        <f>'D1.1.+D1.2 - Stav+konstrukční'!J50</f>
        <v>0</v>
      </c>
      <c r="L17" s="39">
        <f>'D1.1.+D1.2 - Stav+konstrukční'!L50</f>
        <v>0</v>
      </c>
      <c r="M17" s="39" t="s">
        <v>2056</v>
      </c>
      <c r="N17" s="39">
        <f t="shared" si="0"/>
        <v>0</v>
      </c>
      <c r="O17" s="19"/>
      <c r="P17" s="39">
        <f t="shared" si="1"/>
        <v>0</v>
      </c>
    </row>
    <row r="18" spans="1:16">
      <c r="A18" s="19"/>
      <c r="B18" s="19" t="s">
        <v>21</v>
      </c>
      <c r="C18" s="791" t="s">
        <v>1254</v>
      </c>
      <c r="D18" s="765"/>
      <c r="E18" s="765"/>
      <c r="F18" s="765"/>
      <c r="G18" s="765"/>
      <c r="H18" s="765"/>
      <c r="I18" s="39">
        <f>'D1.1.+D1.2 - Stav+konstrukční'!H53</f>
        <v>0</v>
      </c>
      <c r="J18" s="39">
        <f>'D1.1.+D1.2 - Stav+konstrukční'!I53</f>
        <v>0</v>
      </c>
      <c r="K18" s="39">
        <f>'D1.1.+D1.2 - Stav+konstrukční'!J53</f>
        <v>0</v>
      </c>
      <c r="L18" s="39">
        <f>'D1.1.+D1.2 - Stav+konstrukční'!L53</f>
        <v>0</v>
      </c>
      <c r="M18" s="39" t="s">
        <v>2056</v>
      </c>
      <c r="N18" s="39">
        <f t="shared" si="0"/>
        <v>0</v>
      </c>
      <c r="O18" s="19"/>
      <c r="P18" s="39">
        <f t="shared" si="1"/>
        <v>0</v>
      </c>
    </row>
    <row r="19" spans="1:16">
      <c r="A19" s="19"/>
      <c r="B19" s="19" t="s">
        <v>25</v>
      </c>
      <c r="C19" s="791" t="s">
        <v>1257</v>
      </c>
      <c r="D19" s="765"/>
      <c r="E19" s="765"/>
      <c r="F19" s="765"/>
      <c r="G19" s="765"/>
      <c r="H19" s="765"/>
      <c r="I19" s="39">
        <f>'D1.1.+D1.2 - Stav+konstrukční'!H56</f>
        <v>0</v>
      </c>
      <c r="J19" s="39">
        <f>'D1.1.+D1.2 - Stav+konstrukční'!I56</f>
        <v>0</v>
      </c>
      <c r="K19" s="39">
        <f>'D1.1.+D1.2 - Stav+konstrukční'!J56</f>
        <v>0</v>
      </c>
      <c r="L19" s="39">
        <f>'D1.1.+D1.2 - Stav+konstrukční'!L56</f>
        <v>75.959799999999987</v>
      </c>
      <c r="M19" s="39" t="s">
        <v>2056</v>
      </c>
      <c r="N19" s="39">
        <f t="shared" si="0"/>
        <v>0</v>
      </c>
      <c r="O19" s="19"/>
      <c r="P19" s="39">
        <f t="shared" si="1"/>
        <v>0</v>
      </c>
    </row>
    <row r="20" spans="1:16">
      <c r="A20" s="19"/>
      <c r="B20" s="19" t="s">
        <v>26</v>
      </c>
      <c r="C20" s="791" t="s">
        <v>1262</v>
      </c>
      <c r="D20" s="765"/>
      <c r="E20" s="765"/>
      <c r="F20" s="765"/>
      <c r="G20" s="765"/>
      <c r="H20" s="765"/>
      <c r="I20" s="39">
        <f>'D1.1.+D1.2 - Stav+konstrukční'!H61</f>
        <v>0</v>
      </c>
      <c r="J20" s="39">
        <f>'D1.1.+D1.2 - Stav+konstrukční'!I61</f>
        <v>0</v>
      </c>
      <c r="K20" s="39">
        <f>'D1.1.+D1.2 - Stav+konstrukční'!J61</f>
        <v>0</v>
      </c>
      <c r="L20" s="39">
        <f>'D1.1.+D1.2 - Stav+konstrukční'!L61</f>
        <v>613.05057654999996</v>
      </c>
      <c r="M20" s="39" t="s">
        <v>2056</v>
      </c>
      <c r="N20" s="39">
        <f t="shared" si="0"/>
        <v>0</v>
      </c>
      <c r="O20" s="19"/>
      <c r="P20" s="39">
        <f t="shared" si="1"/>
        <v>0</v>
      </c>
    </row>
    <row r="21" spans="1:16">
      <c r="A21" s="19"/>
      <c r="B21" s="19" t="s">
        <v>30</v>
      </c>
      <c r="C21" s="791" t="s">
        <v>1266</v>
      </c>
      <c r="D21" s="765"/>
      <c r="E21" s="765"/>
      <c r="F21" s="765"/>
      <c r="G21" s="765"/>
      <c r="H21" s="765"/>
      <c r="I21" s="39">
        <f>'D1.1.+D1.2 - Stav+konstrukční'!H65</f>
        <v>0</v>
      </c>
      <c r="J21" s="39">
        <f>'D1.1.+D1.2 - Stav+konstrukční'!I65</f>
        <v>0</v>
      </c>
      <c r="K21" s="39">
        <f>'D1.1.+D1.2 - Stav+konstrukční'!J65</f>
        <v>0</v>
      </c>
      <c r="L21" s="39">
        <f>'D1.1.+D1.2 - Stav+konstrukční'!L65</f>
        <v>30.364739999999998</v>
      </c>
      <c r="M21" s="39" t="s">
        <v>2056</v>
      </c>
      <c r="N21" s="39">
        <f t="shared" si="0"/>
        <v>0</v>
      </c>
      <c r="O21" s="19"/>
      <c r="P21" s="39">
        <f t="shared" si="1"/>
        <v>0</v>
      </c>
    </row>
    <row r="22" spans="1:16">
      <c r="A22" s="19"/>
      <c r="B22" s="19" t="s">
        <v>31</v>
      </c>
      <c r="C22" s="791" t="s">
        <v>1268</v>
      </c>
      <c r="D22" s="765"/>
      <c r="E22" s="765"/>
      <c r="F22" s="765"/>
      <c r="G22" s="765"/>
      <c r="H22" s="765"/>
      <c r="I22" s="39">
        <f>'D1.1.+D1.2 - Stav+konstrukční'!H67</f>
        <v>0</v>
      </c>
      <c r="J22" s="39">
        <f>'D1.1.+D1.2 - Stav+konstrukční'!I67</f>
        <v>0</v>
      </c>
      <c r="K22" s="39">
        <f>'D1.1.+D1.2 - Stav+konstrukční'!J67</f>
        <v>0</v>
      </c>
      <c r="L22" s="39">
        <f>'D1.1.+D1.2 - Stav+konstrukční'!L67</f>
        <v>448.14484965999992</v>
      </c>
      <c r="M22" s="39" t="s">
        <v>2056</v>
      </c>
      <c r="N22" s="39">
        <f t="shared" si="0"/>
        <v>0</v>
      </c>
      <c r="O22" s="19"/>
      <c r="P22" s="39">
        <f t="shared" si="1"/>
        <v>0</v>
      </c>
    </row>
    <row r="23" spans="1:16">
      <c r="A23" s="19"/>
      <c r="B23" s="19" t="s">
        <v>32</v>
      </c>
      <c r="C23" s="791" t="s">
        <v>1289</v>
      </c>
      <c r="D23" s="765"/>
      <c r="E23" s="765"/>
      <c r="F23" s="765"/>
      <c r="G23" s="765"/>
      <c r="H23" s="765"/>
      <c r="I23" s="39">
        <f>'D1.1.+D1.2 - Stav+konstrukční'!H91</f>
        <v>0</v>
      </c>
      <c r="J23" s="39">
        <f>'D1.1.+D1.2 - Stav+konstrukční'!I91</f>
        <v>0</v>
      </c>
      <c r="K23" s="39">
        <f>'D1.1.+D1.2 - Stav+konstrukční'!J91</f>
        <v>0</v>
      </c>
      <c r="L23" s="39">
        <f>'D1.1.+D1.2 - Stav+konstrukční'!L91</f>
        <v>7.0199999999999999E-2</v>
      </c>
      <c r="M23" s="39" t="s">
        <v>2056</v>
      </c>
      <c r="N23" s="39">
        <f t="shared" si="0"/>
        <v>0</v>
      </c>
      <c r="O23" s="19"/>
      <c r="P23" s="39">
        <f t="shared" si="1"/>
        <v>0</v>
      </c>
    </row>
    <row r="24" spans="1:16">
      <c r="A24" s="19"/>
      <c r="B24" s="19" t="s">
        <v>35</v>
      </c>
      <c r="C24" s="791" t="s">
        <v>1293</v>
      </c>
      <c r="D24" s="765"/>
      <c r="E24" s="765"/>
      <c r="F24" s="765"/>
      <c r="G24" s="765"/>
      <c r="H24" s="765"/>
      <c r="I24" s="39">
        <f>'D1.1.+D1.2 - Stav+konstrukční'!H95</f>
        <v>0</v>
      </c>
      <c r="J24" s="39">
        <f>'D1.1.+D1.2 - Stav+konstrukční'!I95</f>
        <v>0</v>
      </c>
      <c r="K24" s="39">
        <f>'D1.1.+D1.2 - Stav+konstrukční'!J95</f>
        <v>0</v>
      </c>
      <c r="L24" s="39">
        <f>'D1.1.+D1.2 - Stav+konstrukční'!L95</f>
        <v>893.74538371909989</v>
      </c>
      <c r="M24" s="39" t="s">
        <v>2056</v>
      </c>
      <c r="N24" s="39">
        <f t="shared" si="0"/>
        <v>0</v>
      </c>
      <c r="O24" s="19"/>
      <c r="P24" s="39">
        <f t="shared" si="1"/>
        <v>0</v>
      </c>
    </row>
    <row r="25" spans="1:16">
      <c r="A25" s="19"/>
      <c r="B25" s="19" t="s">
        <v>36</v>
      </c>
      <c r="C25" s="791" t="s">
        <v>1327</v>
      </c>
      <c r="D25" s="765"/>
      <c r="E25" s="765"/>
      <c r="F25" s="765"/>
      <c r="G25" s="765"/>
      <c r="H25" s="765"/>
      <c r="I25" s="39">
        <f>'D1.1.+D1.2 - Stav+konstrukční'!H131</f>
        <v>0</v>
      </c>
      <c r="J25" s="39">
        <f>'D1.1.+D1.2 - Stav+konstrukční'!I131</f>
        <v>0</v>
      </c>
      <c r="K25" s="39">
        <f>'D1.1.+D1.2 - Stav+konstrukční'!J131</f>
        <v>0</v>
      </c>
      <c r="L25" s="39">
        <f>'D1.1.+D1.2 - Stav+konstrukční'!L131</f>
        <v>126.97306786210001</v>
      </c>
      <c r="M25" s="39" t="s">
        <v>2056</v>
      </c>
      <c r="N25" s="39">
        <f t="shared" si="0"/>
        <v>0</v>
      </c>
      <c r="O25" s="19"/>
      <c r="P25" s="39">
        <f t="shared" si="1"/>
        <v>0</v>
      </c>
    </row>
    <row r="26" spans="1:16">
      <c r="A26" s="19"/>
      <c r="B26" s="19" t="s">
        <v>37</v>
      </c>
      <c r="C26" s="791" t="s">
        <v>1332</v>
      </c>
      <c r="D26" s="765"/>
      <c r="E26" s="765"/>
      <c r="F26" s="765"/>
      <c r="G26" s="765"/>
      <c r="H26" s="765"/>
      <c r="I26" s="39">
        <f>'D1.1.+D1.2 - Stav+konstrukční'!H136</f>
        <v>0</v>
      </c>
      <c r="J26" s="39">
        <f>'D1.1.+D1.2 - Stav+konstrukční'!I136</f>
        <v>0</v>
      </c>
      <c r="K26" s="39">
        <f>'D1.1.+D1.2 - Stav+konstrukční'!J136</f>
        <v>0</v>
      </c>
      <c r="L26" s="39">
        <f>'D1.1.+D1.2 - Stav+konstrukční'!L136</f>
        <v>84.212654450600013</v>
      </c>
      <c r="M26" s="39" t="s">
        <v>2056</v>
      </c>
      <c r="N26" s="39">
        <f t="shared" si="0"/>
        <v>0</v>
      </c>
      <c r="O26" s="19"/>
      <c r="P26" s="39">
        <f t="shared" si="1"/>
        <v>0</v>
      </c>
    </row>
    <row r="27" spans="1:16">
      <c r="A27" s="19"/>
      <c r="B27" s="19" t="s">
        <v>38</v>
      </c>
      <c r="C27" s="791" t="s">
        <v>1343</v>
      </c>
      <c r="D27" s="765"/>
      <c r="E27" s="765"/>
      <c r="F27" s="765"/>
      <c r="G27" s="765"/>
      <c r="H27" s="765"/>
      <c r="I27" s="39">
        <f>'D1.1.+D1.2 - Stav+konstrukční'!H147</f>
        <v>0</v>
      </c>
      <c r="J27" s="39">
        <f>'D1.1.+D1.2 - Stav+konstrukční'!I147</f>
        <v>0</v>
      </c>
      <c r="K27" s="39">
        <f>'D1.1.+D1.2 - Stav+konstrukční'!J147</f>
        <v>0</v>
      </c>
      <c r="L27" s="39">
        <f>'D1.1.+D1.2 - Stav+konstrukční'!L147</f>
        <v>144.11198893650001</v>
      </c>
      <c r="M27" s="39" t="s">
        <v>2056</v>
      </c>
      <c r="N27" s="39">
        <f t="shared" si="0"/>
        <v>0</v>
      </c>
      <c r="O27" s="19"/>
      <c r="P27" s="39">
        <f t="shared" si="1"/>
        <v>0</v>
      </c>
    </row>
    <row r="28" spans="1:16">
      <c r="A28" s="19"/>
      <c r="B28" s="19" t="s">
        <v>42</v>
      </c>
      <c r="C28" s="791" t="s">
        <v>1360</v>
      </c>
      <c r="D28" s="765"/>
      <c r="E28" s="765"/>
      <c r="F28" s="765"/>
      <c r="G28" s="765"/>
      <c r="H28" s="765"/>
      <c r="I28" s="39">
        <f>'D1.1.+D1.2 - Stav+konstrukční'!H165</f>
        <v>0</v>
      </c>
      <c r="J28" s="39">
        <f>'D1.1.+D1.2 - Stav+konstrukční'!I165</f>
        <v>0</v>
      </c>
      <c r="K28" s="39">
        <f>'D1.1.+D1.2 - Stav+konstrukční'!J165</f>
        <v>0</v>
      </c>
      <c r="L28" s="39">
        <f>'D1.1.+D1.2 - Stav+konstrukční'!L165</f>
        <v>104.96544254849999</v>
      </c>
      <c r="M28" s="39" t="s">
        <v>2056</v>
      </c>
      <c r="N28" s="39">
        <f t="shared" si="0"/>
        <v>0</v>
      </c>
      <c r="O28" s="19"/>
      <c r="P28" s="39">
        <f t="shared" si="1"/>
        <v>0</v>
      </c>
    </row>
    <row r="29" spans="1:16">
      <c r="A29" s="19"/>
      <c r="B29" s="19" t="s">
        <v>45</v>
      </c>
      <c r="C29" s="791" t="s">
        <v>1367</v>
      </c>
      <c r="D29" s="765"/>
      <c r="E29" s="765"/>
      <c r="F29" s="765"/>
      <c r="G29" s="765"/>
      <c r="H29" s="765"/>
      <c r="I29" s="39">
        <f>'D1.1.+D1.2 - Stav+konstrukční'!H173</f>
        <v>0</v>
      </c>
      <c r="J29" s="39">
        <f>'D1.1.+D1.2 - Stav+konstrukční'!I173</f>
        <v>0</v>
      </c>
      <c r="K29" s="39">
        <f>'D1.1.+D1.2 - Stav+konstrukční'!J173</f>
        <v>0</v>
      </c>
      <c r="L29" s="39">
        <f>'D1.1.+D1.2 - Stav+konstrukční'!L173</f>
        <v>1065.7771050660997</v>
      </c>
      <c r="M29" s="39" t="s">
        <v>2056</v>
      </c>
      <c r="N29" s="39">
        <f t="shared" si="0"/>
        <v>0</v>
      </c>
      <c r="O29" s="19"/>
      <c r="P29" s="39">
        <f t="shared" si="1"/>
        <v>0</v>
      </c>
    </row>
    <row r="30" spans="1:16">
      <c r="A30" s="19"/>
      <c r="B30" s="19" t="s">
        <v>47</v>
      </c>
      <c r="C30" s="791" t="s">
        <v>1396</v>
      </c>
      <c r="D30" s="765"/>
      <c r="E30" s="765"/>
      <c r="F30" s="765"/>
      <c r="G30" s="765"/>
      <c r="H30" s="765"/>
      <c r="I30" s="39">
        <f>'D1.1.+D1.2 - Stav+konstrukční'!H203</f>
        <v>0</v>
      </c>
      <c r="J30" s="39">
        <f>'D1.1.+D1.2 - Stav+konstrukční'!I203</f>
        <v>0</v>
      </c>
      <c r="K30" s="39">
        <f>'D1.1.+D1.2 - Stav+konstrukční'!J203</f>
        <v>0</v>
      </c>
      <c r="L30" s="39">
        <f>'D1.1.+D1.2 - Stav+konstrukční'!L203</f>
        <v>83.134877180300009</v>
      </c>
      <c r="M30" s="39" t="s">
        <v>2056</v>
      </c>
      <c r="N30" s="39">
        <f t="shared" si="0"/>
        <v>0</v>
      </c>
      <c r="O30" s="19"/>
      <c r="P30" s="39">
        <f t="shared" si="1"/>
        <v>0</v>
      </c>
    </row>
    <row r="31" spans="1:16">
      <c r="A31" s="19"/>
      <c r="B31" s="19" t="s">
        <v>49</v>
      </c>
      <c r="C31" s="791" t="s">
        <v>1406</v>
      </c>
      <c r="D31" s="765"/>
      <c r="E31" s="765"/>
      <c r="F31" s="765"/>
      <c r="G31" s="765"/>
      <c r="H31" s="765"/>
      <c r="I31" s="39">
        <f>'D1.1.+D1.2 - Stav+konstrukční'!H213</f>
        <v>0</v>
      </c>
      <c r="J31" s="39">
        <f>'D1.1.+D1.2 - Stav+konstrukční'!I213</f>
        <v>0</v>
      </c>
      <c r="K31" s="39">
        <f>'D1.1.+D1.2 - Stav+konstrukční'!J213</f>
        <v>0</v>
      </c>
      <c r="L31" s="39">
        <f>'D1.1.+D1.2 - Stav+konstrukční'!L213</f>
        <v>187.38489412500002</v>
      </c>
      <c r="M31" s="39" t="s">
        <v>2056</v>
      </c>
      <c r="N31" s="39">
        <f t="shared" si="0"/>
        <v>0</v>
      </c>
      <c r="O31" s="19"/>
      <c r="P31" s="39">
        <f t="shared" si="1"/>
        <v>0</v>
      </c>
    </row>
    <row r="32" spans="1:16">
      <c r="A32" s="19"/>
      <c r="B32" s="19" t="s">
        <v>63</v>
      </c>
      <c r="C32" s="791" t="s">
        <v>1408</v>
      </c>
      <c r="D32" s="765"/>
      <c r="E32" s="765"/>
      <c r="F32" s="765"/>
      <c r="G32" s="765"/>
      <c r="H32" s="765"/>
      <c r="I32" s="39">
        <f>'D1.1.+D1.2 - Stav+konstrukční'!H215</f>
        <v>0</v>
      </c>
      <c r="J32" s="39">
        <f>'D1.1.+D1.2 - Stav+konstrukční'!I215</f>
        <v>0</v>
      </c>
      <c r="K32" s="39">
        <f>'D1.1.+D1.2 - Stav+konstrukční'!J215</f>
        <v>0</v>
      </c>
      <c r="L32" s="39">
        <f>'D1.1.+D1.2 - Stav+konstrukční'!L215</f>
        <v>6.3279300000000003</v>
      </c>
      <c r="M32" s="39" t="s">
        <v>2056</v>
      </c>
      <c r="N32" s="39">
        <f t="shared" si="0"/>
        <v>0</v>
      </c>
      <c r="O32" s="19"/>
      <c r="P32" s="39">
        <f t="shared" si="1"/>
        <v>0</v>
      </c>
    </row>
    <row r="33" spans="1:16">
      <c r="A33" s="19"/>
      <c r="B33" s="19" t="s">
        <v>64</v>
      </c>
      <c r="C33" s="791" t="s">
        <v>1413</v>
      </c>
      <c r="D33" s="765"/>
      <c r="E33" s="765"/>
      <c r="F33" s="765"/>
      <c r="G33" s="765"/>
      <c r="H33" s="765"/>
      <c r="I33" s="39">
        <f>'D1.1.+D1.2 - Stav+konstrukční'!H220</f>
        <v>0</v>
      </c>
      <c r="J33" s="39">
        <f>'D1.1.+D1.2 - Stav+konstrukční'!I220</f>
        <v>0</v>
      </c>
      <c r="K33" s="39">
        <f>'D1.1.+D1.2 - Stav+konstrukční'!J220</f>
        <v>0</v>
      </c>
      <c r="L33" s="39">
        <f>'D1.1.+D1.2 - Stav+konstrukční'!L220</f>
        <v>2.6311791344</v>
      </c>
      <c r="M33" s="39" t="s">
        <v>2056</v>
      </c>
      <c r="N33" s="39">
        <f t="shared" si="0"/>
        <v>0</v>
      </c>
      <c r="O33" s="19"/>
      <c r="P33" s="39">
        <f t="shared" si="1"/>
        <v>0</v>
      </c>
    </row>
    <row r="34" spans="1:16">
      <c r="A34" s="19"/>
      <c r="B34" s="19" t="s">
        <v>65</v>
      </c>
      <c r="C34" s="791" t="s">
        <v>1418</v>
      </c>
      <c r="D34" s="765"/>
      <c r="E34" s="765"/>
      <c r="F34" s="765"/>
      <c r="G34" s="765"/>
      <c r="H34" s="765"/>
      <c r="I34" s="39">
        <f>'D1.1.+D1.2 - Stav+konstrukční'!H225</f>
        <v>0</v>
      </c>
      <c r="J34" s="39">
        <f>'D1.1.+D1.2 - Stav+konstrukční'!I225</f>
        <v>0</v>
      </c>
      <c r="K34" s="39">
        <f>'D1.1.+D1.2 - Stav+konstrukční'!J225</f>
        <v>0</v>
      </c>
      <c r="L34" s="39">
        <f>'D1.1.+D1.2 - Stav+konstrukční'!L225</f>
        <v>39.51272907060001</v>
      </c>
      <c r="M34" s="39" t="s">
        <v>2056</v>
      </c>
      <c r="N34" s="39">
        <f t="shared" si="0"/>
        <v>0</v>
      </c>
      <c r="O34" s="19"/>
      <c r="P34" s="39">
        <f t="shared" si="1"/>
        <v>0</v>
      </c>
    </row>
    <row r="35" spans="1:16">
      <c r="A35" s="19"/>
      <c r="B35" s="19" t="s">
        <v>66</v>
      </c>
      <c r="C35" s="791" t="s">
        <v>1428</v>
      </c>
      <c r="D35" s="765"/>
      <c r="E35" s="765"/>
      <c r="F35" s="765"/>
      <c r="G35" s="765"/>
      <c r="H35" s="765"/>
      <c r="I35" s="39">
        <f>'D1.1.+D1.2 - Stav+konstrukční'!H236</f>
        <v>0</v>
      </c>
      <c r="J35" s="39">
        <f>'D1.1.+D1.2 - Stav+konstrukční'!I236</f>
        <v>0</v>
      </c>
      <c r="K35" s="39">
        <f>'D1.1.+D1.2 - Stav+konstrukční'!J236</f>
        <v>0</v>
      </c>
      <c r="L35" s="39">
        <f>'D1.1.+D1.2 - Stav+konstrukční'!L236</f>
        <v>7.8193894740000012</v>
      </c>
      <c r="M35" s="39" t="s">
        <v>2056</v>
      </c>
      <c r="N35" s="39">
        <f t="shared" si="0"/>
        <v>0</v>
      </c>
      <c r="O35" s="19"/>
      <c r="P35" s="39">
        <f t="shared" si="1"/>
        <v>0</v>
      </c>
    </row>
    <row r="36" spans="1:16">
      <c r="A36" s="19"/>
      <c r="B36" s="19" t="s">
        <v>67</v>
      </c>
      <c r="C36" s="791" t="s">
        <v>1448</v>
      </c>
      <c r="D36" s="765"/>
      <c r="E36" s="765"/>
      <c r="F36" s="765"/>
      <c r="G36" s="765"/>
      <c r="H36" s="765"/>
      <c r="I36" s="39">
        <f>'D1.1.+D1.2 - Stav+konstrukční'!H259</f>
        <v>0</v>
      </c>
      <c r="J36" s="39">
        <f>'D1.1.+D1.2 - Stav+konstrukční'!I259</f>
        <v>0</v>
      </c>
      <c r="K36" s="39">
        <f>'D1.1.+D1.2 - Stav+konstrukční'!J259</f>
        <v>0</v>
      </c>
      <c r="L36" s="39">
        <f>'D1.1.+D1.2 - Stav+konstrukční'!L259</f>
        <v>670.39696997999988</v>
      </c>
      <c r="M36" s="39" t="s">
        <v>2056</v>
      </c>
      <c r="N36" s="39">
        <f t="shared" si="0"/>
        <v>0</v>
      </c>
      <c r="O36" s="19"/>
      <c r="P36" s="39">
        <f t="shared" si="1"/>
        <v>0</v>
      </c>
    </row>
    <row r="37" spans="1:16">
      <c r="A37" s="19"/>
      <c r="B37" s="19" t="s">
        <v>91</v>
      </c>
      <c r="C37" s="791" t="s">
        <v>1475</v>
      </c>
      <c r="D37" s="765"/>
      <c r="E37" s="765"/>
      <c r="F37" s="765"/>
      <c r="G37" s="765"/>
      <c r="H37" s="765"/>
      <c r="I37" s="39">
        <f>'D1.1.+D1.2 - Stav+konstrukční'!H288</f>
        <v>0</v>
      </c>
      <c r="J37" s="39">
        <f>'D1.1.+D1.2 - Stav+konstrukční'!I288</f>
        <v>0</v>
      </c>
      <c r="K37" s="39">
        <f>'D1.1.+D1.2 - Stav+konstrukční'!J288</f>
        <v>0</v>
      </c>
      <c r="L37" s="39">
        <f>'D1.1.+D1.2 - Stav+konstrukční'!L288</f>
        <v>62.906030309999998</v>
      </c>
      <c r="M37" s="39" t="s">
        <v>2056</v>
      </c>
      <c r="N37" s="39">
        <f t="shared" si="0"/>
        <v>0</v>
      </c>
      <c r="O37" s="19"/>
      <c r="P37" s="39">
        <f t="shared" si="1"/>
        <v>0</v>
      </c>
    </row>
    <row r="38" spans="1:16">
      <c r="A38" s="19"/>
      <c r="B38" s="19" t="s">
        <v>97</v>
      </c>
      <c r="C38" s="791" t="s">
        <v>1485</v>
      </c>
      <c r="D38" s="765"/>
      <c r="E38" s="765"/>
      <c r="F38" s="765"/>
      <c r="G38" s="765"/>
      <c r="H38" s="765"/>
      <c r="I38" s="39">
        <f>'D1.1.+D1.2 - Stav+konstrukční'!H298</f>
        <v>0</v>
      </c>
      <c r="J38" s="39">
        <f>'D1.1.+D1.2 - Stav+konstrukční'!I298</f>
        <v>0</v>
      </c>
      <c r="K38" s="39">
        <f>'D1.1.+D1.2 - Stav+konstrukční'!J298</f>
        <v>0</v>
      </c>
      <c r="L38" s="39">
        <f>'D1.1.+D1.2 - Stav+konstrukční'!L298</f>
        <v>4.0510679999999997E-3</v>
      </c>
      <c r="M38" s="39" t="s">
        <v>2056</v>
      </c>
      <c r="N38" s="39">
        <f t="shared" si="0"/>
        <v>0</v>
      </c>
      <c r="O38" s="19"/>
      <c r="P38" s="39">
        <f t="shared" si="1"/>
        <v>0</v>
      </c>
    </row>
    <row r="39" spans="1:16">
      <c r="A39" s="19"/>
      <c r="B39" s="19" t="s">
        <v>98</v>
      </c>
      <c r="C39" s="791" t="s">
        <v>1487</v>
      </c>
      <c r="D39" s="765"/>
      <c r="E39" s="765"/>
      <c r="F39" s="765"/>
      <c r="G39" s="765"/>
      <c r="H39" s="765"/>
      <c r="I39" s="39">
        <f>'D1.1.+D1.2 - Stav+konstrukční'!H300</f>
        <v>0</v>
      </c>
      <c r="J39" s="39">
        <f>'D1.1.+D1.2 - Stav+konstrukční'!I300</f>
        <v>0</v>
      </c>
      <c r="K39" s="39">
        <f>'D1.1.+D1.2 - Stav+konstrukční'!J300</f>
        <v>0</v>
      </c>
      <c r="L39" s="39">
        <f>'D1.1.+D1.2 - Stav+konstrukční'!L300</f>
        <v>30.660017</v>
      </c>
      <c r="M39" s="39" t="s">
        <v>2056</v>
      </c>
      <c r="N39" s="39">
        <f t="shared" si="0"/>
        <v>0</v>
      </c>
      <c r="O39" s="19"/>
      <c r="P39" s="39">
        <f t="shared" si="1"/>
        <v>0</v>
      </c>
    </row>
    <row r="40" spans="1:16">
      <c r="A40" s="19"/>
      <c r="B40" s="19" t="s">
        <v>99</v>
      </c>
      <c r="C40" s="791" t="s">
        <v>1496</v>
      </c>
      <c r="D40" s="765"/>
      <c r="E40" s="765"/>
      <c r="F40" s="765"/>
      <c r="G40" s="765"/>
      <c r="H40" s="765"/>
      <c r="I40" s="39">
        <f>'D1.1.+D1.2 - Stav+konstrukční'!H309</f>
        <v>0</v>
      </c>
      <c r="J40" s="39">
        <f>'D1.1.+D1.2 - Stav+konstrukční'!I309</f>
        <v>0</v>
      </c>
      <c r="K40" s="39">
        <f>'D1.1.+D1.2 - Stav+konstrukční'!J309</f>
        <v>0</v>
      </c>
      <c r="L40" s="39">
        <f>'D1.1.+D1.2 - Stav+konstrukční'!L309</f>
        <v>10.412748839999999</v>
      </c>
      <c r="M40" s="39" t="s">
        <v>2056</v>
      </c>
      <c r="N40" s="39">
        <f t="shared" si="0"/>
        <v>0</v>
      </c>
      <c r="O40" s="19"/>
      <c r="P40" s="39">
        <f t="shared" si="1"/>
        <v>0</v>
      </c>
    </row>
    <row r="41" spans="1:16">
      <c r="A41" s="19"/>
      <c r="B41" s="19" t="s">
        <v>100</v>
      </c>
      <c r="C41" s="791" t="s">
        <v>1507</v>
      </c>
      <c r="D41" s="765"/>
      <c r="E41" s="765"/>
      <c r="F41" s="765"/>
      <c r="G41" s="765"/>
      <c r="H41" s="765"/>
      <c r="I41" s="39">
        <f>'D1.1.+D1.2 - Stav+konstrukční'!H320</f>
        <v>0</v>
      </c>
      <c r="J41" s="39">
        <f>'D1.1.+D1.2 - Stav+konstrukční'!I320</f>
        <v>0</v>
      </c>
      <c r="K41" s="39">
        <f>'D1.1.+D1.2 - Stav+konstrukční'!J320</f>
        <v>0</v>
      </c>
      <c r="L41" s="39">
        <f>'D1.1.+D1.2 - Stav+konstrukční'!L320</f>
        <v>552.43693658619998</v>
      </c>
      <c r="M41" s="39" t="s">
        <v>2056</v>
      </c>
      <c r="N41" s="39">
        <f t="shared" si="0"/>
        <v>0</v>
      </c>
      <c r="O41" s="19"/>
      <c r="P41" s="39">
        <f t="shared" si="1"/>
        <v>0</v>
      </c>
    </row>
    <row r="42" spans="1:16">
      <c r="A42" s="19"/>
      <c r="B42" s="19" t="s">
        <v>101</v>
      </c>
      <c r="C42" s="791" t="s">
        <v>1526</v>
      </c>
      <c r="D42" s="765"/>
      <c r="E42" s="765"/>
      <c r="F42" s="765"/>
      <c r="G42" s="765"/>
      <c r="H42" s="765"/>
      <c r="I42" s="39">
        <f>'D1.1.+D1.2 - Stav+konstrukční'!H339</f>
        <v>0</v>
      </c>
      <c r="J42" s="39">
        <f>'D1.1.+D1.2 - Stav+konstrukční'!I339</f>
        <v>0</v>
      </c>
      <c r="K42" s="39">
        <f>'D1.1.+D1.2 - Stav+konstrukční'!J339</f>
        <v>0</v>
      </c>
      <c r="L42" s="39">
        <f>'D1.1.+D1.2 - Stav+konstrukční'!L339</f>
        <v>0.75394249999999996</v>
      </c>
      <c r="M42" s="39" t="s">
        <v>2056</v>
      </c>
      <c r="N42" s="39">
        <f t="shared" si="0"/>
        <v>0</v>
      </c>
      <c r="O42" s="19"/>
      <c r="P42" s="39">
        <f t="shared" si="1"/>
        <v>0</v>
      </c>
    </row>
    <row r="43" spans="1:16">
      <c r="A43" s="19"/>
      <c r="B43" s="19" t="s">
        <v>102</v>
      </c>
      <c r="C43" s="791" t="s">
        <v>1530</v>
      </c>
      <c r="D43" s="765"/>
      <c r="E43" s="765"/>
      <c r="F43" s="765"/>
      <c r="G43" s="765"/>
      <c r="H43" s="765"/>
      <c r="I43" s="39">
        <f>'D1.1.+D1.2 - Stav+konstrukční'!H343</f>
        <v>0</v>
      </c>
      <c r="J43" s="39">
        <f>'D1.1.+D1.2 - Stav+konstrukční'!I343</f>
        <v>0</v>
      </c>
      <c r="K43" s="39">
        <f>'D1.1.+D1.2 - Stav+konstrukční'!J343</f>
        <v>0</v>
      </c>
      <c r="L43" s="39">
        <f>'D1.1.+D1.2 - Stav+konstrukční'!L343</f>
        <v>1317.4359846068</v>
      </c>
      <c r="M43" s="39" t="s">
        <v>2056</v>
      </c>
      <c r="N43" s="39">
        <f t="shared" si="0"/>
        <v>0</v>
      </c>
      <c r="O43" s="19"/>
      <c r="P43" s="39">
        <f t="shared" si="1"/>
        <v>0</v>
      </c>
    </row>
    <row r="44" spans="1:16">
      <c r="A44" s="19"/>
      <c r="B44" s="19" t="s">
        <v>103</v>
      </c>
      <c r="C44" s="791" t="s">
        <v>1534</v>
      </c>
      <c r="D44" s="765"/>
      <c r="E44" s="765"/>
      <c r="F44" s="765"/>
      <c r="G44" s="765"/>
      <c r="H44" s="765"/>
      <c r="I44" s="39">
        <f>'D1.1.+D1.2 - Stav+konstrukční'!H347</f>
        <v>0</v>
      </c>
      <c r="J44" s="39">
        <f>'D1.1.+D1.2 - Stav+konstrukční'!I347</f>
        <v>0</v>
      </c>
      <c r="K44" s="39">
        <f>'D1.1.+D1.2 - Stav+konstrukční'!J347</f>
        <v>0</v>
      </c>
      <c r="L44" s="39">
        <f>'D1.1.+D1.2 - Stav+konstrukční'!L347</f>
        <v>0</v>
      </c>
      <c r="M44" s="39" t="s">
        <v>2056</v>
      </c>
      <c r="N44" s="39">
        <f t="shared" ref="N44:N72" si="2">IF(M44="F",0,K44)</f>
        <v>0</v>
      </c>
      <c r="O44" s="19"/>
      <c r="P44" s="39">
        <f t="shared" ref="P44:P72" si="3">IF(M44="T",0,K44)</f>
        <v>0</v>
      </c>
    </row>
    <row r="45" spans="1:16">
      <c r="A45" s="19"/>
      <c r="B45" s="19" t="s">
        <v>854</v>
      </c>
      <c r="C45" s="791" t="s">
        <v>1536</v>
      </c>
      <c r="D45" s="765"/>
      <c r="E45" s="765"/>
      <c r="F45" s="765"/>
      <c r="G45" s="765"/>
      <c r="H45" s="765"/>
      <c r="I45" s="39">
        <f>'D1.1.+D1.2 - Stav+konstrukční'!H349</f>
        <v>0</v>
      </c>
      <c r="J45" s="39">
        <f>'D1.1.+D1.2 - Stav+konstrukční'!I349</f>
        <v>0</v>
      </c>
      <c r="K45" s="39">
        <f>'D1.1.+D1.2 - Stav+konstrukční'!J349</f>
        <v>0</v>
      </c>
      <c r="L45" s="39">
        <f>'D1.1.+D1.2 - Stav+konstrukční'!L349</f>
        <v>0</v>
      </c>
      <c r="M45" s="39" t="s">
        <v>2056</v>
      </c>
      <c r="N45" s="39">
        <f t="shared" si="2"/>
        <v>0</v>
      </c>
      <c r="O45" s="19"/>
      <c r="P45" s="39">
        <f t="shared" si="3"/>
        <v>0</v>
      </c>
    </row>
    <row r="46" spans="1:16">
      <c r="A46" s="19"/>
      <c r="B46" s="19"/>
      <c r="C46" s="791" t="s">
        <v>1547</v>
      </c>
      <c r="D46" s="765"/>
      <c r="E46" s="765"/>
      <c r="F46" s="765"/>
      <c r="G46" s="765"/>
      <c r="H46" s="765"/>
      <c r="I46" s="39">
        <f>'D1.1.+D1.2 - Stav+konstrukční'!H360</f>
        <v>0</v>
      </c>
      <c r="J46" s="39">
        <f>'D1.1.+D1.2 - Stav+konstrukční'!I360</f>
        <v>0</v>
      </c>
      <c r="K46" s="39">
        <f>'D1.1.+D1.2 - Stav+konstrukční'!J360</f>
        <v>0</v>
      </c>
      <c r="L46" s="39">
        <f>'D1.1.+D1.2 - Stav+konstrukční'!L360</f>
        <v>127.8755378899</v>
      </c>
      <c r="M46" s="39" t="s">
        <v>2055</v>
      </c>
      <c r="N46" s="39">
        <f t="shared" si="2"/>
        <v>0</v>
      </c>
      <c r="O46" s="19"/>
      <c r="P46" s="39">
        <f t="shared" si="3"/>
        <v>0</v>
      </c>
    </row>
    <row r="47" spans="1:16">
      <c r="A47" s="19"/>
      <c r="B47" s="19" t="s">
        <v>865</v>
      </c>
      <c r="C47" s="791" t="s">
        <v>1548</v>
      </c>
      <c r="D47" s="765"/>
      <c r="E47" s="765"/>
      <c r="F47" s="765"/>
      <c r="G47" s="765"/>
      <c r="H47" s="765"/>
      <c r="I47" s="39">
        <f>'D1.1.+D1.2 - Stav+konstrukční'!H361</f>
        <v>0</v>
      </c>
      <c r="J47" s="39">
        <f>'D1.1.+D1.2 - Stav+konstrukční'!I361</f>
        <v>0</v>
      </c>
      <c r="K47" s="39">
        <f>'D1.1.+D1.2 - Stav+konstrukční'!J361</f>
        <v>0</v>
      </c>
      <c r="L47" s="39">
        <f>'D1.1.+D1.2 - Stav+konstrukční'!L361</f>
        <v>17.57407181</v>
      </c>
      <c r="M47" s="39" t="s">
        <v>2056</v>
      </c>
      <c r="N47" s="39">
        <f t="shared" si="2"/>
        <v>0</v>
      </c>
      <c r="O47" s="19"/>
      <c r="P47" s="39">
        <f t="shared" si="3"/>
        <v>0</v>
      </c>
    </row>
    <row r="48" spans="1:16">
      <c r="A48" s="19"/>
      <c r="B48" s="19" t="s">
        <v>887</v>
      </c>
      <c r="C48" s="791" t="s">
        <v>1575</v>
      </c>
      <c r="D48" s="765"/>
      <c r="E48" s="765"/>
      <c r="F48" s="765"/>
      <c r="G48" s="765"/>
      <c r="H48" s="765"/>
      <c r="I48" s="39">
        <f>'D1.1.+D1.2 - Stav+konstrukční'!H398</f>
        <v>0</v>
      </c>
      <c r="J48" s="39">
        <f>'D1.1.+D1.2 - Stav+konstrukční'!I398</f>
        <v>0</v>
      </c>
      <c r="K48" s="39">
        <f>'D1.1.+D1.2 - Stav+konstrukční'!J398</f>
        <v>0</v>
      </c>
      <c r="L48" s="39">
        <f>'D1.1.+D1.2 - Stav+konstrukční'!L398</f>
        <v>28.229717516000001</v>
      </c>
      <c r="M48" s="39" t="s">
        <v>2056</v>
      </c>
      <c r="N48" s="39">
        <f t="shared" si="2"/>
        <v>0</v>
      </c>
      <c r="O48" s="19"/>
      <c r="P48" s="39">
        <f t="shared" si="3"/>
        <v>0</v>
      </c>
    </row>
    <row r="49" spans="1:16">
      <c r="A49" s="19"/>
      <c r="B49" s="19" t="s">
        <v>902</v>
      </c>
      <c r="C49" s="791" t="s">
        <v>1595</v>
      </c>
      <c r="D49" s="765"/>
      <c r="E49" s="765"/>
      <c r="F49" s="765"/>
      <c r="G49" s="765"/>
      <c r="H49" s="765"/>
      <c r="I49" s="39">
        <f>'D1.1.+D1.2 - Stav+konstrukční'!H425</f>
        <v>0</v>
      </c>
      <c r="J49" s="39">
        <f>'D1.1.+D1.2 - Stav+konstrukční'!I425</f>
        <v>0</v>
      </c>
      <c r="K49" s="39">
        <f>'D1.1.+D1.2 - Stav+konstrukční'!J425</f>
        <v>0</v>
      </c>
      <c r="L49" s="39">
        <f>'D1.1.+D1.2 - Stav+konstrukční'!L425</f>
        <v>16.806419029399997</v>
      </c>
      <c r="M49" s="39" t="s">
        <v>2056</v>
      </c>
      <c r="N49" s="39">
        <f t="shared" si="2"/>
        <v>0</v>
      </c>
      <c r="O49" s="19"/>
      <c r="P49" s="39">
        <f t="shared" si="3"/>
        <v>0</v>
      </c>
    </row>
    <row r="50" spans="1:16">
      <c r="A50" s="19"/>
      <c r="B50" s="19" t="s">
        <v>917</v>
      </c>
      <c r="C50" s="791" t="s">
        <v>1608</v>
      </c>
      <c r="D50" s="765"/>
      <c r="E50" s="765"/>
      <c r="F50" s="765"/>
      <c r="G50" s="765"/>
      <c r="H50" s="765"/>
      <c r="I50" s="39">
        <f>'D1.1.+D1.2 - Stav+konstrukční'!H444</f>
        <v>0</v>
      </c>
      <c r="J50" s="39">
        <f>'D1.1.+D1.2 - Stav+konstrukční'!I444</f>
        <v>0</v>
      </c>
      <c r="K50" s="39">
        <f>'D1.1.+D1.2 - Stav+konstrukční'!J444</f>
        <v>0</v>
      </c>
      <c r="L50" s="39">
        <f>'D1.1.+D1.2 - Stav+konstrukční'!L444</f>
        <v>3.0041549999999997E-3</v>
      </c>
      <c r="M50" s="39" t="s">
        <v>2056</v>
      </c>
      <c r="N50" s="39">
        <f t="shared" si="2"/>
        <v>0</v>
      </c>
      <c r="O50" s="19"/>
      <c r="P50" s="39">
        <f t="shared" si="3"/>
        <v>0</v>
      </c>
    </row>
    <row r="51" spans="1:16">
      <c r="A51" s="19"/>
      <c r="B51" s="19" t="s">
        <v>921</v>
      </c>
      <c r="C51" s="791" t="s">
        <v>1612</v>
      </c>
      <c r="D51" s="765"/>
      <c r="E51" s="765"/>
      <c r="F51" s="765"/>
      <c r="G51" s="765"/>
      <c r="H51" s="765"/>
      <c r="I51" s="39">
        <f>'D1.1.+D1.2 - Stav+konstrukční'!H448</f>
        <v>0</v>
      </c>
      <c r="J51" s="39">
        <f>'D1.1.+D1.2 - Stav+konstrukční'!I448</f>
        <v>0</v>
      </c>
      <c r="K51" s="39">
        <f>'D1.1.+D1.2 - Stav+konstrukční'!J448</f>
        <v>0</v>
      </c>
      <c r="L51" s="39">
        <f>'D1.1.+D1.2 - Stav+konstrukční'!L448</f>
        <v>9.0510000000000007E-2</v>
      </c>
      <c r="M51" s="39" t="s">
        <v>2056</v>
      </c>
      <c r="N51" s="39">
        <f t="shared" si="2"/>
        <v>0</v>
      </c>
      <c r="O51" s="19"/>
      <c r="P51" s="39">
        <f t="shared" si="3"/>
        <v>0</v>
      </c>
    </row>
    <row r="52" spans="1:16">
      <c r="A52" s="19"/>
      <c r="B52" s="19" t="s">
        <v>929</v>
      </c>
      <c r="C52" s="791" t="s">
        <v>1622</v>
      </c>
      <c r="D52" s="765"/>
      <c r="E52" s="765"/>
      <c r="F52" s="765"/>
      <c r="G52" s="765"/>
      <c r="H52" s="765"/>
      <c r="I52" s="39">
        <f>'D1.1.+D1.2 - Stav+konstrukční'!H459</f>
        <v>0</v>
      </c>
      <c r="J52" s="39">
        <f>'D1.1.+D1.2 - Stav+konstrukční'!I459</f>
        <v>0</v>
      </c>
      <c r="K52" s="39">
        <f>'D1.1.+D1.2 - Stav+konstrukční'!J459</f>
        <v>0</v>
      </c>
      <c r="L52" s="39">
        <f>'D1.1.+D1.2 - Stav+konstrukční'!L459</f>
        <v>0.12609000000000001</v>
      </c>
      <c r="M52" s="39" t="s">
        <v>2056</v>
      </c>
      <c r="N52" s="39">
        <f t="shared" si="2"/>
        <v>0</v>
      </c>
      <c r="O52" s="19"/>
      <c r="P52" s="39">
        <f t="shared" si="3"/>
        <v>0</v>
      </c>
    </row>
    <row r="53" spans="1:16">
      <c r="A53" s="19"/>
      <c r="B53" s="19" t="s">
        <v>947</v>
      </c>
      <c r="C53" s="791" t="s">
        <v>1641</v>
      </c>
      <c r="D53" s="765"/>
      <c r="E53" s="765"/>
      <c r="F53" s="765"/>
      <c r="G53" s="765"/>
      <c r="H53" s="765"/>
      <c r="I53" s="39">
        <f>'D1.1.+D1.2 - Stav+konstrukční'!H486</f>
        <v>0</v>
      </c>
      <c r="J53" s="39">
        <f>'D1.1.+D1.2 - Stav+konstrukční'!I486</f>
        <v>0</v>
      </c>
      <c r="K53" s="39">
        <f>'D1.1.+D1.2 - Stav+konstrukční'!J486</f>
        <v>0</v>
      </c>
      <c r="L53" s="39">
        <f>'D1.1.+D1.2 - Stav+konstrukční'!L486</f>
        <v>8.1699999999999995E-2</v>
      </c>
      <c r="M53" s="39" t="s">
        <v>2056</v>
      </c>
      <c r="N53" s="39">
        <f t="shared" si="2"/>
        <v>0</v>
      </c>
      <c r="O53" s="19"/>
      <c r="P53" s="39">
        <f t="shared" si="3"/>
        <v>0</v>
      </c>
    </row>
    <row r="54" spans="1:16">
      <c r="A54" s="19"/>
      <c r="B54" s="19" t="s">
        <v>951</v>
      </c>
      <c r="C54" s="791" t="s">
        <v>1645</v>
      </c>
      <c r="D54" s="765"/>
      <c r="E54" s="765"/>
      <c r="F54" s="765"/>
      <c r="G54" s="765"/>
      <c r="H54" s="765"/>
      <c r="I54" s="39">
        <f>'D1.1.+D1.2 - Stav+konstrukční'!H490</f>
        <v>0</v>
      </c>
      <c r="J54" s="39">
        <f>'D1.1.+D1.2 - Stav+konstrukční'!I490</f>
        <v>0</v>
      </c>
      <c r="K54" s="39">
        <f>'D1.1.+D1.2 - Stav+konstrukční'!J490</f>
        <v>0</v>
      </c>
      <c r="L54" s="39">
        <f>'D1.1.+D1.2 - Stav+konstrukční'!L490</f>
        <v>5.0120000000000005E-2</v>
      </c>
      <c r="M54" s="39" t="s">
        <v>2056</v>
      </c>
      <c r="N54" s="39">
        <f t="shared" si="2"/>
        <v>0</v>
      </c>
      <c r="O54" s="19"/>
      <c r="P54" s="39">
        <f t="shared" si="3"/>
        <v>0</v>
      </c>
    </row>
    <row r="55" spans="1:16">
      <c r="A55" s="19"/>
      <c r="B55" s="19" t="s">
        <v>955</v>
      </c>
      <c r="C55" s="791" t="s">
        <v>1649</v>
      </c>
      <c r="D55" s="765"/>
      <c r="E55" s="765"/>
      <c r="F55" s="765"/>
      <c r="G55" s="765"/>
      <c r="H55" s="765"/>
      <c r="I55" s="39">
        <f>'D1.1.+D1.2 - Stav+konstrukční'!H494</f>
        <v>0</v>
      </c>
      <c r="J55" s="39">
        <f>'D1.1.+D1.2 - Stav+konstrukční'!I494</f>
        <v>0</v>
      </c>
      <c r="K55" s="39">
        <f>'D1.1.+D1.2 - Stav+konstrukční'!J494</f>
        <v>0</v>
      </c>
      <c r="L55" s="39">
        <f>'D1.1.+D1.2 - Stav+konstrukční'!L494</f>
        <v>0</v>
      </c>
      <c r="M55" s="39" t="s">
        <v>2056</v>
      </c>
      <c r="N55" s="39">
        <f t="shared" si="2"/>
        <v>0</v>
      </c>
      <c r="O55" s="19"/>
      <c r="P55" s="39">
        <f t="shared" si="3"/>
        <v>0</v>
      </c>
    </row>
    <row r="56" spans="1:16">
      <c r="A56" s="19"/>
      <c r="B56" s="19" t="s">
        <v>958</v>
      </c>
      <c r="C56" s="791" t="s">
        <v>1652</v>
      </c>
      <c r="D56" s="765"/>
      <c r="E56" s="765"/>
      <c r="F56" s="765"/>
      <c r="G56" s="765"/>
      <c r="H56" s="765"/>
      <c r="I56" s="39">
        <f>'D1.1.+D1.2 - Stav+konstrukční'!H497</f>
        <v>0</v>
      </c>
      <c r="J56" s="39">
        <f>'D1.1.+D1.2 - Stav+konstrukční'!I497</f>
        <v>0</v>
      </c>
      <c r="K56" s="39">
        <f>'D1.1.+D1.2 - Stav+konstrukční'!J497</f>
        <v>0</v>
      </c>
      <c r="L56" s="39">
        <f>'D1.1.+D1.2 - Stav+konstrukční'!L497</f>
        <v>1.5751150000000005</v>
      </c>
      <c r="M56" s="39" t="s">
        <v>2056</v>
      </c>
      <c r="N56" s="39">
        <f t="shared" si="2"/>
        <v>0</v>
      </c>
      <c r="O56" s="19"/>
      <c r="P56" s="39">
        <f t="shared" si="3"/>
        <v>0</v>
      </c>
    </row>
    <row r="57" spans="1:16">
      <c r="A57" s="19"/>
      <c r="B57" s="19" t="s">
        <v>980</v>
      </c>
      <c r="C57" s="791" t="s">
        <v>1675</v>
      </c>
      <c r="D57" s="765"/>
      <c r="E57" s="765"/>
      <c r="F57" s="765"/>
      <c r="G57" s="765"/>
      <c r="H57" s="765"/>
      <c r="I57" s="39">
        <f>'D1.1.+D1.2 - Stav+konstrukční'!H538</f>
        <v>0</v>
      </c>
      <c r="J57" s="39">
        <f>'D1.1.+D1.2 - Stav+konstrukční'!I538</f>
        <v>0</v>
      </c>
      <c r="K57" s="39">
        <f>'D1.1.+D1.2 - Stav+konstrukční'!J538</f>
        <v>0</v>
      </c>
      <c r="L57" s="39">
        <f>'D1.1.+D1.2 - Stav+konstrukční'!L538</f>
        <v>3.91001814</v>
      </c>
      <c r="M57" s="39" t="s">
        <v>2056</v>
      </c>
      <c r="N57" s="39">
        <f t="shared" si="2"/>
        <v>0</v>
      </c>
      <c r="O57" s="19"/>
      <c r="P57" s="39">
        <f t="shared" si="3"/>
        <v>0</v>
      </c>
    </row>
    <row r="58" spans="1:16">
      <c r="A58" s="19"/>
      <c r="B58" s="19" t="s">
        <v>982</v>
      </c>
      <c r="C58" s="791" t="s">
        <v>1678</v>
      </c>
      <c r="D58" s="765"/>
      <c r="E58" s="765"/>
      <c r="F58" s="765"/>
      <c r="G58" s="765"/>
      <c r="H58" s="765"/>
      <c r="I58" s="39">
        <f>'D1.1.+D1.2 - Stav+konstrukční'!H541</f>
        <v>0</v>
      </c>
      <c r="J58" s="39">
        <f>'D1.1.+D1.2 - Stav+konstrukční'!I541</f>
        <v>0</v>
      </c>
      <c r="K58" s="39">
        <f>'D1.1.+D1.2 - Stav+konstrukční'!J541</f>
        <v>0</v>
      </c>
      <c r="L58" s="39">
        <f>'D1.1.+D1.2 - Stav+konstrukční'!L541</f>
        <v>0.10014826360000001</v>
      </c>
      <c r="M58" s="39" t="s">
        <v>2056</v>
      </c>
      <c r="N58" s="39">
        <f t="shared" si="2"/>
        <v>0</v>
      </c>
      <c r="O58" s="19"/>
      <c r="P58" s="39">
        <f t="shared" si="3"/>
        <v>0</v>
      </c>
    </row>
    <row r="59" spans="1:16">
      <c r="A59" s="19"/>
      <c r="B59" s="19" t="s">
        <v>1008</v>
      </c>
      <c r="C59" s="791" t="s">
        <v>1705</v>
      </c>
      <c r="D59" s="765"/>
      <c r="E59" s="765"/>
      <c r="F59" s="765"/>
      <c r="G59" s="765"/>
      <c r="H59" s="765"/>
      <c r="I59" s="39">
        <f>'D1.1.+D1.2 - Stav+konstrukční'!H572</f>
        <v>0</v>
      </c>
      <c r="J59" s="39">
        <f>'D1.1.+D1.2 - Stav+konstrukční'!I572</f>
        <v>0</v>
      </c>
      <c r="K59" s="39">
        <f>'D1.1.+D1.2 - Stav+konstrukční'!J572</f>
        <v>0</v>
      </c>
      <c r="L59" s="39">
        <f>'D1.1.+D1.2 - Stav+konstrukční'!L572</f>
        <v>3.8033216199999997</v>
      </c>
      <c r="M59" s="39" t="s">
        <v>2056</v>
      </c>
      <c r="N59" s="39">
        <f t="shared" si="2"/>
        <v>0</v>
      </c>
      <c r="O59" s="19"/>
      <c r="P59" s="39">
        <f t="shared" si="3"/>
        <v>0</v>
      </c>
    </row>
    <row r="60" spans="1:16">
      <c r="A60" s="19"/>
      <c r="B60" s="19" t="s">
        <v>1078</v>
      </c>
      <c r="C60" s="791" t="s">
        <v>1783</v>
      </c>
      <c r="D60" s="765"/>
      <c r="E60" s="765"/>
      <c r="F60" s="765"/>
      <c r="G60" s="765"/>
      <c r="H60" s="765"/>
      <c r="I60" s="39">
        <f>'D1.1.+D1.2 - Stav+konstrukční'!H659</f>
        <v>0</v>
      </c>
      <c r="J60" s="39">
        <f>'D1.1.+D1.2 - Stav+konstrukční'!I659</f>
        <v>0</v>
      </c>
      <c r="K60" s="39">
        <f>'D1.1.+D1.2 - Stav+konstrukční'!J659</f>
        <v>0</v>
      </c>
      <c r="L60" s="39">
        <f>'D1.1.+D1.2 - Stav+konstrukční'!L659</f>
        <v>0</v>
      </c>
      <c r="M60" s="39" t="s">
        <v>2056</v>
      </c>
      <c r="N60" s="39">
        <f t="shared" si="2"/>
        <v>0</v>
      </c>
      <c r="O60" s="19"/>
      <c r="P60" s="39">
        <f t="shared" si="3"/>
        <v>0</v>
      </c>
    </row>
    <row r="61" spans="1:16">
      <c r="A61" s="19"/>
      <c r="B61" s="19" t="s">
        <v>1134</v>
      </c>
      <c r="C61" s="791" t="s">
        <v>1839</v>
      </c>
      <c r="D61" s="765"/>
      <c r="E61" s="765"/>
      <c r="F61" s="765"/>
      <c r="G61" s="765"/>
      <c r="H61" s="765"/>
      <c r="I61" s="39">
        <f>'D1.1.+D1.2 - Stav+konstrukční'!H716</f>
        <v>0</v>
      </c>
      <c r="J61" s="39">
        <f>'D1.1.+D1.2 - Stav+konstrukční'!I716</f>
        <v>0</v>
      </c>
      <c r="K61" s="39">
        <f>'D1.1.+D1.2 - Stav+konstrukční'!J716</f>
        <v>0</v>
      </c>
      <c r="L61" s="39">
        <f>'D1.1.+D1.2 - Stav+konstrukční'!L716</f>
        <v>0</v>
      </c>
      <c r="M61" s="39" t="s">
        <v>2056</v>
      </c>
      <c r="N61" s="39">
        <f t="shared" si="2"/>
        <v>0</v>
      </c>
      <c r="O61" s="19"/>
      <c r="P61" s="39">
        <f t="shared" si="3"/>
        <v>0</v>
      </c>
    </row>
    <row r="62" spans="1:16">
      <c r="A62" s="19"/>
      <c r="B62" s="19" t="s">
        <v>1168</v>
      </c>
      <c r="C62" s="791" t="s">
        <v>1873</v>
      </c>
      <c r="D62" s="765"/>
      <c r="E62" s="765"/>
      <c r="F62" s="765"/>
      <c r="G62" s="765"/>
      <c r="H62" s="765"/>
      <c r="I62" s="39">
        <f>'D1.1.+D1.2 - Stav+konstrukční'!H751</f>
        <v>0</v>
      </c>
      <c r="J62" s="39">
        <f>'D1.1.+D1.2 - Stav+konstrukční'!I751</f>
        <v>0</v>
      </c>
      <c r="K62" s="39">
        <f>'D1.1.+D1.2 - Stav+konstrukční'!J751</f>
        <v>0</v>
      </c>
      <c r="L62" s="39">
        <f>'D1.1.+D1.2 - Stav+konstrukční'!L751</f>
        <v>15.731195260500002</v>
      </c>
      <c r="M62" s="39" t="s">
        <v>2056</v>
      </c>
      <c r="N62" s="39">
        <f t="shared" si="2"/>
        <v>0</v>
      </c>
      <c r="O62" s="19"/>
      <c r="P62" s="39">
        <f t="shared" si="3"/>
        <v>0</v>
      </c>
    </row>
    <row r="63" spans="1:16">
      <c r="A63" s="19"/>
      <c r="B63" s="19" t="s">
        <v>1178</v>
      </c>
      <c r="C63" s="791" t="s">
        <v>1883</v>
      </c>
      <c r="D63" s="765"/>
      <c r="E63" s="765"/>
      <c r="F63" s="765"/>
      <c r="G63" s="765"/>
      <c r="H63" s="765"/>
      <c r="I63" s="39">
        <f>'D1.1.+D1.2 - Stav+konstrukční'!H761</f>
        <v>0</v>
      </c>
      <c r="J63" s="39">
        <f>'D1.1.+D1.2 - Stav+konstrukční'!I761</f>
        <v>0</v>
      </c>
      <c r="K63" s="39">
        <f>'D1.1.+D1.2 - Stav+konstrukční'!J761</f>
        <v>0</v>
      </c>
      <c r="L63" s="39">
        <f>'D1.1.+D1.2 - Stav+konstrukční'!L761</f>
        <v>2.33911655</v>
      </c>
      <c r="M63" s="39" t="s">
        <v>2056</v>
      </c>
      <c r="N63" s="39">
        <f t="shared" si="2"/>
        <v>0</v>
      </c>
      <c r="O63" s="19"/>
      <c r="P63" s="39">
        <f t="shared" si="3"/>
        <v>0</v>
      </c>
    </row>
    <row r="64" spans="1:16">
      <c r="A64" s="19"/>
      <c r="B64" s="19" t="s">
        <v>1185</v>
      </c>
      <c r="C64" s="791" t="s">
        <v>1892</v>
      </c>
      <c r="D64" s="765"/>
      <c r="E64" s="765"/>
      <c r="F64" s="765"/>
      <c r="G64" s="765"/>
      <c r="H64" s="765"/>
      <c r="I64" s="39">
        <f>'D1.1.+D1.2 - Stav+konstrukční'!H770</f>
        <v>0</v>
      </c>
      <c r="J64" s="39">
        <f>'D1.1.+D1.2 - Stav+konstrukční'!I770</f>
        <v>0</v>
      </c>
      <c r="K64" s="39">
        <f>'D1.1.+D1.2 - Stav+konstrukční'!J770</f>
        <v>0</v>
      </c>
      <c r="L64" s="39">
        <f>'D1.1.+D1.2 - Stav+konstrukční'!L770</f>
        <v>6.6845000000000002E-2</v>
      </c>
      <c r="M64" s="39" t="s">
        <v>2056</v>
      </c>
      <c r="N64" s="39">
        <f t="shared" si="2"/>
        <v>0</v>
      </c>
      <c r="O64" s="19"/>
      <c r="P64" s="39">
        <f t="shared" si="3"/>
        <v>0</v>
      </c>
    </row>
    <row r="65" spans="1:16">
      <c r="A65" s="19"/>
      <c r="B65" s="19" t="s">
        <v>1188</v>
      </c>
      <c r="C65" s="791" t="s">
        <v>1895</v>
      </c>
      <c r="D65" s="765"/>
      <c r="E65" s="765"/>
      <c r="F65" s="765"/>
      <c r="G65" s="765"/>
      <c r="H65" s="765"/>
      <c r="I65" s="39">
        <f>'D1.1.+D1.2 - Stav+konstrukční'!H773</f>
        <v>0</v>
      </c>
      <c r="J65" s="39">
        <f>'D1.1.+D1.2 - Stav+konstrukční'!I773</f>
        <v>0</v>
      </c>
      <c r="K65" s="39">
        <f>'D1.1.+D1.2 - Stav+konstrukční'!J773</f>
        <v>0</v>
      </c>
      <c r="L65" s="39">
        <f>'D1.1.+D1.2 - Stav+konstrukční'!L773</f>
        <v>19.39439316</v>
      </c>
      <c r="M65" s="39" t="s">
        <v>2056</v>
      </c>
      <c r="N65" s="39">
        <f t="shared" si="2"/>
        <v>0</v>
      </c>
      <c r="O65" s="19"/>
      <c r="P65" s="39">
        <f t="shared" si="3"/>
        <v>0</v>
      </c>
    </row>
    <row r="66" spans="1:16">
      <c r="A66" s="19"/>
      <c r="B66" s="19" t="s">
        <v>1197</v>
      </c>
      <c r="C66" s="791" t="s">
        <v>1907</v>
      </c>
      <c r="D66" s="765"/>
      <c r="E66" s="765"/>
      <c r="F66" s="765"/>
      <c r="G66" s="765"/>
      <c r="H66" s="765"/>
      <c r="I66" s="39">
        <f>'D1.1.+D1.2 - Stav+konstrukční'!H785</f>
        <v>0</v>
      </c>
      <c r="J66" s="39">
        <f>'D1.1.+D1.2 - Stav+konstrukční'!I785</f>
        <v>0</v>
      </c>
      <c r="K66" s="39">
        <f>'D1.1.+D1.2 - Stav+konstrukční'!J785</f>
        <v>0</v>
      </c>
      <c r="L66" s="39">
        <f>'D1.1.+D1.2 - Stav+konstrukční'!L785</f>
        <v>15.49244515</v>
      </c>
      <c r="M66" s="39" t="s">
        <v>2056</v>
      </c>
      <c r="N66" s="39">
        <f t="shared" si="2"/>
        <v>0</v>
      </c>
      <c r="O66" s="19"/>
      <c r="P66" s="39">
        <f t="shared" si="3"/>
        <v>0</v>
      </c>
    </row>
    <row r="67" spans="1:16">
      <c r="A67" s="19"/>
      <c r="B67" s="19" t="s">
        <v>1200</v>
      </c>
      <c r="C67" s="791" t="s">
        <v>1911</v>
      </c>
      <c r="D67" s="765"/>
      <c r="E67" s="765"/>
      <c r="F67" s="765"/>
      <c r="G67" s="765"/>
      <c r="H67" s="765"/>
      <c r="I67" s="39">
        <f>'D1.1.+D1.2 - Stav+konstrukční'!H789</f>
        <v>0</v>
      </c>
      <c r="J67" s="39">
        <f>'D1.1.+D1.2 - Stav+konstrukční'!I789</f>
        <v>0</v>
      </c>
      <c r="K67" s="39">
        <f>'D1.1.+D1.2 - Stav+konstrukční'!J789</f>
        <v>0</v>
      </c>
      <c r="L67" s="39">
        <f>'D1.1.+D1.2 - Stav+konstrukční'!L789</f>
        <v>8.4000000000000012E-3</v>
      </c>
      <c r="M67" s="39" t="s">
        <v>2056</v>
      </c>
      <c r="N67" s="39">
        <f t="shared" si="2"/>
        <v>0</v>
      </c>
      <c r="O67" s="19"/>
      <c r="P67" s="39">
        <f t="shared" si="3"/>
        <v>0</v>
      </c>
    </row>
    <row r="68" spans="1:16">
      <c r="A68" s="19"/>
      <c r="B68" s="19" t="s">
        <v>1202</v>
      </c>
      <c r="C68" s="791" t="s">
        <v>1913</v>
      </c>
      <c r="D68" s="765"/>
      <c r="E68" s="765"/>
      <c r="F68" s="765"/>
      <c r="G68" s="765"/>
      <c r="H68" s="765"/>
      <c r="I68" s="39">
        <f>'D1.1.+D1.2 - Stav+konstrukční'!H791</f>
        <v>0</v>
      </c>
      <c r="J68" s="39">
        <f>'D1.1.+D1.2 - Stav+konstrukční'!I791</f>
        <v>0</v>
      </c>
      <c r="K68" s="39">
        <f>'D1.1.+D1.2 - Stav+konstrukční'!J791</f>
        <v>0</v>
      </c>
      <c r="L68" s="39">
        <f>'D1.1.+D1.2 - Stav+konstrukční'!L791</f>
        <v>1.8071048354000001</v>
      </c>
      <c r="M68" s="39" t="s">
        <v>2056</v>
      </c>
      <c r="N68" s="39">
        <f t="shared" si="2"/>
        <v>0</v>
      </c>
      <c r="O68" s="19"/>
      <c r="P68" s="39">
        <f t="shared" si="3"/>
        <v>0</v>
      </c>
    </row>
    <row r="69" spans="1:16">
      <c r="A69" s="19"/>
      <c r="B69" s="19" t="s">
        <v>1207</v>
      </c>
      <c r="C69" s="791" t="s">
        <v>1920</v>
      </c>
      <c r="D69" s="765"/>
      <c r="E69" s="765"/>
      <c r="F69" s="765"/>
      <c r="G69" s="765"/>
      <c r="H69" s="765"/>
      <c r="I69" s="39">
        <f>'D1.1.+D1.2 - Stav+konstrukční'!H798</f>
        <v>0</v>
      </c>
      <c r="J69" s="39">
        <f>'D1.1.+D1.2 - Stav+konstrukční'!I798</f>
        <v>0</v>
      </c>
      <c r="K69" s="39">
        <f>'D1.1.+D1.2 - Stav+konstrukční'!J798</f>
        <v>0</v>
      </c>
      <c r="L69" s="39">
        <f>'D1.1.+D1.2 - Stav+konstrukční'!L798</f>
        <v>0.58540559999999997</v>
      </c>
      <c r="M69" s="39" t="s">
        <v>2056</v>
      </c>
      <c r="N69" s="39">
        <f t="shared" si="2"/>
        <v>0</v>
      </c>
      <c r="O69" s="19"/>
      <c r="P69" s="39">
        <f t="shared" si="3"/>
        <v>0</v>
      </c>
    </row>
    <row r="70" spans="1:16">
      <c r="A70" s="19"/>
      <c r="B70" s="19" t="s">
        <v>1209</v>
      </c>
      <c r="C70" s="791" t="s">
        <v>1923</v>
      </c>
      <c r="D70" s="765"/>
      <c r="E70" s="765"/>
      <c r="F70" s="765"/>
      <c r="G70" s="765"/>
      <c r="H70" s="765"/>
      <c r="I70" s="39">
        <f>'D1.1.+D1.2 - Stav+konstrukční'!H801</f>
        <v>0</v>
      </c>
      <c r="J70" s="39">
        <f>'D1.1.+D1.2 - Stav+konstrukční'!I801</f>
        <v>0</v>
      </c>
      <c r="K70" s="39">
        <f>'D1.1.+D1.2 - Stav+konstrukční'!J801</f>
        <v>0</v>
      </c>
      <c r="L70" s="39">
        <f>'D1.1.+D1.2 - Stav+konstrukční'!L801</f>
        <v>0.10039680000000001</v>
      </c>
      <c r="M70" s="39" t="s">
        <v>2056</v>
      </c>
      <c r="N70" s="39">
        <f t="shared" si="2"/>
        <v>0</v>
      </c>
      <c r="O70" s="19"/>
      <c r="P70" s="39">
        <f t="shared" si="3"/>
        <v>0</v>
      </c>
    </row>
    <row r="71" spans="1:16">
      <c r="A71" s="19"/>
      <c r="B71" s="19"/>
      <c r="C71" s="791" t="s">
        <v>1927</v>
      </c>
      <c r="D71" s="765"/>
      <c r="E71" s="765"/>
      <c r="F71" s="765"/>
      <c r="G71" s="765"/>
      <c r="H71" s="765"/>
      <c r="I71" s="39">
        <f>'D1.1.+D1.2 - Stav+konstrukční'!H805</f>
        <v>0</v>
      </c>
      <c r="J71" s="39">
        <f>'D1.1.+D1.2 - Stav+konstrukční'!I805</f>
        <v>0</v>
      </c>
      <c r="K71" s="39">
        <f>'D1.1.+D1.2 - Stav+konstrukční'!J805</f>
        <v>0</v>
      </c>
      <c r="L71" s="39">
        <f>'D1.1.+D1.2 - Stav+konstrukční'!L805</f>
        <v>0</v>
      </c>
      <c r="M71" s="39" t="s">
        <v>2055</v>
      </c>
      <c r="N71" s="39">
        <f t="shared" si="2"/>
        <v>0</v>
      </c>
      <c r="O71" s="19"/>
      <c r="P71" s="39">
        <f t="shared" si="3"/>
        <v>0</v>
      </c>
    </row>
    <row r="72" spans="1:16">
      <c r="A72" s="47"/>
      <c r="B72" s="47" t="s">
        <v>1212</v>
      </c>
      <c r="C72" s="899" t="s">
        <v>1928</v>
      </c>
      <c r="D72" s="795"/>
      <c r="E72" s="795"/>
      <c r="F72" s="795"/>
      <c r="G72" s="795"/>
      <c r="H72" s="795"/>
      <c r="I72" s="50">
        <f>'D1.1.+D1.2 - Stav+konstrukční'!H806</f>
        <v>0</v>
      </c>
      <c r="J72" s="50">
        <f>'D1.1.+D1.2 - Stav+konstrukční'!I806</f>
        <v>0</v>
      </c>
      <c r="K72" s="50">
        <f>'D1.1.+D1.2 - Stav+konstrukční'!J806</f>
        <v>0</v>
      </c>
      <c r="L72" s="50">
        <f>'D1.1.+D1.2 - Stav+konstrukční'!L806</f>
        <v>0</v>
      </c>
      <c r="M72" s="39" t="s">
        <v>2056</v>
      </c>
      <c r="N72" s="39">
        <f t="shared" si="2"/>
        <v>0</v>
      </c>
      <c r="O72" s="19"/>
      <c r="P72" s="39">
        <f t="shared" si="3"/>
        <v>0</v>
      </c>
    </row>
    <row r="73" spans="1:16">
      <c r="A73" s="9"/>
      <c r="B73" s="9"/>
      <c r="C73" s="9"/>
      <c r="D73" s="9"/>
      <c r="E73" s="9"/>
      <c r="F73" s="9"/>
      <c r="G73" s="9"/>
      <c r="H73" s="9"/>
      <c r="I73" s="900" t="s">
        <v>1953</v>
      </c>
      <c r="J73" s="804"/>
      <c r="K73" s="44">
        <f>SUM(N12:N72)</f>
        <v>0</v>
      </c>
      <c r="L73" s="9"/>
    </row>
    <row r="74" spans="1:16" ht="11.25" customHeight="1">
      <c r="A74" s="10" t="s">
        <v>605</v>
      </c>
    </row>
    <row r="75" spans="1:16">
      <c r="A75" s="764"/>
      <c r="B75" s="765"/>
      <c r="C75" s="765"/>
      <c r="D75" s="765"/>
      <c r="E75" s="765"/>
      <c r="F75" s="765"/>
      <c r="G75" s="765"/>
      <c r="H75" s="765"/>
      <c r="I75" s="765"/>
      <c r="J75" s="765"/>
      <c r="K75" s="765"/>
    </row>
  </sheetData>
  <mergeCells count="91">
    <mergeCell ref="J4:L5"/>
    <mergeCell ref="A1:L1"/>
    <mergeCell ref="A2:C3"/>
    <mergeCell ref="D2:D3"/>
    <mergeCell ref="E2:F3"/>
    <mergeCell ref="G2:H3"/>
    <mergeCell ref="I2:I3"/>
    <mergeCell ref="J2:L3"/>
    <mergeCell ref="A4:C5"/>
    <mergeCell ref="D4:D5"/>
    <mergeCell ref="E4:F5"/>
    <mergeCell ref="G4:H5"/>
    <mergeCell ref="I4:I5"/>
    <mergeCell ref="I8:I9"/>
    <mergeCell ref="J8:L9"/>
    <mergeCell ref="A6:C7"/>
    <mergeCell ref="D6:D7"/>
    <mergeCell ref="E6:F7"/>
    <mergeCell ref="G6:H7"/>
    <mergeCell ref="I6:I7"/>
    <mergeCell ref="J6:L7"/>
    <mergeCell ref="C14:H14"/>
    <mergeCell ref="A8:C9"/>
    <mergeCell ref="D8:D9"/>
    <mergeCell ref="E8:F9"/>
    <mergeCell ref="G8:H9"/>
    <mergeCell ref="C10:H10"/>
    <mergeCell ref="I10:K10"/>
    <mergeCell ref="C11:H11"/>
    <mergeCell ref="C12:H12"/>
    <mergeCell ref="C13:H13"/>
    <mergeCell ref="C26:H26"/>
    <mergeCell ref="C15:H15"/>
    <mergeCell ref="C16:H16"/>
    <mergeCell ref="C17:H17"/>
    <mergeCell ref="C18:H18"/>
    <mergeCell ref="C19:H19"/>
    <mergeCell ref="C20:H20"/>
    <mergeCell ref="C21:H21"/>
    <mergeCell ref="C22:H22"/>
    <mergeCell ref="C23:H23"/>
    <mergeCell ref="C24:H24"/>
    <mergeCell ref="C25:H25"/>
    <mergeCell ref="C38:H38"/>
    <mergeCell ref="C27:H27"/>
    <mergeCell ref="C28:H28"/>
    <mergeCell ref="C29:H29"/>
    <mergeCell ref="C30:H30"/>
    <mergeCell ref="C31:H31"/>
    <mergeCell ref="C32:H32"/>
    <mergeCell ref="C33:H33"/>
    <mergeCell ref="C34:H34"/>
    <mergeCell ref="C35:H35"/>
    <mergeCell ref="C36:H36"/>
    <mergeCell ref="C37:H37"/>
    <mergeCell ref="C50:H50"/>
    <mergeCell ref="C39:H39"/>
    <mergeCell ref="C40:H40"/>
    <mergeCell ref="C41:H41"/>
    <mergeCell ref="C42:H42"/>
    <mergeCell ref="C43:H43"/>
    <mergeCell ref="C44:H44"/>
    <mergeCell ref="C45:H45"/>
    <mergeCell ref="C46:H46"/>
    <mergeCell ref="C47:H47"/>
    <mergeCell ref="C48:H48"/>
    <mergeCell ref="C49:H49"/>
    <mergeCell ref="C62:H62"/>
    <mergeCell ref="C51:H51"/>
    <mergeCell ref="C52:H52"/>
    <mergeCell ref="C53:H53"/>
    <mergeCell ref="C54:H54"/>
    <mergeCell ref="C55:H55"/>
    <mergeCell ref="C56:H56"/>
    <mergeCell ref="C57:H57"/>
    <mergeCell ref="C58:H58"/>
    <mergeCell ref="C59:H59"/>
    <mergeCell ref="C60:H60"/>
    <mergeCell ref="C61:H61"/>
    <mergeCell ref="A75:K75"/>
    <mergeCell ref="C63:H63"/>
    <mergeCell ref="C64:H64"/>
    <mergeCell ref="C65:H65"/>
    <mergeCell ref="C66:H66"/>
    <mergeCell ref="C67:H67"/>
    <mergeCell ref="C68:H68"/>
    <mergeCell ref="C69:H69"/>
    <mergeCell ref="C70:H70"/>
    <mergeCell ref="C71:H71"/>
    <mergeCell ref="C72:H72"/>
    <mergeCell ref="I73:J73"/>
  </mergeCells>
  <pageMargins left="0.39400000000000002" right="0.39400000000000002" top="0.59099999999999997" bottom="0.59099999999999997" header="0.5" footer="0.5"/>
  <pageSetup paperSize="0" fitToHeight="0" orientation="landscape"/>
  <headerFooter alignWithMargins="0"/>
  <drawing r:id="rId1"/>
</worksheet>
</file>

<file path=xl/worksheets/sheet5.xml><?xml version="1.0" encoding="utf-8"?>
<worksheet xmlns="http://schemas.openxmlformats.org/spreadsheetml/2006/main" xmlns:r="http://schemas.openxmlformats.org/officeDocument/2006/relationships">
  <sheetPr>
    <pageSetUpPr fitToPage="1"/>
  </sheetPr>
  <dimension ref="A1:BJ813"/>
  <sheetViews>
    <sheetView zoomScaleNormal="100" workbookViewId="0">
      <pane ySplit="11" topLeftCell="A721" activePane="bottomLeft" state="frozenSplit"/>
      <selection activeCell="I17" sqref="I17"/>
      <selection pane="bottomLeft" activeCell="D747" sqref="D747"/>
    </sheetView>
  </sheetViews>
  <sheetFormatPr defaultColWidth="11.5546875" defaultRowHeight="13.2"/>
  <cols>
    <col min="1" max="1" width="3.6640625" customWidth="1"/>
    <col min="2" max="2" width="7.5546875" customWidth="1"/>
    <col min="3" max="3" width="14.33203125" customWidth="1"/>
    <col min="4" max="4" width="129" customWidth="1"/>
    <col min="5" max="5" width="6.44140625" customWidth="1"/>
    <col min="6" max="6" width="12.88671875" customWidth="1"/>
    <col min="7" max="7" width="12" customWidth="1"/>
    <col min="8" max="10" width="14.33203125" customWidth="1"/>
    <col min="11" max="13" width="11.6640625" customWidth="1"/>
    <col min="25" max="25" width="12.109375" customWidth="1"/>
    <col min="26" max="62" width="12.109375" hidden="1" customWidth="1"/>
  </cols>
  <sheetData>
    <row r="1" spans="1:62" ht="35.4" customHeight="1">
      <c r="A1" s="915" t="s">
        <v>3156</v>
      </c>
      <c r="B1" s="800"/>
      <c r="C1" s="800"/>
      <c r="D1" s="800"/>
      <c r="E1" s="800"/>
      <c r="F1" s="800"/>
      <c r="G1" s="800"/>
      <c r="H1" s="800"/>
      <c r="I1" s="800"/>
      <c r="J1" s="800"/>
      <c r="K1" s="800"/>
      <c r="L1" s="800"/>
      <c r="M1" s="800"/>
    </row>
    <row r="2" spans="1:62">
      <c r="A2" s="801" t="s">
        <v>0</v>
      </c>
      <c r="B2" s="802"/>
      <c r="C2" s="802"/>
      <c r="D2" s="803" t="s">
        <v>3149</v>
      </c>
      <c r="E2" s="923" t="s">
        <v>1933</v>
      </c>
      <c r="F2" s="802"/>
      <c r="G2" s="923" t="s">
        <v>4</v>
      </c>
      <c r="H2" s="806" t="s">
        <v>1948</v>
      </c>
      <c r="I2" s="923" t="s">
        <v>3152</v>
      </c>
      <c r="J2" s="802"/>
      <c r="K2" s="802"/>
      <c r="L2" s="802"/>
      <c r="M2" s="916"/>
      <c r="N2" s="37"/>
    </row>
    <row r="3" spans="1:62">
      <c r="A3" s="788"/>
      <c r="B3" s="765"/>
      <c r="C3" s="765"/>
      <c r="D3" s="805"/>
      <c r="E3" s="765"/>
      <c r="F3" s="765"/>
      <c r="G3" s="765"/>
      <c r="H3" s="765"/>
      <c r="I3" s="765"/>
      <c r="J3" s="765"/>
      <c r="K3" s="765"/>
      <c r="L3" s="765"/>
      <c r="M3" s="793"/>
      <c r="N3" s="37"/>
    </row>
    <row r="4" spans="1:62">
      <c r="A4" s="787" t="s">
        <v>1</v>
      </c>
      <c r="B4" s="765"/>
      <c r="C4" s="765"/>
      <c r="D4" s="764" t="s">
        <v>5812</v>
      </c>
      <c r="E4" s="791" t="s">
        <v>1934</v>
      </c>
      <c r="F4" s="765"/>
      <c r="G4" s="791"/>
      <c r="H4" s="764" t="s">
        <v>1949</v>
      </c>
      <c r="I4" s="791" t="s">
        <v>3150</v>
      </c>
      <c r="J4" s="765"/>
      <c r="K4" s="765"/>
      <c r="L4" s="765"/>
      <c r="M4" s="793"/>
      <c r="N4" s="37"/>
    </row>
    <row r="5" spans="1:62">
      <c r="A5" s="788"/>
      <c r="B5" s="765"/>
      <c r="C5" s="765"/>
      <c r="D5" s="765"/>
      <c r="E5" s="765"/>
      <c r="F5" s="765"/>
      <c r="G5" s="765"/>
      <c r="H5" s="765"/>
      <c r="I5" s="765"/>
      <c r="J5" s="765"/>
      <c r="K5" s="765"/>
      <c r="L5" s="765"/>
      <c r="M5" s="793"/>
      <c r="N5" s="37"/>
    </row>
    <row r="6" spans="1:62">
      <c r="A6" s="787" t="s">
        <v>2</v>
      </c>
      <c r="B6" s="765"/>
      <c r="C6" s="765"/>
      <c r="D6" s="764" t="s">
        <v>3151</v>
      </c>
      <c r="E6" s="791" t="s">
        <v>1935</v>
      </c>
      <c r="F6" s="765"/>
      <c r="G6" s="791" t="s">
        <v>4</v>
      </c>
      <c r="H6" s="764" t="s">
        <v>1950</v>
      </c>
      <c r="I6" s="921">
        <f>'Krycí list rozpoctu'!F6</f>
        <v>0</v>
      </c>
      <c r="J6" s="921"/>
      <c r="K6" s="921"/>
      <c r="L6" s="921"/>
      <c r="M6" s="922"/>
      <c r="N6" s="37"/>
    </row>
    <row r="7" spans="1:62">
      <c r="A7" s="788"/>
      <c r="B7" s="765"/>
      <c r="C7" s="765"/>
      <c r="D7" s="765"/>
      <c r="E7" s="765"/>
      <c r="F7" s="765"/>
      <c r="G7" s="765"/>
      <c r="H7" s="765"/>
      <c r="I7" s="921"/>
      <c r="J7" s="921"/>
      <c r="K7" s="921"/>
      <c r="L7" s="921"/>
      <c r="M7" s="922"/>
      <c r="N7" s="37"/>
    </row>
    <row r="8" spans="1:62">
      <c r="A8" s="787" t="s">
        <v>3</v>
      </c>
      <c r="B8" s="765"/>
      <c r="C8" s="765"/>
      <c r="D8" s="764" t="s">
        <v>4</v>
      </c>
      <c r="E8" s="791" t="s">
        <v>1936</v>
      </c>
      <c r="F8" s="765"/>
      <c r="G8" s="791" t="s">
        <v>5785</v>
      </c>
      <c r="H8" s="764" t="s">
        <v>1951</v>
      </c>
      <c r="I8" s="791"/>
      <c r="J8" s="765"/>
      <c r="K8" s="765"/>
      <c r="L8" s="765"/>
      <c r="M8" s="793"/>
      <c r="N8" s="37"/>
    </row>
    <row r="9" spans="1:62">
      <c r="A9" s="909"/>
      <c r="B9" s="910"/>
      <c r="C9" s="910"/>
      <c r="D9" s="910"/>
      <c r="E9" s="910"/>
      <c r="F9" s="910"/>
      <c r="G9" s="910"/>
      <c r="H9" s="910"/>
      <c r="I9" s="910"/>
      <c r="J9" s="910"/>
      <c r="K9" s="910"/>
      <c r="L9" s="910"/>
      <c r="M9" s="913"/>
      <c r="N9" s="37"/>
    </row>
    <row r="10" spans="1:62">
      <c r="A10" s="1" t="s">
        <v>3153</v>
      </c>
      <c r="B10" s="11" t="s">
        <v>606</v>
      </c>
      <c r="C10" s="11" t="s">
        <v>607</v>
      </c>
      <c r="D10" s="11" t="s">
        <v>1217</v>
      </c>
      <c r="E10" s="11" t="s">
        <v>1937</v>
      </c>
      <c r="F10" s="20" t="s">
        <v>1946</v>
      </c>
      <c r="G10" s="24" t="s">
        <v>1947</v>
      </c>
      <c r="H10" s="901" t="s">
        <v>3155</v>
      </c>
      <c r="I10" s="902"/>
      <c r="J10" s="903"/>
      <c r="K10" s="901" t="s">
        <v>1956</v>
      </c>
      <c r="L10" s="903"/>
      <c r="M10" s="32" t="s">
        <v>1958</v>
      </c>
      <c r="N10" s="38"/>
    </row>
    <row r="11" spans="1:62">
      <c r="A11" s="2" t="s">
        <v>4</v>
      </c>
      <c r="B11" s="12" t="s">
        <v>4</v>
      </c>
      <c r="C11" s="12" t="s">
        <v>4</v>
      </c>
      <c r="D11" s="18" t="s">
        <v>1218</v>
      </c>
      <c r="E11" s="12" t="s">
        <v>4</v>
      </c>
      <c r="F11" s="12" t="s">
        <v>4</v>
      </c>
      <c r="G11" s="25" t="s">
        <v>3154</v>
      </c>
      <c r="H11" s="26" t="s">
        <v>1952</v>
      </c>
      <c r="I11" s="27" t="s">
        <v>1954</v>
      </c>
      <c r="J11" s="28" t="s">
        <v>1955</v>
      </c>
      <c r="K11" s="26" t="s">
        <v>1957</v>
      </c>
      <c r="L11" s="28" t="s">
        <v>1955</v>
      </c>
      <c r="M11" s="33" t="s">
        <v>1959</v>
      </c>
      <c r="N11" s="38"/>
      <c r="Z11" s="30" t="s">
        <v>1963</v>
      </c>
      <c r="AA11" s="30" t="s">
        <v>1964</v>
      </c>
      <c r="AB11" s="30" t="s">
        <v>1965</v>
      </c>
      <c r="AC11" s="30" t="s">
        <v>1966</v>
      </c>
      <c r="AD11" s="30" t="s">
        <v>1967</v>
      </c>
      <c r="AE11" s="30" t="s">
        <v>1968</v>
      </c>
      <c r="AF11" s="30" t="s">
        <v>1969</v>
      </c>
      <c r="AG11" s="30" t="s">
        <v>1970</v>
      </c>
      <c r="AH11" s="30" t="s">
        <v>1971</v>
      </c>
      <c r="BH11" s="30" t="s">
        <v>2046</v>
      </c>
      <c r="BI11" s="30" t="s">
        <v>2047</v>
      </c>
      <c r="BJ11" s="30" t="s">
        <v>2048</v>
      </c>
    </row>
    <row r="12" spans="1:62">
      <c r="A12" s="3"/>
      <c r="B12" s="13"/>
      <c r="C12" s="13"/>
      <c r="D12" s="13" t="s">
        <v>1219</v>
      </c>
      <c r="E12" s="3" t="s">
        <v>4</v>
      </c>
      <c r="F12" s="3" t="s">
        <v>4</v>
      </c>
      <c r="G12" s="3" t="s">
        <v>4</v>
      </c>
      <c r="H12" s="41">
        <f>H13+H42+H45+H48+H50+H53+H56+H61+H65+H67+H91+H95+H131+H136+H147+H165+H173+H203+H213+H215+H220+H225+H236+H259+H288+H298+H300+H309+H320+H339+H343+H347+H349</f>
        <v>0</v>
      </c>
      <c r="I12" s="41">
        <f>I13+I42+I45+I48+I50+I53+I56+I61+I65+I67+I91+I95+I131+I136+I147+I165+I173+I203+I213+I215+I220+I225+I236+I259+I288+I298+I300+I309+I320+I339+I343+I347+I349</f>
        <v>0</v>
      </c>
      <c r="J12" s="41">
        <f>J13+J42+J45+J48+J50+J53+J56+J61+J65+J67+J91+J95+J131+J136+J147+J165+J173+J203+J213+J215+J220+J225+J236+J259+J288+J298+J300+J309+J320+J339+J343+J347+J349</f>
        <v>0</v>
      </c>
      <c r="K12" s="29"/>
      <c r="L12" s="41">
        <f>L13+L42+L45+L48+L50+L53+L56+L61+L65+L67+L91+L95+L131+L136+L147+L165+L173+L203+L213+L215+L220+L225+L236+L259+L288+L298+L300+L309+L320+L339+L343+L347+L349</f>
        <v>6671.0744886681996</v>
      </c>
      <c r="M12" s="29"/>
    </row>
    <row r="13" spans="1:62">
      <c r="A13" s="4"/>
      <c r="B13" s="14"/>
      <c r="C13" s="14" t="s">
        <v>15</v>
      </c>
      <c r="D13" s="14" t="s">
        <v>1220</v>
      </c>
      <c r="E13" s="4" t="s">
        <v>4</v>
      </c>
      <c r="F13" s="4" t="s">
        <v>4</v>
      </c>
      <c r="G13" s="4" t="s">
        <v>4</v>
      </c>
      <c r="H13" s="42">
        <f>SUM(H14:H40)</f>
        <v>0</v>
      </c>
      <c r="I13" s="42">
        <f>SUM(I14:I40)</f>
        <v>0</v>
      </c>
      <c r="J13" s="42">
        <f>SUM(J14:J40)</f>
        <v>0</v>
      </c>
      <c r="K13" s="30"/>
      <c r="L13" s="42">
        <f>SUM(L14:L40)</f>
        <v>93.135999999999996</v>
      </c>
      <c r="M13" s="30"/>
      <c r="AI13" s="30"/>
      <c r="AS13" s="42">
        <f>SUM(AJ14:AJ40)</f>
        <v>0</v>
      </c>
      <c r="AT13" s="42">
        <f>SUM(AK14:AK40)</f>
        <v>0</v>
      </c>
      <c r="AU13" s="42">
        <f>SUM(AL14:AL40)</f>
        <v>0</v>
      </c>
    </row>
    <row r="14" spans="1:62">
      <c r="A14" s="5" t="s">
        <v>5</v>
      </c>
      <c r="B14" s="5"/>
      <c r="C14" s="5" t="s">
        <v>608</v>
      </c>
      <c r="D14" s="5" t="s">
        <v>1221</v>
      </c>
      <c r="E14" s="5" t="s">
        <v>1938</v>
      </c>
      <c r="F14" s="21">
        <v>1</v>
      </c>
      <c r="G14" s="753">
        <v>0</v>
      </c>
      <c r="H14" s="21">
        <f>F14*AO14</f>
        <v>0</v>
      </c>
      <c r="I14" s="21">
        <f>F14*AP14</f>
        <v>0</v>
      </c>
      <c r="J14" s="21">
        <f>F14*G14</f>
        <v>0</v>
      </c>
      <c r="K14" s="21">
        <v>0</v>
      </c>
      <c r="L14" s="21">
        <f>F14*K14</f>
        <v>0</v>
      </c>
      <c r="M14" s="34" t="s">
        <v>1960</v>
      </c>
      <c r="Z14" s="39">
        <f>IF(AQ14="5",BJ14,0)</f>
        <v>0</v>
      </c>
      <c r="AB14" s="39">
        <f>IF(AQ14="1",BH14,0)</f>
        <v>0</v>
      </c>
      <c r="AC14" s="39">
        <f>IF(AQ14="1",BI14,0)</f>
        <v>0</v>
      </c>
      <c r="AD14" s="39">
        <f>IF(AQ14="7",BH14,0)</f>
        <v>0</v>
      </c>
      <c r="AE14" s="39">
        <f>IF(AQ14="7",BI14,0)</f>
        <v>0</v>
      </c>
      <c r="AF14" s="39">
        <f>IF(AQ14="2",BH14,0)</f>
        <v>0</v>
      </c>
      <c r="AG14" s="39">
        <f>IF(AQ14="2",BI14,0)</f>
        <v>0</v>
      </c>
      <c r="AH14" s="39">
        <f>IF(AQ14="0",BJ14,0)</f>
        <v>0</v>
      </c>
      <c r="AI14" s="30"/>
      <c r="AJ14" s="21">
        <f>IF(AN14=0,J14,0)</f>
        <v>0</v>
      </c>
      <c r="AK14" s="21">
        <f>IF(AN14=15,J14,0)</f>
        <v>0</v>
      </c>
      <c r="AL14" s="21">
        <f>IF(AN14=21,J14,0)</f>
        <v>0</v>
      </c>
      <c r="AN14" s="39">
        <v>21</v>
      </c>
      <c r="AO14" s="39">
        <f>G14*0</f>
        <v>0</v>
      </c>
      <c r="AP14" s="39">
        <f>G14*(1-0)</f>
        <v>0</v>
      </c>
      <c r="AQ14" s="34" t="s">
        <v>5</v>
      </c>
      <c r="AV14" s="39">
        <f>AW14+AX14</f>
        <v>0</v>
      </c>
      <c r="AW14" s="39">
        <f>F14*AO14</f>
        <v>0</v>
      </c>
      <c r="AX14" s="39">
        <f>F14*AP14</f>
        <v>0</v>
      </c>
      <c r="AY14" s="40" t="s">
        <v>1972</v>
      </c>
      <c r="AZ14" s="40" t="s">
        <v>2030</v>
      </c>
      <c r="BA14" s="30" t="s">
        <v>2045</v>
      </c>
      <c r="BC14" s="39">
        <f>AW14+AX14</f>
        <v>0</v>
      </c>
      <c r="BD14" s="39">
        <f>G14/(100-BE14)*100</f>
        <v>0</v>
      </c>
      <c r="BE14" s="39">
        <v>0</v>
      </c>
      <c r="BF14" s="39">
        <f>L14</f>
        <v>0</v>
      </c>
      <c r="BH14" s="21">
        <f>F14*AO14</f>
        <v>0</v>
      </c>
      <c r="BI14" s="21">
        <f>F14*AP14</f>
        <v>0</v>
      </c>
      <c r="BJ14" s="21">
        <f>F14*G14</f>
        <v>0</v>
      </c>
    </row>
    <row r="15" spans="1:62">
      <c r="C15" s="16" t="s">
        <v>609</v>
      </c>
      <c r="D15" s="919">
        <v>0</v>
      </c>
      <c r="E15" s="920"/>
      <c r="F15" s="920"/>
      <c r="G15" s="920"/>
      <c r="H15" s="920"/>
      <c r="I15" s="920"/>
      <c r="J15" s="920"/>
      <c r="K15" s="920"/>
      <c r="L15" s="920"/>
      <c r="M15" s="920"/>
    </row>
    <row r="16" spans="1:62">
      <c r="A16" s="5" t="s">
        <v>6</v>
      </c>
      <c r="B16" s="5"/>
      <c r="C16" s="5" t="s">
        <v>610</v>
      </c>
      <c r="D16" s="5" t="s">
        <v>1222</v>
      </c>
      <c r="E16" s="5" t="s">
        <v>1938</v>
      </c>
      <c r="F16" s="21">
        <v>1</v>
      </c>
      <c r="G16" s="753">
        <v>0</v>
      </c>
      <c r="H16" s="21">
        <f>F16*AO16</f>
        <v>0</v>
      </c>
      <c r="I16" s="21">
        <f>F16*AP16</f>
        <v>0</v>
      </c>
      <c r="J16" s="21">
        <f>F16*G16</f>
        <v>0</v>
      </c>
      <c r="K16" s="21">
        <v>0</v>
      </c>
      <c r="L16" s="21">
        <f>F16*K16</f>
        <v>0</v>
      </c>
      <c r="M16" s="34" t="s">
        <v>1960</v>
      </c>
      <c r="Z16" s="39">
        <f>IF(AQ16="5",BJ16,0)</f>
        <v>0</v>
      </c>
      <c r="AB16" s="39">
        <f>IF(AQ16="1",BH16,0)</f>
        <v>0</v>
      </c>
      <c r="AC16" s="39">
        <f>IF(AQ16="1",BI16,0)</f>
        <v>0</v>
      </c>
      <c r="AD16" s="39">
        <f>IF(AQ16="7",BH16,0)</f>
        <v>0</v>
      </c>
      <c r="AE16" s="39">
        <f>IF(AQ16="7",BI16,0)</f>
        <v>0</v>
      </c>
      <c r="AF16" s="39">
        <f>IF(AQ16="2",BH16,0)</f>
        <v>0</v>
      </c>
      <c r="AG16" s="39">
        <f>IF(AQ16="2",BI16,0)</f>
        <v>0</v>
      </c>
      <c r="AH16" s="39">
        <f>IF(AQ16="0",BJ16,0)</f>
        <v>0</v>
      </c>
      <c r="AI16" s="30"/>
      <c r="AJ16" s="21">
        <f>IF(AN16=0,J16,0)</f>
        <v>0</v>
      </c>
      <c r="AK16" s="21">
        <f>IF(AN16=15,J16,0)</f>
        <v>0</v>
      </c>
      <c r="AL16" s="21">
        <f>IF(AN16=21,J16,0)</f>
        <v>0</v>
      </c>
      <c r="AN16" s="39">
        <v>21</v>
      </c>
      <c r="AO16" s="39">
        <f>G16*0</f>
        <v>0</v>
      </c>
      <c r="AP16" s="39">
        <f>G16*(1-0)</f>
        <v>0</v>
      </c>
      <c r="AQ16" s="34" t="s">
        <v>5</v>
      </c>
      <c r="AV16" s="39">
        <f>AW16+AX16</f>
        <v>0</v>
      </c>
      <c r="AW16" s="39">
        <f>F16*AO16</f>
        <v>0</v>
      </c>
      <c r="AX16" s="39">
        <f>F16*AP16</f>
        <v>0</v>
      </c>
      <c r="AY16" s="40" t="s">
        <v>1972</v>
      </c>
      <c r="AZ16" s="40" t="s">
        <v>2030</v>
      </c>
      <c r="BA16" s="30" t="s">
        <v>2045</v>
      </c>
      <c r="BC16" s="39">
        <f>AW16+AX16</f>
        <v>0</v>
      </c>
      <c r="BD16" s="39">
        <f>G16/(100-BE16)*100</f>
        <v>0</v>
      </c>
      <c r="BE16" s="39">
        <v>0</v>
      </c>
      <c r="BF16" s="39">
        <f>L16</f>
        <v>0</v>
      </c>
      <c r="BH16" s="21">
        <f>F16*AO16</f>
        <v>0</v>
      </c>
      <c r="BI16" s="21">
        <f>F16*AP16</f>
        <v>0</v>
      </c>
      <c r="BJ16" s="21">
        <f>F16*G16</f>
        <v>0</v>
      </c>
    </row>
    <row r="17" spans="1:62">
      <c r="C17" s="16" t="s">
        <v>609</v>
      </c>
      <c r="D17" s="919" t="s">
        <v>1223</v>
      </c>
      <c r="E17" s="920"/>
      <c r="F17" s="920"/>
      <c r="G17" s="920"/>
      <c r="H17" s="920"/>
      <c r="I17" s="920"/>
      <c r="J17" s="920"/>
      <c r="K17" s="920"/>
      <c r="L17" s="920"/>
      <c r="M17" s="920"/>
    </row>
    <row r="18" spans="1:62">
      <c r="A18" s="5" t="s">
        <v>7</v>
      </c>
      <c r="B18" s="5"/>
      <c r="C18" s="5" t="s">
        <v>611</v>
      </c>
      <c r="D18" s="5" t="s">
        <v>1224</v>
      </c>
      <c r="E18" s="5" t="s">
        <v>1938</v>
      </c>
      <c r="F18" s="21">
        <v>1</v>
      </c>
      <c r="G18" s="753">
        <v>0</v>
      </c>
      <c r="H18" s="21">
        <f>F18*AO18</f>
        <v>0</v>
      </c>
      <c r="I18" s="21">
        <f>F18*AP18</f>
        <v>0</v>
      </c>
      <c r="J18" s="21">
        <f>F18*G18</f>
        <v>0</v>
      </c>
      <c r="K18" s="21">
        <v>0</v>
      </c>
      <c r="L18" s="21">
        <f>F18*K18</f>
        <v>0</v>
      </c>
      <c r="M18" s="34" t="s">
        <v>1960</v>
      </c>
      <c r="Z18" s="39">
        <f>IF(AQ18="5",BJ18,0)</f>
        <v>0</v>
      </c>
      <c r="AB18" s="39">
        <f>IF(AQ18="1",BH18,0)</f>
        <v>0</v>
      </c>
      <c r="AC18" s="39">
        <f>IF(AQ18="1",BI18,0)</f>
        <v>0</v>
      </c>
      <c r="AD18" s="39">
        <f>IF(AQ18="7",BH18,0)</f>
        <v>0</v>
      </c>
      <c r="AE18" s="39">
        <f>IF(AQ18="7",BI18,0)</f>
        <v>0</v>
      </c>
      <c r="AF18" s="39">
        <f>IF(AQ18="2",BH18,0)</f>
        <v>0</v>
      </c>
      <c r="AG18" s="39">
        <f>IF(AQ18="2",BI18,0)</f>
        <v>0</v>
      </c>
      <c r="AH18" s="39">
        <f>IF(AQ18="0",BJ18,0)</f>
        <v>0</v>
      </c>
      <c r="AI18" s="30"/>
      <c r="AJ18" s="21">
        <f>IF(AN18=0,J18,0)</f>
        <v>0</v>
      </c>
      <c r="AK18" s="21">
        <f>IF(AN18=15,J18,0)</f>
        <v>0</v>
      </c>
      <c r="AL18" s="21">
        <f>IF(AN18=21,J18,0)</f>
        <v>0</v>
      </c>
      <c r="AN18" s="39">
        <v>21</v>
      </c>
      <c r="AO18" s="39">
        <f>G18*0</f>
        <v>0</v>
      </c>
      <c r="AP18" s="39">
        <f>G18*(1-0)</f>
        <v>0</v>
      </c>
      <c r="AQ18" s="34" t="s">
        <v>5</v>
      </c>
      <c r="AV18" s="39">
        <f>AW18+AX18</f>
        <v>0</v>
      </c>
      <c r="AW18" s="39">
        <f>F18*AO18</f>
        <v>0</v>
      </c>
      <c r="AX18" s="39">
        <f>F18*AP18</f>
        <v>0</v>
      </c>
      <c r="AY18" s="40" t="s">
        <v>1972</v>
      </c>
      <c r="AZ18" s="40" t="s">
        <v>2030</v>
      </c>
      <c r="BA18" s="30" t="s">
        <v>2045</v>
      </c>
      <c r="BC18" s="39">
        <f>AW18+AX18</f>
        <v>0</v>
      </c>
      <c r="BD18" s="39">
        <f>G18/(100-BE18)*100</f>
        <v>0</v>
      </c>
      <c r="BE18" s="39">
        <v>0</v>
      </c>
      <c r="BF18" s="39">
        <f>L18</f>
        <v>0</v>
      </c>
      <c r="BH18" s="21">
        <f>F18*AO18</f>
        <v>0</v>
      </c>
      <c r="BI18" s="21">
        <f>F18*AP18</f>
        <v>0</v>
      </c>
      <c r="BJ18" s="21">
        <f>F18*G18</f>
        <v>0</v>
      </c>
    </row>
    <row r="19" spans="1:62">
      <c r="C19" s="16" t="s">
        <v>609</v>
      </c>
      <c r="D19" s="919" t="s">
        <v>1225</v>
      </c>
      <c r="E19" s="920"/>
      <c r="F19" s="920"/>
      <c r="G19" s="920"/>
      <c r="H19" s="920"/>
      <c r="I19" s="920"/>
      <c r="J19" s="920"/>
      <c r="K19" s="920"/>
      <c r="L19" s="920"/>
      <c r="M19" s="920"/>
    </row>
    <row r="20" spans="1:62">
      <c r="A20" s="5" t="s">
        <v>8</v>
      </c>
      <c r="B20" s="5"/>
      <c r="C20" s="5" t="s">
        <v>612</v>
      </c>
      <c r="D20" s="5" t="s">
        <v>1226</v>
      </c>
      <c r="E20" s="5" t="s">
        <v>1938</v>
      </c>
      <c r="F20" s="21">
        <v>1</v>
      </c>
      <c r="G20" s="753">
        <v>0</v>
      </c>
      <c r="H20" s="21">
        <f>F20*AO20</f>
        <v>0</v>
      </c>
      <c r="I20" s="21">
        <f>F20*AP20</f>
        <v>0</v>
      </c>
      <c r="J20" s="21">
        <f>F20*G20</f>
        <v>0</v>
      </c>
      <c r="K20" s="21">
        <v>0</v>
      </c>
      <c r="L20" s="21">
        <f>F20*K20</f>
        <v>0</v>
      </c>
      <c r="M20" s="34" t="s">
        <v>1960</v>
      </c>
      <c r="Z20" s="39">
        <f>IF(AQ20="5",BJ20,0)</f>
        <v>0</v>
      </c>
      <c r="AB20" s="39">
        <f>IF(AQ20="1",BH20,0)</f>
        <v>0</v>
      </c>
      <c r="AC20" s="39">
        <f>IF(AQ20="1",BI20,0)</f>
        <v>0</v>
      </c>
      <c r="AD20" s="39">
        <f>IF(AQ20="7",BH20,0)</f>
        <v>0</v>
      </c>
      <c r="AE20" s="39">
        <f>IF(AQ20="7",BI20,0)</f>
        <v>0</v>
      </c>
      <c r="AF20" s="39">
        <f>IF(AQ20="2",BH20,0)</f>
        <v>0</v>
      </c>
      <c r="AG20" s="39">
        <f>IF(AQ20="2",BI20,0)</f>
        <v>0</v>
      </c>
      <c r="AH20" s="39">
        <f>IF(AQ20="0",BJ20,0)</f>
        <v>0</v>
      </c>
      <c r="AI20" s="30"/>
      <c r="AJ20" s="21">
        <f>IF(AN20=0,J20,0)</f>
        <v>0</v>
      </c>
      <c r="AK20" s="21">
        <f>IF(AN20=15,J20,0)</f>
        <v>0</v>
      </c>
      <c r="AL20" s="21">
        <f>IF(AN20=21,J20,0)</f>
        <v>0</v>
      </c>
      <c r="AN20" s="39">
        <v>21</v>
      </c>
      <c r="AO20" s="39">
        <f>G20*0</f>
        <v>0</v>
      </c>
      <c r="AP20" s="39">
        <f>G20*(1-0)</f>
        <v>0</v>
      </c>
      <c r="AQ20" s="34" t="s">
        <v>5</v>
      </c>
      <c r="AV20" s="39">
        <f>AW20+AX20</f>
        <v>0</v>
      </c>
      <c r="AW20" s="39">
        <f>F20*AO20</f>
        <v>0</v>
      </c>
      <c r="AX20" s="39">
        <f>F20*AP20</f>
        <v>0</v>
      </c>
      <c r="AY20" s="40" t="s">
        <v>1972</v>
      </c>
      <c r="AZ20" s="40" t="s">
        <v>2030</v>
      </c>
      <c r="BA20" s="30" t="s">
        <v>2045</v>
      </c>
      <c r="BC20" s="39">
        <f>AW20+AX20</f>
        <v>0</v>
      </c>
      <c r="BD20" s="39">
        <f>G20/(100-BE20)*100</f>
        <v>0</v>
      </c>
      <c r="BE20" s="39">
        <v>0</v>
      </c>
      <c r="BF20" s="39">
        <f>L20</f>
        <v>0</v>
      </c>
      <c r="BH20" s="21">
        <f>F20*AO20</f>
        <v>0</v>
      </c>
      <c r="BI20" s="21">
        <f>F20*AP20</f>
        <v>0</v>
      </c>
      <c r="BJ20" s="21">
        <f>F20*G20</f>
        <v>0</v>
      </c>
    </row>
    <row r="21" spans="1:62">
      <c r="C21" s="16" t="s">
        <v>609</v>
      </c>
      <c r="D21" s="919" t="s">
        <v>1227</v>
      </c>
      <c r="E21" s="920"/>
      <c r="F21" s="920"/>
      <c r="G21" s="920"/>
      <c r="H21" s="920"/>
      <c r="I21" s="920"/>
      <c r="J21" s="920"/>
      <c r="K21" s="920"/>
      <c r="L21" s="920"/>
      <c r="M21" s="920"/>
    </row>
    <row r="22" spans="1:62">
      <c r="A22" s="5" t="s">
        <v>9</v>
      </c>
      <c r="B22" s="5"/>
      <c r="C22" s="5" t="s">
        <v>613</v>
      </c>
      <c r="D22" s="5" t="s">
        <v>1228</v>
      </c>
      <c r="E22" s="5" t="s">
        <v>1938</v>
      </c>
      <c r="F22" s="21">
        <v>1</v>
      </c>
      <c r="G22" s="753">
        <v>0</v>
      </c>
      <c r="H22" s="21">
        <f>F22*AO22</f>
        <v>0</v>
      </c>
      <c r="I22" s="21">
        <f>F22*AP22</f>
        <v>0</v>
      </c>
      <c r="J22" s="21">
        <f>F22*G22</f>
        <v>0</v>
      </c>
      <c r="K22" s="21">
        <v>0</v>
      </c>
      <c r="L22" s="21">
        <f>F22*K22</f>
        <v>0</v>
      </c>
      <c r="M22" s="34" t="s">
        <v>1960</v>
      </c>
      <c r="Z22" s="39">
        <f>IF(AQ22="5",BJ22,0)</f>
        <v>0</v>
      </c>
      <c r="AB22" s="39">
        <f>IF(AQ22="1",BH22,0)</f>
        <v>0</v>
      </c>
      <c r="AC22" s="39">
        <f>IF(AQ22="1",BI22,0)</f>
        <v>0</v>
      </c>
      <c r="AD22" s="39">
        <f>IF(AQ22="7",BH22,0)</f>
        <v>0</v>
      </c>
      <c r="AE22" s="39">
        <f>IF(AQ22="7",BI22,0)</f>
        <v>0</v>
      </c>
      <c r="AF22" s="39">
        <f>IF(AQ22="2",BH22,0)</f>
        <v>0</v>
      </c>
      <c r="AG22" s="39">
        <f>IF(AQ22="2",BI22,0)</f>
        <v>0</v>
      </c>
      <c r="AH22" s="39">
        <f>IF(AQ22="0",BJ22,0)</f>
        <v>0</v>
      </c>
      <c r="AI22" s="30"/>
      <c r="AJ22" s="21">
        <f>IF(AN22=0,J22,0)</f>
        <v>0</v>
      </c>
      <c r="AK22" s="21">
        <f>IF(AN22=15,J22,0)</f>
        <v>0</v>
      </c>
      <c r="AL22" s="21">
        <f>IF(AN22=21,J22,0)</f>
        <v>0</v>
      </c>
      <c r="AN22" s="39">
        <v>21</v>
      </c>
      <c r="AO22" s="39">
        <f>G22*0</f>
        <v>0</v>
      </c>
      <c r="AP22" s="39">
        <f>G22*(1-0)</f>
        <v>0</v>
      </c>
      <c r="AQ22" s="34" t="s">
        <v>5</v>
      </c>
      <c r="AV22" s="39">
        <f>AW22+AX22</f>
        <v>0</v>
      </c>
      <c r="AW22" s="39">
        <f>F22*AO22</f>
        <v>0</v>
      </c>
      <c r="AX22" s="39">
        <f>F22*AP22</f>
        <v>0</v>
      </c>
      <c r="AY22" s="40" t="s">
        <v>1972</v>
      </c>
      <c r="AZ22" s="40" t="s">
        <v>2030</v>
      </c>
      <c r="BA22" s="30" t="s">
        <v>2045</v>
      </c>
      <c r="BC22" s="39">
        <f>AW22+AX22</f>
        <v>0</v>
      </c>
      <c r="BD22" s="39">
        <f>G22/(100-BE22)*100</f>
        <v>0</v>
      </c>
      <c r="BE22" s="39">
        <v>0</v>
      </c>
      <c r="BF22" s="39">
        <f>L22</f>
        <v>0</v>
      </c>
      <c r="BH22" s="21">
        <f>F22*AO22</f>
        <v>0</v>
      </c>
      <c r="BI22" s="21">
        <f>F22*AP22</f>
        <v>0</v>
      </c>
      <c r="BJ22" s="21">
        <f>F22*G22</f>
        <v>0</v>
      </c>
    </row>
    <row r="23" spans="1:62">
      <c r="C23" s="16" t="s">
        <v>609</v>
      </c>
      <c r="D23" s="919" t="s">
        <v>1227</v>
      </c>
      <c r="E23" s="920"/>
      <c r="F23" s="920"/>
      <c r="G23" s="920"/>
      <c r="H23" s="920"/>
      <c r="I23" s="920"/>
      <c r="J23" s="920"/>
      <c r="K23" s="920"/>
      <c r="L23" s="920"/>
      <c r="M23" s="920"/>
    </row>
    <row r="24" spans="1:62">
      <c r="A24" s="5" t="s">
        <v>10</v>
      </c>
      <c r="B24" s="5"/>
      <c r="C24" s="5" t="s">
        <v>614</v>
      </c>
      <c r="D24" s="5" t="s">
        <v>1229</v>
      </c>
      <c r="E24" s="5" t="s">
        <v>1938</v>
      </c>
      <c r="F24" s="21">
        <v>1</v>
      </c>
      <c r="G24" s="753">
        <v>0</v>
      </c>
      <c r="H24" s="21">
        <f>F24*AO24</f>
        <v>0</v>
      </c>
      <c r="I24" s="21">
        <f>F24*AP24</f>
        <v>0</v>
      </c>
      <c r="J24" s="21">
        <f>F24*G24</f>
        <v>0</v>
      </c>
      <c r="K24" s="21">
        <v>0</v>
      </c>
      <c r="L24" s="21">
        <f>F24*K24</f>
        <v>0</v>
      </c>
      <c r="M24" s="34" t="s">
        <v>1960</v>
      </c>
      <c r="Z24" s="39">
        <f>IF(AQ24="5",BJ24,0)</f>
        <v>0</v>
      </c>
      <c r="AB24" s="39">
        <f>IF(AQ24="1",BH24,0)</f>
        <v>0</v>
      </c>
      <c r="AC24" s="39">
        <f>IF(AQ24="1",BI24,0)</f>
        <v>0</v>
      </c>
      <c r="AD24" s="39">
        <f>IF(AQ24="7",BH24,0)</f>
        <v>0</v>
      </c>
      <c r="AE24" s="39">
        <f>IF(AQ24="7",BI24,0)</f>
        <v>0</v>
      </c>
      <c r="AF24" s="39">
        <f>IF(AQ24="2",BH24,0)</f>
        <v>0</v>
      </c>
      <c r="AG24" s="39">
        <f>IF(AQ24="2",BI24,0)</f>
        <v>0</v>
      </c>
      <c r="AH24" s="39">
        <f>IF(AQ24="0",BJ24,0)</f>
        <v>0</v>
      </c>
      <c r="AI24" s="30"/>
      <c r="AJ24" s="21">
        <f>IF(AN24=0,J24,0)</f>
        <v>0</v>
      </c>
      <c r="AK24" s="21">
        <f>IF(AN24=15,J24,0)</f>
        <v>0</v>
      </c>
      <c r="AL24" s="21">
        <f>IF(AN24=21,J24,0)</f>
        <v>0</v>
      </c>
      <c r="AN24" s="39">
        <v>21</v>
      </c>
      <c r="AO24" s="39">
        <f>G24*0</f>
        <v>0</v>
      </c>
      <c r="AP24" s="39">
        <f>G24*(1-0)</f>
        <v>0</v>
      </c>
      <c r="AQ24" s="34" t="s">
        <v>5</v>
      </c>
      <c r="AV24" s="39">
        <f>AW24+AX24</f>
        <v>0</v>
      </c>
      <c r="AW24" s="39">
        <f>F24*AO24</f>
        <v>0</v>
      </c>
      <c r="AX24" s="39">
        <f>F24*AP24</f>
        <v>0</v>
      </c>
      <c r="AY24" s="40" t="s">
        <v>1972</v>
      </c>
      <c r="AZ24" s="40" t="s">
        <v>2030</v>
      </c>
      <c r="BA24" s="30" t="s">
        <v>2045</v>
      </c>
      <c r="BC24" s="39">
        <f>AW24+AX24</f>
        <v>0</v>
      </c>
      <c r="BD24" s="39">
        <f>G24/(100-BE24)*100</f>
        <v>0</v>
      </c>
      <c r="BE24" s="39">
        <v>0</v>
      </c>
      <c r="BF24" s="39">
        <f>L24</f>
        <v>0</v>
      </c>
      <c r="BH24" s="21">
        <f>F24*AO24</f>
        <v>0</v>
      </c>
      <c r="BI24" s="21">
        <f>F24*AP24</f>
        <v>0</v>
      </c>
      <c r="BJ24" s="21">
        <f>F24*G24</f>
        <v>0</v>
      </c>
    </row>
    <row r="25" spans="1:62">
      <c r="C25" s="16" t="s">
        <v>609</v>
      </c>
      <c r="D25" s="919" t="s">
        <v>1227</v>
      </c>
      <c r="E25" s="920"/>
      <c r="F25" s="920"/>
      <c r="G25" s="920"/>
      <c r="H25" s="920"/>
      <c r="I25" s="920"/>
      <c r="J25" s="920"/>
      <c r="K25" s="920"/>
      <c r="L25" s="920"/>
      <c r="M25" s="920"/>
    </row>
    <row r="26" spans="1:62">
      <c r="A26" s="5" t="s">
        <v>11</v>
      </c>
      <c r="B26" s="5"/>
      <c r="C26" s="5" t="s">
        <v>615</v>
      </c>
      <c r="D26" s="5" t="s">
        <v>1230</v>
      </c>
      <c r="E26" s="5" t="s">
        <v>1938</v>
      </c>
      <c r="F26" s="21">
        <v>1</v>
      </c>
      <c r="G26" s="753">
        <v>0</v>
      </c>
      <c r="H26" s="21">
        <f>F26*AO26</f>
        <v>0</v>
      </c>
      <c r="I26" s="21">
        <f>F26*AP26</f>
        <v>0</v>
      </c>
      <c r="J26" s="21">
        <f>F26*G26</f>
        <v>0</v>
      </c>
      <c r="K26" s="21">
        <v>0</v>
      </c>
      <c r="L26" s="21">
        <f>F26*K26</f>
        <v>0</v>
      </c>
      <c r="M26" s="34" t="s">
        <v>1960</v>
      </c>
      <c r="Z26" s="39">
        <f>IF(AQ26="5",BJ26,0)</f>
        <v>0</v>
      </c>
      <c r="AB26" s="39">
        <f>IF(AQ26="1",BH26,0)</f>
        <v>0</v>
      </c>
      <c r="AC26" s="39">
        <f>IF(AQ26="1",BI26,0)</f>
        <v>0</v>
      </c>
      <c r="AD26" s="39">
        <f>IF(AQ26="7",BH26,0)</f>
        <v>0</v>
      </c>
      <c r="AE26" s="39">
        <f>IF(AQ26="7",BI26,0)</f>
        <v>0</v>
      </c>
      <c r="AF26" s="39">
        <f>IF(AQ26="2",BH26,0)</f>
        <v>0</v>
      </c>
      <c r="AG26" s="39">
        <f>IF(AQ26="2",BI26,0)</f>
        <v>0</v>
      </c>
      <c r="AH26" s="39">
        <f>IF(AQ26="0",BJ26,0)</f>
        <v>0</v>
      </c>
      <c r="AI26" s="30"/>
      <c r="AJ26" s="21">
        <f>IF(AN26=0,J26,0)</f>
        <v>0</v>
      </c>
      <c r="AK26" s="21">
        <f>IF(AN26=15,J26,0)</f>
        <v>0</v>
      </c>
      <c r="AL26" s="21">
        <f>IF(AN26=21,J26,0)</f>
        <v>0</v>
      </c>
      <c r="AN26" s="39">
        <v>21</v>
      </c>
      <c r="AO26" s="39">
        <f>G26*0</f>
        <v>0</v>
      </c>
      <c r="AP26" s="39">
        <f>G26*(1-0)</f>
        <v>0</v>
      </c>
      <c r="AQ26" s="34" t="s">
        <v>5</v>
      </c>
      <c r="AV26" s="39">
        <f>AW26+AX26</f>
        <v>0</v>
      </c>
      <c r="AW26" s="39">
        <f>F26*AO26</f>
        <v>0</v>
      </c>
      <c r="AX26" s="39">
        <f>F26*AP26</f>
        <v>0</v>
      </c>
      <c r="AY26" s="40" t="s">
        <v>1972</v>
      </c>
      <c r="AZ26" s="40" t="s">
        <v>2030</v>
      </c>
      <c r="BA26" s="30" t="s">
        <v>2045</v>
      </c>
      <c r="BC26" s="39">
        <f>AW26+AX26</f>
        <v>0</v>
      </c>
      <c r="BD26" s="39">
        <f>G26/(100-BE26)*100</f>
        <v>0</v>
      </c>
      <c r="BE26" s="39">
        <v>0</v>
      </c>
      <c r="BF26" s="39">
        <f>L26</f>
        <v>0</v>
      </c>
      <c r="BH26" s="21">
        <f>F26*AO26</f>
        <v>0</v>
      </c>
      <c r="BI26" s="21">
        <f>F26*AP26</f>
        <v>0</v>
      </c>
      <c r="BJ26" s="21">
        <f>F26*G26</f>
        <v>0</v>
      </c>
    </row>
    <row r="27" spans="1:62">
      <c r="C27" s="16" t="s">
        <v>609</v>
      </c>
      <c r="D27" s="919" t="s">
        <v>1227</v>
      </c>
      <c r="E27" s="920"/>
      <c r="F27" s="920"/>
      <c r="G27" s="920"/>
      <c r="H27" s="920"/>
      <c r="I27" s="920"/>
      <c r="J27" s="920"/>
      <c r="K27" s="920"/>
      <c r="L27" s="920"/>
      <c r="M27" s="920"/>
    </row>
    <row r="28" spans="1:62">
      <c r="A28" s="5" t="s">
        <v>12</v>
      </c>
      <c r="B28" s="5"/>
      <c r="C28" s="5" t="s">
        <v>616</v>
      </c>
      <c r="D28" s="5" t="s">
        <v>1231</v>
      </c>
      <c r="E28" s="5" t="s">
        <v>1938</v>
      </c>
      <c r="F28" s="21">
        <v>1</v>
      </c>
      <c r="G28" s="753">
        <v>0</v>
      </c>
      <c r="H28" s="21">
        <f>F28*AO28</f>
        <v>0</v>
      </c>
      <c r="I28" s="21">
        <f>F28*AP28</f>
        <v>0</v>
      </c>
      <c r="J28" s="21">
        <f>F28*G28</f>
        <v>0</v>
      </c>
      <c r="K28" s="21">
        <v>0</v>
      </c>
      <c r="L28" s="21">
        <f>F28*K28</f>
        <v>0</v>
      </c>
      <c r="M28" s="34" t="s">
        <v>1960</v>
      </c>
      <c r="Z28" s="39">
        <f>IF(AQ28="5",BJ28,0)</f>
        <v>0</v>
      </c>
      <c r="AB28" s="39">
        <f>IF(AQ28="1",BH28,0)</f>
        <v>0</v>
      </c>
      <c r="AC28" s="39">
        <f>IF(AQ28="1",BI28,0)</f>
        <v>0</v>
      </c>
      <c r="AD28" s="39">
        <f>IF(AQ28="7",BH28,0)</f>
        <v>0</v>
      </c>
      <c r="AE28" s="39">
        <f>IF(AQ28="7",BI28,0)</f>
        <v>0</v>
      </c>
      <c r="AF28" s="39">
        <f>IF(AQ28="2",BH28,0)</f>
        <v>0</v>
      </c>
      <c r="AG28" s="39">
        <f>IF(AQ28="2",BI28,0)</f>
        <v>0</v>
      </c>
      <c r="AH28" s="39">
        <f>IF(AQ28="0",BJ28,0)</f>
        <v>0</v>
      </c>
      <c r="AI28" s="30"/>
      <c r="AJ28" s="21">
        <f>IF(AN28=0,J28,0)</f>
        <v>0</v>
      </c>
      <c r="AK28" s="21">
        <f>IF(AN28=15,J28,0)</f>
        <v>0</v>
      </c>
      <c r="AL28" s="21">
        <f>IF(AN28=21,J28,0)</f>
        <v>0</v>
      </c>
      <c r="AN28" s="39">
        <v>21</v>
      </c>
      <c r="AO28" s="39">
        <f>G28*0</f>
        <v>0</v>
      </c>
      <c r="AP28" s="39">
        <f>G28*(1-0)</f>
        <v>0</v>
      </c>
      <c r="AQ28" s="34" t="s">
        <v>5</v>
      </c>
      <c r="AV28" s="39">
        <f>AW28+AX28</f>
        <v>0</v>
      </c>
      <c r="AW28" s="39">
        <f>F28*AO28</f>
        <v>0</v>
      </c>
      <c r="AX28" s="39">
        <f>F28*AP28</f>
        <v>0</v>
      </c>
      <c r="AY28" s="40" t="s">
        <v>1972</v>
      </c>
      <c r="AZ28" s="40" t="s">
        <v>2030</v>
      </c>
      <c r="BA28" s="30" t="s">
        <v>2045</v>
      </c>
      <c r="BC28" s="39">
        <f>AW28+AX28</f>
        <v>0</v>
      </c>
      <c r="BD28" s="39">
        <f>G28/(100-BE28)*100</f>
        <v>0</v>
      </c>
      <c r="BE28" s="39">
        <v>0</v>
      </c>
      <c r="BF28" s="39">
        <f>L28</f>
        <v>0</v>
      </c>
      <c r="BH28" s="21">
        <f>F28*AO28</f>
        <v>0</v>
      </c>
      <c r="BI28" s="21">
        <f>F28*AP28</f>
        <v>0</v>
      </c>
      <c r="BJ28" s="21">
        <f>F28*G28</f>
        <v>0</v>
      </c>
    </row>
    <row r="29" spans="1:62">
      <c r="C29" s="16" t="s">
        <v>609</v>
      </c>
      <c r="D29" s="919">
        <v>0</v>
      </c>
      <c r="E29" s="920"/>
      <c r="F29" s="920"/>
      <c r="G29" s="920"/>
      <c r="H29" s="920"/>
      <c r="I29" s="920"/>
      <c r="J29" s="920"/>
      <c r="K29" s="920"/>
      <c r="L29" s="920"/>
      <c r="M29" s="920"/>
    </row>
    <row r="30" spans="1:62">
      <c r="A30" s="5" t="s">
        <v>13</v>
      </c>
      <c r="B30" s="5"/>
      <c r="C30" s="5" t="s">
        <v>617</v>
      </c>
      <c r="D30" s="5" t="s">
        <v>1232</v>
      </c>
      <c r="E30" s="5" t="s">
        <v>1938</v>
      </c>
      <c r="F30" s="21">
        <v>1</v>
      </c>
      <c r="G30" s="753">
        <v>0</v>
      </c>
      <c r="H30" s="21">
        <f>F30*AO30</f>
        <v>0</v>
      </c>
      <c r="I30" s="21">
        <f>F30*AP30</f>
        <v>0</v>
      </c>
      <c r="J30" s="21">
        <f>F30*G30</f>
        <v>0</v>
      </c>
      <c r="K30" s="21">
        <v>0</v>
      </c>
      <c r="L30" s="21">
        <f>F30*K30</f>
        <v>0</v>
      </c>
      <c r="M30" s="34" t="s">
        <v>1960</v>
      </c>
      <c r="Z30" s="39">
        <f>IF(AQ30="5",BJ30,0)</f>
        <v>0</v>
      </c>
      <c r="AB30" s="39">
        <f>IF(AQ30="1",BH30,0)</f>
        <v>0</v>
      </c>
      <c r="AC30" s="39">
        <f>IF(AQ30="1",BI30,0)</f>
        <v>0</v>
      </c>
      <c r="AD30" s="39">
        <f>IF(AQ30="7",BH30,0)</f>
        <v>0</v>
      </c>
      <c r="AE30" s="39">
        <f>IF(AQ30="7",BI30,0)</f>
        <v>0</v>
      </c>
      <c r="AF30" s="39">
        <f>IF(AQ30="2",BH30,0)</f>
        <v>0</v>
      </c>
      <c r="AG30" s="39">
        <f>IF(AQ30="2",BI30,0)</f>
        <v>0</v>
      </c>
      <c r="AH30" s="39">
        <f>IF(AQ30="0",BJ30,0)</f>
        <v>0</v>
      </c>
      <c r="AI30" s="30"/>
      <c r="AJ30" s="21">
        <f>IF(AN30=0,J30,0)</f>
        <v>0</v>
      </c>
      <c r="AK30" s="21">
        <f>IF(AN30=15,J30,0)</f>
        <v>0</v>
      </c>
      <c r="AL30" s="21">
        <f>IF(AN30=21,J30,0)</f>
        <v>0</v>
      </c>
      <c r="AN30" s="39">
        <v>21</v>
      </c>
      <c r="AO30" s="39">
        <f>G30*0</f>
        <v>0</v>
      </c>
      <c r="AP30" s="39">
        <f>G30*(1-0)</f>
        <v>0</v>
      </c>
      <c r="AQ30" s="34" t="s">
        <v>5</v>
      </c>
      <c r="AV30" s="39">
        <f>AW30+AX30</f>
        <v>0</v>
      </c>
      <c r="AW30" s="39">
        <f>F30*AO30</f>
        <v>0</v>
      </c>
      <c r="AX30" s="39">
        <f>F30*AP30</f>
        <v>0</v>
      </c>
      <c r="AY30" s="40" t="s">
        <v>1972</v>
      </c>
      <c r="AZ30" s="40" t="s">
        <v>2030</v>
      </c>
      <c r="BA30" s="30" t="s">
        <v>2045</v>
      </c>
      <c r="BC30" s="39">
        <f>AW30+AX30</f>
        <v>0</v>
      </c>
      <c r="BD30" s="39">
        <f>G30/(100-BE30)*100</f>
        <v>0</v>
      </c>
      <c r="BE30" s="39">
        <v>0</v>
      </c>
      <c r="BF30" s="39">
        <f>L30</f>
        <v>0</v>
      </c>
      <c r="BH30" s="21">
        <f>F30*AO30</f>
        <v>0</v>
      </c>
      <c r="BI30" s="21">
        <f>F30*AP30</f>
        <v>0</v>
      </c>
      <c r="BJ30" s="21">
        <f>F30*G30</f>
        <v>0</v>
      </c>
    </row>
    <row r="31" spans="1:62">
      <c r="C31" s="16" t="s">
        <v>609</v>
      </c>
      <c r="D31" s="919" t="s">
        <v>1227</v>
      </c>
      <c r="E31" s="920"/>
      <c r="F31" s="920"/>
      <c r="G31" s="920"/>
      <c r="H31" s="920"/>
      <c r="I31" s="920"/>
      <c r="J31" s="920"/>
      <c r="K31" s="920"/>
      <c r="L31" s="920"/>
      <c r="M31" s="920"/>
    </row>
    <row r="32" spans="1:62">
      <c r="A32" s="5" t="s">
        <v>14</v>
      </c>
      <c r="B32" s="5"/>
      <c r="C32" s="5" t="s">
        <v>618</v>
      </c>
      <c r="D32" s="5" t="s">
        <v>1233</v>
      </c>
      <c r="E32" s="5" t="s">
        <v>1938</v>
      </c>
      <c r="F32" s="21">
        <v>1</v>
      </c>
      <c r="G32" s="753">
        <v>0</v>
      </c>
      <c r="H32" s="21">
        <f>F32*AO32</f>
        <v>0</v>
      </c>
      <c r="I32" s="21">
        <f>F32*AP32</f>
        <v>0</v>
      </c>
      <c r="J32" s="21">
        <f>F32*G32</f>
        <v>0</v>
      </c>
      <c r="K32" s="21">
        <v>0</v>
      </c>
      <c r="L32" s="21">
        <f>F32*K32</f>
        <v>0</v>
      </c>
      <c r="M32" s="34" t="s">
        <v>1960</v>
      </c>
      <c r="Z32" s="39">
        <f>IF(AQ32="5",BJ32,0)</f>
        <v>0</v>
      </c>
      <c r="AB32" s="39">
        <f>IF(AQ32="1",BH32,0)</f>
        <v>0</v>
      </c>
      <c r="AC32" s="39">
        <f>IF(AQ32="1",BI32,0)</f>
        <v>0</v>
      </c>
      <c r="AD32" s="39">
        <f>IF(AQ32="7",BH32,0)</f>
        <v>0</v>
      </c>
      <c r="AE32" s="39">
        <f>IF(AQ32="7",BI32,0)</f>
        <v>0</v>
      </c>
      <c r="AF32" s="39">
        <f>IF(AQ32="2",BH32,0)</f>
        <v>0</v>
      </c>
      <c r="AG32" s="39">
        <f>IF(AQ32="2",BI32,0)</f>
        <v>0</v>
      </c>
      <c r="AH32" s="39">
        <f>IF(AQ32="0",BJ32,0)</f>
        <v>0</v>
      </c>
      <c r="AI32" s="30"/>
      <c r="AJ32" s="21">
        <f>IF(AN32=0,J32,0)</f>
        <v>0</v>
      </c>
      <c r="AK32" s="21">
        <f>IF(AN32=15,J32,0)</f>
        <v>0</v>
      </c>
      <c r="AL32" s="21">
        <f>IF(AN32=21,J32,0)</f>
        <v>0</v>
      </c>
      <c r="AN32" s="39">
        <v>21</v>
      </c>
      <c r="AO32" s="39">
        <f>G32*0</f>
        <v>0</v>
      </c>
      <c r="AP32" s="39">
        <f>G32*(1-0)</f>
        <v>0</v>
      </c>
      <c r="AQ32" s="34" t="s">
        <v>5</v>
      </c>
      <c r="AV32" s="39">
        <f>AW32+AX32</f>
        <v>0</v>
      </c>
      <c r="AW32" s="39">
        <f>F32*AO32</f>
        <v>0</v>
      </c>
      <c r="AX32" s="39">
        <f>F32*AP32</f>
        <v>0</v>
      </c>
      <c r="AY32" s="40" t="s">
        <v>1972</v>
      </c>
      <c r="AZ32" s="40" t="s">
        <v>2030</v>
      </c>
      <c r="BA32" s="30" t="s">
        <v>2045</v>
      </c>
      <c r="BC32" s="39">
        <f>AW32+AX32</f>
        <v>0</v>
      </c>
      <c r="BD32" s="39">
        <f>G32/(100-BE32)*100</f>
        <v>0</v>
      </c>
      <c r="BE32" s="39">
        <v>0</v>
      </c>
      <c r="BF32" s="39">
        <f>L32</f>
        <v>0</v>
      </c>
      <c r="BH32" s="21">
        <f>F32*AO32</f>
        <v>0</v>
      </c>
      <c r="BI32" s="21">
        <f>F32*AP32</f>
        <v>0</v>
      </c>
      <c r="BJ32" s="21">
        <f>F32*G32</f>
        <v>0</v>
      </c>
    </row>
    <row r="33" spans="1:62">
      <c r="C33" s="16" t="s">
        <v>609</v>
      </c>
      <c r="D33" s="919" t="s">
        <v>1234</v>
      </c>
      <c r="E33" s="920"/>
      <c r="F33" s="920"/>
      <c r="G33" s="920"/>
      <c r="H33" s="920"/>
      <c r="I33" s="920"/>
      <c r="J33" s="920"/>
      <c r="K33" s="920"/>
      <c r="L33" s="920"/>
      <c r="M33" s="920"/>
    </row>
    <row r="34" spans="1:62">
      <c r="A34" s="5" t="s">
        <v>15</v>
      </c>
      <c r="B34" s="5"/>
      <c r="C34" s="5" t="s">
        <v>619</v>
      </c>
      <c r="D34" s="5" t="s">
        <v>1235</v>
      </c>
      <c r="E34" s="5" t="s">
        <v>1938</v>
      </c>
      <c r="F34" s="21">
        <v>1</v>
      </c>
      <c r="G34" s="753">
        <v>0</v>
      </c>
      <c r="H34" s="21">
        <f>F34*AO34</f>
        <v>0</v>
      </c>
      <c r="I34" s="21">
        <f>F34*AP34</f>
        <v>0</v>
      </c>
      <c r="J34" s="21">
        <f>F34*G34</f>
        <v>0</v>
      </c>
      <c r="K34" s="21">
        <v>0</v>
      </c>
      <c r="L34" s="21">
        <f>F34*K34</f>
        <v>0</v>
      </c>
      <c r="M34" s="34" t="s">
        <v>1960</v>
      </c>
      <c r="Z34" s="39">
        <f>IF(AQ34="5",BJ34,0)</f>
        <v>0</v>
      </c>
      <c r="AB34" s="39">
        <f>IF(AQ34="1",BH34,0)</f>
        <v>0</v>
      </c>
      <c r="AC34" s="39">
        <f>IF(AQ34="1",BI34,0)</f>
        <v>0</v>
      </c>
      <c r="AD34" s="39">
        <f>IF(AQ34="7",BH34,0)</f>
        <v>0</v>
      </c>
      <c r="AE34" s="39">
        <f>IF(AQ34="7",BI34,0)</f>
        <v>0</v>
      </c>
      <c r="AF34" s="39">
        <f>IF(AQ34="2",BH34,0)</f>
        <v>0</v>
      </c>
      <c r="AG34" s="39">
        <f>IF(AQ34="2",BI34,0)</f>
        <v>0</v>
      </c>
      <c r="AH34" s="39">
        <f>IF(AQ34="0",BJ34,0)</f>
        <v>0</v>
      </c>
      <c r="AI34" s="30"/>
      <c r="AJ34" s="21">
        <f>IF(AN34=0,J34,0)</f>
        <v>0</v>
      </c>
      <c r="AK34" s="21">
        <f>IF(AN34=15,J34,0)</f>
        <v>0</v>
      </c>
      <c r="AL34" s="21">
        <f>IF(AN34=21,J34,0)</f>
        <v>0</v>
      </c>
      <c r="AN34" s="39">
        <v>21</v>
      </c>
      <c r="AO34" s="39">
        <f>G34*0</f>
        <v>0</v>
      </c>
      <c r="AP34" s="39">
        <f>G34*(1-0)</f>
        <v>0</v>
      </c>
      <c r="AQ34" s="34" t="s">
        <v>5</v>
      </c>
      <c r="AV34" s="39">
        <f>AW34+AX34</f>
        <v>0</v>
      </c>
      <c r="AW34" s="39">
        <f>F34*AO34</f>
        <v>0</v>
      </c>
      <c r="AX34" s="39">
        <f>F34*AP34</f>
        <v>0</v>
      </c>
      <c r="AY34" s="40" t="s">
        <v>1972</v>
      </c>
      <c r="AZ34" s="40" t="s">
        <v>2030</v>
      </c>
      <c r="BA34" s="30" t="s">
        <v>2045</v>
      </c>
      <c r="BC34" s="39">
        <f>AW34+AX34</f>
        <v>0</v>
      </c>
      <c r="BD34" s="39">
        <f>G34/(100-BE34)*100</f>
        <v>0</v>
      </c>
      <c r="BE34" s="39">
        <v>0</v>
      </c>
      <c r="BF34" s="39">
        <f>L34</f>
        <v>0</v>
      </c>
      <c r="BH34" s="21">
        <f>F34*AO34</f>
        <v>0</v>
      </c>
      <c r="BI34" s="21">
        <f>F34*AP34</f>
        <v>0</v>
      </c>
      <c r="BJ34" s="21">
        <f>F34*G34</f>
        <v>0</v>
      </c>
    </row>
    <row r="35" spans="1:62">
      <c r="A35" s="5" t="s">
        <v>16</v>
      </c>
      <c r="B35" s="5"/>
      <c r="C35" s="5" t="s">
        <v>620</v>
      </c>
      <c r="D35" s="5" t="s">
        <v>1236</v>
      </c>
      <c r="E35" s="5" t="s">
        <v>1938</v>
      </c>
      <c r="F35" s="21">
        <v>1</v>
      </c>
      <c r="G35" s="753">
        <v>0</v>
      </c>
      <c r="H35" s="21">
        <f>F35*AO35</f>
        <v>0</v>
      </c>
      <c r="I35" s="21">
        <f>F35*AP35</f>
        <v>0</v>
      </c>
      <c r="J35" s="21">
        <f>F35*G35</f>
        <v>0</v>
      </c>
      <c r="K35" s="21">
        <v>0</v>
      </c>
      <c r="L35" s="21">
        <f>F35*K35</f>
        <v>0</v>
      </c>
      <c r="M35" s="34" t="s">
        <v>1960</v>
      </c>
      <c r="Z35" s="39">
        <f>IF(AQ35="5",BJ35,0)</f>
        <v>0</v>
      </c>
      <c r="AB35" s="39">
        <f>IF(AQ35="1",BH35,0)</f>
        <v>0</v>
      </c>
      <c r="AC35" s="39">
        <f>IF(AQ35="1",BI35,0)</f>
        <v>0</v>
      </c>
      <c r="AD35" s="39">
        <f>IF(AQ35="7",BH35,0)</f>
        <v>0</v>
      </c>
      <c r="AE35" s="39">
        <f>IF(AQ35="7",BI35,0)</f>
        <v>0</v>
      </c>
      <c r="AF35" s="39">
        <f>IF(AQ35="2",BH35,0)</f>
        <v>0</v>
      </c>
      <c r="AG35" s="39">
        <f>IF(AQ35="2",BI35,0)</f>
        <v>0</v>
      </c>
      <c r="AH35" s="39">
        <f>IF(AQ35="0",BJ35,0)</f>
        <v>0</v>
      </c>
      <c r="AI35" s="30"/>
      <c r="AJ35" s="21">
        <f>IF(AN35=0,J35,0)</f>
        <v>0</v>
      </c>
      <c r="AK35" s="21">
        <f>IF(AN35=15,J35,0)</f>
        <v>0</v>
      </c>
      <c r="AL35" s="21">
        <f>IF(AN35=21,J35,0)</f>
        <v>0</v>
      </c>
      <c r="AN35" s="39">
        <v>21</v>
      </c>
      <c r="AO35" s="39">
        <f>G35*0</f>
        <v>0</v>
      </c>
      <c r="AP35" s="39">
        <f>G35*(1-0)</f>
        <v>0</v>
      </c>
      <c r="AQ35" s="34" t="s">
        <v>5</v>
      </c>
      <c r="AV35" s="39">
        <f>AW35+AX35</f>
        <v>0</v>
      </c>
      <c r="AW35" s="39">
        <f>F35*AO35</f>
        <v>0</v>
      </c>
      <c r="AX35" s="39">
        <f>F35*AP35</f>
        <v>0</v>
      </c>
      <c r="AY35" s="40" t="s">
        <v>1972</v>
      </c>
      <c r="AZ35" s="40" t="s">
        <v>2030</v>
      </c>
      <c r="BA35" s="30" t="s">
        <v>2045</v>
      </c>
      <c r="BC35" s="39">
        <f>AW35+AX35</f>
        <v>0</v>
      </c>
      <c r="BD35" s="39">
        <f>G35/(100-BE35)*100</f>
        <v>0</v>
      </c>
      <c r="BE35" s="39">
        <v>0</v>
      </c>
      <c r="BF35" s="39">
        <f>L35</f>
        <v>0</v>
      </c>
      <c r="BH35" s="21">
        <f>F35*AO35</f>
        <v>0</v>
      </c>
      <c r="BI35" s="21">
        <f>F35*AP35</f>
        <v>0</v>
      </c>
      <c r="BJ35" s="21">
        <f>F35*G35</f>
        <v>0</v>
      </c>
    </row>
    <row r="36" spans="1:62">
      <c r="A36" s="5" t="s">
        <v>17</v>
      </c>
      <c r="B36" s="5"/>
      <c r="C36" s="5" t="s">
        <v>621</v>
      </c>
      <c r="D36" s="5" t="s">
        <v>1237</v>
      </c>
      <c r="E36" s="5" t="s">
        <v>1938</v>
      </c>
      <c r="F36" s="21">
        <v>5</v>
      </c>
      <c r="G36" s="753">
        <v>0</v>
      </c>
      <c r="H36" s="21">
        <f>F36*AO36</f>
        <v>0</v>
      </c>
      <c r="I36" s="21">
        <f>F36*AP36</f>
        <v>0</v>
      </c>
      <c r="J36" s="21">
        <f>F36*G36</f>
        <v>0</v>
      </c>
      <c r="K36" s="21">
        <v>0</v>
      </c>
      <c r="L36" s="21">
        <f>F36*K36</f>
        <v>0</v>
      </c>
      <c r="M36" s="34" t="s">
        <v>1960</v>
      </c>
      <c r="Z36" s="39">
        <f>IF(AQ36="5",BJ36,0)</f>
        <v>0</v>
      </c>
      <c r="AB36" s="39">
        <f>IF(AQ36="1",BH36,0)</f>
        <v>0</v>
      </c>
      <c r="AC36" s="39">
        <f>IF(AQ36="1",BI36,0)</f>
        <v>0</v>
      </c>
      <c r="AD36" s="39">
        <f>IF(AQ36="7",BH36,0)</f>
        <v>0</v>
      </c>
      <c r="AE36" s="39">
        <f>IF(AQ36="7",BI36,0)</f>
        <v>0</v>
      </c>
      <c r="AF36" s="39">
        <f>IF(AQ36="2",BH36,0)</f>
        <v>0</v>
      </c>
      <c r="AG36" s="39">
        <f>IF(AQ36="2",BI36,0)</f>
        <v>0</v>
      </c>
      <c r="AH36" s="39">
        <f>IF(AQ36="0",BJ36,0)</f>
        <v>0</v>
      </c>
      <c r="AI36" s="30"/>
      <c r="AJ36" s="21">
        <f>IF(AN36=0,J36,0)</f>
        <v>0</v>
      </c>
      <c r="AK36" s="21">
        <f>IF(AN36=15,J36,0)</f>
        <v>0</v>
      </c>
      <c r="AL36" s="21">
        <f>IF(AN36=21,J36,0)</f>
        <v>0</v>
      </c>
      <c r="AN36" s="39">
        <v>21</v>
      </c>
      <c r="AO36" s="39">
        <f>G36*0</f>
        <v>0</v>
      </c>
      <c r="AP36" s="39">
        <f>G36*(1-0)</f>
        <v>0</v>
      </c>
      <c r="AQ36" s="34" t="s">
        <v>5</v>
      </c>
      <c r="AV36" s="39">
        <f>AW36+AX36</f>
        <v>0</v>
      </c>
      <c r="AW36" s="39">
        <f>F36*AO36</f>
        <v>0</v>
      </c>
      <c r="AX36" s="39">
        <f>F36*AP36</f>
        <v>0</v>
      </c>
      <c r="AY36" s="40" t="s">
        <v>1972</v>
      </c>
      <c r="AZ36" s="40" t="s">
        <v>2030</v>
      </c>
      <c r="BA36" s="30" t="s">
        <v>2045</v>
      </c>
      <c r="BC36" s="39">
        <f>AW36+AX36</f>
        <v>0</v>
      </c>
      <c r="BD36" s="39">
        <f>G36/(100-BE36)*100</f>
        <v>0</v>
      </c>
      <c r="BE36" s="39">
        <v>0</v>
      </c>
      <c r="BF36" s="39">
        <f>L36</f>
        <v>0</v>
      </c>
      <c r="BH36" s="21">
        <f>F36*AO36</f>
        <v>0</v>
      </c>
      <c r="BI36" s="21">
        <f>F36*AP36</f>
        <v>0</v>
      </c>
      <c r="BJ36" s="21">
        <f>F36*G36</f>
        <v>0</v>
      </c>
    </row>
    <row r="37" spans="1:62">
      <c r="A37" s="5" t="s">
        <v>18</v>
      </c>
      <c r="B37" s="5"/>
      <c r="C37" s="5" t="s">
        <v>622</v>
      </c>
      <c r="D37" s="5" t="s">
        <v>1238</v>
      </c>
      <c r="E37" s="5" t="s">
        <v>1939</v>
      </c>
      <c r="F37" s="21">
        <v>4</v>
      </c>
      <c r="G37" s="753">
        <v>0</v>
      </c>
      <c r="H37" s="21">
        <f>F37*AO37</f>
        <v>0</v>
      </c>
      <c r="I37" s="21">
        <f>F37*AP37</f>
        <v>0</v>
      </c>
      <c r="J37" s="21">
        <f>F37*G37</f>
        <v>0</v>
      </c>
      <c r="K37" s="21">
        <v>0</v>
      </c>
      <c r="L37" s="21">
        <f>F37*K37</f>
        <v>0</v>
      </c>
      <c r="M37" s="34" t="s">
        <v>1961</v>
      </c>
      <c r="Z37" s="39">
        <f>IF(AQ37="5",BJ37,0)</f>
        <v>0</v>
      </c>
      <c r="AB37" s="39">
        <f>IF(AQ37="1",BH37,0)</f>
        <v>0</v>
      </c>
      <c r="AC37" s="39">
        <f>IF(AQ37="1",BI37,0)</f>
        <v>0</v>
      </c>
      <c r="AD37" s="39">
        <f>IF(AQ37="7",BH37,0)</f>
        <v>0</v>
      </c>
      <c r="AE37" s="39">
        <f>IF(AQ37="7",BI37,0)</f>
        <v>0</v>
      </c>
      <c r="AF37" s="39">
        <f>IF(AQ37="2",BH37,0)</f>
        <v>0</v>
      </c>
      <c r="AG37" s="39">
        <f>IF(AQ37="2",BI37,0)</f>
        <v>0</v>
      </c>
      <c r="AH37" s="39">
        <f>IF(AQ37="0",BJ37,0)</f>
        <v>0</v>
      </c>
      <c r="AI37" s="30"/>
      <c r="AJ37" s="21">
        <f>IF(AN37=0,J37,0)</f>
        <v>0</v>
      </c>
      <c r="AK37" s="21">
        <f>IF(AN37=15,J37,0)</f>
        <v>0</v>
      </c>
      <c r="AL37" s="21">
        <f>IF(AN37=21,J37,0)</f>
        <v>0</v>
      </c>
      <c r="AN37" s="39">
        <v>21</v>
      </c>
      <c r="AO37" s="39">
        <f>G37*0</f>
        <v>0</v>
      </c>
      <c r="AP37" s="39">
        <f>G37*(1-0)</f>
        <v>0</v>
      </c>
      <c r="AQ37" s="34" t="s">
        <v>5</v>
      </c>
      <c r="AV37" s="39">
        <f>AW37+AX37</f>
        <v>0</v>
      </c>
      <c r="AW37" s="39">
        <f>F37*AO37</f>
        <v>0</v>
      </c>
      <c r="AX37" s="39">
        <f>F37*AP37</f>
        <v>0</v>
      </c>
      <c r="AY37" s="40" t="s">
        <v>1972</v>
      </c>
      <c r="AZ37" s="40" t="s">
        <v>2030</v>
      </c>
      <c r="BA37" s="30" t="s">
        <v>2045</v>
      </c>
      <c r="BC37" s="39">
        <f>AW37+AX37</f>
        <v>0</v>
      </c>
      <c r="BD37" s="39">
        <f>G37/(100-BE37)*100</f>
        <v>0</v>
      </c>
      <c r="BE37" s="39">
        <v>0</v>
      </c>
      <c r="BF37" s="39">
        <f>L37</f>
        <v>0</v>
      </c>
      <c r="BH37" s="21">
        <f>F37*AO37</f>
        <v>0</v>
      </c>
      <c r="BI37" s="21">
        <f>F37*AP37</f>
        <v>0</v>
      </c>
      <c r="BJ37" s="21">
        <f>F37*G37</f>
        <v>0</v>
      </c>
    </row>
    <row r="38" spans="1:62">
      <c r="A38" s="5" t="s">
        <v>19</v>
      </c>
      <c r="B38" s="5"/>
      <c r="C38" s="5" t="s">
        <v>623</v>
      </c>
      <c r="D38" s="5" t="s">
        <v>1239</v>
      </c>
      <c r="E38" s="5" t="s">
        <v>1939</v>
      </c>
      <c r="F38" s="21">
        <v>21.5</v>
      </c>
      <c r="G38" s="753">
        <v>0</v>
      </c>
      <c r="H38" s="21">
        <f>F38*AO38</f>
        <v>0</v>
      </c>
      <c r="I38" s="21">
        <f>F38*AP38</f>
        <v>0</v>
      </c>
      <c r="J38" s="21">
        <f>F38*G38</f>
        <v>0</v>
      </c>
      <c r="K38" s="21">
        <v>0.2</v>
      </c>
      <c r="L38" s="21">
        <f>F38*K38</f>
        <v>4.3</v>
      </c>
      <c r="M38" s="34" t="s">
        <v>1960</v>
      </c>
      <c r="Z38" s="39">
        <f>IF(AQ38="5",BJ38,0)</f>
        <v>0</v>
      </c>
      <c r="AB38" s="39">
        <f>IF(AQ38="1",BH38,0)</f>
        <v>0</v>
      </c>
      <c r="AC38" s="39">
        <f>IF(AQ38="1",BI38,0)</f>
        <v>0</v>
      </c>
      <c r="AD38" s="39">
        <f>IF(AQ38="7",BH38,0)</f>
        <v>0</v>
      </c>
      <c r="AE38" s="39">
        <f>IF(AQ38="7",BI38,0)</f>
        <v>0</v>
      </c>
      <c r="AF38" s="39">
        <f>IF(AQ38="2",BH38,0)</f>
        <v>0</v>
      </c>
      <c r="AG38" s="39">
        <f>IF(AQ38="2",BI38,0)</f>
        <v>0</v>
      </c>
      <c r="AH38" s="39">
        <f>IF(AQ38="0",BJ38,0)</f>
        <v>0</v>
      </c>
      <c r="AI38" s="30"/>
      <c r="AJ38" s="21">
        <f>IF(AN38=0,J38,0)</f>
        <v>0</v>
      </c>
      <c r="AK38" s="21">
        <f>IF(AN38=15,J38,0)</f>
        <v>0</v>
      </c>
      <c r="AL38" s="21">
        <f>IF(AN38=21,J38,0)</f>
        <v>0</v>
      </c>
      <c r="AN38" s="39">
        <v>21</v>
      </c>
      <c r="AO38" s="39">
        <f>G38*0</f>
        <v>0</v>
      </c>
      <c r="AP38" s="39">
        <f>G38*(1-0)</f>
        <v>0</v>
      </c>
      <c r="AQ38" s="34" t="s">
        <v>5</v>
      </c>
      <c r="AV38" s="39">
        <f>AW38+AX38</f>
        <v>0</v>
      </c>
      <c r="AW38" s="39">
        <f>F38*AO38</f>
        <v>0</v>
      </c>
      <c r="AX38" s="39">
        <f>F38*AP38</f>
        <v>0</v>
      </c>
      <c r="AY38" s="40" t="s">
        <v>1972</v>
      </c>
      <c r="AZ38" s="40" t="s">
        <v>2030</v>
      </c>
      <c r="BA38" s="30" t="s">
        <v>2045</v>
      </c>
      <c r="BC38" s="39">
        <f>AW38+AX38</f>
        <v>0</v>
      </c>
      <c r="BD38" s="39">
        <f>G38/(100-BE38)*100</f>
        <v>0</v>
      </c>
      <c r="BE38" s="39">
        <v>0</v>
      </c>
      <c r="BF38" s="39">
        <f>L38</f>
        <v>4.3</v>
      </c>
      <c r="BH38" s="21">
        <f>F38*AO38</f>
        <v>0</v>
      </c>
      <c r="BI38" s="21">
        <f>F38*AP38</f>
        <v>0</v>
      </c>
      <c r="BJ38" s="21">
        <f>F38*G38</f>
        <v>0</v>
      </c>
    </row>
    <row r="39" spans="1:62" ht="169.2" customHeight="1">
      <c r="C39" s="17" t="s">
        <v>605</v>
      </c>
      <c r="D39" s="917" t="s">
        <v>1240</v>
      </c>
      <c r="E39" s="918"/>
      <c r="F39" s="918"/>
      <c r="G39" s="918"/>
      <c r="H39" s="918"/>
      <c r="I39" s="918"/>
      <c r="J39" s="918"/>
      <c r="K39" s="918"/>
      <c r="L39" s="918"/>
      <c r="M39" s="918"/>
    </row>
    <row r="40" spans="1:62">
      <c r="A40" s="5" t="s">
        <v>20</v>
      </c>
      <c r="B40" s="5"/>
      <c r="C40" s="5" t="s">
        <v>624</v>
      </c>
      <c r="D40" s="5" t="s">
        <v>1241</v>
      </c>
      <c r="E40" s="5" t="s">
        <v>1940</v>
      </c>
      <c r="F40" s="21">
        <v>403.8</v>
      </c>
      <c r="G40" s="753">
        <v>0</v>
      </c>
      <c r="H40" s="21">
        <f>F40*AO40</f>
        <v>0</v>
      </c>
      <c r="I40" s="21">
        <f>F40*AP40</f>
        <v>0</v>
      </c>
      <c r="J40" s="21">
        <f>F40*G40</f>
        <v>0</v>
      </c>
      <c r="K40" s="21">
        <v>0.22</v>
      </c>
      <c r="L40" s="21">
        <f>F40*K40</f>
        <v>88.835999999999999</v>
      </c>
      <c r="M40" s="34" t="s">
        <v>1961</v>
      </c>
      <c r="Z40" s="39">
        <f>IF(AQ40="5",BJ40,0)</f>
        <v>0</v>
      </c>
      <c r="AB40" s="39">
        <f>IF(AQ40="1",BH40,0)</f>
        <v>0</v>
      </c>
      <c r="AC40" s="39">
        <f>IF(AQ40="1",BI40,0)</f>
        <v>0</v>
      </c>
      <c r="AD40" s="39">
        <f>IF(AQ40="7",BH40,0)</f>
        <v>0</v>
      </c>
      <c r="AE40" s="39">
        <f>IF(AQ40="7",BI40,0)</f>
        <v>0</v>
      </c>
      <c r="AF40" s="39">
        <f>IF(AQ40="2",BH40,0)</f>
        <v>0</v>
      </c>
      <c r="AG40" s="39">
        <f>IF(AQ40="2",BI40,0)</f>
        <v>0</v>
      </c>
      <c r="AH40" s="39">
        <f>IF(AQ40="0",BJ40,0)</f>
        <v>0</v>
      </c>
      <c r="AI40" s="30"/>
      <c r="AJ40" s="21">
        <f>IF(AN40=0,J40,0)</f>
        <v>0</v>
      </c>
      <c r="AK40" s="21">
        <f>IF(AN40=15,J40,0)</f>
        <v>0</v>
      </c>
      <c r="AL40" s="21">
        <f>IF(AN40=21,J40,0)</f>
        <v>0</v>
      </c>
      <c r="AN40" s="39">
        <v>21</v>
      </c>
      <c r="AO40" s="39">
        <f>G40*0</f>
        <v>0</v>
      </c>
      <c r="AP40" s="39">
        <f>G40*(1-0)</f>
        <v>0</v>
      </c>
      <c r="AQ40" s="34" t="s">
        <v>5</v>
      </c>
      <c r="AV40" s="39">
        <f>AW40+AX40</f>
        <v>0</v>
      </c>
      <c r="AW40" s="39">
        <f>F40*AO40</f>
        <v>0</v>
      </c>
      <c r="AX40" s="39">
        <f>F40*AP40</f>
        <v>0</v>
      </c>
      <c r="AY40" s="40" t="s">
        <v>1972</v>
      </c>
      <c r="AZ40" s="40" t="s">
        <v>2030</v>
      </c>
      <c r="BA40" s="30" t="s">
        <v>2045</v>
      </c>
      <c r="BC40" s="39">
        <f>AW40+AX40</f>
        <v>0</v>
      </c>
      <c r="BD40" s="39">
        <f>G40/(100-BE40)*100</f>
        <v>0</v>
      </c>
      <c r="BE40" s="39">
        <v>0</v>
      </c>
      <c r="BF40" s="39">
        <f>L40</f>
        <v>88.835999999999999</v>
      </c>
      <c r="BH40" s="21">
        <f>F40*AO40</f>
        <v>0</v>
      </c>
      <c r="BI40" s="21">
        <f>F40*AP40</f>
        <v>0</v>
      </c>
      <c r="BJ40" s="21">
        <f>F40*G40</f>
        <v>0</v>
      </c>
    </row>
    <row r="41" spans="1:62">
      <c r="C41" s="17" t="s">
        <v>605</v>
      </c>
      <c r="D41" s="917" t="s">
        <v>1242</v>
      </c>
      <c r="E41" s="918"/>
      <c r="F41" s="918"/>
      <c r="G41" s="918"/>
      <c r="H41" s="918"/>
      <c r="I41" s="918"/>
      <c r="J41" s="918"/>
      <c r="K41" s="918"/>
      <c r="L41" s="918"/>
      <c r="M41" s="918"/>
    </row>
    <row r="42" spans="1:62">
      <c r="A42" s="4"/>
      <c r="B42" s="14"/>
      <c r="C42" s="14" t="s">
        <v>16</v>
      </c>
      <c r="D42" s="14" t="s">
        <v>1243</v>
      </c>
      <c r="E42" s="4" t="s">
        <v>4</v>
      </c>
      <c r="F42" s="4" t="s">
        <v>4</v>
      </c>
      <c r="G42" s="4" t="s">
        <v>4</v>
      </c>
      <c r="H42" s="42">
        <f>SUM(H43:H44)</f>
        <v>0</v>
      </c>
      <c r="I42" s="42">
        <f>SUM(I43:I44)</f>
        <v>0</v>
      </c>
      <c r="J42" s="42">
        <f>SUM(J43:J44)</f>
        <v>0</v>
      </c>
      <c r="K42" s="30"/>
      <c r="L42" s="42">
        <f>SUM(L43:L44)</f>
        <v>0</v>
      </c>
      <c r="M42" s="30"/>
      <c r="AI42" s="30"/>
      <c r="AS42" s="42">
        <f>SUM(AJ43:AJ44)</f>
        <v>0</v>
      </c>
      <c r="AT42" s="42">
        <f>SUM(AK43:AK44)</f>
        <v>0</v>
      </c>
      <c r="AU42" s="42">
        <f>SUM(AL43:AL44)</f>
        <v>0</v>
      </c>
    </row>
    <row r="43" spans="1:62">
      <c r="A43" s="5" t="s">
        <v>21</v>
      </c>
      <c r="B43" s="5"/>
      <c r="C43" s="5" t="s">
        <v>625</v>
      </c>
      <c r="D43" s="5" t="s">
        <v>1244</v>
      </c>
      <c r="E43" s="5" t="s">
        <v>1941</v>
      </c>
      <c r="F43" s="21">
        <v>224.25</v>
      </c>
      <c r="G43" s="753">
        <v>0</v>
      </c>
      <c r="H43" s="21">
        <f>F43*AO43</f>
        <v>0</v>
      </c>
      <c r="I43" s="21">
        <f>F43*AP43</f>
        <v>0</v>
      </c>
      <c r="J43" s="21">
        <f>F43*G43</f>
        <v>0</v>
      </c>
      <c r="K43" s="21">
        <v>0</v>
      </c>
      <c r="L43" s="21">
        <f>F43*K43</f>
        <v>0</v>
      </c>
      <c r="M43" s="34" t="s">
        <v>1961</v>
      </c>
      <c r="Z43" s="39">
        <f>IF(AQ43="5",BJ43,0)</f>
        <v>0</v>
      </c>
      <c r="AB43" s="39">
        <f>IF(AQ43="1",BH43,0)</f>
        <v>0</v>
      </c>
      <c r="AC43" s="39">
        <f>IF(AQ43="1",BI43,0)</f>
        <v>0</v>
      </c>
      <c r="AD43" s="39">
        <f>IF(AQ43="7",BH43,0)</f>
        <v>0</v>
      </c>
      <c r="AE43" s="39">
        <f>IF(AQ43="7",BI43,0)</f>
        <v>0</v>
      </c>
      <c r="AF43" s="39">
        <f>IF(AQ43="2",BH43,0)</f>
        <v>0</v>
      </c>
      <c r="AG43" s="39">
        <f>IF(AQ43="2",BI43,0)</f>
        <v>0</v>
      </c>
      <c r="AH43" s="39">
        <f>IF(AQ43="0",BJ43,0)</f>
        <v>0</v>
      </c>
      <c r="AI43" s="30"/>
      <c r="AJ43" s="21">
        <f>IF(AN43=0,J43,0)</f>
        <v>0</v>
      </c>
      <c r="AK43" s="21">
        <f>IF(AN43=15,J43,0)</f>
        <v>0</v>
      </c>
      <c r="AL43" s="21">
        <f>IF(AN43=21,J43,0)</f>
        <v>0</v>
      </c>
      <c r="AN43" s="39">
        <v>21</v>
      </c>
      <c r="AO43" s="39">
        <f>G43*0</f>
        <v>0</v>
      </c>
      <c r="AP43" s="39">
        <f>G43*(1-0)</f>
        <v>0</v>
      </c>
      <c r="AQ43" s="34" t="s">
        <v>5</v>
      </c>
      <c r="AV43" s="39">
        <f>AW43+AX43</f>
        <v>0</v>
      </c>
      <c r="AW43" s="39">
        <f>F43*AO43</f>
        <v>0</v>
      </c>
      <c r="AX43" s="39">
        <f>F43*AP43</f>
        <v>0</v>
      </c>
      <c r="AY43" s="40" t="s">
        <v>1973</v>
      </c>
      <c r="AZ43" s="40" t="s">
        <v>2030</v>
      </c>
      <c r="BA43" s="30" t="s">
        <v>2045</v>
      </c>
      <c r="BC43" s="39">
        <f>AW43+AX43</f>
        <v>0</v>
      </c>
      <c r="BD43" s="39">
        <f>G43/(100-BE43)*100</f>
        <v>0</v>
      </c>
      <c r="BE43" s="39">
        <v>0</v>
      </c>
      <c r="BF43" s="39">
        <f>L43</f>
        <v>0</v>
      </c>
      <c r="BH43" s="21">
        <f>F43*AO43</f>
        <v>0</v>
      </c>
      <c r="BI43" s="21">
        <f>F43*AP43</f>
        <v>0</v>
      </c>
      <c r="BJ43" s="21">
        <f>F43*G43</f>
        <v>0</v>
      </c>
    </row>
    <row r="44" spans="1:62">
      <c r="A44" s="5" t="s">
        <v>22</v>
      </c>
      <c r="B44" s="5"/>
      <c r="C44" s="5" t="s">
        <v>626</v>
      </c>
      <c r="D44" s="5" t="s">
        <v>1245</v>
      </c>
      <c r="E44" s="5" t="s">
        <v>1941</v>
      </c>
      <c r="F44" s="21">
        <v>80.760000000000005</v>
      </c>
      <c r="G44" s="753">
        <v>0</v>
      </c>
      <c r="H44" s="21">
        <f>F44*AO44</f>
        <v>0</v>
      </c>
      <c r="I44" s="21">
        <f>F44*AP44</f>
        <v>0</v>
      </c>
      <c r="J44" s="21">
        <f>F44*G44</f>
        <v>0</v>
      </c>
      <c r="K44" s="21">
        <v>0</v>
      </c>
      <c r="L44" s="21">
        <f>F44*K44</f>
        <v>0</v>
      </c>
      <c r="M44" s="34" t="s">
        <v>1961</v>
      </c>
      <c r="Z44" s="39">
        <f>IF(AQ44="5",BJ44,0)</f>
        <v>0</v>
      </c>
      <c r="AB44" s="39">
        <f>IF(AQ44="1",BH44,0)</f>
        <v>0</v>
      </c>
      <c r="AC44" s="39">
        <f>IF(AQ44="1",BI44,0)</f>
        <v>0</v>
      </c>
      <c r="AD44" s="39">
        <f>IF(AQ44="7",BH44,0)</f>
        <v>0</v>
      </c>
      <c r="AE44" s="39">
        <f>IF(AQ44="7",BI44,0)</f>
        <v>0</v>
      </c>
      <c r="AF44" s="39">
        <f>IF(AQ44="2",BH44,0)</f>
        <v>0</v>
      </c>
      <c r="AG44" s="39">
        <f>IF(AQ44="2",BI44,0)</f>
        <v>0</v>
      </c>
      <c r="AH44" s="39">
        <f>IF(AQ44="0",BJ44,0)</f>
        <v>0</v>
      </c>
      <c r="AI44" s="30"/>
      <c r="AJ44" s="21">
        <f>IF(AN44=0,J44,0)</f>
        <v>0</v>
      </c>
      <c r="AK44" s="21">
        <f>IF(AN44=15,J44,0)</f>
        <v>0</v>
      </c>
      <c r="AL44" s="21">
        <f>IF(AN44=21,J44,0)</f>
        <v>0</v>
      </c>
      <c r="AN44" s="39">
        <v>21</v>
      </c>
      <c r="AO44" s="39">
        <f>G44*0</f>
        <v>0</v>
      </c>
      <c r="AP44" s="39">
        <f>G44*(1-0)</f>
        <v>0</v>
      </c>
      <c r="AQ44" s="34" t="s">
        <v>5</v>
      </c>
      <c r="AV44" s="39">
        <f>AW44+AX44</f>
        <v>0</v>
      </c>
      <c r="AW44" s="39">
        <f>F44*AO44</f>
        <v>0</v>
      </c>
      <c r="AX44" s="39">
        <f>F44*AP44</f>
        <v>0</v>
      </c>
      <c r="AY44" s="40" t="s">
        <v>1973</v>
      </c>
      <c r="AZ44" s="40" t="s">
        <v>2030</v>
      </c>
      <c r="BA44" s="30" t="s">
        <v>2045</v>
      </c>
      <c r="BC44" s="39">
        <f>AW44+AX44</f>
        <v>0</v>
      </c>
      <c r="BD44" s="39">
        <f>G44/(100-BE44)*100</f>
        <v>0</v>
      </c>
      <c r="BE44" s="39">
        <v>0</v>
      </c>
      <c r="BF44" s="39">
        <f>L44</f>
        <v>0</v>
      </c>
      <c r="BH44" s="21">
        <f>F44*AO44</f>
        <v>0</v>
      </c>
      <c r="BI44" s="21">
        <f>F44*AP44</f>
        <v>0</v>
      </c>
      <c r="BJ44" s="21">
        <f>F44*G44</f>
        <v>0</v>
      </c>
    </row>
    <row r="45" spans="1:62">
      <c r="A45" s="4"/>
      <c r="B45" s="14"/>
      <c r="C45" s="14" t="s">
        <v>17</v>
      </c>
      <c r="D45" s="14" t="s">
        <v>1246</v>
      </c>
      <c r="E45" s="4" t="s">
        <v>4</v>
      </c>
      <c r="F45" s="4" t="s">
        <v>4</v>
      </c>
      <c r="G45" s="4" t="s">
        <v>4</v>
      </c>
      <c r="H45" s="42">
        <f>SUM(H46:H47)</f>
        <v>0</v>
      </c>
      <c r="I45" s="42">
        <f>SUM(I46:I47)</f>
        <v>0</v>
      </c>
      <c r="J45" s="42">
        <f>SUM(J46:J47)</f>
        <v>0</v>
      </c>
      <c r="K45" s="30"/>
      <c r="L45" s="42">
        <f>SUM(L46:L47)</f>
        <v>0</v>
      </c>
      <c r="M45" s="30"/>
      <c r="AI45" s="30"/>
      <c r="AS45" s="42">
        <f>SUM(AJ46:AJ47)</f>
        <v>0</v>
      </c>
      <c r="AT45" s="42">
        <f>SUM(AK46:AK47)</f>
        <v>0</v>
      </c>
      <c r="AU45" s="42">
        <f>SUM(AL46:AL47)</f>
        <v>0</v>
      </c>
    </row>
    <row r="46" spans="1:62">
      <c r="A46" s="5" t="s">
        <v>23</v>
      </c>
      <c r="B46" s="5"/>
      <c r="C46" s="5" t="s">
        <v>627</v>
      </c>
      <c r="D46" s="5" t="s">
        <v>1247</v>
      </c>
      <c r="E46" s="5" t="s">
        <v>1941</v>
      </c>
      <c r="F46" s="21">
        <v>45.543999999999997</v>
      </c>
      <c r="G46" s="753">
        <v>0</v>
      </c>
      <c r="H46" s="21">
        <f>F46*AO46</f>
        <v>0</v>
      </c>
      <c r="I46" s="21">
        <f>F46*AP46</f>
        <v>0</v>
      </c>
      <c r="J46" s="21">
        <f>F46*G46</f>
        <v>0</v>
      </c>
      <c r="K46" s="21">
        <v>0</v>
      </c>
      <c r="L46" s="21">
        <f>F46*K46</f>
        <v>0</v>
      </c>
      <c r="M46" s="34" t="s">
        <v>1961</v>
      </c>
      <c r="Z46" s="39">
        <f>IF(AQ46="5",BJ46,0)</f>
        <v>0</v>
      </c>
      <c r="AB46" s="39">
        <f>IF(AQ46="1",BH46,0)</f>
        <v>0</v>
      </c>
      <c r="AC46" s="39">
        <f>IF(AQ46="1",BI46,0)</f>
        <v>0</v>
      </c>
      <c r="AD46" s="39">
        <f>IF(AQ46="7",BH46,0)</f>
        <v>0</v>
      </c>
      <c r="AE46" s="39">
        <f>IF(AQ46="7",BI46,0)</f>
        <v>0</v>
      </c>
      <c r="AF46" s="39">
        <f>IF(AQ46="2",BH46,0)</f>
        <v>0</v>
      </c>
      <c r="AG46" s="39">
        <f>IF(AQ46="2",BI46,0)</f>
        <v>0</v>
      </c>
      <c r="AH46" s="39">
        <f>IF(AQ46="0",BJ46,0)</f>
        <v>0</v>
      </c>
      <c r="AI46" s="30"/>
      <c r="AJ46" s="21">
        <f>IF(AN46=0,J46,0)</f>
        <v>0</v>
      </c>
      <c r="AK46" s="21">
        <f>IF(AN46=15,J46,0)</f>
        <v>0</v>
      </c>
      <c r="AL46" s="21">
        <f>IF(AN46=21,J46,0)</f>
        <v>0</v>
      </c>
      <c r="AN46" s="39">
        <v>21</v>
      </c>
      <c r="AO46" s="39">
        <f>G46*0</f>
        <v>0</v>
      </c>
      <c r="AP46" s="39">
        <f>G46*(1-0)</f>
        <v>0</v>
      </c>
      <c r="AQ46" s="34" t="s">
        <v>5</v>
      </c>
      <c r="AV46" s="39">
        <f>AW46+AX46</f>
        <v>0</v>
      </c>
      <c r="AW46" s="39">
        <f>F46*AO46</f>
        <v>0</v>
      </c>
      <c r="AX46" s="39">
        <f>F46*AP46</f>
        <v>0</v>
      </c>
      <c r="AY46" s="40" t="s">
        <v>1974</v>
      </c>
      <c r="AZ46" s="40" t="s">
        <v>2030</v>
      </c>
      <c r="BA46" s="30" t="s">
        <v>2045</v>
      </c>
      <c r="BC46" s="39">
        <f>AW46+AX46</f>
        <v>0</v>
      </c>
      <c r="BD46" s="39">
        <f>G46/(100-BE46)*100</f>
        <v>0</v>
      </c>
      <c r="BE46" s="39">
        <v>0</v>
      </c>
      <c r="BF46" s="39">
        <f>L46</f>
        <v>0</v>
      </c>
      <c r="BH46" s="21">
        <f>F46*AO46</f>
        <v>0</v>
      </c>
      <c r="BI46" s="21">
        <f>F46*AP46</f>
        <v>0</v>
      </c>
      <c r="BJ46" s="21">
        <f>F46*G46</f>
        <v>0</v>
      </c>
    </row>
    <row r="47" spans="1:62">
      <c r="A47" s="5" t="s">
        <v>24</v>
      </c>
      <c r="B47" s="5"/>
      <c r="C47" s="5" t="s">
        <v>628</v>
      </c>
      <c r="D47" s="5" t="s">
        <v>1248</v>
      </c>
      <c r="E47" s="5" t="s">
        <v>1941</v>
      </c>
      <c r="F47" s="21">
        <v>2685</v>
      </c>
      <c r="G47" s="753">
        <v>0</v>
      </c>
      <c r="H47" s="21">
        <f>F47*AO47</f>
        <v>0</v>
      </c>
      <c r="I47" s="21">
        <f>F47*AP47</f>
        <v>0</v>
      </c>
      <c r="J47" s="21">
        <f>F47*G47</f>
        <v>0</v>
      </c>
      <c r="K47" s="21">
        <v>0</v>
      </c>
      <c r="L47" s="21">
        <f>F47*K47</f>
        <v>0</v>
      </c>
      <c r="M47" s="34" t="s">
        <v>1961</v>
      </c>
      <c r="Z47" s="39">
        <f>IF(AQ47="5",BJ47,0)</f>
        <v>0</v>
      </c>
      <c r="AB47" s="39">
        <f>IF(AQ47="1",BH47,0)</f>
        <v>0</v>
      </c>
      <c r="AC47" s="39">
        <f>IF(AQ47="1",BI47,0)</f>
        <v>0</v>
      </c>
      <c r="AD47" s="39">
        <f>IF(AQ47="7",BH47,0)</f>
        <v>0</v>
      </c>
      <c r="AE47" s="39">
        <f>IF(AQ47="7",BI47,0)</f>
        <v>0</v>
      </c>
      <c r="AF47" s="39">
        <f>IF(AQ47="2",BH47,0)</f>
        <v>0</v>
      </c>
      <c r="AG47" s="39">
        <f>IF(AQ47="2",BI47,0)</f>
        <v>0</v>
      </c>
      <c r="AH47" s="39">
        <f>IF(AQ47="0",BJ47,0)</f>
        <v>0</v>
      </c>
      <c r="AI47" s="30"/>
      <c r="AJ47" s="21">
        <f>IF(AN47=0,J47,0)</f>
        <v>0</v>
      </c>
      <c r="AK47" s="21">
        <f>IF(AN47=15,J47,0)</f>
        <v>0</v>
      </c>
      <c r="AL47" s="21">
        <f>IF(AN47=21,J47,0)</f>
        <v>0</v>
      </c>
      <c r="AN47" s="39">
        <v>21</v>
      </c>
      <c r="AO47" s="39">
        <f>G47*0</f>
        <v>0</v>
      </c>
      <c r="AP47" s="39">
        <f>G47*(1-0)</f>
        <v>0</v>
      </c>
      <c r="AQ47" s="34" t="s">
        <v>5</v>
      </c>
      <c r="AV47" s="39">
        <f>AW47+AX47</f>
        <v>0</v>
      </c>
      <c r="AW47" s="39">
        <f>F47*AO47</f>
        <v>0</v>
      </c>
      <c r="AX47" s="39">
        <f>F47*AP47</f>
        <v>0</v>
      </c>
      <c r="AY47" s="40" t="s">
        <v>1974</v>
      </c>
      <c r="AZ47" s="40" t="s">
        <v>2030</v>
      </c>
      <c r="BA47" s="30" t="s">
        <v>2045</v>
      </c>
      <c r="BC47" s="39">
        <f>AW47+AX47</f>
        <v>0</v>
      </c>
      <c r="BD47" s="39">
        <f>G47/(100-BE47)*100</f>
        <v>0</v>
      </c>
      <c r="BE47" s="39">
        <v>0</v>
      </c>
      <c r="BF47" s="39">
        <f>L47</f>
        <v>0</v>
      </c>
      <c r="BH47" s="21">
        <f>F47*AO47</f>
        <v>0</v>
      </c>
      <c r="BI47" s="21">
        <f>F47*AP47</f>
        <v>0</v>
      </c>
      <c r="BJ47" s="21">
        <f>F47*G47</f>
        <v>0</v>
      </c>
    </row>
    <row r="48" spans="1:62">
      <c r="A48" s="4"/>
      <c r="B48" s="14"/>
      <c r="C48" s="14" t="s">
        <v>19</v>
      </c>
      <c r="D48" s="14" t="s">
        <v>1249</v>
      </c>
      <c r="E48" s="4" t="s">
        <v>4</v>
      </c>
      <c r="F48" s="4" t="s">
        <v>4</v>
      </c>
      <c r="G48" s="4"/>
      <c r="H48" s="42">
        <f>SUM(H49:H49)</f>
        <v>0</v>
      </c>
      <c r="I48" s="42">
        <f>SUM(I49:I49)</f>
        <v>0</v>
      </c>
      <c r="J48" s="42">
        <f>SUM(J49:J49)</f>
        <v>0</v>
      </c>
      <c r="K48" s="30"/>
      <c r="L48" s="42">
        <f>SUM(L49:L49)</f>
        <v>18.745000000000001</v>
      </c>
      <c r="M48" s="30"/>
      <c r="AI48" s="30"/>
      <c r="AS48" s="42">
        <f>SUM(AJ49:AJ49)</f>
        <v>0</v>
      </c>
      <c r="AT48" s="42">
        <f>SUM(AK49:AK49)</f>
        <v>0</v>
      </c>
      <c r="AU48" s="42">
        <f>SUM(AL49:AL49)</f>
        <v>0</v>
      </c>
    </row>
    <row r="49" spans="1:62">
      <c r="A49" s="5" t="s">
        <v>25</v>
      </c>
      <c r="B49" s="5"/>
      <c r="C49" s="5" t="s">
        <v>629</v>
      </c>
      <c r="D49" s="5" t="s">
        <v>5820</v>
      </c>
      <c r="E49" s="5" t="s">
        <v>1940</v>
      </c>
      <c r="F49" s="21">
        <v>187.45</v>
      </c>
      <c r="G49" s="753">
        <v>0</v>
      </c>
      <c r="H49" s="21">
        <f>F49*AO49</f>
        <v>0</v>
      </c>
      <c r="I49" s="21">
        <f>F49*AP49</f>
        <v>0</v>
      </c>
      <c r="J49" s="21">
        <f>F49*G49</f>
        <v>0</v>
      </c>
      <c r="K49" s="21">
        <v>0.1</v>
      </c>
      <c r="L49" s="21">
        <f>F49*K49</f>
        <v>18.745000000000001</v>
      </c>
      <c r="M49" s="34" t="s">
        <v>1960</v>
      </c>
      <c r="Z49" s="39">
        <f>IF(AQ49="5",BJ49,0)</f>
        <v>0</v>
      </c>
      <c r="AB49" s="39">
        <f>IF(AQ49="1",BH49,0)</f>
        <v>0</v>
      </c>
      <c r="AC49" s="39">
        <f>IF(AQ49="1",BI49,0)</f>
        <v>0</v>
      </c>
      <c r="AD49" s="39">
        <f>IF(AQ49="7",BH49,0)</f>
        <v>0</v>
      </c>
      <c r="AE49" s="39">
        <f>IF(AQ49="7",BI49,0)</f>
        <v>0</v>
      </c>
      <c r="AF49" s="39">
        <f>IF(AQ49="2",BH49,0)</f>
        <v>0</v>
      </c>
      <c r="AG49" s="39">
        <f>IF(AQ49="2",BI49,0)</f>
        <v>0</v>
      </c>
      <c r="AH49" s="39">
        <f>IF(AQ49="0",BJ49,0)</f>
        <v>0</v>
      </c>
      <c r="AI49" s="30"/>
      <c r="AJ49" s="21">
        <f>IF(AN49=0,J49,0)</f>
        <v>0</v>
      </c>
      <c r="AK49" s="21">
        <f>IF(AN49=15,J49,0)</f>
        <v>0</v>
      </c>
      <c r="AL49" s="21">
        <f>IF(AN49=21,J49,0)</f>
        <v>0</v>
      </c>
      <c r="AN49" s="39">
        <v>21</v>
      </c>
      <c r="AO49" s="39">
        <f>G49*0.0876810176125245</f>
        <v>0</v>
      </c>
      <c r="AP49" s="39">
        <f>G49*(1-0.0876810176125245)</f>
        <v>0</v>
      </c>
      <c r="AQ49" s="34" t="s">
        <v>5</v>
      </c>
      <c r="AV49" s="39">
        <f>AW49+AX49</f>
        <v>0</v>
      </c>
      <c r="AW49" s="39">
        <f>F49*AO49</f>
        <v>0</v>
      </c>
      <c r="AX49" s="39">
        <f>F49*AP49</f>
        <v>0</v>
      </c>
      <c r="AY49" s="40" t="s">
        <v>1975</v>
      </c>
      <c r="AZ49" s="40" t="s">
        <v>2030</v>
      </c>
      <c r="BA49" s="30" t="s">
        <v>2045</v>
      </c>
      <c r="BC49" s="39">
        <f>AW49+AX49</f>
        <v>0</v>
      </c>
      <c r="BD49" s="39">
        <f>G49/(100-BE49)*100</f>
        <v>0</v>
      </c>
      <c r="BE49" s="39">
        <v>0</v>
      </c>
      <c r="BF49" s="39">
        <f>L49</f>
        <v>18.745000000000001</v>
      </c>
      <c r="BH49" s="21">
        <f>F49*AO49</f>
        <v>0</v>
      </c>
      <c r="BI49" s="21">
        <f>F49*AP49</f>
        <v>0</v>
      </c>
      <c r="BJ49" s="21">
        <f>F49*G49</f>
        <v>0</v>
      </c>
    </row>
    <row r="50" spans="1:62">
      <c r="A50" s="4"/>
      <c r="B50" s="14"/>
      <c r="C50" s="14" t="s">
        <v>20</v>
      </c>
      <c r="D50" s="14" t="s">
        <v>1251</v>
      </c>
      <c r="E50" s="4" t="s">
        <v>4</v>
      </c>
      <c r="F50" s="4" t="s">
        <v>4</v>
      </c>
      <c r="G50" s="4" t="s">
        <v>4</v>
      </c>
      <c r="H50" s="42">
        <f>SUM(H51:H52)</f>
        <v>0</v>
      </c>
      <c r="I50" s="42">
        <f>SUM(I51:I52)</f>
        <v>0</v>
      </c>
      <c r="J50" s="42">
        <f>SUM(J51:J52)</f>
        <v>0</v>
      </c>
      <c r="K50" s="30"/>
      <c r="L50" s="42">
        <f>SUM(L51:L52)</f>
        <v>0</v>
      </c>
      <c r="M50" s="30"/>
      <c r="AI50" s="30"/>
      <c r="AS50" s="42">
        <f>SUM(AJ51:AJ52)</f>
        <v>0</v>
      </c>
      <c r="AT50" s="42">
        <f>SUM(AK51:AK52)</f>
        <v>0</v>
      </c>
      <c r="AU50" s="42">
        <f>SUM(AL51:AL52)</f>
        <v>0</v>
      </c>
    </row>
    <row r="51" spans="1:62">
      <c r="A51" s="5" t="s">
        <v>26</v>
      </c>
      <c r="B51" s="5"/>
      <c r="C51" s="5" t="s">
        <v>630</v>
      </c>
      <c r="D51" s="5" t="s">
        <v>1252</v>
      </c>
      <c r="E51" s="5" t="s">
        <v>1941</v>
      </c>
      <c r="F51" s="21">
        <v>4513.76</v>
      </c>
      <c r="G51" s="753">
        <v>0</v>
      </c>
      <c r="H51" s="21">
        <f>F51*AO51</f>
        <v>0</v>
      </c>
      <c r="I51" s="21">
        <f>F51*AP51</f>
        <v>0</v>
      </c>
      <c r="J51" s="21">
        <f>F51*G51</f>
        <v>0</v>
      </c>
      <c r="K51" s="21">
        <v>0</v>
      </c>
      <c r="L51" s="21">
        <f>F51*K51</f>
        <v>0</v>
      </c>
      <c r="M51" s="34" t="s">
        <v>1961</v>
      </c>
      <c r="Z51" s="39">
        <f>IF(AQ51="5",BJ51,0)</f>
        <v>0</v>
      </c>
      <c r="AB51" s="39">
        <f>IF(AQ51="1",BH51,0)</f>
        <v>0</v>
      </c>
      <c r="AC51" s="39">
        <f>IF(AQ51="1",BI51,0)</f>
        <v>0</v>
      </c>
      <c r="AD51" s="39">
        <f>IF(AQ51="7",BH51,0)</f>
        <v>0</v>
      </c>
      <c r="AE51" s="39">
        <f>IF(AQ51="7",BI51,0)</f>
        <v>0</v>
      </c>
      <c r="AF51" s="39">
        <f>IF(AQ51="2",BH51,0)</f>
        <v>0</v>
      </c>
      <c r="AG51" s="39">
        <f>IF(AQ51="2",BI51,0)</f>
        <v>0</v>
      </c>
      <c r="AH51" s="39">
        <f>IF(AQ51="0",BJ51,0)</f>
        <v>0</v>
      </c>
      <c r="AI51" s="30"/>
      <c r="AJ51" s="21">
        <f>IF(AN51=0,J51,0)</f>
        <v>0</v>
      </c>
      <c r="AK51" s="21">
        <f>IF(AN51=15,J51,0)</f>
        <v>0</v>
      </c>
      <c r="AL51" s="21">
        <f>IF(AN51=21,J51,0)</f>
        <v>0</v>
      </c>
      <c r="AN51" s="39">
        <v>21</v>
      </c>
      <c r="AO51" s="39">
        <f>G51*0</f>
        <v>0</v>
      </c>
      <c r="AP51" s="39">
        <f>G51*(1-0)</f>
        <v>0</v>
      </c>
      <c r="AQ51" s="34" t="s">
        <v>5</v>
      </c>
      <c r="AV51" s="39">
        <f>AW51+AX51</f>
        <v>0</v>
      </c>
      <c r="AW51" s="39">
        <f>F51*AO51</f>
        <v>0</v>
      </c>
      <c r="AX51" s="39">
        <f>F51*AP51</f>
        <v>0</v>
      </c>
      <c r="AY51" s="40" t="s">
        <v>1976</v>
      </c>
      <c r="AZ51" s="40" t="s">
        <v>2030</v>
      </c>
      <c r="BA51" s="30" t="s">
        <v>2045</v>
      </c>
      <c r="BC51" s="39">
        <f>AW51+AX51</f>
        <v>0</v>
      </c>
      <c r="BD51" s="39">
        <f>G51/(100-BE51)*100</f>
        <v>0</v>
      </c>
      <c r="BE51" s="39">
        <v>0</v>
      </c>
      <c r="BF51" s="39">
        <f>L51</f>
        <v>0</v>
      </c>
      <c r="BH51" s="21">
        <f>F51*AO51</f>
        <v>0</v>
      </c>
      <c r="BI51" s="21">
        <f>F51*AP51</f>
        <v>0</v>
      </c>
      <c r="BJ51" s="21">
        <f>F51*G51</f>
        <v>0</v>
      </c>
    </row>
    <row r="52" spans="1:62">
      <c r="A52" s="5" t="s">
        <v>27</v>
      </c>
      <c r="B52" s="5"/>
      <c r="C52" s="5" t="s">
        <v>631</v>
      </c>
      <c r="D52" s="5" t="s">
        <v>1253</v>
      </c>
      <c r="E52" s="5" t="s">
        <v>1941</v>
      </c>
      <c r="F52" s="21">
        <v>1748</v>
      </c>
      <c r="G52" s="753">
        <v>0</v>
      </c>
      <c r="H52" s="21">
        <f>F52*AO52</f>
        <v>0</v>
      </c>
      <c r="I52" s="21">
        <f>F52*AP52</f>
        <v>0</v>
      </c>
      <c r="J52" s="21">
        <f>F52*G52</f>
        <v>0</v>
      </c>
      <c r="K52" s="21">
        <v>0</v>
      </c>
      <c r="L52" s="21">
        <f>F52*K52</f>
        <v>0</v>
      </c>
      <c r="M52" s="34" t="s">
        <v>1961</v>
      </c>
      <c r="Z52" s="39">
        <f>IF(AQ52="5",BJ52,0)</f>
        <v>0</v>
      </c>
      <c r="AB52" s="39">
        <f>IF(AQ52="1",BH52,0)</f>
        <v>0</v>
      </c>
      <c r="AC52" s="39">
        <f>IF(AQ52="1",BI52,0)</f>
        <v>0</v>
      </c>
      <c r="AD52" s="39">
        <f>IF(AQ52="7",BH52,0)</f>
        <v>0</v>
      </c>
      <c r="AE52" s="39">
        <f>IF(AQ52="7",BI52,0)</f>
        <v>0</v>
      </c>
      <c r="AF52" s="39">
        <f>IF(AQ52="2",BH52,0)</f>
        <v>0</v>
      </c>
      <c r="AG52" s="39">
        <f>IF(AQ52="2",BI52,0)</f>
        <v>0</v>
      </c>
      <c r="AH52" s="39">
        <f>IF(AQ52="0",BJ52,0)</f>
        <v>0</v>
      </c>
      <c r="AI52" s="30"/>
      <c r="AJ52" s="21">
        <f>IF(AN52=0,J52,0)</f>
        <v>0</v>
      </c>
      <c r="AK52" s="21">
        <f>IF(AN52=15,J52,0)</f>
        <v>0</v>
      </c>
      <c r="AL52" s="21">
        <f>IF(AN52=21,J52,0)</f>
        <v>0</v>
      </c>
      <c r="AN52" s="39">
        <v>21</v>
      </c>
      <c r="AO52" s="39">
        <f>G52*0</f>
        <v>0</v>
      </c>
      <c r="AP52" s="39">
        <f>G52*(1-0)</f>
        <v>0</v>
      </c>
      <c r="AQ52" s="34" t="s">
        <v>5</v>
      </c>
      <c r="AV52" s="39">
        <f>AW52+AX52</f>
        <v>0</v>
      </c>
      <c r="AW52" s="39">
        <f>F52*AO52</f>
        <v>0</v>
      </c>
      <c r="AX52" s="39">
        <f>F52*AP52</f>
        <v>0</v>
      </c>
      <c r="AY52" s="40" t="s">
        <v>1976</v>
      </c>
      <c r="AZ52" s="40" t="s">
        <v>2030</v>
      </c>
      <c r="BA52" s="30" t="s">
        <v>2045</v>
      </c>
      <c r="BC52" s="39">
        <f>AW52+AX52</f>
        <v>0</v>
      </c>
      <c r="BD52" s="39">
        <f>G52/(100-BE52)*100</f>
        <v>0</v>
      </c>
      <c r="BE52" s="39">
        <v>0</v>
      </c>
      <c r="BF52" s="39">
        <f>L52</f>
        <v>0</v>
      </c>
      <c r="BH52" s="21">
        <f>F52*AO52</f>
        <v>0</v>
      </c>
      <c r="BI52" s="21">
        <f>F52*AP52</f>
        <v>0</v>
      </c>
      <c r="BJ52" s="21">
        <f>F52*G52</f>
        <v>0</v>
      </c>
    </row>
    <row r="53" spans="1:62">
      <c r="A53" s="4"/>
      <c r="B53" s="14"/>
      <c r="C53" s="14" t="s">
        <v>21</v>
      </c>
      <c r="D53" s="14" t="s">
        <v>1254</v>
      </c>
      <c r="E53" s="4" t="s">
        <v>4</v>
      </c>
      <c r="F53" s="4" t="s">
        <v>4</v>
      </c>
      <c r="G53" s="4" t="s">
        <v>4</v>
      </c>
      <c r="H53" s="42">
        <f>SUM(H54:H55)</f>
        <v>0</v>
      </c>
      <c r="I53" s="42">
        <f>SUM(I54:I55)</f>
        <v>0</v>
      </c>
      <c r="J53" s="42">
        <f>SUM(J54:J55)</f>
        <v>0</v>
      </c>
      <c r="K53" s="30"/>
      <c r="L53" s="42">
        <f>SUM(L54:L55)</f>
        <v>0</v>
      </c>
      <c r="M53" s="30"/>
      <c r="AI53" s="30"/>
      <c r="AS53" s="42">
        <f>SUM(AJ54:AJ55)</f>
        <v>0</v>
      </c>
      <c r="AT53" s="42">
        <f>SUM(AK54:AK55)</f>
        <v>0</v>
      </c>
      <c r="AU53" s="42">
        <f>SUM(AL54:AL55)</f>
        <v>0</v>
      </c>
    </row>
    <row r="54" spans="1:62">
      <c r="A54" s="5" t="s">
        <v>28</v>
      </c>
      <c r="B54" s="5"/>
      <c r="C54" s="5" t="s">
        <v>632</v>
      </c>
      <c r="D54" s="5" t="s">
        <v>1255</v>
      </c>
      <c r="E54" s="5" t="s">
        <v>1941</v>
      </c>
      <c r="F54" s="21">
        <v>3.2</v>
      </c>
      <c r="G54" s="753">
        <v>0</v>
      </c>
      <c r="H54" s="21">
        <f>F54*AO54</f>
        <v>0</v>
      </c>
      <c r="I54" s="21">
        <f>F54*AP54</f>
        <v>0</v>
      </c>
      <c r="J54" s="21">
        <f>F54*G54</f>
        <v>0</v>
      </c>
      <c r="K54" s="21">
        <v>0</v>
      </c>
      <c r="L54" s="21">
        <f>F54*K54</f>
        <v>0</v>
      </c>
      <c r="M54" s="34" t="s">
        <v>1961</v>
      </c>
      <c r="Z54" s="39">
        <f>IF(AQ54="5",BJ54,0)</f>
        <v>0</v>
      </c>
      <c r="AB54" s="39">
        <f>IF(AQ54="1",BH54,0)</f>
        <v>0</v>
      </c>
      <c r="AC54" s="39">
        <f>IF(AQ54="1",BI54,0)</f>
        <v>0</v>
      </c>
      <c r="AD54" s="39">
        <f>IF(AQ54="7",BH54,0)</f>
        <v>0</v>
      </c>
      <c r="AE54" s="39">
        <f>IF(AQ54="7",BI54,0)</f>
        <v>0</v>
      </c>
      <c r="AF54" s="39">
        <f>IF(AQ54="2",BH54,0)</f>
        <v>0</v>
      </c>
      <c r="AG54" s="39">
        <f>IF(AQ54="2",BI54,0)</f>
        <v>0</v>
      </c>
      <c r="AH54" s="39">
        <f>IF(AQ54="0",BJ54,0)</f>
        <v>0</v>
      </c>
      <c r="AI54" s="30"/>
      <c r="AJ54" s="21">
        <f>IF(AN54=0,J54,0)</f>
        <v>0</v>
      </c>
      <c r="AK54" s="21">
        <f>IF(AN54=15,J54,0)</f>
        <v>0</v>
      </c>
      <c r="AL54" s="21">
        <f>IF(AN54=21,J54,0)</f>
        <v>0</v>
      </c>
      <c r="AN54" s="39">
        <v>21</v>
      </c>
      <c r="AO54" s="39">
        <f>G54*0</f>
        <v>0</v>
      </c>
      <c r="AP54" s="39">
        <f>G54*(1-0)</f>
        <v>0</v>
      </c>
      <c r="AQ54" s="34" t="s">
        <v>5</v>
      </c>
      <c r="AV54" s="39">
        <f>AW54+AX54</f>
        <v>0</v>
      </c>
      <c r="AW54" s="39">
        <f>F54*AO54</f>
        <v>0</v>
      </c>
      <c r="AX54" s="39">
        <f>F54*AP54</f>
        <v>0</v>
      </c>
      <c r="AY54" s="40" t="s">
        <v>1977</v>
      </c>
      <c r="AZ54" s="40" t="s">
        <v>2030</v>
      </c>
      <c r="BA54" s="30" t="s">
        <v>2045</v>
      </c>
      <c r="BC54" s="39">
        <f>AW54+AX54</f>
        <v>0</v>
      </c>
      <c r="BD54" s="39">
        <f>G54/(100-BE54)*100</f>
        <v>0</v>
      </c>
      <c r="BE54" s="39">
        <v>0</v>
      </c>
      <c r="BF54" s="39">
        <f>L54</f>
        <v>0</v>
      </c>
      <c r="BH54" s="21">
        <f>F54*AO54</f>
        <v>0</v>
      </c>
      <c r="BI54" s="21">
        <f>F54*AP54</f>
        <v>0</v>
      </c>
      <c r="BJ54" s="21">
        <f>F54*G54</f>
        <v>0</v>
      </c>
    </row>
    <row r="55" spans="1:62">
      <c r="A55" s="5" t="s">
        <v>29</v>
      </c>
      <c r="B55" s="5"/>
      <c r="C55" s="5" t="s">
        <v>633</v>
      </c>
      <c r="D55" s="5" t="s">
        <v>1256</v>
      </c>
      <c r="E55" s="5" t="s">
        <v>1941</v>
      </c>
      <c r="F55" s="21">
        <v>1748</v>
      </c>
      <c r="G55" s="753">
        <v>0</v>
      </c>
      <c r="H55" s="21">
        <f>F55*AO55</f>
        <v>0</v>
      </c>
      <c r="I55" s="21">
        <f>F55*AP55</f>
        <v>0</v>
      </c>
      <c r="J55" s="21">
        <f>F55*G55</f>
        <v>0</v>
      </c>
      <c r="K55" s="21">
        <v>0</v>
      </c>
      <c r="L55" s="21">
        <f>F55*K55</f>
        <v>0</v>
      </c>
      <c r="M55" s="34" t="s">
        <v>1961</v>
      </c>
      <c r="Z55" s="39">
        <f>IF(AQ55="5",BJ55,0)</f>
        <v>0</v>
      </c>
      <c r="AB55" s="39">
        <f>IF(AQ55="1",BH55,0)</f>
        <v>0</v>
      </c>
      <c r="AC55" s="39">
        <f>IF(AQ55="1",BI55,0)</f>
        <v>0</v>
      </c>
      <c r="AD55" s="39">
        <f>IF(AQ55="7",BH55,0)</f>
        <v>0</v>
      </c>
      <c r="AE55" s="39">
        <f>IF(AQ55="7",BI55,0)</f>
        <v>0</v>
      </c>
      <c r="AF55" s="39">
        <f>IF(AQ55="2",BH55,0)</f>
        <v>0</v>
      </c>
      <c r="AG55" s="39">
        <f>IF(AQ55="2",BI55,0)</f>
        <v>0</v>
      </c>
      <c r="AH55" s="39">
        <f>IF(AQ55="0",BJ55,0)</f>
        <v>0</v>
      </c>
      <c r="AI55" s="30"/>
      <c r="AJ55" s="21">
        <f>IF(AN55=0,J55,0)</f>
        <v>0</v>
      </c>
      <c r="AK55" s="21">
        <f>IF(AN55=15,J55,0)</f>
        <v>0</v>
      </c>
      <c r="AL55" s="21">
        <f>IF(AN55=21,J55,0)</f>
        <v>0</v>
      </c>
      <c r="AN55" s="39">
        <v>21</v>
      </c>
      <c r="AO55" s="39">
        <f>G55*0</f>
        <v>0</v>
      </c>
      <c r="AP55" s="39">
        <f>G55*(1-0)</f>
        <v>0</v>
      </c>
      <c r="AQ55" s="34" t="s">
        <v>5</v>
      </c>
      <c r="AV55" s="39">
        <f>AW55+AX55</f>
        <v>0</v>
      </c>
      <c r="AW55" s="39">
        <f>F55*AO55</f>
        <v>0</v>
      </c>
      <c r="AX55" s="39">
        <f>F55*AP55</f>
        <v>0</v>
      </c>
      <c r="AY55" s="40" t="s">
        <v>1977</v>
      </c>
      <c r="AZ55" s="40" t="s">
        <v>2030</v>
      </c>
      <c r="BA55" s="30" t="s">
        <v>2045</v>
      </c>
      <c r="BC55" s="39">
        <f>AW55+AX55</f>
        <v>0</v>
      </c>
      <c r="BD55" s="39">
        <f>G55/(100-BE55)*100</f>
        <v>0</v>
      </c>
      <c r="BE55" s="39">
        <v>0</v>
      </c>
      <c r="BF55" s="39">
        <f>L55</f>
        <v>0</v>
      </c>
      <c r="BH55" s="21">
        <f>F55*AO55</f>
        <v>0</v>
      </c>
      <c r="BI55" s="21">
        <f>F55*AP55</f>
        <v>0</v>
      </c>
      <c r="BJ55" s="21">
        <f>F55*G55</f>
        <v>0</v>
      </c>
    </row>
    <row r="56" spans="1:62">
      <c r="A56" s="4"/>
      <c r="B56" s="14"/>
      <c r="C56" s="14" t="s">
        <v>25</v>
      </c>
      <c r="D56" s="14" t="s">
        <v>1257</v>
      </c>
      <c r="E56" s="4" t="s">
        <v>4</v>
      </c>
      <c r="F56" s="4" t="s">
        <v>4</v>
      </c>
      <c r="G56" s="4" t="s">
        <v>4</v>
      </c>
      <c r="H56" s="42">
        <f>SUM(H57:H60)</f>
        <v>0</v>
      </c>
      <c r="I56" s="42">
        <f>SUM(I57:I60)</f>
        <v>0</v>
      </c>
      <c r="J56" s="42">
        <f>SUM(J57:J60)</f>
        <v>0</v>
      </c>
      <c r="K56" s="30"/>
      <c r="L56" s="42">
        <f>SUM(L57:L60)</f>
        <v>75.959799999999987</v>
      </c>
      <c r="M56" s="30"/>
      <c r="AI56" s="30"/>
      <c r="AS56" s="42">
        <f>SUM(AJ57:AJ60)</f>
        <v>0</v>
      </c>
      <c r="AT56" s="42">
        <f>SUM(AK57:AK60)</f>
        <v>0</v>
      </c>
      <c r="AU56" s="42">
        <f>SUM(AL57:AL60)</f>
        <v>0</v>
      </c>
    </row>
    <row r="57" spans="1:62">
      <c r="A57" s="5" t="s">
        <v>30</v>
      </c>
      <c r="B57" s="5"/>
      <c r="C57" s="5" t="s">
        <v>634</v>
      </c>
      <c r="D57" s="5" t="s">
        <v>1258</v>
      </c>
      <c r="E57" s="5" t="s">
        <v>1941</v>
      </c>
      <c r="F57" s="21">
        <v>17</v>
      </c>
      <c r="G57" s="753">
        <v>0</v>
      </c>
      <c r="H57" s="21">
        <f>F57*AO57</f>
        <v>0</v>
      </c>
      <c r="I57" s="21">
        <f>F57*AP57</f>
        <v>0</v>
      </c>
      <c r="J57" s="21">
        <f>F57*G57</f>
        <v>0</v>
      </c>
      <c r="K57" s="21">
        <v>1.63</v>
      </c>
      <c r="L57" s="21">
        <f>F57*K57</f>
        <v>27.709999999999997</v>
      </c>
      <c r="M57" s="34" t="s">
        <v>1961</v>
      </c>
      <c r="Z57" s="39">
        <f>IF(AQ57="5",BJ57,0)</f>
        <v>0</v>
      </c>
      <c r="AB57" s="39">
        <f>IF(AQ57="1",BH57,0)</f>
        <v>0</v>
      </c>
      <c r="AC57" s="39">
        <f>IF(AQ57="1",BI57,0)</f>
        <v>0</v>
      </c>
      <c r="AD57" s="39">
        <f>IF(AQ57="7",BH57,0)</f>
        <v>0</v>
      </c>
      <c r="AE57" s="39">
        <f>IF(AQ57="7",BI57,0)</f>
        <v>0</v>
      </c>
      <c r="AF57" s="39">
        <f>IF(AQ57="2",BH57,0)</f>
        <v>0</v>
      </c>
      <c r="AG57" s="39">
        <f>IF(AQ57="2",BI57,0)</f>
        <v>0</v>
      </c>
      <c r="AH57" s="39">
        <f>IF(AQ57="0",BJ57,0)</f>
        <v>0</v>
      </c>
      <c r="AI57" s="30"/>
      <c r="AJ57" s="21">
        <f>IF(AN57=0,J57,0)</f>
        <v>0</v>
      </c>
      <c r="AK57" s="21">
        <f>IF(AN57=15,J57,0)</f>
        <v>0</v>
      </c>
      <c r="AL57" s="21">
        <f>IF(AN57=21,J57,0)</f>
        <v>0</v>
      </c>
      <c r="AN57" s="39">
        <v>21</v>
      </c>
      <c r="AO57" s="39">
        <f>G57*0.508654687989462</f>
        <v>0</v>
      </c>
      <c r="AP57" s="39">
        <f>G57*(1-0.508654687989462)</f>
        <v>0</v>
      </c>
      <c r="AQ57" s="34" t="s">
        <v>5</v>
      </c>
      <c r="AV57" s="39">
        <f>AW57+AX57</f>
        <v>0</v>
      </c>
      <c r="AW57" s="39">
        <f>F57*AO57</f>
        <v>0</v>
      </c>
      <c r="AX57" s="39">
        <f>F57*AP57</f>
        <v>0</v>
      </c>
      <c r="AY57" s="40" t="s">
        <v>1978</v>
      </c>
      <c r="AZ57" s="40" t="s">
        <v>2031</v>
      </c>
      <c r="BA57" s="30" t="s">
        <v>2045</v>
      </c>
      <c r="BC57" s="39">
        <f>AW57+AX57</f>
        <v>0</v>
      </c>
      <c r="BD57" s="39">
        <f>G57/(100-BE57)*100</f>
        <v>0</v>
      </c>
      <c r="BE57" s="39">
        <v>0</v>
      </c>
      <c r="BF57" s="39">
        <f>L57</f>
        <v>27.709999999999997</v>
      </c>
      <c r="BH57" s="21">
        <f>F57*AO57</f>
        <v>0</v>
      </c>
      <c r="BI57" s="21">
        <f>F57*AP57</f>
        <v>0</v>
      </c>
      <c r="BJ57" s="21">
        <f>F57*G57</f>
        <v>0</v>
      </c>
    </row>
    <row r="58" spans="1:62">
      <c r="A58" s="5" t="s">
        <v>31</v>
      </c>
      <c r="B58" s="5"/>
      <c r="C58" s="5" t="s">
        <v>635</v>
      </c>
      <c r="D58" s="5" t="s">
        <v>1259</v>
      </c>
      <c r="E58" s="5" t="s">
        <v>1939</v>
      </c>
      <c r="F58" s="21">
        <v>218</v>
      </c>
      <c r="G58" s="753">
        <v>0</v>
      </c>
      <c r="H58" s="21">
        <f>F58*AO58</f>
        <v>0</v>
      </c>
      <c r="I58" s="21">
        <f>F58*AP58</f>
        <v>0</v>
      </c>
      <c r="J58" s="21">
        <f>F58*G58</f>
        <v>0</v>
      </c>
      <c r="K58" s="21">
        <v>0.22106999999999999</v>
      </c>
      <c r="L58" s="21">
        <f>F58*K58</f>
        <v>48.193259999999995</v>
      </c>
      <c r="M58" s="34" t="s">
        <v>1961</v>
      </c>
      <c r="Z58" s="39">
        <f>IF(AQ58="5",BJ58,0)</f>
        <v>0</v>
      </c>
      <c r="AB58" s="39">
        <f>IF(AQ58="1",BH58,0)</f>
        <v>0</v>
      </c>
      <c r="AC58" s="39">
        <f>IF(AQ58="1",BI58,0)</f>
        <v>0</v>
      </c>
      <c r="AD58" s="39">
        <f>IF(AQ58="7",BH58,0)</f>
        <v>0</v>
      </c>
      <c r="AE58" s="39">
        <f>IF(AQ58="7",BI58,0)</f>
        <v>0</v>
      </c>
      <c r="AF58" s="39">
        <f>IF(AQ58="2",BH58,0)</f>
        <v>0</v>
      </c>
      <c r="AG58" s="39">
        <f>IF(AQ58="2",BI58,0)</f>
        <v>0</v>
      </c>
      <c r="AH58" s="39">
        <f>IF(AQ58="0",BJ58,0)</f>
        <v>0</v>
      </c>
      <c r="AI58" s="30"/>
      <c r="AJ58" s="21">
        <f>IF(AN58=0,J58,0)</f>
        <v>0</v>
      </c>
      <c r="AK58" s="21">
        <f>IF(AN58=15,J58,0)</f>
        <v>0</v>
      </c>
      <c r="AL58" s="21">
        <f>IF(AN58=21,J58,0)</f>
        <v>0</v>
      </c>
      <c r="AN58" s="39">
        <v>21</v>
      </c>
      <c r="AO58" s="39">
        <f>G58*0.568490566037736</f>
        <v>0</v>
      </c>
      <c r="AP58" s="39">
        <f>G58*(1-0.568490566037736)</f>
        <v>0</v>
      </c>
      <c r="AQ58" s="34" t="s">
        <v>5</v>
      </c>
      <c r="AV58" s="39">
        <f>AW58+AX58</f>
        <v>0</v>
      </c>
      <c r="AW58" s="39">
        <f>F58*AO58</f>
        <v>0</v>
      </c>
      <c r="AX58" s="39">
        <f>F58*AP58</f>
        <v>0</v>
      </c>
      <c r="AY58" s="40" t="s">
        <v>1978</v>
      </c>
      <c r="AZ58" s="40" t="s">
        <v>2031</v>
      </c>
      <c r="BA58" s="30" t="s">
        <v>2045</v>
      </c>
      <c r="BC58" s="39">
        <f>AW58+AX58</f>
        <v>0</v>
      </c>
      <c r="BD58" s="39">
        <f>G58/(100-BE58)*100</f>
        <v>0</v>
      </c>
      <c r="BE58" s="39">
        <v>0</v>
      </c>
      <c r="BF58" s="39">
        <f>L58</f>
        <v>48.193259999999995</v>
      </c>
      <c r="BH58" s="21">
        <f>F58*AO58</f>
        <v>0</v>
      </c>
      <c r="BI58" s="21">
        <f>F58*AP58</f>
        <v>0</v>
      </c>
      <c r="BJ58" s="21">
        <f>F58*G58</f>
        <v>0</v>
      </c>
    </row>
    <row r="59" spans="1:62">
      <c r="A59" s="6" t="s">
        <v>32</v>
      </c>
      <c r="B59" s="6"/>
      <c r="C59" s="6" t="s">
        <v>636</v>
      </c>
      <c r="D59" s="6" t="s">
        <v>1260</v>
      </c>
      <c r="E59" s="6" t="s">
        <v>1939</v>
      </c>
      <c r="F59" s="22">
        <v>33</v>
      </c>
      <c r="G59" s="754">
        <v>0</v>
      </c>
      <c r="H59" s="22">
        <f>F59*AO59</f>
        <v>0</v>
      </c>
      <c r="I59" s="22">
        <f>F59*AP59</f>
        <v>0</v>
      </c>
      <c r="J59" s="22">
        <f>F59*G59</f>
        <v>0</v>
      </c>
      <c r="K59" s="22">
        <v>4.8000000000000001E-4</v>
      </c>
      <c r="L59" s="22">
        <f>F59*K59</f>
        <v>1.584E-2</v>
      </c>
      <c r="M59" s="35" t="s">
        <v>1961</v>
      </c>
      <c r="Z59" s="39">
        <f>IF(AQ59="5",BJ59,0)</f>
        <v>0</v>
      </c>
      <c r="AB59" s="39">
        <f>IF(AQ59="1",BH59,0)</f>
        <v>0</v>
      </c>
      <c r="AC59" s="39">
        <f>IF(AQ59="1",BI59,0)</f>
        <v>0</v>
      </c>
      <c r="AD59" s="39">
        <f>IF(AQ59="7",BH59,0)</f>
        <v>0</v>
      </c>
      <c r="AE59" s="39">
        <f>IF(AQ59="7",BI59,0)</f>
        <v>0</v>
      </c>
      <c r="AF59" s="39">
        <f>IF(AQ59="2",BH59,0)</f>
        <v>0</v>
      </c>
      <c r="AG59" s="39">
        <f>IF(AQ59="2",BI59,0)</f>
        <v>0</v>
      </c>
      <c r="AH59" s="39">
        <f>IF(AQ59="0",BJ59,0)</f>
        <v>0</v>
      </c>
      <c r="AI59" s="30"/>
      <c r="AJ59" s="22">
        <f>IF(AN59=0,J59,0)</f>
        <v>0</v>
      </c>
      <c r="AK59" s="22">
        <f>IF(AN59=15,J59,0)</f>
        <v>0</v>
      </c>
      <c r="AL59" s="22">
        <f>IF(AN59=21,J59,0)</f>
        <v>0</v>
      </c>
      <c r="AN59" s="39">
        <v>21</v>
      </c>
      <c r="AO59" s="39">
        <f>G59*1</f>
        <v>0</v>
      </c>
      <c r="AP59" s="39">
        <f>G59*(1-1)</f>
        <v>0</v>
      </c>
      <c r="AQ59" s="35" t="s">
        <v>5</v>
      </c>
      <c r="AV59" s="39">
        <f>AW59+AX59</f>
        <v>0</v>
      </c>
      <c r="AW59" s="39">
        <f>F59*AO59</f>
        <v>0</v>
      </c>
      <c r="AX59" s="39">
        <f>F59*AP59</f>
        <v>0</v>
      </c>
      <c r="AY59" s="40" t="s">
        <v>1978</v>
      </c>
      <c r="AZ59" s="40" t="s">
        <v>2031</v>
      </c>
      <c r="BA59" s="30" t="s">
        <v>2045</v>
      </c>
      <c r="BC59" s="39">
        <f>AW59+AX59</f>
        <v>0</v>
      </c>
      <c r="BD59" s="39">
        <f>G59/(100-BE59)*100</f>
        <v>0</v>
      </c>
      <c r="BE59" s="39">
        <v>0</v>
      </c>
      <c r="BF59" s="39">
        <f>L59</f>
        <v>1.584E-2</v>
      </c>
      <c r="BH59" s="22">
        <f>F59*AO59</f>
        <v>0</v>
      </c>
      <c r="BI59" s="22">
        <f>F59*AP59</f>
        <v>0</v>
      </c>
      <c r="BJ59" s="22">
        <f>F59*G59</f>
        <v>0</v>
      </c>
    </row>
    <row r="60" spans="1:62">
      <c r="A60" s="6" t="s">
        <v>33</v>
      </c>
      <c r="B60" s="6"/>
      <c r="C60" s="6" t="s">
        <v>637</v>
      </c>
      <c r="D60" s="6" t="s">
        <v>1261</v>
      </c>
      <c r="E60" s="6" t="s">
        <v>1939</v>
      </c>
      <c r="F60" s="22">
        <v>185</v>
      </c>
      <c r="G60" s="754">
        <v>0</v>
      </c>
      <c r="H60" s="22">
        <f>F60*AO60</f>
        <v>0</v>
      </c>
      <c r="I60" s="22">
        <f>F60*AP60</f>
        <v>0</v>
      </c>
      <c r="J60" s="22">
        <f>F60*G60</f>
        <v>0</v>
      </c>
      <c r="K60" s="22">
        <v>2.2000000000000001E-4</v>
      </c>
      <c r="L60" s="22">
        <f>F60*K60</f>
        <v>4.07E-2</v>
      </c>
      <c r="M60" s="35" t="s">
        <v>1961</v>
      </c>
      <c r="Z60" s="39">
        <f>IF(AQ60="5",BJ60,0)</f>
        <v>0</v>
      </c>
      <c r="AB60" s="39">
        <f>IF(AQ60="1",BH60,0)</f>
        <v>0</v>
      </c>
      <c r="AC60" s="39">
        <f>IF(AQ60="1",BI60,0)</f>
        <v>0</v>
      </c>
      <c r="AD60" s="39">
        <f>IF(AQ60="7",BH60,0)</f>
        <v>0</v>
      </c>
      <c r="AE60" s="39">
        <f>IF(AQ60="7",BI60,0)</f>
        <v>0</v>
      </c>
      <c r="AF60" s="39">
        <f>IF(AQ60="2",BH60,0)</f>
        <v>0</v>
      </c>
      <c r="AG60" s="39">
        <f>IF(AQ60="2",BI60,0)</f>
        <v>0</v>
      </c>
      <c r="AH60" s="39">
        <f>IF(AQ60="0",BJ60,0)</f>
        <v>0</v>
      </c>
      <c r="AI60" s="30"/>
      <c r="AJ60" s="22">
        <f>IF(AN60=0,J60,0)</f>
        <v>0</v>
      </c>
      <c r="AK60" s="22">
        <f>IF(AN60=15,J60,0)</f>
        <v>0</v>
      </c>
      <c r="AL60" s="22">
        <f>IF(AN60=21,J60,0)</f>
        <v>0</v>
      </c>
      <c r="AN60" s="39">
        <v>21</v>
      </c>
      <c r="AO60" s="39">
        <f>G60*1</f>
        <v>0</v>
      </c>
      <c r="AP60" s="39">
        <f>G60*(1-1)</f>
        <v>0</v>
      </c>
      <c r="AQ60" s="35" t="s">
        <v>5</v>
      </c>
      <c r="AV60" s="39">
        <f>AW60+AX60</f>
        <v>0</v>
      </c>
      <c r="AW60" s="39">
        <f>F60*AO60</f>
        <v>0</v>
      </c>
      <c r="AX60" s="39">
        <f>F60*AP60</f>
        <v>0</v>
      </c>
      <c r="AY60" s="40" t="s">
        <v>1978</v>
      </c>
      <c r="AZ60" s="40" t="s">
        <v>2031</v>
      </c>
      <c r="BA60" s="30" t="s">
        <v>2045</v>
      </c>
      <c r="BC60" s="39">
        <f>AW60+AX60</f>
        <v>0</v>
      </c>
      <c r="BD60" s="39">
        <f>G60/(100-BE60)*100</f>
        <v>0</v>
      </c>
      <c r="BE60" s="39">
        <v>0</v>
      </c>
      <c r="BF60" s="39">
        <f>L60</f>
        <v>4.07E-2</v>
      </c>
      <c r="BH60" s="22">
        <f>F60*AO60</f>
        <v>0</v>
      </c>
      <c r="BI60" s="22">
        <f>F60*AP60</f>
        <v>0</v>
      </c>
      <c r="BJ60" s="22">
        <f>F60*G60</f>
        <v>0</v>
      </c>
    </row>
    <row r="61" spans="1:62">
      <c r="A61" s="4"/>
      <c r="B61" s="14"/>
      <c r="C61" s="14" t="s">
        <v>26</v>
      </c>
      <c r="D61" s="14" t="s">
        <v>1262</v>
      </c>
      <c r="E61" s="4" t="s">
        <v>4</v>
      </c>
      <c r="F61" s="4" t="s">
        <v>4</v>
      </c>
      <c r="G61" s="4"/>
      <c r="H61" s="42">
        <f>SUM(H62:H64)</f>
        <v>0</v>
      </c>
      <c r="I61" s="42">
        <f>SUM(I62:I64)</f>
        <v>0</v>
      </c>
      <c r="J61" s="42">
        <f>SUM(J62:J64)</f>
        <v>0</v>
      </c>
      <c r="K61" s="30"/>
      <c r="L61" s="42">
        <f>SUM(L62:L64)</f>
        <v>613.05057654999996</v>
      </c>
      <c r="M61" s="30"/>
      <c r="AI61" s="30"/>
      <c r="AS61" s="42">
        <f>SUM(AJ62:AJ64)</f>
        <v>0</v>
      </c>
      <c r="AT61" s="42">
        <f>SUM(AK62:AK64)</f>
        <v>0</v>
      </c>
      <c r="AU61" s="42">
        <f>SUM(AL62:AL64)</f>
        <v>0</v>
      </c>
    </row>
    <row r="62" spans="1:62">
      <c r="A62" s="5" t="s">
        <v>34</v>
      </c>
      <c r="B62" s="5"/>
      <c r="C62" s="5" t="s">
        <v>638</v>
      </c>
      <c r="D62" s="5" t="s">
        <v>1263</v>
      </c>
      <c r="E62" s="5" t="s">
        <v>1942</v>
      </c>
      <c r="F62" s="21">
        <v>7.98</v>
      </c>
      <c r="G62" s="753">
        <v>0</v>
      </c>
      <c r="H62" s="21">
        <f>F62*AO62</f>
        <v>0</v>
      </c>
      <c r="I62" s="21">
        <f>F62*AP62</f>
        <v>0</v>
      </c>
      <c r="J62" s="21">
        <f>F62*G62</f>
        <v>0</v>
      </c>
      <c r="K62" s="21">
        <v>1.07521</v>
      </c>
      <c r="L62" s="21">
        <f>F62*K62</f>
        <v>8.580175800000001</v>
      </c>
      <c r="M62" s="34" t="s">
        <v>1961</v>
      </c>
      <c r="Z62" s="39">
        <f>IF(AQ62="5",BJ62,0)</f>
        <v>0</v>
      </c>
      <c r="AB62" s="39">
        <f>IF(AQ62="1",BH62,0)</f>
        <v>0</v>
      </c>
      <c r="AC62" s="39">
        <f>IF(AQ62="1",BI62,0)</f>
        <v>0</v>
      </c>
      <c r="AD62" s="39">
        <f>IF(AQ62="7",BH62,0)</f>
        <v>0</v>
      </c>
      <c r="AE62" s="39">
        <f>IF(AQ62="7",BI62,0)</f>
        <v>0</v>
      </c>
      <c r="AF62" s="39">
        <f>IF(AQ62="2",BH62,0)</f>
        <v>0</v>
      </c>
      <c r="AG62" s="39">
        <f>IF(AQ62="2",BI62,0)</f>
        <v>0</v>
      </c>
      <c r="AH62" s="39">
        <f>IF(AQ62="0",BJ62,0)</f>
        <v>0</v>
      </c>
      <c r="AI62" s="30"/>
      <c r="AJ62" s="21">
        <f>IF(AN62=0,J62,0)</f>
        <v>0</v>
      </c>
      <c r="AK62" s="21">
        <f>IF(AN62=15,J62,0)</f>
        <v>0</v>
      </c>
      <c r="AL62" s="21">
        <f>IF(AN62=21,J62,0)</f>
        <v>0</v>
      </c>
      <c r="AN62" s="39">
        <v>21</v>
      </c>
      <c r="AO62" s="39">
        <f>G62*0.590879403794038</f>
        <v>0</v>
      </c>
      <c r="AP62" s="39">
        <f>G62*(1-0.590879403794038)</f>
        <v>0</v>
      </c>
      <c r="AQ62" s="34" t="s">
        <v>5</v>
      </c>
      <c r="AV62" s="39">
        <f>AW62+AX62</f>
        <v>0</v>
      </c>
      <c r="AW62" s="39">
        <f>F62*AO62</f>
        <v>0</v>
      </c>
      <c r="AX62" s="39">
        <f>F62*AP62</f>
        <v>0</v>
      </c>
      <c r="AY62" s="40" t="s">
        <v>1979</v>
      </c>
      <c r="AZ62" s="40" t="s">
        <v>2031</v>
      </c>
      <c r="BA62" s="30" t="s">
        <v>2045</v>
      </c>
      <c r="BC62" s="39">
        <f>AW62+AX62</f>
        <v>0</v>
      </c>
      <c r="BD62" s="39">
        <f>G62/(100-BE62)*100</f>
        <v>0</v>
      </c>
      <c r="BE62" s="39">
        <v>0</v>
      </c>
      <c r="BF62" s="39">
        <f>L62</f>
        <v>8.580175800000001</v>
      </c>
      <c r="BH62" s="21">
        <f>F62*AO62</f>
        <v>0</v>
      </c>
      <c r="BI62" s="21">
        <f>F62*AP62</f>
        <v>0</v>
      </c>
      <c r="BJ62" s="21">
        <f>F62*G62</f>
        <v>0</v>
      </c>
    </row>
    <row r="63" spans="1:62">
      <c r="A63" s="5" t="s">
        <v>35</v>
      </c>
      <c r="B63" s="5"/>
      <c r="C63" s="5" t="s">
        <v>639</v>
      </c>
      <c r="D63" s="5" t="s">
        <v>1264</v>
      </c>
      <c r="E63" s="5" t="s">
        <v>1939</v>
      </c>
      <c r="F63" s="21">
        <v>277</v>
      </c>
      <c r="G63" s="753">
        <v>0</v>
      </c>
      <c r="H63" s="21">
        <f>F63*AO63</f>
        <v>0</v>
      </c>
      <c r="I63" s="21">
        <f>F63*AP63</f>
        <v>0</v>
      </c>
      <c r="J63" s="21">
        <f>F63*G63</f>
        <v>0</v>
      </c>
      <c r="K63" s="21">
        <v>3.3700000000000002E-3</v>
      </c>
      <c r="L63" s="21">
        <f>F63*K63</f>
        <v>0.93349000000000004</v>
      </c>
      <c r="M63" s="34" t="s">
        <v>1961</v>
      </c>
      <c r="Z63" s="39">
        <f>IF(AQ63="5",BJ63,0)</f>
        <v>0</v>
      </c>
      <c r="AB63" s="39">
        <f>IF(AQ63="1",BH63,0)</f>
        <v>0</v>
      </c>
      <c r="AC63" s="39">
        <f>IF(AQ63="1",BI63,0)</f>
        <v>0</v>
      </c>
      <c r="AD63" s="39">
        <f>IF(AQ63="7",BH63,0)</f>
        <v>0</v>
      </c>
      <c r="AE63" s="39">
        <f>IF(AQ63="7",BI63,0)</f>
        <v>0</v>
      </c>
      <c r="AF63" s="39">
        <f>IF(AQ63="2",BH63,0)</f>
        <v>0</v>
      </c>
      <c r="AG63" s="39">
        <f>IF(AQ63="2",BI63,0)</f>
        <v>0</v>
      </c>
      <c r="AH63" s="39">
        <f>IF(AQ63="0",BJ63,0)</f>
        <v>0</v>
      </c>
      <c r="AI63" s="30"/>
      <c r="AJ63" s="21">
        <f>IF(AN63=0,J63,0)</f>
        <v>0</v>
      </c>
      <c r="AK63" s="21">
        <f>IF(AN63=15,J63,0)</f>
        <v>0</v>
      </c>
      <c r="AL63" s="21">
        <f>IF(AN63=21,J63,0)</f>
        <v>0</v>
      </c>
      <c r="AN63" s="39">
        <v>21</v>
      </c>
      <c r="AO63" s="39">
        <f>G63*0.113772727272727</f>
        <v>0</v>
      </c>
      <c r="AP63" s="39">
        <f>G63*(1-0.113772727272727)</f>
        <v>0</v>
      </c>
      <c r="AQ63" s="34" t="s">
        <v>5</v>
      </c>
      <c r="AV63" s="39">
        <f>AW63+AX63</f>
        <v>0</v>
      </c>
      <c r="AW63" s="39">
        <f>F63*AO63</f>
        <v>0</v>
      </c>
      <c r="AX63" s="39">
        <f>F63*AP63</f>
        <v>0</v>
      </c>
      <c r="AY63" s="40" t="s">
        <v>1979</v>
      </c>
      <c r="AZ63" s="40" t="s">
        <v>2031</v>
      </c>
      <c r="BA63" s="30" t="s">
        <v>2045</v>
      </c>
      <c r="BC63" s="39">
        <f>AW63+AX63</f>
        <v>0</v>
      </c>
      <c r="BD63" s="39">
        <f>G63/(100-BE63)*100</f>
        <v>0</v>
      </c>
      <c r="BE63" s="39">
        <v>0</v>
      </c>
      <c r="BF63" s="39">
        <f>L63</f>
        <v>0.93349000000000004</v>
      </c>
      <c r="BH63" s="21">
        <f>F63*AO63</f>
        <v>0</v>
      </c>
      <c r="BI63" s="21">
        <f>F63*AP63</f>
        <v>0</v>
      </c>
      <c r="BJ63" s="21">
        <f>F63*G63</f>
        <v>0</v>
      </c>
    </row>
    <row r="64" spans="1:62">
      <c r="A64" s="5" t="s">
        <v>36</v>
      </c>
      <c r="B64" s="5"/>
      <c r="C64" s="5" t="s">
        <v>640</v>
      </c>
      <c r="D64" s="5" t="s">
        <v>1265</v>
      </c>
      <c r="E64" s="5" t="s">
        <v>1941</v>
      </c>
      <c r="F64" s="21">
        <v>233.25098</v>
      </c>
      <c r="G64" s="753">
        <v>0</v>
      </c>
      <c r="H64" s="21">
        <f>F64*AO64</f>
        <v>0</v>
      </c>
      <c r="I64" s="21">
        <f>F64*AP64</f>
        <v>0</v>
      </c>
      <c r="J64" s="21">
        <f>F64*G64</f>
        <v>0</v>
      </c>
      <c r="K64" s="21">
        <v>2.5874999999999999</v>
      </c>
      <c r="L64" s="21">
        <f>F64*K64</f>
        <v>603.53691074999995</v>
      </c>
      <c r="M64" s="34" t="s">
        <v>1961</v>
      </c>
      <c r="Z64" s="39">
        <f>IF(AQ64="5",BJ64,0)</f>
        <v>0</v>
      </c>
      <c r="AB64" s="39">
        <f>IF(AQ64="1",BH64,0)</f>
        <v>0</v>
      </c>
      <c r="AC64" s="39">
        <f>IF(AQ64="1",BI64,0)</f>
        <v>0</v>
      </c>
      <c r="AD64" s="39">
        <f>IF(AQ64="7",BH64,0)</f>
        <v>0</v>
      </c>
      <c r="AE64" s="39">
        <f>IF(AQ64="7",BI64,0)</f>
        <v>0</v>
      </c>
      <c r="AF64" s="39">
        <f>IF(AQ64="2",BH64,0)</f>
        <v>0</v>
      </c>
      <c r="AG64" s="39">
        <f>IF(AQ64="2",BI64,0)</f>
        <v>0</v>
      </c>
      <c r="AH64" s="39">
        <f>IF(AQ64="0",BJ64,0)</f>
        <v>0</v>
      </c>
      <c r="AI64" s="30"/>
      <c r="AJ64" s="21">
        <f>IF(AN64=0,J64,0)</f>
        <v>0</v>
      </c>
      <c r="AK64" s="21">
        <f>IF(AN64=15,J64,0)</f>
        <v>0</v>
      </c>
      <c r="AL64" s="21">
        <f>IF(AN64=21,J64,0)</f>
        <v>0</v>
      </c>
      <c r="AN64" s="39">
        <v>21</v>
      </c>
      <c r="AO64" s="39">
        <f>G64*1.00000000612461</f>
        <v>0</v>
      </c>
      <c r="AP64" s="39">
        <f>G64*(1-1.00000000612461)</f>
        <v>0</v>
      </c>
      <c r="AQ64" s="34" t="s">
        <v>5</v>
      </c>
      <c r="AV64" s="39">
        <f>AW64+AX64</f>
        <v>0</v>
      </c>
      <c r="AW64" s="39">
        <f>F64*AO64</f>
        <v>0</v>
      </c>
      <c r="AX64" s="39">
        <f>F64*AP64</f>
        <v>0</v>
      </c>
      <c r="AY64" s="40" t="s">
        <v>1979</v>
      </c>
      <c r="AZ64" s="40" t="s">
        <v>2031</v>
      </c>
      <c r="BA64" s="30" t="s">
        <v>2045</v>
      </c>
      <c r="BC64" s="39">
        <f>AW64+AX64</f>
        <v>0</v>
      </c>
      <c r="BD64" s="39">
        <f>G64/(100-BE64)*100</f>
        <v>0</v>
      </c>
      <c r="BE64" s="39">
        <v>0</v>
      </c>
      <c r="BF64" s="39">
        <f>L64</f>
        <v>603.53691074999995</v>
      </c>
      <c r="BH64" s="21">
        <f>F64*AO64</f>
        <v>0</v>
      </c>
      <c r="BI64" s="21">
        <f>F64*AP64</f>
        <v>0</v>
      </c>
      <c r="BJ64" s="21">
        <f>F64*G64</f>
        <v>0</v>
      </c>
    </row>
    <row r="65" spans="1:62">
      <c r="A65" s="4"/>
      <c r="B65" s="14"/>
      <c r="C65" s="14" t="s">
        <v>30</v>
      </c>
      <c r="D65" s="14" t="s">
        <v>1266</v>
      </c>
      <c r="E65" s="4" t="s">
        <v>4</v>
      </c>
      <c r="F65" s="4" t="s">
        <v>4</v>
      </c>
      <c r="G65" s="4"/>
      <c r="H65" s="42">
        <f>SUM(H66:H66)</f>
        <v>0</v>
      </c>
      <c r="I65" s="42">
        <f>SUM(I66:I66)</f>
        <v>0</v>
      </c>
      <c r="J65" s="42">
        <f>SUM(J66:J66)</f>
        <v>0</v>
      </c>
      <c r="K65" s="30"/>
      <c r="L65" s="42">
        <f>SUM(L66:L66)</f>
        <v>30.364739999999998</v>
      </c>
      <c r="M65" s="30"/>
      <c r="AI65" s="30"/>
      <c r="AS65" s="42">
        <f>SUM(AJ66:AJ66)</f>
        <v>0</v>
      </c>
      <c r="AT65" s="42">
        <f>SUM(AK66:AK66)</f>
        <v>0</v>
      </c>
      <c r="AU65" s="42">
        <f>SUM(AL66:AL66)</f>
        <v>0</v>
      </c>
    </row>
    <row r="66" spans="1:62">
      <c r="A66" s="5" t="s">
        <v>37</v>
      </c>
      <c r="B66" s="5"/>
      <c r="C66" s="5" t="s">
        <v>641</v>
      </c>
      <c r="D66" s="5" t="s">
        <v>1267</v>
      </c>
      <c r="E66" s="5" t="s">
        <v>1939</v>
      </c>
      <c r="F66" s="21">
        <v>277</v>
      </c>
      <c r="G66" s="753">
        <v>0</v>
      </c>
      <c r="H66" s="21">
        <f>F66*AO66</f>
        <v>0</v>
      </c>
      <c r="I66" s="21">
        <f>F66*AP66</f>
        <v>0</v>
      </c>
      <c r="J66" s="21">
        <f>F66*G66</f>
        <v>0</v>
      </c>
      <c r="K66" s="21">
        <v>0.10962</v>
      </c>
      <c r="L66" s="21">
        <f>F66*K66</f>
        <v>30.364739999999998</v>
      </c>
      <c r="M66" s="34" t="s">
        <v>1961</v>
      </c>
      <c r="Z66" s="39">
        <f>IF(AQ66="5",BJ66,0)</f>
        <v>0</v>
      </c>
      <c r="AB66" s="39">
        <f>IF(AQ66="1",BH66,0)</f>
        <v>0</v>
      </c>
      <c r="AC66" s="39">
        <f>IF(AQ66="1",BI66,0)</f>
        <v>0</v>
      </c>
      <c r="AD66" s="39">
        <f>IF(AQ66="7",BH66,0)</f>
        <v>0</v>
      </c>
      <c r="AE66" s="39">
        <f>IF(AQ66="7",BI66,0)</f>
        <v>0</v>
      </c>
      <c r="AF66" s="39">
        <f>IF(AQ66="2",BH66,0)</f>
        <v>0</v>
      </c>
      <c r="AG66" s="39">
        <f>IF(AQ66="2",BI66,0)</f>
        <v>0</v>
      </c>
      <c r="AH66" s="39">
        <f>IF(AQ66="0",BJ66,0)</f>
        <v>0</v>
      </c>
      <c r="AI66" s="30"/>
      <c r="AJ66" s="21">
        <f>IF(AN66=0,J66,0)</f>
        <v>0</v>
      </c>
      <c r="AK66" s="21">
        <f>IF(AN66=15,J66,0)</f>
        <v>0</v>
      </c>
      <c r="AL66" s="21">
        <f>IF(AN66=21,J66,0)</f>
        <v>0</v>
      </c>
      <c r="AN66" s="39">
        <v>21</v>
      </c>
      <c r="AO66" s="39">
        <f>G66*0.340405117270789</f>
        <v>0</v>
      </c>
      <c r="AP66" s="39">
        <f>G66*(1-0.340405117270789)</f>
        <v>0</v>
      </c>
      <c r="AQ66" s="34" t="s">
        <v>5</v>
      </c>
      <c r="AV66" s="39">
        <f>AW66+AX66</f>
        <v>0</v>
      </c>
      <c r="AW66" s="39">
        <f>F66*AO66</f>
        <v>0</v>
      </c>
      <c r="AX66" s="39">
        <f>F66*AP66</f>
        <v>0</v>
      </c>
      <c r="AY66" s="40" t="s">
        <v>1980</v>
      </c>
      <c r="AZ66" s="40" t="s">
        <v>2031</v>
      </c>
      <c r="BA66" s="30" t="s">
        <v>2045</v>
      </c>
      <c r="BC66" s="39">
        <f>AW66+AX66</f>
        <v>0</v>
      </c>
      <c r="BD66" s="39">
        <f>G66/(100-BE66)*100</f>
        <v>0</v>
      </c>
      <c r="BE66" s="39">
        <v>0</v>
      </c>
      <c r="BF66" s="39">
        <f>L66</f>
        <v>30.364739999999998</v>
      </c>
      <c r="BH66" s="21">
        <f>F66*AO66</f>
        <v>0</v>
      </c>
      <c r="BI66" s="21">
        <f>F66*AP66</f>
        <v>0</v>
      </c>
      <c r="BJ66" s="21">
        <f>F66*G66</f>
        <v>0</v>
      </c>
    </row>
    <row r="67" spans="1:62">
      <c r="A67" s="4"/>
      <c r="B67" s="14"/>
      <c r="C67" s="14" t="s">
        <v>31</v>
      </c>
      <c r="D67" s="14" t="s">
        <v>1268</v>
      </c>
      <c r="E67" s="4" t="s">
        <v>4</v>
      </c>
      <c r="F67" s="4" t="s">
        <v>4</v>
      </c>
      <c r="G67" s="4"/>
      <c r="H67" s="42">
        <f>SUM(H68:H89)</f>
        <v>0</v>
      </c>
      <c r="I67" s="42">
        <f>SUM(I68:I89)</f>
        <v>0</v>
      </c>
      <c r="J67" s="42">
        <f>SUM(J68:J89)</f>
        <v>0</v>
      </c>
      <c r="K67" s="30"/>
      <c r="L67" s="42">
        <f>SUM(L68:L89)</f>
        <v>448.14484965999992</v>
      </c>
      <c r="M67" s="30"/>
      <c r="AI67" s="30"/>
      <c r="AS67" s="42">
        <f>SUM(AJ68:AJ89)</f>
        <v>0</v>
      </c>
      <c r="AT67" s="42">
        <f>SUM(AK68:AK89)</f>
        <v>0</v>
      </c>
      <c r="AU67" s="42">
        <f>SUM(AL68:AL89)</f>
        <v>0</v>
      </c>
    </row>
    <row r="68" spans="1:62">
      <c r="A68" s="5" t="s">
        <v>38</v>
      </c>
      <c r="B68" s="5"/>
      <c r="C68" s="5" t="s">
        <v>642</v>
      </c>
      <c r="D68" s="5" t="s">
        <v>1269</v>
      </c>
      <c r="E68" s="5" t="s">
        <v>1942</v>
      </c>
      <c r="F68" s="21">
        <v>39.220999999999997</v>
      </c>
      <c r="G68" s="753">
        <v>0</v>
      </c>
      <c r="H68" s="21">
        <f t="shared" ref="H68:H78" si="0">F68*AO68</f>
        <v>0</v>
      </c>
      <c r="I68" s="21">
        <f t="shared" ref="I68:I78" si="1">F68*AP68</f>
        <v>0</v>
      </c>
      <c r="J68" s="21">
        <f t="shared" ref="J68:J78" si="2">F68*G68</f>
        <v>0</v>
      </c>
      <c r="K68" s="21">
        <v>1.0217400000000001</v>
      </c>
      <c r="L68" s="21">
        <f t="shared" ref="L68:L78" si="3">F68*K68</f>
        <v>40.073664540000003</v>
      </c>
      <c r="M68" s="34" t="s">
        <v>1961</v>
      </c>
      <c r="Z68" s="39">
        <f t="shared" ref="Z68:Z78" si="4">IF(AQ68="5",BJ68,0)</f>
        <v>0</v>
      </c>
      <c r="AB68" s="39">
        <f t="shared" ref="AB68:AB78" si="5">IF(AQ68="1",BH68,0)</f>
        <v>0</v>
      </c>
      <c r="AC68" s="39">
        <f t="shared" ref="AC68:AC78" si="6">IF(AQ68="1",BI68,0)</f>
        <v>0</v>
      </c>
      <c r="AD68" s="39">
        <f t="shared" ref="AD68:AD78" si="7">IF(AQ68="7",BH68,0)</f>
        <v>0</v>
      </c>
      <c r="AE68" s="39">
        <f t="shared" ref="AE68:AE78" si="8">IF(AQ68="7",BI68,0)</f>
        <v>0</v>
      </c>
      <c r="AF68" s="39">
        <f t="shared" ref="AF68:AF78" si="9">IF(AQ68="2",BH68,0)</f>
        <v>0</v>
      </c>
      <c r="AG68" s="39">
        <f t="shared" ref="AG68:AG78" si="10">IF(AQ68="2",BI68,0)</f>
        <v>0</v>
      </c>
      <c r="AH68" s="39">
        <f t="shared" ref="AH68:AH78" si="11">IF(AQ68="0",BJ68,0)</f>
        <v>0</v>
      </c>
      <c r="AI68" s="30"/>
      <c r="AJ68" s="21">
        <f t="shared" ref="AJ68:AJ78" si="12">IF(AN68=0,J68,0)</f>
        <v>0</v>
      </c>
      <c r="AK68" s="21">
        <f t="shared" ref="AK68:AK78" si="13">IF(AN68=15,J68,0)</f>
        <v>0</v>
      </c>
      <c r="AL68" s="21">
        <f t="shared" ref="AL68:AL78" si="14">IF(AN68=21,J68,0)</f>
        <v>0</v>
      </c>
      <c r="AN68" s="39">
        <v>21</v>
      </c>
      <c r="AO68" s="39">
        <f>G68*0.670759612869474</f>
        <v>0</v>
      </c>
      <c r="AP68" s="39">
        <f>G68*(1-0.670759612869474)</f>
        <v>0</v>
      </c>
      <c r="AQ68" s="34" t="s">
        <v>5</v>
      </c>
      <c r="AV68" s="39">
        <f t="shared" ref="AV68:AV78" si="15">AW68+AX68</f>
        <v>0</v>
      </c>
      <c r="AW68" s="39">
        <f t="shared" ref="AW68:AW78" si="16">F68*AO68</f>
        <v>0</v>
      </c>
      <c r="AX68" s="39">
        <f t="shared" ref="AX68:AX78" si="17">F68*AP68</f>
        <v>0</v>
      </c>
      <c r="AY68" s="40" t="s">
        <v>1981</v>
      </c>
      <c r="AZ68" s="40" t="s">
        <v>2031</v>
      </c>
      <c r="BA68" s="30" t="s">
        <v>2045</v>
      </c>
      <c r="BC68" s="39">
        <f t="shared" ref="BC68:BC78" si="18">AW68+AX68</f>
        <v>0</v>
      </c>
      <c r="BD68" s="39">
        <f t="shared" ref="BD68:BD78" si="19">G68/(100-BE68)*100</f>
        <v>0</v>
      </c>
      <c r="BE68" s="39">
        <v>0</v>
      </c>
      <c r="BF68" s="39">
        <f t="shared" ref="BF68:BF78" si="20">L68</f>
        <v>40.073664540000003</v>
      </c>
      <c r="BH68" s="21">
        <f t="shared" ref="BH68:BH78" si="21">F68*AO68</f>
        <v>0</v>
      </c>
      <c r="BI68" s="21">
        <f t="shared" ref="BI68:BI78" si="22">F68*AP68</f>
        <v>0</v>
      </c>
      <c r="BJ68" s="21">
        <f t="shared" ref="BJ68:BJ78" si="23">F68*G68</f>
        <v>0</v>
      </c>
    </row>
    <row r="69" spans="1:62">
      <c r="A69" s="5" t="s">
        <v>39</v>
      </c>
      <c r="B69" s="5"/>
      <c r="C69" s="5" t="s">
        <v>643</v>
      </c>
      <c r="D69" s="5" t="s">
        <v>1270</v>
      </c>
      <c r="E69" s="5" t="s">
        <v>1941</v>
      </c>
      <c r="F69" s="21">
        <v>112.62967999999999</v>
      </c>
      <c r="G69" s="753">
        <v>0</v>
      </c>
      <c r="H69" s="21">
        <f t="shared" si="0"/>
        <v>0</v>
      </c>
      <c r="I69" s="21">
        <f t="shared" si="1"/>
        <v>0</v>
      </c>
      <c r="J69" s="21">
        <f t="shared" si="2"/>
        <v>0</v>
      </c>
      <c r="K69" s="21">
        <v>2.3936999999999999</v>
      </c>
      <c r="L69" s="21">
        <f t="shared" si="3"/>
        <v>269.60166501599997</v>
      </c>
      <c r="M69" s="34" t="s">
        <v>1961</v>
      </c>
      <c r="Z69" s="39">
        <f t="shared" si="4"/>
        <v>0</v>
      </c>
      <c r="AB69" s="39">
        <f t="shared" si="5"/>
        <v>0</v>
      </c>
      <c r="AC69" s="39">
        <f t="shared" si="6"/>
        <v>0</v>
      </c>
      <c r="AD69" s="39">
        <f t="shared" si="7"/>
        <v>0</v>
      </c>
      <c r="AE69" s="39">
        <f t="shared" si="8"/>
        <v>0</v>
      </c>
      <c r="AF69" s="39">
        <f t="shared" si="9"/>
        <v>0</v>
      </c>
      <c r="AG69" s="39">
        <f t="shared" si="10"/>
        <v>0</v>
      </c>
      <c r="AH69" s="39">
        <f t="shared" si="11"/>
        <v>0</v>
      </c>
      <c r="AI69" s="30"/>
      <c r="AJ69" s="21">
        <f t="shared" si="12"/>
        <v>0</v>
      </c>
      <c r="AK69" s="21">
        <f t="shared" si="13"/>
        <v>0</v>
      </c>
      <c r="AL69" s="21">
        <f t="shared" si="14"/>
        <v>0</v>
      </c>
      <c r="AN69" s="39">
        <v>21</v>
      </c>
      <c r="AO69" s="39">
        <f>G69*0.911818736419921</f>
        <v>0</v>
      </c>
      <c r="AP69" s="39">
        <f>G69*(1-0.911818736419921)</f>
        <v>0</v>
      </c>
      <c r="AQ69" s="34" t="s">
        <v>5</v>
      </c>
      <c r="AV69" s="39">
        <f t="shared" si="15"/>
        <v>0</v>
      </c>
      <c r="AW69" s="39">
        <f t="shared" si="16"/>
        <v>0</v>
      </c>
      <c r="AX69" s="39">
        <f t="shared" si="17"/>
        <v>0</v>
      </c>
      <c r="AY69" s="40" t="s">
        <v>1981</v>
      </c>
      <c r="AZ69" s="40" t="s">
        <v>2031</v>
      </c>
      <c r="BA69" s="30" t="s">
        <v>2045</v>
      </c>
      <c r="BC69" s="39">
        <f t="shared" si="18"/>
        <v>0</v>
      </c>
      <c r="BD69" s="39">
        <f t="shared" si="19"/>
        <v>0</v>
      </c>
      <c r="BE69" s="39">
        <v>0</v>
      </c>
      <c r="BF69" s="39">
        <f t="shared" si="20"/>
        <v>269.60166501599997</v>
      </c>
      <c r="BH69" s="21">
        <f t="shared" si="21"/>
        <v>0</v>
      </c>
      <c r="BI69" s="21">
        <f t="shared" si="22"/>
        <v>0</v>
      </c>
      <c r="BJ69" s="21">
        <f t="shared" si="23"/>
        <v>0</v>
      </c>
    </row>
    <row r="70" spans="1:62">
      <c r="A70" s="5" t="s">
        <v>40</v>
      </c>
      <c r="B70" s="5"/>
      <c r="C70" s="5" t="s">
        <v>644</v>
      </c>
      <c r="D70" s="5" t="s">
        <v>1271</v>
      </c>
      <c r="E70" s="5" t="s">
        <v>1940</v>
      </c>
      <c r="F70" s="21">
        <v>120.22632</v>
      </c>
      <c r="G70" s="753">
        <v>0</v>
      </c>
      <c r="H70" s="21">
        <f t="shared" si="0"/>
        <v>0</v>
      </c>
      <c r="I70" s="21">
        <f t="shared" si="1"/>
        <v>0</v>
      </c>
      <c r="J70" s="21">
        <f t="shared" si="2"/>
        <v>0</v>
      </c>
      <c r="K70" s="21">
        <v>3.9199999999999999E-2</v>
      </c>
      <c r="L70" s="21">
        <f t="shared" si="3"/>
        <v>4.7128717440000001</v>
      </c>
      <c r="M70" s="34" t="s">
        <v>1961</v>
      </c>
      <c r="Z70" s="39">
        <f t="shared" si="4"/>
        <v>0</v>
      </c>
      <c r="AB70" s="39">
        <f t="shared" si="5"/>
        <v>0</v>
      </c>
      <c r="AC70" s="39">
        <f t="shared" si="6"/>
        <v>0</v>
      </c>
      <c r="AD70" s="39">
        <f t="shared" si="7"/>
        <v>0</v>
      </c>
      <c r="AE70" s="39">
        <f t="shared" si="8"/>
        <v>0</v>
      </c>
      <c r="AF70" s="39">
        <f t="shared" si="9"/>
        <v>0</v>
      </c>
      <c r="AG70" s="39">
        <f t="shared" si="10"/>
        <v>0</v>
      </c>
      <c r="AH70" s="39">
        <f t="shared" si="11"/>
        <v>0</v>
      </c>
      <c r="AI70" s="30"/>
      <c r="AJ70" s="21">
        <f t="shared" si="12"/>
        <v>0</v>
      </c>
      <c r="AK70" s="21">
        <f t="shared" si="13"/>
        <v>0</v>
      </c>
      <c r="AL70" s="21">
        <f t="shared" si="14"/>
        <v>0</v>
      </c>
      <c r="AN70" s="39">
        <v>21</v>
      </c>
      <c r="AO70" s="39">
        <f>G70*0.201508725337324</f>
        <v>0</v>
      </c>
      <c r="AP70" s="39">
        <f>G70*(1-0.201508725337324)</f>
        <v>0</v>
      </c>
      <c r="AQ70" s="34" t="s">
        <v>5</v>
      </c>
      <c r="AV70" s="39">
        <f t="shared" si="15"/>
        <v>0</v>
      </c>
      <c r="AW70" s="39">
        <f t="shared" si="16"/>
        <v>0</v>
      </c>
      <c r="AX70" s="39">
        <f t="shared" si="17"/>
        <v>0</v>
      </c>
      <c r="AY70" s="40" t="s">
        <v>1981</v>
      </c>
      <c r="AZ70" s="40" t="s">
        <v>2031</v>
      </c>
      <c r="BA70" s="30" t="s">
        <v>2045</v>
      </c>
      <c r="BC70" s="39">
        <f t="shared" si="18"/>
        <v>0</v>
      </c>
      <c r="BD70" s="39">
        <f t="shared" si="19"/>
        <v>0</v>
      </c>
      <c r="BE70" s="39">
        <v>0</v>
      </c>
      <c r="BF70" s="39">
        <f t="shared" si="20"/>
        <v>4.7128717440000001</v>
      </c>
      <c r="BH70" s="21">
        <f t="shared" si="21"/>
        <v>0</v>
      </c>
      <c r="BI70" s="21">
        <f t="shared" si="22"/>
        <v>0</v>
      </c>
      <c r="BJ70" s="21">
        <f t="shared" si="23"/>
        <v>0</v>
      </c>
    </row>
    <row r="71" spans="1:62">
      <c r="A71" s="5" t="s">
        <v>41</v>
      </c>
      <c r="B71" s="5"/>
      <c r="C71" s="5" t="s">
        <v>645</v>
      </c>
      <c r="D71" s="5" t="s">
        <v>1272</v>
      </c>
      <c r="E71" s="5" t="s">
        <v>1940</v>
      </c>
      <c r="F71" s="21">
        <v>120.22632</v>
      </c>
      <c r="G71" s="753">
        <v>0</v>
      </c>
      <c r="H71" s="21">
        <f t="shared" si="0"/>
        <v>0</v>
      </c>
      <c r="I71" s="21">
        <f t="shared" si="1"/>
        <v>0</v>
      </c>
      <c r="J71" s="21">
        <f t="shared" si="2"/>
        <v>0</v>
      </c>
      <c r="K71" s="21">
        <v>0</v>
      </c>
      <c r="L71" s="21">
        <f t="shared" si="3"/>
        <v>0</v>
      </c>
      <c r="M71" s="34" t="s">
        <v>1961</v>
      </c>
      <c r="Z71" s="39">
        <f t="shared" si="4"/>
        <v>0</v>
      </c>
      <c r="AB71" s="39">
        <f t="shared" si="5"/>
        <v>0</v>
      </c>
      <c r="AC71" s="39">
        <f t="shared" si="6"/>
        <v>0</v>
      </c>
      <c r="AD71" s="39">
        <f t="shared" si="7"/>
        <v>0</v>
      </c>
      <c r="AE71" s="39">
        <f t="shared" si="8"/>
        <v>0</v>
      </c>
      <c r="AF71" s="39">
        <f t="shared" si="9"/>
        <v>0</v>
      </c>
      <c r="AG71" s="39">
        <f t="shared" si="10"/>
        <v>0</v>
      </c>
      <c r="AH71" s="39">
        <f t="shared" si="11"/>
        <v>0</v>
      </c>
      <c r="AI71" s="30"/>
      <c r="AJ71" s="21">
        <f t="shared" si="12"/>
        <v>0</v>
      </c>
      <c r="AK71" s="21">
        <f t="shared" si="13"/>
        <v>0</v>
      </c>
      <c r="AL71" s="21">
        <f t="shared" si="14"/>
        <v>0</v>
      </c>
      <c r="AN71" s="39">
        <v>21</v>
      </c>
      <c r="AO71" s="39">
        <f>G71*0</f>
        <v>0</v>
      </c>
      <c r="AP71" s="39">
        <f>G71*(1-0)</f>
        <v>0</v>
      </c>
      <c r="AQ71" s="34" t="s">
        <v>5</v>
      </c>
      <c r="AV71" s="39">
        <f t="shared" si="15"/>
        <v>0</v>
      </c>
      <c r="AW71" s="39">
        <f t="shared" si="16"/>
        <v>0</v>
      </c>
      <c r="AX71" s="39">
        <f t="shared" si="17"/>
        <v>0</v>
      </c>
      <c r="AY71" s="40" t="s">
        <v>1981</v>
      </c>
      <c r="AZ71" s="40" t="s">
        <v>2031</v>
      </c>
      <c r="BA71" s="30" t="s">
        <v>2045</v>
      </c>
      <c r="BC71" s="39">
        <f t="shared" si="18"/>
        <v>0</v>
      </c>
      <c r="BD71" s="39">
        <f t="shared" si="19"/>
        <v>0</v>
      </c>
      <c r="BE71" s="39">
        <v>0</v>
      </c>
      <c r="BF71" s="39">
        <f t="shared" si="20"/>
        <v>0</v>
      </c>
      <c r="BH71" s="21">
        <f t="shared" si="21"/>
        <v>0</v>
      </c>
      <c r="BI71" s="21">
        <f t="shared" si="22"/>
        <v>0</v>
      </c>
      <c r="BJ71" s="21">
        <f t="shared" si="23"/>
        <v>0</v>
      </c>
    </row>
    <row r="72" spans="1:62">
      <c r="A72" s="5" t="s">
        <v>42</v>
      </c>
      <c r="B72" s="5"/>
      <c r="C72" s="5" t="s">
        <v>646</v>
      </c>
      <c r="D72" s="5" t="s">
        <v>1273</v>
      </c>
      <c r="E72" s="5" t="s">
        <v>1941</v>
      </c>
      <c r="F72" s="21">
        <v>4.05</v>
      </c>
      <c r="G72" s="753">
        <v>0</v>
      </c>
      <c r="H72" s="21">
        <f t="shared" si="0"/>
        <v>0</v>
      </c>
      <c r="I72" s="21">
        <f t="shared" si="1"/>
        <v>0</v>
      </c>
      <c r="J72" s="21">
        <f t="shared" si="2"/>
        <v>0</v>
      </c>
      <c r="K72" s="21">
        <v>2.6262799999999999</v>
      </c>
      <c r="L72" s="21">
        <f t="shared" si="3"/>
        <v>10.636434</v>
      </c>
      <c r="M72" s="34" t="s">
        <v>1961</v>
      </c>
      <c r="Z72" s="39">
        <f t="shared" si="4"/>
        <v>0</v>
      </c>
      <c r="AB72" s="39">
        <f t="shared" si="5"/>
        <v>0</v>
      </c>
      <c r="AC72" s="39">
        <f t="shared" si="6"/>
        <v>0</v>
      </c>
      <c r="AD72" s="39">
        <f t="shared" si="7"/>
        <v>0</v>
      </c>
      <c r="AE72" s="39">
        <f t="shared" si="8"/>
        <v>0</v>
      </c>
      <c r="AF72" s="39">
        <f t="shared" si="9"/>
        <v>0</v>
      </c>
      <c r="AG72" s="39">
        <f t="shared" si="10"/>
        <v>0</v>
      </c>
      <c r="AH72" s="39">
        <f t="shared" si="11"/>
        <v>0</v>
      </c>
      <c r="AI72" s="30"/>
      <c r="AJ72" s="21">
        <f t="shared" si="12"/>
        <v>0</v>
      </c>
      <c r="AK72" s="21">
        <f t="shared" si="13"/>
        <v>0</v>
      </c>
      <c r="AL72" s="21">
        <f t="shared" si="14"/>
        <v>0</v>
      </c>
      <c r="AN72" s="39">
        <v>21</v>
      </c>
      <c r="AO72" s="39">
        <f>G72*0.892162381596752</f>
        <v>0</v>
      </c>
      <c r="AP72" s="39">
        <f>G72*(1-0.892162381596752)</f>
        <v>0</v>
      </c>
      <c r="AQ72" s="34" t="s">
        <v>5</v>
      </c>
      <c r="AV72" s="39">
        <f t="shared" si="15"/>
        <v>0</v>
      </c>
      <c r="AW72" s="39">
        <f t="shared" si="16"/>
        <v>0</v>
      </c>
      <c r="AX72" s="39">
        <f t="shared" si="17"/>
        <v>0</v>
      </c>
      <c r="AY72" s="40" t="s">
        <v>1981</v>
      </c>
      <c r="AZ72" s="40" t="s">
        <v>2031</v>
      </c>
      <c r="BA72" s="30" t="s">
        <v>2045</v>
      </c>
      <c r="BC72" s="39">
        <f t="shared" si="18"/>
        <v>0</v>
      </c>
      <c r="BD72" s="39">
        <f t="shared" si="19"/>
        <v>0</v>
      </c>
      <c r="BE72" s="39">
        <v>0</v>
      </c>
      <c r="BF72" s="39">
        <f t="shared" si="20"/>
        <v>10.636434</v>
      </c>
      <c r="BH72" s="21">
        <f t="shared" si="21"/>
        <v>0</v>
      </c>
      <c r="BI72" s="21">
        <f t="shared" si="22"/>
        <v>0</v>
      </c>
      <c r="BJ72" s="21">
        <f t="shared" si="23"/>
        <v>0</v>
      </c>
    </row>
    <row r="73" spans="1:62">
      <c r="A73" s="5" t="s">
        <v>43</v>
      </c>
      <c r="B73" s="5"/>
      <c r="C73" s="5" t="s">
        <v>647</v>
      </c>
      <c r="D73" s="5" t="s">
        <v>1274</v>
      </c>
      <c r="E73" s="5" t="s">
        <v>1940</v>
      </c>
      <c r="F73" s="21">
        <v>16.2</v>
      </c>
      <c r="G73" s="753">
        <v>0</v>
      </c>
      <c r="H73" s="21">
        <f t="shared" si="0"/>
        <v>0</v>
      </c>
      <c r="I73" s="21">
        <f t="shared" si="1"/>
        <v>0</v>
      </c>
      <c r="J73" s="21">
        <f t="shared" si="2"/>
        <v>0</v>
      </c>
      <c r="K73" s="21">
        <v>3.9199999999999999E-2</v>
      </c>
      <c r="L73" s="21">
        <f t="shared" si="3"/>
        <v>0.63503999999999994</v>
      </c>
      <c r="M73" s="34" t="s">
        <v>1961</v>
      </c>
      <c r="Z73" s="39">
        <f t="shared" si="4"/>
        <v>0</v>
      </c>
      <c r="AB73" s="39">
        <f t="shared" si="5"/>
        <v>0</v>
      </c>
      <c r="AC73" s="39">
        <f t="shared" si="6"/>
        <v>0</v>
      </c>
      <c r="AD73" s="39">
        <f t="shared" si="7"/>
        <v>0</v>
      </c>
      <c r="AE73" s="39">
        <f t="shared" si="8"/>
        <v>0</v>
      </c>
      <c r="AF73" s="39">
        <f t="shared" si="9"/>
        <v>0</v>
      </c>
      <c r="AG73" s="39">
        <f t="shared" si="10"/>
        <v>0</v>
      </c>
      <c r="AH73" s="39">
        <f t="shared" si="11"/>
        <v>0</v>
      </c>
      <c r="AI73" s="30"/>
      <c r="AJ73" s="21">
        <f t="shared" si="12"/>
        <v>0</v>
      </c>
      <c r="AK73" s="21">
        <f t="shared" si="13"/>
        <v>0</v>
      </c>
      <c r="AL73" s="21">
        <f t="shared" si="14"/>
        <v>0</v>
      </c>
      <c r="AN73" s="39">
        <v>21</v>
      </c>
      <c r="AO73" s="39">
        <f>G73*0.278633186322923</f>
        <v>0</v>
      </c>
      <c r="AP73" s="39">
        <f>G73*(1-0.278633186322923)</f>
        <v>0</v>
      </c>
      <c r="AQ73" s="34" t="s">
        <v>5</v>
      </c>
      <c r="AV73" s="39">
        <f t="shared" si="15"/>
        <v>0</v>
      </c>
      <c r="AW73" s="39">
        <f t="shared" si="16"/>
        <v>0</v>
      </c>
      <c r="AX73" s="39">
        <f t="shared" si="17"/>
        <v>0</v>
      </c>
      <c r="AY73" s="40" t="s">
        <v>1981</v>
      </c>
      <c r="AZ73" s="40" t="s">
        <v>2031</v>
      </c>
      <c r="BA73" s="30" t="s">
        <v>2045</v>
      </c>
      <c r="BC73" s="39">
        <f t="shared" si="18"/>
        <v>0</v>
      </c>
      <c r="BD73" s="39">
        <f t="shared" si="19"/>
        <v>0</v>
      </c>
      <c r="BE73" s="39">
        <v>0</v>
      </c>
      <c r="BF73" s="39">
        <f t="shared" si="20"/>
        <v>0.63503999999999994</v>
      </c>
      <c r="BH73" s="21">
        <f t="shared" si="21"/>
        <v>0</v>
      </c>
      <c r="BI73" s="21">
        <f t="shared" si="22"/>
        <v>0</v>
      </c>
      <c r="BJ73" s="21">
        <f t="shared" si="23"/>
        <v>0</v>
      </c>
    </row>
    <row r="74" spans="1:62">
      <c r="A74" s="5" t="s">
        <v>44</v>
      </c>
      <c r="B74" s="5"/>
      <c r="C74" s="5" t="s">
        <v>648</v>
      </c>
      <c r="D74" s="5" t="s">
        <v>1275</v>
      </c>
      <c r="E74" s="5" t="s">
        <v>1940</v>
      </c>
      <c r="F74" s="21">
        <v>16.2</v>
      </c>
      <c r="G74" s="753">
        <v>0</v>
      </c>
      <c r="H74" s="21">
        <f t="shared" si="0"/>
        <v>0</v>
      </c>
      <c r="I74" s="21">
        <f t="shared" si="1"/>
        <v>0</v>
      </c>
      <c r="J74" s="21">
        <f t="shared" si="2"/>
        <v>0</v>
      </c>
      <c r="K74" s="21">
        <v>0</v>
      </c>
      <c r="L74" s="21">
        <f t="shared" si="3"/>
        <v>0</v>
      </c>
      <c r="M74" s="34" t="s">
        <v>1961</v>
      </c>
      <c r="Z74" s="39">
        <f t="shared" si="4"/>
        <v>0</v>
      </c>
      <c r="AB74" s="39">
        <f t="shared" si="5"/>
        <v>0</v>
      </c>
      <c r="AC74" s="39">
        <f t="shared" si="6"/>
        <v>0</v>
      </c>
      <c r="AD74" s="39">
        <f t="shared" si="7"/>
        <v>0</v>
      </c>
      <c r="AE74" s="39">
        <f t="shared" si="8"/>
        <v>0</v>
      </c>
      <c r="AF74" s="39">
        <f t="shared" si="9"/>
        <v>0</v>
      </c>
      <c r="AG74" s="39">
        <f t="shared" si="10"/>
        <v>0</v>
      </c>
      <c r="AH74" s="39">
        <f t="shared" si="11"/>
        <v>0</v>
      </c>
      <c r="AI74" s="30"/>
      <c r="AJ74" s="21">
        <f t="shared" si="12"/>
        <v>0</v>
      </c>
      <c r="AK74" s="21">
        <f t="shared" si="13"/>
        <v>0</v>
      </c>
      <c r="AL74" s="21">
        <f t="shared" si="14"/>
        <v>0</v>
      </c>
      <c r="AN74" s="39">
        <v>21</v>
      </c>
      <c r="AO74" s="39">
        <f>G74*0</f>
        <v>0</v>
      </c>
      <c r="AP74" s="39">
        <f>G74*(1-0)</f>
        <v>0</v>
      </c>
      <c r="AQ74" s="34" t="s">
        <v>5</v>
      </c>
      <c r="AV74" s="39">
        <f t="shared" si="15"/>
        <v>0</v>
      </c>
      <c r="AW74" s="39">
        <f t="shared" si="16"/>
        <v>0</v>
      </c>
      <c r="AX74" s="39">
        <f t="shared" si="17"/>
        <v>0</v>
      </c>
      <c r="AY74" s="40" t="s">
        <v>1981</v>
      </c>
      <c r="AZ74" s="40" t="s">
        <v>2031</v>
      </c>
      <c r="BA74" s="30" t="s">
        <v>2045</v>
      </c>
      <c r="BC74" s="39">
        <f t="shared" si="18"/>
        <v>0</v>
      </c>
      <c r="BD74" s="39">
        <f t="shared" si="19"/>
        <v>0</v>
      </c>
      <c r="BE74" s="39">
        <v>0</v>
      </c>
      <c r="BF74" s="39">
        <f t="shared" si="20"/>
        <v>0</v>
      </c>
      <c r="BH74" s="21">
        <f t="shared" si="21"/>
        <v>0</v>
      </c>
      <c r="BI74" s="21">
        <f t="shared" si="22"/>
        <v>0</v>
      </c>
      <c r="BJ74" s="21">
        <f t="shared" si="23"/>
        <v>0</v>
      </c>
    </row>
    <row r="75" spans="1:62">
      <c r="A75" s="5" t="s">
        <v>45</v>
      </c>
      <c r="B75" s="5"/>
      <c r="C75" s="5" t="s">
        <v>649</v>
      </c>
      <c r="D75" s="5" t="s">
        <v>1276</v>
      </c>
      <c r="E75" s="5" t="s">
        <v>1941</v>
      </c>
      <c r="F75" s="21">
        <v>34.583030000000001</v>
      </c>
      <c r="G75" s="753">
        <v>0</v>
      </c>
      <c r="H75" s="21">
        <f t="shared" si="0"/>
        <v>0</v>
      </c>
      <c r="I75" s="21">
        <f t="shared" si="1"/>
        <v>0</v>
      </c>
      <c r="J75" s="21">
        <f t="shared" si="2"/>
        <v>0</v>
      </c>
      <c r="K75" s="21">
        <v>2.5249999999999999</v>
      </c>
      <c r="L75" s="21">
        <f t="shared" si="3"/>
        <v>87.322150750000006</v>
      </c>
      <c r="M75" s="34" t="s">
        <v>1961</v>
      </c>
      <c r="Z75" s="39">
        <f t="shared" si="4"/>
        <v>0</v>
      </c>
      <c r="AB75" s="39">
        <f t="shared" si="5"/>
        <v>0</v>
      </c>
      <c r="AC75" s="39">
        <f t="shared" si="6"/>
        <v>0</v>
      </c>
      <c r="AD75" s="39">
        <f t="shared" si="7"/>
        <v>0</v>
      </c>
      <c r="AE75" s="39">
        <f t="shared" si="8"/>
        <v>0</v>
      </c>
      <c r="AF75" s="39">
        <f t="shared" si="9"/>
        <v>0</v>
      </c>
      <c r="AG75" s="39">
        <f t="shared" si="10"/>
        <v>0</v>
      </c>
      <c r="AH75" s="39">
        <f t="shared" si="11"/>
        <v>0</v>
      </c>
      <c r="AI75" s="30"/>
      <c r="AJ75" s="21">
        <f t="shared" si="12"/>
        <v>0</v>
      </c>
      <c r="AK75" s="21">
        <f t="shared" si="13"/>
        <v>0</v>
      </c>
      <c r="AL75" s="21">
        <f t="shared" si="14"/>
        <v>0</v>
      </c>
      <c r="AN75" s="39">
        <v>21</v>
      </c>
      <c r="AO75" s="39">
        <f>G75*0.904163648347878</f>
        <v>0</v>
      </c>
      <c r="AP75" s="39">
        <f>G75*(1-0.904163648347878)</f>
        <v>0</v>
      </c>
      <c r="AQ75" s="34" t="s">
        <v>5</v>
      </c>
      <c r="AV75" s="39">
        <f t="shared" si="15"/>
        <v>0</v>
      </c>
      <c r="AW75" s="39">
        <f t="shared" si="16"/>
        <v>0</v>
      </c>
      <c r="AX75" s="39">
        <f t="shared" si="17"/>
        <v>0</v>
      </c>
      <c r="AY75" s="40" t="s">
        <v>1981</v>
      </c>
      <c r="AZ75" s="40" t="s">
        <v>2031</v>
      </c>
      <c r="BA75" s="30" t="s">
        <v>2045</v>
      </c>
      <c r="BC75" s="39">
        <f t="shared" si="18"/>
        <v>0</v>
      </c>
      <c r="BD75" s="39">
        <f t="shared" si="19"/>
        <v>0</v>
      </c>
      <c r="BE75" s="39">
        <v>0</v>
      </c>
      <c r="BF75" s="39">
        <f t="shared" si="20"/>
        <v>87.322150750000006</v>
      </c>
      <c r="BH75" s="21">
        <f t="shared" si="21"/>
        <v>0</v>
      </c>
      <c r="BI75" s="21">
        <f t="shared" si="22"/>
        <v>0</v>
      </c>
      <c r="BJ75" s="21">
        <f t="shared" si="23"/>
        <v>0</v>
      </c>
    </row>
    <row r="76" spans="1:62">
      <c r="A76" s="5" t="s">
        <v>46</v>
      </c>
      <c r="B76" s="5"/>
      <c r="C76" s="5" t="s">
        <v>650</v>
      </c>
      <c r="D76" s="5" t="s">
        <v>1277</v>
      </c>
      <c r="E76" s="5" t="s">
        <v>1940</v>
      </c>
      <c r="F76" s="21">
        <v>116.5835</v>
      </c>
      <c r="G76" s="753">
        <v>0</v>
      </c>
      <c r="H76" s="21">
        <f t="shared" si="0"/>
        <v>0</v>
      </c>
      <c r="I76" s="21">
        <f t="shared" si="1"/>
        <v>0</v>
      </c>
      <c r="J76" s="21">
        <f t="shared" si="2"/>
        <v>0</v>
      </c>
      <c r="K76" s="21">
        <v>3.916E-2</v>
      </c>
      <c r="L76" s="21">
        <f t="shared" si="3"/>
        <v>4.5654098599999999</v>
      </c>
      <c r="M76" s="34" t="s">
        <v>1961</v>
      </c>
      <c r="Z76" s="39">
        <f t="shared" si="4"/>
        <v>0</v>
      </c>
      <c r="AB76" s="39">
        <f t="shared" si="5"/>
        <v>0</v>
      </c>
      <c r="AC76" s="39">
        <f t="shared" si="6"/>
        <v>0</v>
      </c>
      <c r="AD76" s="39">
        <f t="shared" si="7"/>
        <v>0</v>
      </c>
      <c r="AE76" s="39">
        <f t="shared" si="8"/>
        <v>0</v>
      </c>
      <c r="AF76" s="39">
        <f t="shared" si="9"/>
        <v>0</v>
      </c>
      <c r="AG76" s="39">
        <f t="shared" si="10"/>
        <v>0</v>
      </c>
      <c r="AH76" s="39">
        <f t="shared" si="11"/>
        <v>0</v>
      </c>
      <c r="AI76" s="30"/>
      <c r="AJ76" s="21">
        <f t="shared" si="12"/>
        <v>0</v>
      </c>
      <c r="AK76" s="21">
        <f t="shared" si="13"/>
        <v>0</v>
      </c>
      <c r="AL76" s="21">
        <f t="shared" si="14"/>
        <v>0</v>
      </c>
      <c r="AN76" s="39">
        <v>21</v>
      </c>
      <c r="AO76" s="39">
        <f>G76*0.264113610893392</f>
        <v>0</v>
      </c>
      <c r="AP76" s="39">
        <f>G76*(1-0.264113610893392)</f>
        <v>0</v>
      </c>
      <c r="AQ76" s="34" t="s">
        <v>5</v>
      </c>
      <c r="AV76" s="39">
        <f t="shared" si="15"/>
        <v>0</v>
      </c>
      <c r="AW76" s="39">
        <f t="shared" si="16"/>
        <v>0</v>
      </c>
      <c r="AX76" s="39">
        <f t="shared" si="17"/>
        <v>0</v>
      </c>
      <c r="AY76" s="40" t="s">
        <v>1981</v>
      </c>
      <c r="AZ76" s="40" t="s">
        <v>2031</v>
      </c>
      <c r="BA76" s="30" t="s">
        <v>2045</v>
      </c>
      <c r="BC76" s="39">
        <f t="shared" si="18"/>
        <v>0</v>
      </c>
      <c r="BD76" s="39">
        <f t="shared" si="19"/>
        <v>0</v>
      </c>
      <c r="BE76" s="39">
        <v>0</v>
      </c>
      <c r="BF76" s="39">
        <f t="shared" si="20"/>
        <v>4.5654098599999999</v>
      </c>
      <c r="BH76" s="21">
        <f t="shared" si="21"/>
        <v>0</v>
      </c>
      <c r="BI76" s="21">
        <f t="shared" si="22"/>
        <v>0</v>
      </c>
      <c r="BJ76" s="21">
        <f t="shared" si="23"/>
        <v>0</v>
      </c>
    </row>
    <row r="77" spans="1:62">
      <c r="A77" s="5" t="s">
        <v>47</v>
      </c>
      <c r="B77" s="5"/>
      <c r="C77" s="5" t="s">
        <v>651</v>
      </c>
      <c r="D77" s="5" t="s">
        <v>1278</v>
      </c>
      <c r="E77" s="5" t="s">
        <v>1940</v>
      </c>
      <c r="F77" s="21">
        <v>116.5835</v>
      </c>
      <c r="G77" s="753">
        <v>0</v>
      </c>
      <c r="H77" s="21">
        <f t="shared" si="0"/>
        <v>0</v>
      </c>
      <c r="I77" s="21">
        <f t="shared" si="1"/>
        <v>0</v>
      </c>
      <c r="J77" s="21">
        <f t="shared" si="2"/>
        <v>0</v>
      </c>
      <c r="K77" s="21">
        <v>0</v>
      </c>
      <c r="L77" s="21">
        <f t="shared" si="3"/>
        <v>0</v>
      </c>
      <c r="M77" s="34" t="s">
        <v>1961</v>
      </c>
      <c r="Z77" s="39">
        <f t="shared" si="4"/>
        <v>0</v>
      </c>
      <c r="AB77" s="39">
        <f t="shared" si="5"/>
        <v>0</v>
      </c>
      <c r="AC77" s="39">
        <f t="shared" si="6"/>
        <v>0</v>
      </c>
      <c r="AD77" s="39">
        <f t="shared" si="7"/>
        <v>0</v>
      </c>
      <c r="AE77" s="39">
        <f t="shared" si="8"/>
        <v>0</v>
      </c>
      <c r="AF77" s="39">
        <f t="shared" si="9"/>
        <v>0</v>
      </c>
      <c r="AG77" s="39">
        <f t="shared" si="10"/>
        <v>0</v>
      </c>
      <c r="AH77" s="39">
        <f t="shared" si="11"/>
        <v>0</v>
      </c>
      <c r="AI77" s="30"/>
      <c r="AJ77" s="21">
        <f t="shared" si="12"/>
        <v>0</v>
      </c>
      <c r="AK77" s="21">
        <f t="shared" si="13"/>
        <v>0</v>
      </c>
      <c r="AL77" s="21">
        <f t="shared" si="14"/>
        <v>0</v>
      </c>
      <c r="AN77" s="39">
        <v>21</v>
      </c>
      <c r="AO77" s="39">
        <f>G77*0</f>
        <v>0</v>
      </c>
      <c r="AP77" s="39">
        <f>G77*(1-0)</f>
        <v>0</v>
      </c>
      <c r="AQ77" s="34" t="s">
        <v>5</v>
      </c>
      <c r="AV77" s="39">
        <f t="shared" si="15"/>
        <v>0</v>
      </c>
      <c r="AW77" s="39">
        <f t="shared" si="16"/>
        <v>0</v>
      </c>
      <c r="AX77" s="39">
        <f t="shared" si="17"/>
        <v>0</v>
      </c>
      <c r="AY77" s="40" t="s">
        <v>1981</v>
      </c>
      <c r="AZ77" s="40" t="s">
        <v>2031</v>
      </c>
      <c r="BA77" s="30" t="s">
        <v>2045</v>
      </c>
      <c r="BC77" s="39">
        <f t="shared" si="18"/>
        <v>0</v>
      </c>
      <c r="BD77" s="39">
        <f t="shared" si="19"/>
        <v>0</v>
      </c>
      <c r="BE77" s="39">
        <v>0</v>
      </c>
      <c r="BF77" s="39">
        <f t="shared" si="20"/>
        <v>0</v>
      </c>
      <c r="BH77" s="21">
        <f t="shared" si="21"/>
        <v>0</v>
      </c>
      <c r="BI77" s="21">
        <f t="shared" si="22"/>
        <v>0</v>
      </c>
      <c r="BJ77" s="21">
        <f t="shared" si="23"/>
        <v>0</v>
      </c>
    </row>
    <row r="78" spans="1:62">
      <c r="A78" s="5" t="s">
        <v>48</v>
      </c>
      <c r="B78" s="5"/>
      <c r="C78" s="5" t="s">
        <v>652</v>
      </c>
      <c r="D78" s="5" t="s">
        <v>1279</v>
      </c>
      <c r="E78" s="5" t="s">
        <v>1941</v>
      </c>
      <c r="F78" s="755"/>
      <c r="G78" s="753">
        <v>0</v>
      </c>
      <c r="H78" s="21">
        <f t="shared" si="0"/>
        <v>0</v>
      </c>
      <c r="I78" s="21">
        <f t="shared" si="1"/>
        <v>0</v>
      </c>
      <c r="J78" s="21">
        <f t="shared" si="2"/>
        <v>0</v>
      </c>
      <c r="K78" s="21">
        <v>3.12982</v>
      </c>
      <c r="L78" s="21">
        <f t="shared" si="3"/>
        <v>0</v>
      </c>
      <c r="M78" s="34" t="s">
        <v>1961</v>
      </c>
      <c r="Z78" s="39">
        <f t="shared" si="4"/>
        <v>0</v>
      </c>
      <c r="AB78" s="39">
        <f t="shared" si="5"/>
        <v>0</v>
      </c>
      <c r="AC78" s="39">
        <f t="shared" si="6"/>
        <v>0</v>
      </c>
      <c r="AD78" s="39">
        <f t="shared" si="7"/>
        <v>0</v>
      </c>
      <c r="AE78" s="39">
        <f t="shared" si="8"/>
        <v>0</v>
      </c>
      <c r="AF78" s="39">
        <f t="shared" si="9"/>
        <v>0</v>
      </c>
      <c r="AG78" s="39">
        <f t="shared" si="10"/>
        <v>0</v>
      </c>
      <c r="AH78" s="39">
        <f t="shared" si="11"/>
        <v>0</v>
      </c>
      <c r="AI78" s="30"/>
      <c r="AJ78" s="21">
        <f t="shared" si="12"/>
        <v>0</v>
      </c>
      <c r="AK78" s="21">
        <f t="shared" si="13"/>
        <v>0</v>
      </c>
      <c r="AL78" s="21">
        <f t="shared" si="14"/>
        <v>0</v>
      </c>
      <c r="AN78" s="39">
        <v>21</v>
      </c>
      <c r="AO78" s="39">
        <f>G78*0</f>
        <v>0</v>
      </c>
      <c r="AP78" s="39">
        <f>G78*(1-0)</f>
        <v>0</v>
      </c>
      <c r="AQ78" s="34" t="s">
        <v>5</v>
      </c>
      <c r="AV78" s="39">
        <f t="shared" si="15"/>
        <v>0</v>
      </c>
      <c r="AW78" s="39">
        <f t="shared" si="16"/>
        <v>0</v>
      </c>
      <c r="AX78" s="39">
        <f t="shared" si="17"/>
        <v>0</v>
      </c>
      <c r="AY78" s="40" t="s">
        <v>1981</v>
      </c>
      <c r="AZ78" s="40" t="s">
        <v>2031</v>
      </c>
      <c r="BA78" s="30" t="s">
        <v>2045</v>
      </c>
      <c r="BC78" s="39">
        <f t="shared" si="18"/>
        <v>0</v>
      </c>
      <c r="BD78" s="39">
        <f t="shared" si="19"/>
        <v>0</v>
      </c>
      <c r="BE78" s="39">
        <v>0</v>
      </c>
      <c r="BF78" s="39">
        <f t="shared" si="20"/>
        <v>0</v>
      </c>
      <c r="BH78" s="21">
        <f t="shared" si="21"/>
        <v>0</v>
      </c>
      <c r="BI78" s="21">
        <f t="shared" si="22"/>
        <v>0</v>
      </c>
      <c r="BJ78" s="21">
        <f t="shared" si="23"/>
        <v>0</v>
      </c>
    </row>
    <row r="79" spans="1:62">
      <c r="C79" s="16" t="s">
        <v>609</v>
      </c>
      <c r="D79" s="919" t="s">
        <v>1280</v>
      </c>
      <c r="E79" s="920"/>
      <c r="F79" s="920"/>
      <c r="G79" s="920"/>
      <c r="H79" s="920"/>
      <c r="I79" s="920"/>
      <c r="J79" s="920"/>
      <c r="K79" s="920"/>
      <c r="L79" s="920"/>
      <c r="M79" s="920"/>
    </row>
    <row r="80" spans="1:62">
      <c r="A80" s="5" t="s">
        <v>49</v>
      </c>
      <c r="B80" s="5"/>
      <c r="C80" s="5" t="s">
        <v>653</v>
      </c>
      <c r="D80" s="5" t="s">
        <v>1281</v>
      </c>
      <c r="E80" s="5" t="s">
        <v>1941</v>
      </c>
      <c r="F80" s="21">
        <v>3.3751500000000001</v>
      </c>
      <c r="G80" s="753">
        <v>0</v>
      </c>
      <c r="H80" s="21">
        <f>F80*AO80</f>
        <v>0</v>
      </c>
      <c r="I80" s="21">
        <f>F80*AP80</f>
        <v>0</v>
      </c>
      <c r="J80" s="21">
        <f>F80*G80</f>
        <v>0</v>
      </c>
      <c r="K80" s="21">
        <v>2.5249999999999999</v>
      </c>
      <c r="L80" s="21">
        <f>F80*K80</f>
        <v>8.5222537499999991</v>
      </c>
      <c r="M80" s="34" t="s">
        <v>1961</v>
      </c>
      <c r="Z80" s="39">
        <f>IF(AQ80="5",BJ80,0)</f>
        <v>0</v>
      </c>
      <c r="AB80" s="39">
        <f>IF(AQ80="1",BH80,0)</f>
        <v>0</v>
      </c>
      <c r="AC80" s="39">
        <f>IF(AQ80="1",BI80,0)</f>
        <v>0</v>
      </c>
      <c r="AD80" s="39">
        <f>IF(AQ80="7",BH80,0)</f>
        <v>0</v>
      </c>
      <c r="AE80" s="39">
        <f>IF(AQ80="7",BI80,0)</f>
        <v>0</v>
      </c>
      <c r="AF80" s="39">
        <f>IF(AQ80="2",BH80,0)</f>
        <v>0</v>
      </c>
      <c r="AG80" s="39">
        <f>IF(AQ80="2",BI80,0)</f>
        <v>0</v>
      </c>
      <c r="AH80" s="39">
        <f>IF(AQ80="0",BJ80,0)</f>
        <v>0</v>
      </c>
      <c r="AI80" s="30"/>
      <c r="AJ80" s="21">
        <f>IF(AN80=0,J80,0)</f>
        <v>0</v>
      </c>
      <c r="AK80" s="21">
        <f>IF(AN80=15,J80,0)</f>
        <v>0</v>
      </c>
      <c r="AL80" s="21">
        <f>IF(AN80=21,J80,0)</f>
        <v>0</v>
      </c>
      <c r="AN80" s="39">
        <v>21</v>
      </c>
      <c r="AO80" s="39">
        <f>G80*0.913204794256334</f>
        <v>0</v>
      </c>
      <c r="AP80" s="39">
        <f>G80*(1-0.913204794256334)</f>
        <v>0</v>
      </c>
      <c r="AQ80" s="34" t="s">
        <v>5</v>
      </c>
      <c r="AV80" s="39">
        <f>AW80+AX80</f>
        <v>0</v>
      </c>
      <c r="AW80" s="39">
        <f>F80*AO80</f>
        <v>0</v>
      </c>
      <c r="AX80" s="39">
        <f>F80*AP80</f>
        <v>0</v>
      </c>
      <c r="AY80" s="40" t="s">
        <v>1981</v>
      </c>
      <c r="AZ80" s="40" t="s">
        <v>2031</v>
      </c>
      <c r="BA80" s="30" t="s">
        <v>2045</v>
      </c>
      <c r="BC80" s="39">
        <f>AW80+AX80</f>
        <v>0</v>
      </c>
      <c r="BD80" s="39">
        <f>G80/(100-BE80)*100</f>
        <v>0</v>
      </c>
      <c r="BE80" s="39">
        <v>0</v>
      </c>
      <c r="BF80" s="39">
        <f>L80</f>
        <v>8.5222537499999991</v>
      </c>
      <c r="BH80" s="21">
        <f>F80*AO80</f>
        <v>0</v>
      </c>
      <c r="BI80" s="21">
        <f>F80*AP80</f>
        <v>0</v>
      </c>
      <c r="BJ80" s="21">
        <f>F80*G80</f>
        <v>0</v>
      </c>
    </row>
    <row r="81" spans="1:62">
      <c r="A81" s="5" t="s">
        <v>50</v>
      </c>
      <c r="B81" s="5"/>
      <c r="C81" s="5" t="s">
        <v>654</v>
      </c>
      <c r="D81" s="5" t="s">
        <v>1282</v>
      </c>
      <c r="E81" s="5" t="s">
        <v>1940</v>
      </c>
      <c r="F81" s="21">
        <v>2.165</v>
      </c>
      <c r="G81" s="753">
        <v>0</v>
      </c>
      <c r="H81" s="21">
        <f>F81*AO81</f>
        <v>0</v>
      </c>
      <c r="I81" s="21">
        <f>F81*AP81</f>
        <v>0</v>
      </c>
      <c r="J81" s="21">
        <f>F81*G81</f>
        <v>0</v>
      </c>
      <c r="K81" s="21">
        <v>0.38500000000000001</v>
      </c>
      <c r="L81" s="21">
        <f>F81*K81</f>
        <v>0.83352500000000007</v>
      </c>
      <c r="M81" s="34" t="s">
        <v>1961</v>
      </c>
      <c r="Z81" s="39">
        <f>IF(AQ81="5",BJ81,0)</f>
        <v>0</v>
      </c>
      <c r="AB81" s="39">
        <f>IF(AQ81="1",BH81,0)</f>
        <v>0</v>
      </c>
      <c r="AC81" s="39">
        <f>IF(AQ81="1",BI81,0)</f>
        <v>0</v>
      </c>
      <c r="AD81" s="39">
        <f>IF(AQ81="7",BH81,0)</f>
        <v>0</v>
      </c>
      <c r="AE81" s="39">
        <f>IF(AQ81="7",BI81,0)</f>
        <v>0</v>
      </c>
      <c r="AF81" s="39">
        <f>IF(AQ81="2",BH81,0)</f>
        <v>0</v>
      </c>
      <c r="AG81" s="39">
        <f>IF(AQ81="2",BI81,0)</f>
        <v>0</v>
      </c>
      <c r="AH81" s="39">
        <f>IF(AQ81="0",BJ81,0)</f>
        <v>0</v>
      </c>
      <c r="AI81" s="30"/>
      <c r="AJ81" s="21">
        <f>IF(AN81=0,J81,0)</f>
        <v>0</v>
      </c>
      <c r="AK81" s="21">
        <f>IF(AN81=15,J81,0)</f>
        <v>0</v>
      </c>
      <c r="AL81" s="21">
        <f>IF(AN81=21,J81,0)</f>
        <v>0</v>
      </c>
      <c r="AN81" s="39">
        <v>21</v>
      </c>
      <c r="AO81" s="39">
        <f>G81*0.595909077800795</f>
        <v>0</v>
      </c>
      <c r="AP81" s="39">
        <f>G81*(1-0.595909077800795)</f>
        <v>0</v>
      </c>
      <c r="AQ81" s="34" t="s">
        <v>5</v>
      </c>
      <c r="AV81" s="39">
        <f>AW81+AX81</f>
        <v>0</v>
      </c>
      <c r="AW81" s="39">
        <f>F81*AO81</f>
        <v>0</v>
      </c>
      <c r="AX81" s="39">
        <f>F81*AP81</f>
        <v>0</v>
      </c>
      <c r="AY81" s="40" t="s">
        <v>1981</v>
      </c>
      <c r="AZ81" s="40" t="s">
        <v>2031</v>
      </c>
      <c r="BA81" s="30" t="s">
        <v>2045</v>
      </c>
      <c r="BC81" s="39">
        <f>AW81+AX81</f>
        <v>0</v>
      </c>
      <c r="BD81" s="39">
        <f>G81/(100-BE81)*100</f>
        <v>0</v>
      </c>
      <c r="BE81" s="39">
        <v>0</v>
      </c>
      <c r="BF81" s="39">
        <f>L81</f>
        <v>0.83352500000000007</v>
      </c>
      <c r="BH81" s="21">
        <f>F81*AO81</f>
        <v>0</v>
      </c>
      <c r="BI81" s="21">
        <f>F81*AP81</f>
        <v>0</v>
      </c>
      <c r="BJ81" s="21">
        <f>F81*G81</f>
        <v>0</v>
      </c>
    </row>
    <row r="82" spans="1:62">
      <c r="C82" s="16" t="s">
        <v>609</v>
      </c>
      <c r="D82" s="919" t="s">
        <v>1283</v>
      </c>
      <c r="E82" s="920"/>
      <c r="F82" s="920"/>
      <c r="G82" s="920"/>
      <c r="H82" s="920"/>
      <c r="I82" s="920"/>
      <c r="J82" s="920"/>
      <c r="K82" s="920"/>
      <c r="L82" s="920"/>
      <c r="M82" s="920"/>
    </row>
    <row r="83" spans="1:62">
      <c r="A83" s="5" t="s">
        <v>51</v>
      </c>
      <c r="B83" s="5"/>
      <c r="C83" s="5" t="s">
        <v>655</v>
      </c>
      <c r="D83" s="5" t="s">
        <v>1284</v>
      </c>
      <c r="E83" s="5" t="s">
        <v>1940</v>
      </c>
      <c r="F83" s="21">
        <v>2.0527500000000001</v>
      </c>
      <c r="G83" s="753">
        <v>0</v>
      </c>
      <c r="H83" s="21">
        <f>F83*AO83</f>
        <v>0</v>
      </c>
      <c r="I83" s="21">
        <f>F83*AP83</f>
        <v>0</v>
      </c>
      <c r="J83" s="21">
        <f>F83*G83</f>
        <v>0</v>
      </c>
      <c r="K83" s="21">
        <v>0.52</v>
      </c>
      <c r="L83" s="21">
        <f>F83*K83</f>
        <v>1.0674300000000001</v>
      </c>
      <c r="M83" s="34" t="s">
        <v>1961</v>
      </c>
      <c r="Z83" s="39">
        <f>IF(AQ83="5",BJ83,0)</f>
        <v>0</v>
      </c>
      <c r="AB83" s="39">
        <f>IF(AQ83="1",BH83,0)</f>
        <v>0</v>
      </c>
      <c r="AC83" s="39">
        <f>IF(AQ83="1",BI83,0)</f>
        <v>0</v>
      </c>
      <c r="AD83" s="39">
        <f>IF(AQ83="7",BH83,0)</f>
        <v>0</v>
      </c>
      <c r="AE83" s="39">
        <f>IF(AQ83="7",BI83,0)</f>
        <v>0</v>
      </c>
      <c r="AF83" s="39">
        <f>IF(AQ83="2",BH83,0)</f>
        <v>0</v>
      </c>
      <c r="AG83" s="39">
        <f>IF(AQ83="2",BI83,0)</f>
        <v>0</v>
      </c>
      <c r="AH83" s="39">
        <f>IF(AQ83="0",BJ83,0)</f>
        <v>0</v>
      </c>
      <c r="AI83" s="30"/>
      <c r="AJ83" s="21">
        <f>IF(AN83=0,J83,0)</f>
        <v>0</v>
      </c>
      <c r="AK83" s="21">
        <f>IF(AN83=15,J83,0)</f>
        <v>0</v>
      </c>
      <c r="AL83" s="21">
        <f>IF(AN83=21,J83,0)</f>
        <v>0</v>
      </c>
      <c r="AN83" s="39">
        <v>21</v>
      </c>
      <c r="AO83" s="39">
        <f>G83*0.655202333485849</f>
        <v>0</v>
      </c>
      <c r="AP83" s="39">
        <f>G83*(1-0.655202333485849)</f>
        <v>0</v>
      </c>
      <c r="AQ83" s="34" t="s">
        <v>5</v>
      </c>
      <c r="AV83" s="39">
        <f>AW83+AX83</f>
        <v>0</v>
      </c>
      <c r="AW83" s="39">
        <f>F83*AO83</f>
        <v>0</v>
      </c>
      <c r="AX83" s="39">
        <f>F83*AP83</f>
        <v>0</v>
      </c>
      <c r="AY83" s="40" t="s">
        <v>1981</v>
      </c>
      <c r="AZ83" s="40" t="s">
        <v>2031</v>
      </c>
      <c r="BA83" s="30" t="s">
        <v>2045</v>
      </c>
      <c r="BC83" s="39">
        <f>AW83+AX83</f>
        <v>0</v>
      </c>
      <c r="BD83" s="39">
        <f>G83/(100-BE83)*100</f>
        <v>0</v>
      </c>
      <c r="BE83" s="39">
        <v>0</v>
      </c>
      <c r="BF83" s="39">
        <f>L83</f>
        <v>1.0674300000000001</v>
      </c>
      <c r="BH83" s="21">
        <f>F83*AO83</f>
        <v>0</v>
      </c>
      <c r="BI83" s="21">
        <f>F83*AP83</f>
        <v>0</v>
      </c>
      <c r="BJ83" s="21">
        <f>F83*G83</f>
        <v>0</v>
      </c>
    </row>
    <row r="84" spans="1:62">
      <c r="C84" s="16" t="s">
        <v>609</v>
      </c>
      <c r="D84" s="919" t="s">
        <v>1283</v>
      </c>
      <c r="E84" s="920"/>
      <c r="F84" s="920"/>
      <c r="G84" s="920"/>
      <c r="H84" s="920"/>
      <c r="I84" s="920"/>
      <c r="J84" s="920"/>
      <c r="K84" s="920"/>
      <c r="L84" s="920"/>
      <c r="M84" s="920"/>
    </row>
    <row r="85" spans="1:62">
      <c r="A85" s="5" t="s">
        <v>52</v>
      </c>
      <c r="B85" s="5"/>
      <c r="C85" s="5" t="s">
        <v>656</v>
      </c>
      <c r="D85" s="5" t="s">
        <v>1285</v>
      </c>
      <c r="E85" s="5" t="s">
        <v>1940</v>
      </c>
      <c r="F85" s="21">
        <v>5.9862500000000001</v>
      </c>
      <c r="G85" s="753">
        <v>0</v>
      </c>
      <c r="H85" s="21">
        <f>F85*AO85</f>
        <v>0</v>
      </c>
      <c r="I85" s="21">
        <f>F85*AP85</f>
        <v>0</v>
      </c>
      <c r="J85" s="21">
        <f>F85*G85</f>
        <v>0</v>
      </c>
      <c r="K85" s="21">
        <v>0.74</v>
      </c>
      <c r="L85" s="21">
        <f>F85*K85</f>
        <v>4.4298250000000001</v>
      </c>
      <c r="M85" s="34" t="s">
        <v>1960</v>
      </c>
      <c r="Z85" s="39">
        <f>IF(AQ85="5",BJ85,0)</f>
        <v>0</v>
      </c>
      <c r="AB85" s="39">
        <f>IF(AQ85="1",BH85,0)</f>
        <v>0</v>
      </c>
      <c r="AC85" s="39">
        <f>IF(AQ85="1",BI85,0)</f>
        <v>0</v>
      </c>
      <c r="AD85" s="39">
        <f>IF(AQ85="7",BH85,0)</f>
        <v>0</v>
      </c>
      <c r="AE85" s="39">
        <f>IF(AQ85="7",BI85,0)</f>
        <v>0</v>
      </c>
      <c r="AF85" s="39">
        <f>IF(AQ85="2",BH85,0)</f>
        <v>0</v>
      </c>
      <c r="AG85" s="39">
        <f>IF(AQ85="2",BI85,0)</f>
        <v>0</v>
      </c>
      <c r="AH85" s="39">
        <f>IF(AQ85="0",BJ85,0)</f>
        <v>0</v>
      </c>
      <c r="AI85" s="30"/>
      <c r="AJ85" s="21">
        <f>IF(AN85=0,J85,0)</f>
        <v>0</v>
      </c>
      <c r="AK85" s="21">
        <f>IF(AN85=15,J85,0)</f>
        <v>0</v>
      </c>
      <c r="AL85" s="21">
        <f>IF(AN85=21,J85,0)</f>
        <v>0</v>
      </c>
      <c r="AN85" s="39">
        <v>21</v>
      </c>
      <c r="AO85" s="39">
        <f>G85*0.733293459722249</f>
        <v>0</v>
      </c>
      <c r="AP85" s="39">
        <f>G85*(1-0.733293459722249)</f>
        <v>0</v>
      </c>
      <c r="AQ85" s="34" t="s">
        <v>5</v>
      </c>
      <c r="AV85" s="39">
        <f>AW85+AX85</f>
        <v>0</v>
      </c>
      <c r="AW85" s="39">
        <f>F85*AO85</f>
        <v>0</v>
      </c>
      <c r="AX85" s="39">
        <f>F85*AP85</f>
        <v>0</v>
      </c>
      <c r="AY85" s="40" t="s">
        <v>1981</v>
      </c>
      <c r="AZ85" s="40" t="s">
        <v>2031</v>
      </c>
      <c r="BA85" s="30" t="s">
        <v>2045</v>
      </c>
      <c r="BC85" s="39">
        <f>AW85+AX85</f>
        <v>0</v>
      </c>
      <c r="BD85" s="39">
        <f>G85/(100-BE85)*100</f>
        <v>0</v>
      </c>
      <c r="BE85" s="39">
        <v>0</v>
      </c>
      <c r="BF85" s="39">
        <f>L85</f>
        <v>4.4298250000000001</v>
      </c>
      <c r="BH85" s="21">
        <f>F85*AO85</f>
        <v>0</v>
      </c>
      <c r="BI85" s="21">
        <f>F85*AP85</f>
        <v>0</v>
      </c>
      <c r="BJ85" s="21">
        <f>F85*G85</f>
        <v>0</v>
      </c>
    </row>
    <row r="86" spans="1:62">
      <c r="C86" s="16" t="s">
        <v>609</v>
      </c>
      <c r="D86" s="919" t="s">
        <v>1286</v>
      </c>
      <c r="E86" s="920"/>
      <c r="F86" s="920"/>
      <c r="G86" s="920"/>
      <c r="H86" s="920"/>
      <c r="I86" s="920"/>
      <c r="J86" s="920"/>
      <c r="K86" s="920"/>
      <c r="L86" s="920"/>
      <c r="M86" s="920"/>
    </row>
    <row r="87" spans="1:62">
      <c r="A87" s="5" t="s">
        <v>53</v>
      </c>
      <c r="B87" s="5"/>
      <c r="C87" s="5" t="s">
        <v>657</v>
      </c>
      <c r="D87" s="5" t="s">
        <v>1287</v>
      </c>
      <c r="E87" s="5" t="s">
        <v>1940</v>
      </c>
      <c r="F87" s="21">
        <v>0.72250000000000003</v>
      </c>
      <c r="G87" s="753">
        <v>0</v>
      </c>
      <c r="H87" s="21">
        <f>F87*AO87</f>
        <v>0</v>
      </c>
      <c r="I87" s="21">
        <f>F87*AP87</f>
        <v>0</v>
      </c>
      <c r="J87" s="21">
        <f>F87*G87</f>
        <v>0</v>
      </c>
      <c r="K87" s="21">
        <v>0.96299999999999997</v>
      </c>
      <c r="L87" s="21">
        <f>F87*K87</f>
        <v>0.69576749999999998</v>
      </c>
      <c r="M87" s="34" t="s">
        <v>1961</v>
      </c>
      <c r="Z87" s="39">
        <f>IF(AQ87="5",BJ87,0)</f>
        <v>0</v>
      </c>
      <c r="AB87" s="39">
        <f>IF(AQ87="1",BH87,0)</f>
        <v>0</v>
      </c>
      <c r="AC87" s="39">
        <f>IF(AQ87="1",BI87,0)</f>
        <v>0</v>
      </c>
      <c r="AD87" s="39">
        <f>IF(AQ87="7",BH87,0)</f>
        <v>0</v>
      </c>
      <c r="AE87" s="39">
        <f>IF(AQ87="7",BI87,0)</f>
        <v>0</v>
      </c>
      <c r="AF87" s="39">
        <f>IF(AQ87="2",BH87,0)</f>
        <v>0</v>
      </c>
      <c r="AG87" s="39">
        <f>IF(AQ87="2",BI87,0)</f>
        <v>0</v>
      </c>
      <c r="AH87" s="39">
        <f>IF(AQ87="0",BJ87,0)</f>
        <v>0</v>
      </c>
      <c r="AI87" s="30"/>
      <c r="AJ87" s="21">
        <f>IF(AN87=0,J87,0)</f>
        <v>0</v>
      </c>
      <c r="AK87" s="21">
        <f>IF(AN87=15,J87,0)</f>
        <v>0</v>
      </c>
      <c r="AL87" s="21">
        <f>IF(AN87=21,J87,0)</f>
        <v>0</v>
      </c>
      <c r="AN87" s="39">
        <v>21</v>
      </c>
      <c r="AO87" s="39">
        <f>G87*0.664785067873303</f>
        <v>0</v>
      </c>
      <c r="AP87" s="39">
        <f>G87*(1-0.664785067873303)</f>
        <v>0</v>
      </c>
      <c r="AQ87" s="34" t="s">
        <v>5</v>
      </c>
      <c r="AV87" s="39">
        <f>AW87+AX87</f>
        <v>0</v>
      </c>
      <c r="AW87" s="39">
        <f>F87*AO87</f>
        <v>0</v>
      </c>
      <c r="AX87" s="39">
        <f>F87*AP87</f>
        <v>0</v>
      </c>
      <c r="AY87" s="40" t="s">
        <v>1981</v>
      </c>
      <c r="AZ87" s="40" t="s">
        <v>2031</v>
      </c>
      <c r="BA87" s="30" t="s">
        <v>2045</v>
      </c>
      <c r="BC87" s="39">
        <f>AW87+AX87</f>
        <v>0</v>
      </c>
      <c r="BD87" s="39">
        <f>G87/(100-BE87)*100</f>
        <v>0</v>
      </c>
      <c r="BE87" s="39">
        <v>0</v>
      </c>
      <c r="BF87" s="39">
        <f>L87</f>
        <v>0.69576749999999998</v>
      </c>
      <c r="BH87" s="21">
        <f>F87*AO87</f>
        <v>0</v>
      </c>
      <c r="BI87" s="21">
        <f>F87*AP87</f>
        <v>0</v>
      </c>
      <c r="BJ87" s="21">
        <f>F87*G87</f>
        <v>0</v>
      </c>
    </row>
    <row r="88" spans="1:62">
      <c r="C88" s="16" t="s">
        <v>609</v>
      </c>
      <c r="D88" s="919" t="s">
        <v>1283</v>
      </c>
      <c r="E88" s="920"/>
      <c r="F88" s="920"/>
      <c r="G88" s="920"/>
      <c r="H88" s="920"/>
      <c r="I88" s="920"/>
      <c r="J88" s="920"/>
      <c r="K88" s="920"/>
      <c r="L88" s="920"/>
      <c r="M88" s="920"/>
    </row>
    <row r="89" spans="1:62">
      <c r="A89" s="5" t="s">
        <v>54</v>
      </c>
      <c r="B89" s="5"/>
      <c r="C89" s="5" t="s">
        <v>658</v>
      </c>
      <c r="D89" s="5" t="s">
        <v>1288</v>
      </c>
      <c r="E89" s="5" t="s">
        <v>1940</v>
      </c>
      <c r="F89" s="21">
        <v>12.807499999999999</v>
      </c>
      <c r="G89" s="753">
        <v>0</v>
      </c>
      <c r="H89" s="21">
        <f>F89*AO89</f>
        <v>0</v>
      </c>
      <c r="I89" s="21">
        <f>F89*AP89</f>
        <v>0</v>
      </c>
      <c r="J89" s="21">
        <f>F89*G89</f>
        <v>0</v>
      </c>
      <c r="K89" s="21">
        <v>1.175</v>
      </c>
      <c r="L89" s="21">
        <f>F89*K89</f>
        <v>15.0488125</v>
      </c>
      <c r="M89" s="34" t="s">
        <v>1961</v>
      </c>
      <c r="Z89" s="39">
        <f>IF(AQ89="5",BJ89,0)</f>
        <v>0</v>
      </c>
      <c r="AB89" s="39">
        <f>IF(AQ89="1",BH89,0)</f>
        <v>0</v>
      </c>
      <c r="AC89" s="39">
        <f>IF(AQ89="1",BI89,0)</f>
        <v>0</v>
      </c>
      <c r="AD89" s="39">
        <f>IF(AQ89="7",BH89,0)</f>
        <v>0</v>
      </c>
      <c r="AE89" s="39">
        <f>IF(AQ89="7",BI89,0)</f>
        <v>0</v>
      </c>
      <c r="AF89" s="39">
        <f>IF(AQ89="2",BH89,0)</f>
        <v>0</v>
      </c>
      <c r="AG89" s="39">
        <f>IF(AQ89="2",BI89,0)</f>
        <v>0</v>
      </c>
      <c r="AH89" s="39">
        <f>IF(AQ89="0",BJ89,0)</f>
        <v>0</v>
      </c>
      <c r="AI89" s="30"/>
      <c r="AJ89" s="21">
        <f>IF(AN89=0,J89,0)</f>
        <v>0</v>
      </c>
      <c r="AK89" s="21">
        <f>IF(AN89=15,J89,0)</f>
        <v>0</v>
      </c>
      <c r="AL89" s="21">
        <f>IF(AN89=21,J89,0)</f>
        <v>0</v>
      </c>
      <c r="AN89" s="39">
        <v>21</v>
      </c>
      <c r="AO89" s="39">
        <f>G89*0.733293501406653</f>
        <v>0</v>
      </c>
      <c r="AP89" s="39">
        <f>G89*(1-0.733293501406653)</f>
        <v>0</v>
      </c>
      <c r="AQ89" s="34" t="s">
        <v>5</v>
      </c>
      <c r="AV89" s="39">
        <f>AW89+AX89</f>
        <v>0</v>
      </c>
      <c r="AW89" s="39">
        <f>F89*AO89</f>
        <v>0</v>
      </c>
      <c r="AX89" s="39">
        <f>F89*AP89</f>
        <v>0</v>
      </c>
      <c r="AY89" s="40" t="s">
        <v>1981</v>
      </c>
      <c r="AZ89" s="40" t="s">
        <v>2031</v>
      </c>
      <c r="BA89" s="30" t="s">
        <v>2045</v>
      </c>
      <c r="BC89" s="39">
        <f>AW89+AX89</f>
        <v>0</v>
      </c>
      <c r="BD89" s="39">
        <f>G89/(100-BE89)*100</f>
        <v>0</v>
      </c>
      <c r="BE89" s="39">
        <v>0</v>
      </c>
      <c r="BF89" s="39">
        <f>L89</f>
        <v>15.0488125</v>
      </c>
      <c r="BH89" s="21">
        <f>F89*AO89</f>
        <v>0</v>
      </c>
      <c r="BI89" s="21">
        <f>F89*AP89</f>
        <v>0</v>
      </c>
      <c r="BJ89" s="21">
        <f>F89*G89</f>
        <v>0</v>
      </c>
    </row>
    <row r="90" spans="1:62">
      <c r="C90" s="16" t="s">
        <v>609</v>
      </c>
      <c r="D90" s="919" t="s">
        <v>1283</v>
      </c>
      <c r="E90" s="920"/>
      <c r="F90" s="920"/>
      <c r="G90" s="920"/>
      <c r="H90" s="920"/>
      <c r="I90" s="920"/>
      <c r="J90" s="920"/>
      <c r="K90" s="920"/>
      <c r="L90" s="920"/>
      <c r="M90" s="920"/>
    </row>
    <row r="91" spans="1:62">
      <c r="A91" s="4"/>
      <c r="B91" s="14"/>
      <c r="C91" s="14" t="s">
        <v>32</v>
      </c>
      <c r="D91" s="14" t="s">
        <v>1289</v>
      </c>
      <c r="E91" s="4" t="s">
        <v>4</v>
      </c>
      <c r="F91" s="4" t="s">
        <v>4</v>
      </c>
      <c r="G91" s="4" t="s">
        <v>4</v>
      </c>
      <c r="H91" s="42">
        <f>SUM(H92:H94)</f>
        <v>0</v>
      </c>
      <c r="I91" s="42">
        <f>SUM(I92:I94)</f>
        <v>0</v>
      </c>
      <c r="J91" s="42">
        <f>SUM(J92:J94)</f>
        <v>0</v>
      </c>
      <c r="K91" s="30"/>
      <c r="L91" s="42">
        <f>SUM(L92:L94)</f>
        <v>7.0199999999999999E-2</v>
      </c>
      <c r="M91" s="30"/>
      <c r="AI91" s="30"/>
      <c r="AS91" s="42">
        <f>SUM(AJ92:AJ94)</f>
        <v>0</v>
      </c>
      <c r="AT91" s="42">
        <f>SUM(AK92:AK94)</f>
        <v>0</v>
      </c>
      <c r="AU91" s="42">
        <f>SUM(AL92:AL94)</f>
        <v>0</v>
      </c>
    </row>
    <row r="92" spans="1:62">
      <c r="A92" s="5" t="s">
        <v>55</v>
      </c>
      <c r="B92" s="5"/>
      <c r="C92" s="5" t="s">
        <v>659</v>
      </c>
      <c r="D92" s="5" t="s">
        <v>1290</v>
      </c>
      <c r="E92" s="5" t="s">
        <v>1940</v>
      </c>
      <c r="F92" s="21">
        <v>140</v>
      </c>
      <c r="G92" s="753">
        <v>0</v>
      </c>
      <c r="H92" s="21">
        <f>F92*AO92</f>
        <v>0</v>
      </c>
      <c r="I92" s="21">
        <f>F92*AP92</f>
        <v>0</v>
      </c>
      <c r="J92" s="21">
        <f>F92*G92</f>
        <v>0</v>
      </c>
      <c r="K92" s="21">
        <v>3.0000000000000001E-5</v>
      </c>
      <c r="L92" s="21">
        <f>F92*K92</f>
        <v>4.1999999999999997E-3</v>
      </c>
      <c r="M92" s="34" t="s">
        <v>1961</v>
      </c>
      <c r="Z92" s="39">
        <f>IF(AQ92="5",BJ92,0)</f>
        <v>0</v>
      </c>
      <c r="AB92" s="39">
        <f>IF(AQ92="1",BH92,0)</f>
        <v>0</v>
      </c>
      <c r="AC92" s="39">
        <f>IF(AQ92="1",BI92,0)</f>
        <v>0</v>
      </c>
      <c r="AD92" s="39">
        <f>IF(AQ92="7",BH92,0)</f>
        <v>0</v>
      </c>
      <c r="AE92" s="39">
        <f>IF(AQ92="7",BI92,0)</f>
        <v>0</v>
      </c>
      <c r="AF92" s="39">
        <f>IF(AQ92="2",BH92,0)</f>
        <v>0</v>
      </c>
      <c r="AG92" s="39">
        <f>IF(AQ92="2",BI92,0)</f>
        <v>0</v>
      </c>
      <c r="AH92" s="39">
        <f>IF(AQ92="0",BJ92,0)</f>
        <v>0</v>
      </c>
      <c r="AI92" s="30"/>
      <c r="AJ92" s="21">
        <f>IF(AN92=0,J92,0)</f>
        <v>0</v>
      </c>
      <c r="AK92" s="21">
        <f>IF(AN92=15,J92,0)</f>
        <v>0</v>
      </c>
      <c r="AL92" s="21">
        <f>IF(AN92=21,J92,0)</f>
        <v>0</v>
      </c>
      <c r="AN92" s="39">
        <v>21</v>
      </c>
      <c r="AO92" s="39">
        <f>G92*0.0202072538860104</f>
        <v>0</v>
      </c>
      <c r="AP92" s="39">
        <f>G92*(1-0.0202072538860104)</f>
        <v>0</v>
      </c>
      <c r="AQ92" s="34" t="s">
        <v>5</v>
      </c>
      <c r="AV92" s="39">
        <f>AW92+AX92</f>
        <v>0</v>
      </c>
      <c r="AW92" s="39">
        <f>F92*AO92</f>
        <v>0</v>
      </c>
      <c r="AX92" s="39">
        <f>F92*AP92</f>
        <v>0</v>
      </c>
      <c r="AY92" s="40" t="s">
        <v>1982</v>
      </c>
      <c r="AZ92" s="40" t="s">
        <v>2031</v>
      </c>
      <c r="BA92" s="30" t="s">
        <v>2045</v>
      </c>
      <c r="BC92" s="39">
        <f>AW92+AX92</f>
        <v>0</v>
      </c>
      <c r="BD92" s="39">
        <f>G92/(100-BE92)*100</f>
        <v>0</v>
      </c>
      <c r="BE92" s="39">
        <v>0</v>
      </c>
      <c r="BF92" s="39">
        <f>L92</f>
        <v>4.1999999999999997E-3</v>
      </c>
      <c r="BH92" s="21">
        <f>F92*AO92</f>
        <v>0</v>
      </c>
      <c r="BI92" s="21">
        <f>F92*AP92</f>
        <v>0</v>
      </c>
      <c r="BJ92" s="21">
        <f>F92*G92</f>
        <v>0</v>
      </c>
    </row>
    <row r="93" spans="1:62">
      <c r="A93" s="6" t="s">
        <v>56</v>
      </c>
      <c r="B93" s="6"/>
      <c r="C93" s="6" t="s">
        <v>660</v>
      </c>
      <c r="D93" s="6" t="s">
        <v>1291</v>
      </c>
      <c r="E93" s="6" t="s">
        <v>1940</v>
      </c>
      <c r="F93" s="22">
        <v>99</v>
      </c>
      <c r="G93" s="754">
        <v>0</v>
      </c>
      <c r="H93" s="22">
        <f>F93*AO93</f>
        <v>0</v>
      </c>
      <c r="I93" s="22">
        <f>F93*AP93</f>
        <v>0</v>
      </c>
      <c r="J93" s="22">
        <f>F93*G93</f>
        <v>0</v>
      </c>
      <c r="K93" s="22">
        <v>5.0000000000000001E-4</v>
      </c>
      <c r="L93" s="22">
        <f>F93*K93</f>
        <v>4.9500000000000002E-2</v>
      </c>
      <c r="M93" s="35" t="s">
        <v>1961</v>
      </c>
      <c r="Z93" s="39">
        <f>IF(AQ93="5",BJ93,0)</f>
        <v>0</v>
      </c>
      <c r="AB93" s="39">
        <f>IF(AQ93="1",BH93,0)</f>
        <v>0</v>
      </c>
      <c r="AC93" s="39">
        <f>IF(AQ93="1",BI93,0)</f>
        <v>0</v>
      </c>
      <c r="AD93" s="39">
        <f>IF(AQ93="7",BH93,0)</f>
        <v>0</v>
      </c>
      <c r="AE93" s="39">
        <f>IF(AQ93="7",BI93,0)</f>
        <v>0</v>
      </c>
      <c r="AF93" s="39">
        <f>IF(AQ93="2",BH93,0)</f>
        <v>0</v>
      </c>
      <c r="AG93" s="39">
        <f>IF(AQ93="2",BI93,0)</f>
        <v>0</v>
      </c>
      <c r="AH93" s="39">
        <f>IF(AQ93="0",BJ93,0)</f>
        <v>0</v>
      </c>
      <c r="AI93" s="30"/>
      <c r="AJ93" s="22">
        <f>IF(AN93=0,J93,0)</f>
        <v>0</v>
      </c>
      <c r="AK93" s="22">
        <f>IF(AN93=15,J93,0)</f>
        <v>0</v>
      </c>
      <c r="AL93" s="22">
        <f>IF(AN93=21,J93,0)</f>
        <v>0</v>
      </c>
      <c r="AN93" s="39">
        <v>21</v>
      </c>
      <c r="AO93" s="39">
        <f>G93*1</f>
        <v>0</v>
      </c>
      <c r="AP93" s="39">
        <f>G93*(1-1)</f>
        <v>0</v>
      </c>
      <c r="AQ93" s="35" t="s">
        <v>5</v>
      </c>
      <c r="AV93" s="39">
        <f>AW93+AX93</f>
        <v>0</v>
      </c>
      <c r="AW93" s="39">
        <f>F93*AO93</f>
        <v>0</v>
      </c>
      <c r="AX93" s="39">
        <f>F93*AP93</f>
        <v>0</v>
      </c>
      <c r="AY93" s="40" t="s">
        <v>1982</v>
      </c>
      <c r="AZ93" s="40" t="s">
        <v>2031</v>
      </c>
      <c r="BA93" s="30" t="s">
        <v>2045</v>
      </c>
      <c r="BC93" s="39">
        <f>AW93+AX93</f>
        <v>0</v>
      </c>
      <c r="BD93" s="39">
        <f>G93/(100-BE93)*100</f>
        <v>0</v>
      </c>
      <c r="BE93" s="39">
        <v>0</v>
      </c>
      <c r="BF93" s="39">
        <f>L93</f>
        <v>4.9500000000000002E-2</v>
      </c>
      <c r="BH93" s="22">
        <f>F93*AO93</f>
        <v>0</v>
      </c>
      <c r="BI93" s="22">
        <f>F93*AP93</f>
        <v>0</v>
      </c>
      <c r="BJ93" s="22">
        <f>F93*G93</f>
        <v>0</v>
      </c>
    </row>
    <row r="94" spans="1:62">
      <c r="A94" s="6" t="s">
        <v>57</v>
      </c>
      <c r="B94" s="6"/>
      <c r="C94" s="6" t="s">
        <v>661</v>
      </c>
      <c r="D94" s="6" t="s">
        <v>1292</v>
      </c>
      <c r="E94" s="6" t="s">
        <v>1940</v>
      </c>
      <c r="F94" s="22">
        <v>55</v>
      </c>
      <c r="G94" s="754">
        <v>0</v>
      </c>
      <c r="H94" s="22">
        <f>F94*AO94</f>
        <v>0</v>
      </c>
      <c r="I94" s="22">
        <f>F94*AP94</f>
        <v>0</v>
      </c>
      <c r="J94" s="22">
        <f>F94*G94</f>
        <v>0</v>
      </c>
      <c r="K94" s="22">
        <v>2.9999999999999997E-4</v>
      </c>
      <c r="L94" s="22">
        <f>F94*K94</f>
        <v>1.6499999999999997E-2</v>
      </c>
      <c r="M94" s="35" t="s">
        <v>1961</v>
      </c>
      <c r="Z94" s="39">
        <f>IF(AQ94="5",BJ94,0)</f>
        <v>0</v>
      </c>
      <c r="AB94" s="39">
        <f>IF(AQ94="1",BH94,0)</f>
        <v>0</v>
      </c>
      <c r="AC94" s="39">
        <f>IF(AQ94="1",BI94,0)</f>
        <v>0</v>
      </c>
      <c r="AD94" s="39">
        <f>IF(AQ94="7",BH94,0)</f>
        <v>0</v>
      </c>
      <c r="AE94" s="39">
        <f>IF(AQ94="7",BI94,0)</f>
        <v>0</v>
      </c>
      <c r="AF94" s="39">
        <f>IF(AQ94="2",BH94,0)</f>
        <v>0</v>
      </c>
      <c r="AG94" s="39">
        <f>IF(AQ94="2",BI94,0)</f>
        <v>0</v>
      </c>
      <c r="AH94" s="39">
        <f>IF(AQ94="0",BJ94,0)</f>
        <v>0</v>
      </c>
      <c r="AI94" s="30"/>
      <c r="AJ94" s="22">
        <f>IF(AN94=0,J94,0)</f>
        <v>0</v>
      </c>
      <c r="AK94" s="22">
        <f>IF(AN94=15,J94,0)</f>
        <v>0</v>
      </c>
      <c r="AL94" s="22">
        <f>IF(AN94=21,J94,0)</f>
        <v>0</v>
      </c>
      <c r="AN94" s="39">
        <v>21</v>
      </c>
      <c r="AO94" s="39">
        <f>G94*1</f>
        <v>0</v>
      </c>
      <c r="AP94" s="39">
        <f>G94*(1-1)</f>
        <v>0</v>
      </c>
      <c r="AQ94" s="35" t="s">
        <v>5</v>
      </c>
      <c r="AV94" s="39">
        <f>AW94+AX94</f>
        <v>0</v>
      </c>
      <c r="AW94" s="39">
        <f>F94*AO94</f>
        <v>0</v>
      </c>
      <c r="AX94" s="39">
        <f>F94*AP94</f>
        <v>0</v>
      </c>
      <c r="AY94" s="40" t="s">
        <v>1982</v>
      </c>
      <c r="AZ94" s="40" t="s">
        <v>2031</v>
      </c>
      <c r="BA94" s="30" t="s">
        <v>2045</v>
      </c>
      <c r="BC94" s="39">
        <f>AW94+AX94</f>
        <v>0</v>
      </c>
      <c r="BD94" s="39">
        <f>G94/(100-BE94)*100</f>
        <v>0</v>
      </c>
      <c r="BE94" s="39">
        <v>0</v>
      </c>
      <c r="BF94" s="39">
        <f>L94</f>
        <v>1.6499999999999997E-2</v>
      </c>
      <c r="BH94" s="22">
        <f>F94*AO94</f>
        <v>0</v>
      </c>
      <c r="BI94" s="22">
        <f>F94*AP94</f>
        <v>0</v>
      </c>
      <c r="BJ94" s="22">
        <f>F94*G94</f>
        <v>0</v>
      </c>
    </row>
    <row r="95" spans="1:62">
      <c r="A95" s="4"/>
      <c r="B95" s="14"/>
      <c r="C95" s="14" t="s">
        <v>35</v>
      </c>
      <c r="D95" s="14" t="s">
        <v>1293</v>
      </c>
      <c r="E95" s="4" t="s">
        <v>4</v>
      </c>
      <c r="F95" s="4" t="s">
        <v>4</v>
      </c>
      <c r="G95" s="4"/>
      <c r="H95" s="42">
        <f>SUM(H96:H130)</f>
        <v>0</v>
      </c>
      <c r="I95" s="42">
        <f>SUM(I96:I130)</f>
        <v>0</v>
      </c>
      <c r="J95" s="42">
        <f>SUM(J96:J130)</f>
        <v>0</v>
      </c>
      <c r="K95" s="30"/>
      <c r="L95" s="42">
        <f>SUM(L96:L130)</f>
        <v>893.74538371909989</v>
      </c>
      <c r="M95" s="30"/>
      <c r="AI95" s="30"/>
      <c r="AS95" s="42">
        <f>SUM(AJ96:AJ130)</f>
        <v>0</v>
      </c>
      <c r="AT95" s="42">
        <f>SUM(AK96:AK130)</f>
        <v>0</v>
      </c>
      <c r="AU95" s="42">
        <f>SUM(AL96:AL130)</f>
        <v>0</v>
      </c>
    </row>
    <row r="96" spans="1:62">
      <c r="A96" s="5" t="s">
        <v>58</v>
      </c>
      <c r="B96" s="5"/>
      <c r="C96" s="5" t="s">
        <v>662</v>
      </c>
      <c r="D96" s="5" t="s">
        <v>1294</v>
      </c>
      <c r="E96" s="5" t="s">
        <v>1942</v>
      </c>
      <c r="F96" s="21">
        <v>28.9514</v>
      </c>
      <c r="G96" s="753">
        <v>0</v>
      </c>
      <c r="H96" s="21">
        <f t="shared" ref="H96:H104" si="24">F96*AO96</f>
        <v>0</v>
      </c>
      <c r="I96" s="21">
        <f t="shared" ref="I96:I104" si="25">F96*AP96</f>
        <v>0</v>
      </c>
      <c r="J96" s="21">
        <f t="shared" ref="J96:J104" si="26">F96*G96</f>
        <v>0</v>
      </c>
      <c r="K96" s="21">
        <v>1.0202899999999999</v>
      </c>
      <c r="L96" s="21">
        <f t="shared" ref="L96:L104" si="27">F96*K96</f>
        <v>29.538823905999998</v>
      </c>
      <c r="M96" s="34" t="s">
        <v>1961</v>
      </c>
      <c r="Z96" s="39">
        <f t="shared" ref="Z96:Z104" si="28">IF(AQ96="5",BJ96,0)</f>
        <v>0</v>
      </c>
      <c r="AB96" s="39">
        <f t="shared" ref="AB96:AB104" si="29">IF(AQ96="1",BH96,0)</f>
        <v>0</v>
      </c>
      <c r="AC96" s="39">
        <f t="shared" ref="AC96:AC104" si="30">IF(AQ96="1",BI96,0)</f>
        <v>0</v>
      </c>
      <c r="AD96" s="39">
        <f t="shared" ref="AD96:AD104" si="31">IF(AQ96="7",BH96,0)</f>
        <v>0</v>
      </c>
      <c r="AE96" s="39">
        <f t="shared" ref="AE96:AE104" si="32">IF(AQ96="7",BI96,0)</f>
        <v>0</v>
      </c>
      <c r="AF96" s="39">
        <f t="shared" ref="AF96:AF104" si="33">IF(AQ96="2",BH96,0)</f>
        <v>0</v>
      </c>
      <c r="AG96" s="39">
        <f t="shared" ref="AG96:AG104" si="34">IF(AQ96="2",BI96,0)</f>
        <v>0</v>
      </c>
      <c r="AH96" s="39">
        <f t="shared" ref="AH96:AH104" si="35">IF(AQ96="0",BJ96,0)</f>
        <v>0</v>
      </c>
      <c r="AI96" s="30"/>
      <c r="AJ96" s="21">
        <f t="shared" ref="AJ96:AJ104" si="36">IF(AN96=0,J96,0)</f>
        <v>0</v>
      </c>
      <c r="AK96" s="21">
        <f t="shared" ref="AK96:AK104" si="37">IF(AN96=15,J96,0)</f>
        <v>0</v>
      </c>
      <c r="AL96" s="21">
        <f t="shared" ref="AL96:AL104" si="38">IF(AN96=21,J96,0)</f>
        <v>0</v>
      </c>
      <c r="AN96" s="39">
        <v>21</v>
      </c>
      <c r="AO96" s="39">
        <f>G96*0.655086932710717</f>
        <v>0</v>
      </c>
      <c r="AP96" s="39">
        <f>G96*(1-0.655086932710717)</f>
        <v>0</v>
      </c>
      <c r="AQ96" s="34" t="s">
        <v>5</v>
      </c>
      <c r="AV96" s="39">
        <f t="shared" ref="AV96:AV104" si="39">AW96+AX96</f>
        <v>0</v>
      </c>
      <c r="AW96" s="39">
        <f t="shared" ref="AW96:AW104" si="40">F96*AO96</f>
        <v>0</v>
      </c>
      <c r="AX96" s="39">
        <f t="shared" ref="AX96:AX104" si="41">F96*AP96</f>
        <v>0</v>
      </c>
      <c r="AY96" s="40" t="s">
        <v>1983</v>
      </c>
      <c r="AZ96" s="40" t="s">
        <v>2032</v>
      </c>
      <c r="BA96" s="30" t="s">
        <v>2045</v>
      </c>
      <c r="BC96" s="39">
        <f t="shared" ref="BC96:BC104" si="42">AW96+AX96</f>
        <v>0</v>
      </c>
      <c r="BD96" s="39">
        <f t="shared" ref="BD96:BD104" si="43">G96/(100-BE96)*100</f>
        <v>0</v>
      </c>
      <c r="BE96" s="39">
        <v>0</v>
      </c>
      <c r="BF96" s="39">
        <f t="shared" ref="BF96:BF104" si="44">L96</f>
        <v>29.538823905999998</v>
      </c>
      <c r="BH96" s="21">
        <f t="shared" ref="BH96:BH104" si="45">F96*AO96</f>
        <v>0</v>
      </c>
      <c r="BI96" s="21">
        <f t="shared" ref="BI96:BI104" si="46">F96*AP96</f>
        <v>0</v>
      </c>
      <c r="BJ96" s="21">
        <f t="shared" ref="BJ96:BJ104" si="47">F96*G96</f>
        <v>0</v>
      </c>
    </row>
    <row r="97" spans="1:62">
      <c r="A97" s="5" t="s">
        <v>59</v>
      </c>
      <c r="B97" s="5"/>
      <c r="C97" s="5" t="s">
        <v>663</v>
      </c>
      <c r="D97" s="5" t="s">
        <v>1295</v>
      </c>
      <c r="E97" s="5" t="s">
        <v>1940</v>
      </c>
      <c r="F97" s="21">
        <v>136.41249999999999</v>
      </c>
      <c r="G97" s="753">
        <v>0</v>
      </c>
      <c r="H97" s="21">
        <f t="shared" si="24"/>
        <v>0</v>
      </c>
      <c r="I97" s="21">
        <f t="shared" si="25"/>
        <v>0</v>
      </c>
      <c r="J97" s="21">
        <f t="shared" si="26"/>
        <v>0</v>
      </c>
      <c r="K97" s="21">
        <v>0.34808</v>
      </c>
      <c r="L97" s="21">
        <f t="shared" si="27"/>
        <v>47.482462999999996</v>
      </c>
      <c r="M97" s="34" t="s">
        <v>1961</v>
      </c>
      <c r="Z97" s="39">
        <f t="shared" si="28"/>
        <v>0</v>
      </c>
      <c r="AB97" s="39">
        <f t="shared" si="29"/>
        <v>0</v>
      </c>
      <c r="AC97" s="39">
        <f t="shared" si="30"/>
        <v>0</v>
      </c>
      <c r="AD97" s="39">
        <f t="shared" si="31"/>
        <v>0</v>
      </c>
      <c r="AE97" s="39">
        <f t="shared" si="32"/>
        <v>0</v>
      </c>
      <c r="AF97" s="39">
        <f t="shared" si="33"/>
        <v>0</v>
      </c>
      <c r="AG97" s="39">
        <f t="shared" si="34"/>
        <v>0</v>
      </c>
      <c r="AH97" s="39">
        <f t="shared" si="35"/>
        <v>0</v>
      </c>
      <c r="AI97" s="30"/>
      <c r="AJ97" s="21">
        <f t="shared" si="36"/>
        <v>0</v>
      </c>
      <c r="AK97" s="21">
        <f t="shared" si="37"/>
        <v>0</v>
      </c>
      <c r="AL97" s="21">
        <f t="shared" si="38"/>
        <v>0</v>
      </c>
      <c r="AN97" s="39">
        <v>21</v>
      </c>
      <c r="AO97" s="39">
        <f>G97*0.828775653848838</f>
        <v>0</v>
      </c>
      <c r="AP97" s="39">
        <f>G97*(1-0.828775653848838)</f>
        <v>0</v>
      </c>
      <c r="AQ97" s="34" t="s">
        <v>5</v>
      </c>
      <c r="AV97" s="39">
        <f t="shared" si="39"/>
        <v>0</v>
      </c>
      <c r="AW97" s="39">
        <f t="shared" si="40"/>
        <v>0</v>
      </c>
      <c r="AX97" s="39">
        <f t="shared" si="41"/>
        <v>0</v>
      </c>
      <c r="AY97" s="40" t="s">
        <v>1983</v>
      </c>
      <c r="AZ97" s="40" t="s">
        <v>2032</v>
      </c>
      <c r="BA97" s="30" t="s">
        <v>2045</v>
      </c>
      <c r="BC97" s="39">
        <f t="shared" si="42"/>
        <v>0</v>
      </c>
      <c r="BD97" s="39">
        <f t="shared" si="43"/>
        <v>0</v>
      </c>
      <c r="BE97" s="39">
        <v>0</v>
      </c>
      <c r="BF97" s="39">
        <f t="shared" si="44"/>
        <v>47.482462999999996</v>
      </c>
      <c r="BH97" s="21">
        <f t="shared" si="45"/>
        <v>0</v>
      </c>
      <c r="BI97" s="21">
        <f t="shared" si="46"/>
        <v>0</v>
      </c>
      <c r="BJ97" s="21">
        <f t="shared" si="47"/>
        <v>0</v>
      </c>
    </row>
    <row r="98" spans="1:62">
      <c r="A98" s="5" t="s">
        <v>60</v>
      </c>
      <c r="B98" s="5"/>
      <c r="C98" s="5" t="s">
        <v>664</v>
      </c>
      <c r="D98" s="5" t="s">
        <v>5822</v>
      </c>
      <c r="E98" s="5" t="s">
        <v>1940</v>
      </c>
      <c r="F98" s="21">
        <v>85.578999999999994</v>
      </c>
      <c r="G98" s="753">
        <v>0</v>
      </c>
      <c r="H98" s="21">
        <f t="shared" si="24"/>
        <v>0</v>
      </c>
      <c r="I98" s="21">
        <f t="shared" si="25"/>
        <v>0</v>
      </c>
      <c r="J98" s="21">
        <f t="shared" si="26"/>
        <v>0</v>
      </c>
      <c r="K98" s="21">
        <v>0.27412999999999998</v>
      </c>
      <c r="L98" s="21">
        <f t="shared" si="27"/>
        <v>23.459771269999997</v>
      </c>
      <c r="M98" s="34" t="s">
        <v>1961</v>
      </c>
      <c r="Z98" s="39">
        <f t="shared" si="28"/>
        <v>0</v>
      </c>
      <c r="AB98" s="39">
        <f t="shared" si="29"/>
        <v>0</v>
      </c>
      <c r="AC98" s="39">
        <f t="shared" si="30"/>
        <v>0</v>
      </c>
      <c r="AD98" s="39">
        <f t="shared" si="31"/>
        <v>0</v>
      </c>
      <c r="AE98" s="39">
        <f t="shared" si="32"/>
        <v>0</v>
      </c>
      <c r="AF98" s="39">
        <f t="shared" si="33"/>
        <v>0</v>
      </c>
      <c r="AG98" s="39">
        <f t="shared" si="34"/>
        <v>0</v>
      </c>
      <c r="AH98" s="39">
        <f t="shared" si="35"/>
        <v>0</v>
      </c>
      <c r="AI98" s="30"/>
      <c r="AJ98" s="21">
        <f t="shared" si="36"/>
        <v>0</v>
      </c>
      <c r="AK98" s="21">
        <f t="shared" si="37"/>
        <v>0</v>
      </c>
      <c r="AL98" s="21">
        <f t="shared" si="38"/>
        <v>0</v>
      </c>
      <c r="AN98" s="39">
        <v>21</v>
      </c>
      <c r="AO98" s="39">
        <f>G98*0.746077847196033</f>
        <v>0</v>
      </c>
      <c r="AP98" s="39">
        <f>G98*(1-0.746077847196033)</f>
        <v>0</v>
      </c>
      <c r="AQ98" s="34" t="s">
        <v>5</v>
      </c>
      <c r="AV98" s="39">
        <f t="shared" si="39"/>
        <v>0</v>
      </c>
      <c r="AW98" s="39">
        <f t="shared" si="40"/>
        <v>0</v>
      </c>
      <c r="AX98" s="39">
        <f t="shared" si="41"/>
        <v>0</v>
      </c>
      <c r="AY98" s="40" t="s">
        <v>1983</v>
      </c>
      <c r="AZ98" s="40" t="s">
        <v>2032</v>
      </c>
      <c r="BA98" s="30" t="s">
        <v>2045</v>
      </c>
      <c r="BC98" s="39">
        <f t="shared" si="42"/>
        <v>0</v>
      </c>
      <c r="BD98" s="39">
        <f t="shared" si="43"/>
        <v>0</v>
      </c>
      <c r="BE98" s="39">
        <v>0</v>
      </c>
      <c r="BF98" s="39">
        <f t="shared" si="44"/>
        <v>23.459771269999997</v>
      </c>
      <c r="BH98" s="21">
        <f t="shared" si="45"/>
        <v>0</v>
      </c>
      <c r="BI98" s="21">
        <f t="shared" si="46"/>
        <v>0</v>
      </c>
      <c r="BJ98" s="21">
        <f t="shared" si="47"/>
        <v>0</v>
      </c>
    </row>
    <row r="99" spans="1:62">
      <c r="A99" s="5" t="s">
        <v>61</v>
      </c>
      <c r="B99" s="5"/>
      <c r="C99" s="5" t="s">
        <v>665</v>
      </c>
      <c r="D99" s="5" t="s">
        <v>1296</v>
      </c>
      <c r="E99" s="5" t="s">
        <v>1941</v>
      </c>
      <c r="F99" s="21">
        <v>194.27939000000001</v>
      </c>
      <c r="G99" s="753">
        <v>0</v>
      </c>
      <c r="H99" s="21">
        <f t="shared" si="24"/>
        <v>0</v>
      </c>
      <c r="I99" s="21">
        <f t="shared" si="25"/>
        <v>0</v>
      </c>
      <c r="J99" s="21">
        <f t="shared" si="26"/>
        <v>0</v>
      </c>
      <c r="K99" s="21">
        <v>2.5249999999999999</v>
      </c>
      <c r="L99" s="21">
        <f t="shared" si="27"/>
        <v>490.55545975000001</v>
      </c>
      <c r="M99" s="34" t="s">
        <v>1961</v>
      </c>
      <c r="Z99" s="39">
        <f t="shared" si="28"/>
        <v>0</v>
      </c>
      <c r="AB99" s="39">
        <f t="shared" si="29"/>
        <v>0</v>
      </c>
      <c r="AC99" s="39">
        <f t="shared" si="30"/>
        <v>0</v>
      </c>
      <c r="AD99" s="39">
        <f t="shared" si="31"/>
        <v>0</v>
      </c>
      <c r="AE99" s="39">
        <f t="shared" si="32"/>
        <v>0</v>
      </c>
      <c r="AF99" s="39">
        <f t="shared" si="33"/>
        <v>0</v>
      </c>
      <c r="AG99" s="39">
        <f t="shared" si="34"/>
        <v>0</v>
      </c>
      <c r="AH99" s="39">
        <f t="shared" si="35"/>
        <v>0</v>
      </c>
      <c r="AI99" s="30"/>
      <c r="AJ99" s="21">
        <f t="shared" si="36"/>
        <v>0</v>
      </c>
      <c r="AK99" s="21">
        <f t="shared" si="37"/>
        <v>0</v>
      </c>
      <c r="AL99" s="21">
        <f t="shared" si="38"/>
        <v>0</v>
      </c>
      <c r="AN99" s="39">
        <v>21</v>
      </c>
      <c r="AO99" s="39">
        <f>G99*0.888959306765889</f>
        <v>0</v>
      </c>
      <c r="AP99" s="39">
        <f>G99*(1-0.888959306765889)</f>
        <v>0</v>
      </c>
      <c r="AQ99" s="34" t="s">
        <v>5</v>
      </c>
      <c r="AV99" s="39">
        <f t="shared" si="39"/>
        <v>0</v>
      </c>
      <c r="AW99" s="39">
        <f t="shared" si="40"/>
        <v>0</v>
      </c>
      <c r="AX99" s="39">
        <f t="shared" si="41"/>
        <v>0</v>
      </c>
      <c r="AY99" s="40" t="s">
        <v>1983</v>
      </c>
      <c r="AZ99" s="40" t="s">
        <v>2032</v>
      </c>
      <c r="BA99" s="30" t="s">
        <v>2045</v>
      </c>
      <c r="BC99" s="39">
        <f t="shared" si="42"/>
        <v>0</v>
      </c>
      <c r="BD99" s="39">
        <f t="shared" si="43"/>
        <v>0</v>
      </c>
      <c r="BE99" s="39">
        <v>0</v>
      </c>
      <c r="BF99" s="39">
        <f t="shared" si="44"/>
        <v>490.55545975000001</v>
      </c>
      <c r="BH99" s="21">
        <f t="shared" si="45"/>
        <v>0</v>
      </c>
      <c r="BI99" s="21">
        <f t="shared" si="46"/>
        <v>0</v>
      </c>
      <c r="BJ99" s="21">
        <f t="shared" si="47"/>
        <v>0</v>
      </c>
    </row>
    <row r="100" spans="1:62">
      <c r="A100" s="5" t="s">
        <v>62</v>
      </c>
      <c r="B100" s="5"/>
      <c r="C100" s="5" t="s">
        <v>666</v>
      </c>
      <c r="D100" s="5" t="s">
        <v>1297</v>
      </c>
      <c r="E100" s="5" t="s">
        <v>1941</v>
      </c>
      <c r="F100" s="21">
        <v>83.767470000000003</v>
      </c>
      <c r="G100" s="753">
        <v>0</v>
      </c>
      <c r="H100" s="21">
        <f t="shared" si="24"/>
        <v>0</v>
      </c>
      <c r="I100" s="21">
        <f t="shared" si="25"/>
        <v>0</v>
      </c>
      <c r="J100" s="21">
        <f t="shared" si="26"/>
        <v>0</v>
      </c>
      <c r="K100" s="21">
        <v>2.5276700000000001</v>
      </c>
      <c r="L100" s="21">
        <f t="shared" si="27"/>
        <v>211.73652089490002</v>
      </c>
      <c r="M100" s="34" t="s">
        <v>1961</v>
      </c>
      <c r="Z100" s="39">
        <f t="shared" si="28"/>
        <v>0</v>
      </c>
      <c r="AB100" s="39">
        <f t="shared" si="29"/>
        <v>0</v>
      </c>
      <c r="AC100" s="39">
        <f t="shared" si="30"/>
        <v>0</v>
      </c>
      <c r="AD100" s="39">
        <f t="shared" si="31"/>
        <v>0</v>
      </c>
      <c r="AE100" s="39">
        <f t="shared" si="32"/>
        <v>0</v>
      </c>
      <c r="AF100" s="39">
        <f t="shared" si="33"/>
        <v>0</v>
      </c>
      <c r="AG100" s="39">
        <f t="shared" si="34"/>
        <v>0</v>
      </c>
      <c r="AH100" s="39">
        <f t="shared" si="35"/>
        <v>0</v>
      </c>
      <c r="AI100" s="30"/>
      <c r="AJ100" s="21">
        <f t="shared" si="36"/>
        <v>0</v>
      </c>
      <c r="AK100" s="21">
        <f t="shared" si="37"/>
        <v>0</v>
      </c>
      <c r="AL100" s="21">
        <f t="shared" si="38"/>
        <v>0</v>
      </c>
      <c r="AN100" s="39">
        <v>21</v>
      </c>
      <c r="AO100" s="39">
        <f>G100*0.830574058668624</f>
        <v>0</v>
      </c>
      <c r="AP100" s="39">
        <f>G100*(1-0.830574058668624)</f>
        <v>0</v>
      </c>
      <c r="AQ100" s="34" t="s">
        <v>5</v>
      </c>
      <c r="AV100" s="39">
        <f t="shared" si="39"/>
        <v>0</v>
      </c>
      <c r="AW100" s="39">
        <f t="shared" si="40"/>
        <v>0</v>
      </c>
      <c r="AX100" s="39">
        <f t="shared" si="41"/>
        <v>0</v>
      </c>
      <c r="AY100" s="40" t="s">
        <v>1983</v>
      </c>
      <c r="AZ100" s="40" t="s">
        <v>2032</v>
      </c>
      <c r="BA100" s="30" t="s">
        <v>2045</v>
      </c>
      <c r="BC100" s="39">
        <f t="shared" si="42"/>
        <v>0</v>
      </c>
      <c r="BD100" s="39">
        <f t="shared" si="43"/>
        <v>0</v>
      </c>
      <c r="BE100" s="39">
        <v>0</v>
      </c>
      <c r="BF100" s="39">
        <f t="shared" si="44"/>
        <v>211.73652089490002</v>
      </c>
      <c r="BH100" s="21">
        <f t="shared" si="45"/>
        <v>0</v>
      </c>
      <c r="BI100" s="21">
        <f t="shared" si="46"/>
        <v>0</v>
      </c>
      <c r="BJ100" s="21">
        <f t="shared" si="47"/>
        <v>0</v>
      </c>
    </row>
    <row r="101" spans="1:62">
      <c r="A101" s="5" t="s">
        <v>63</v>
      </c>
      <c r="B101" s="5"/>
      <c r="C101" s="5" t="s">
        <v>667</v>
      </c>
      <c r="D101" s="5" t="s">
        <v>1298</v>
      </c>
      <c r="E101" s="5" t="s">
        <v>1940</v>
      </c>
      <c r="F101" s="21">
        <v>1944.08069</v>
      </c>
      <c r="G101" s="753">
        <v>0</v>
      </c>
      <c r="H101" s="21">
        <f t="shared" si="24"/>
        <v>0</v>
      </c>
      <c r="I101" s="21">
        <f t="shared" si="25"/>
        <v>0</v>
      </c>
      <c r="J101" s="21">
        <f t="shared" si="26"/>
        <v>0</v>
      </c>
      <c r="K101" s="21">
        <v>3.9309999999999998E-2</v>
      </c>
      <c r="L101" s="21">
        <f t="shared" si="27"/>
        <v>76.421811923899995</v>
      </c>
      <c r="M101" s="34" t="s">
        <v>1961</v>
      </c>
      <c r="Z101" s="39">
        <f t="shared" si="28"/>
        <v>0</v>
      </c>
      <c r="AB101" s="39">
        <f t="shared" si="29"/>
        <v>0</v>
      </c>
      <c r="AC101" s="39">
        <f t="shared" si="30"/>
        <v>0</v>
      </c>
      <c r="AD101" s="39">
        <f t="shared" si="31"/>
        <v>0</v>
      </c>
      <c r="AE101" s="39">
        <f t="shared" si="32"/>
        <v>0</v>
      </c>
      <c r="AF101" s="39">
        <f t="shared" si="33"/>
        <v>0</v>
      </c>
      <c r="AG101" s="39">
        <f t="shared" si="34"/>
        <v>0</v>
      </c>
      <c r="AH101" s="39">
        <f t="shared" si="35"/>
        <v>0</v>
      </c>
      <c r="AI101" s="30"/>
      <c r="AJ101" s="21">
        <f t="shared" si="36"/>
        <v>0</v>
      </c>
      <c r="AK101" s="21">
        <f t="shared" si="37"/>
        <v>0</v>
      </c>
      <c r="AL101" s="21">
        <f t="shared" si="38"/>
        <v>0</v>
      </c>
      <c r="AN101" s="39">
        <v>21</v>
      </c>
      <c r="AO101" s="39">
        <f>G101*0.32024668045155</f>
        <v>0</v>
      </c>
      <c r="AP101" s="39">
        <f>G101*(1-0.32024668045155)</f>
        <v>0</v>
      </c>
      <c r="AQ101" s="34" t="s">
        <v>5</v>
      </c>
      <c r="AV101" s="39">
        <f t="shared" si="39"/>
        <v>0</v>
      </c>
      <c r="AW101" s="39">
        <f t="shared" si="40"/>
        <v>0</v>
      </c>
      <c r="AX101" s="39">
        <f t="shared" si="41"/>
        <v>0</v>
      </c>
      <c r="AY101" s="40" t="s">
        <v>1983</v>
      </c>
      <c r="AZ101" s="40" t="s">
        <v>2032</v>
      </c>
      <c r="BA101" s="30" t="s">
        <v>2045</v>
      </c>
      <c r="BC101" s="39">
        <f t="shared" si="42"/>
        <v>0</v>
      </c>
      <c r="BD101" s="39">
        <f t="shared" si="43"/>
        <v>0</v>
      </c>
      <c r="BE101" s="39">
        <v>0</v>
      </c>
      <c r="BF101" s="39">
        <f t="shared" si="44"/>
        <v>76.421811923899995</v>
      </c>
      <c r="BH101" s="21">
        <f t="shared" si="45"/>
        <v>0</v>
      </c>
      <c r="BI101" s="21">
        <f t="shared" si="46"/>
        <v>0</v>
      </c>
      <c r="BJ101" s="21">
        <f t="shared" si="47"/>
        <v>0</v>
      </c>
    </row>
    <row r="102" spans="1:62">
      <c r="A102" s="5" t="s">
        <v>64</v>
      </c>
      <c r="B102" s="5"/>
      <c r="C102" s="5" t="s">
        <v>668</v>
      </c>
      <c r="D102" s="5" t="s">
        <v>1299</v>
      </c>
      <c r="E102" s="5" t="s">
        <v>1940</v>
      </c>
      <c r="F102" s="21">
        <v>1944.08069</v>
      </c>
      <c r="G102" s="753">
        <v>0</v>
      </c>
      <c r="H102" s="21">
        <f t="shared" si="24"/>
        <v>0</v>
      </c>
      <c r="I102" s="21">
        <f t="shared" si="25"/>
        <v>0</v>
      </c>
      <c r="J102" s="21">
        <f t="shared" si="26"/>
        <v>0</v>
      </c>
      <c r="K102" s="21">
        <v>0</v>
      </c>
      <c r="L102" s="21">
        <f t="shared" si="27"/>
        <v>0</v>
      </c>
      <c r="M102" s="34" t="s">
        <v>1961</v>
      </c>
      <c r="Z102" s="39">
        <f t="shared" si="28"/>
        <v>0</v>
      </c>
      <c r="AB102" s="39">
        <f t="shared" si="29"/>
        <v>0</v>
      </c>
      <c r="AC102" s="39">
        <f t="shared" si="30"/>
        <v>0</v>
      </c>
      <c r="AD102" s="39">
        <f t="shared" si="31"/>
        <v>0</v>
      </c>
      <c r="AE102" s="39">
        <f t="shared" si="32"/>
        <v>0</v>
      </c>
      <c r="AF102" s="39">
        <f t="shared" si="33"/>
        <v>0</v>
      </c>
      <c r="AG102" s="39">
        <f t="shared" si="34"/>
        <v>0</v>
      </c>
      <c r="AH102" s="39">
        <f t="shared" si="35"/>
        <v>0</v>
      </c>
      <c r="AI102" s="30"/>
      <c r="AJ102" s="21">
        <f t="shared" si="36"/>
        <v>0</v>
      </c>
      <c r="AK102" s="21">
        <f t="shared" si="37"/>
        <v>0</v>
      </c>
      <c r="AL102" s="21">
        <f t="shared" si="38"/>
        <v>0</v>
      </c>
      <c r="AN102" s="39">
        <v>21</v>
      </c>
      <c r="AO102" s="39">
        <f>G102*0</f>
        <v>0</v>
      </c>
      <c r="AP102" s="39">
        <f>G102*(1-0)</f>
        <v>0</v>
      </c>
      <c r="AQ102" s="34" t="s">
        <v>5</v>
      </c>
      <c r="AV102" s="39">
        <f t="shared" si="39"/>
        <v>0</v>
      </c>
      <c r="AW102" s="39">
        <f t="shared" si="40"/>
        <v>0</v>
      </c>
      <c r="AX102" s="39">
        <f t="shared" si="41"/>
        <v>0</v>
      </c>
      <c r="AY102" s="40" t="s">
        <v>1983</v>
      </c>
      <c r="AZ102" s="40" t="s">
        <v>2032</v>
      </c>
      <c r="BA102" s="30" t="s">
        <v>2045</v>
      </c>
      <c r="BC102" s="39">
        <f t="shared" si="42"/>
        <v>0</v>
      </c>
      <c r="BD102" s="39">
        <f t="shared" si="43"/>
        <v>0</v>
      </c>
      <c r="BE102" s="39">
        <v>0</v>
      </c>
      <c r="BF102" s="39">
        <f t="shared" si="44"/>
        <v>0</v>
      </c>
      <c r="BH102" s="21">
        <f t="shared" si="45"/>
        <v>0</v>
      </c>
      <c r="BI102" s="21">
        <f t="shared" si="46"/>
        <v>0</v>
      </c>
      <c r="BJ102" s="21">
        <f t="shared" si="47"/>
        <v>0</v>
      </c>
    </row>
    <row r="103" spans="1:62">
      <c r="A103" s="5" t="s">
        <v>65</v>
      </c>
      <c r="B103" s="5"/>
      <c r="C103" s="5" t="s">
        <v>669</v>
      </c>
      <c r="D103" s="5" t="s">
        <v>1300</v>
      </c>
      <c r="E103" s="5" t="s">
        <v>1940</v>
      </c>
      <c r="F103" s="21">
        <v>2.7625000000000002</v>
      </c>
      <c r="G103" s="753">
        <v>0</v>
      </c>
      <c r="H103" s="21">
        <f t="shared" si="24"/>
        <v>0</v>
      </c>
      <c r="I103" s="21">
        <f t="shared" si="25"/>
        <v>0</v>
      </c>
      <c r="J103" s="21">
        <f t="shared" si="26"/>
        <v>0</v>
      </c>
      <c r="K103" s="21">
        <v>0.27964</v>
      </c>
      <c r="L103" s="21">
        <f t="shared" si="27"/>
        <v>0.77250550000000007</v>
      </c>
      <c r="M103" s="34" t="s">
        <v>1961</v>
      </c>
      <c r="Z103" s="39">
        <f t="shared" si="28"/>
        <v>0</v>
      </c>
      <c r="AB103" s="39">
        <f t="shared" si="29"/>
        <v>0</v>
      </c>
      <c r="AC103" s="39">
        <f t="shared" si="30"/>
        <v>0</v>
      </c>
      <c r="AD103" s="39">
        <f t="shared" si="31"/>
        <v>0</v>
      </c>
      <c r="AE103" s="39">
        <f t="shared" si="32"/>
        <v>0</v>
      </c>
      <c r="AF103" s="39">
        <f t="shared" si="33"/>
        <v>0</v>
      </c>
      <c r="AG103" s="39">
        <f t="shared" si="34"/>
        <v>0</v>
      </c>
      <c r="AH103" s="39">
        <f t="shared" si="35"/>
        <v>0</v>
      </c>
      <c r="AI103" s="30"/>
      <c r="AJ103" s="21">
        <f t="shared" si="36"/>
        <v>0</v>
      </c>
      <c r="AK103" s="21">
        <f t="shared" si="37"/>
        <v>0</v>
      </c>
      <c r="AL103" s="21">
        <f t="shared" si="38"/>
        <v>0</v>
      </c>
      <c r="AN103" s="39">
        <v>21</v>
      </c>
      <c r="AO103" s="39">
        <f>G103*0.826643518518518</f>
        <v>0</v>
      </c>
      <c r="AP103" s="39">
        <f>G103*(1-0.826643518518518)</f>
        <v>0</v>
      </c>
      <c r="AQ103" s="34" t="s">
        <v>5</v>
      </c>
      <c r="AV103" s="39">
        <f t="shared" si="39"/>
        <v>0</v>
      </c>
      <c r="AW103" s="39">
        <f t="shared" si="40"/>
        <v>0</v>
      </c>
      <c r="AX103" s="39">
        <f t="shared" si="41"/>
        <v>0</v>
      </c>
      <c r="AY103" s="40" t="s">
        <v>1983</v>
      </c>
      <c r="AZ103" s="40" t="s">
        <v>2032</v>
      </c>
      <c r="BA103" s="30" t="s">
        <v>2045</v>
      </c>
      <c r="BC103" s="39">
        <f t="shared" si="42"/>
        <v>0</v>
      </c>
      <c r="BD103" s="39">
        <f t="shared" si="43"/>
        <v>0</v>
      </c>
      <c r="BE103" s="39">
        <v>0</v>
      </c>
      <c r="BF103" s="39">
        <f t="shared" si="44"/>
        <v>0.77250550000000007</v>
      </c>
      <c r="BH103" s="21">
        <f t="shared" si="45"/>
        <v>0</v>
      </c>
      <c r="BI103" s="21">
        <f t="shared" si="46"/>
        <v>0</v>
      </c>
      <c r="BJ103" s="21">
        <f t="shared" si="47"/>
        <v>0</v>
      </c>
    </row>
    <row r="104" spans="1:62">
      <c r="A104" s="5" t="s">
        <v>66</v>
      </c>
      <c r="B104" s="5"/>
      <c r="C104" s="5" t="s">
        <v>670</v>
      </c>
      <c r="D104" s="5" t="s">
        <v>1301</v>
      </c>
      <c r="E104" s="5" t="s">
        <v>1943</v>
      </c>
      <c r="F104" s="21">
        <v>15</v>
      </c>
      <c r="G104" s="753">
        <v>0</v>
      </c>
      <c r="H104" s="21">
        <f t="shared" si="24"/>
        <v>0</v>
      </c>
      <c r="I104" s="21">
        <f t="shared" si="25"/>
        <v>0</v>
      </c>
      <c r="J104" s="21">
        <f t="shared" si="26"/>
        <v>0</v>
      </c>
      <c r="K104" s="21">
        <v>3.2649999999999998E-2</v>
      </c>
      <c r="L104" s="21">
        <f t="shared" si="27"/>
        <v>0.48974999999999996</v>
      </c>
      <c r="M104" s="34" t="s">
        <v>1961</v>
      </c>
      <c r="Z104" s="39">
        <f t="shared" si="28"/>
        <v>0</v>
      </c>
      <c r="AB104" s="39">
        <f t="shared" si="29"/>
        <v>0</v>
      </c>
      <c r="AC104" s="39">
        <f t="shared" si="30"/>
        <v>0</v>
      </c>
      <c r="AD104" s="39">
        <f t="shared" si="31"/>
        <v>0</v>
      </c>
      <c r="AE104" s="39">
        <f t="shared" si="32"/>
        <v>0</v>
      </c>
      <c r="AF104" s="39">
        <f t="shared" si="33"/>
        <v>0</v>
      </c>
      <c r="AG104" s="39">
        <f t="shared" si="34"/>
        <v>0</v>
      </c>
      <c r="AH104" s="39">
        <f t="shared" si="35"/>
        <v>0</v>
      </c>
      <c r="AI104" s="30"/>
      <c r="AJ104" s="21">
        <f t="shared" si="36"/>
        <v>0</v>
      </c>
      <c r="AK104" s="21">
        <f t="shared" si="37"/>
        <v>0</v>
      </c>
      <c r="AL104" s="21">
        <f t="shared" si="38"/>
        <v>0</v>
      </c>
      <c r="AN104" s="39">
        <v>21</v>
      </c>
      <c r="AO104" s="39">
        <f>G104*0.863803260882398</f>
        <v>0</v>
      </c>
      <c r="AP104" s="39">
        <f>G104*(1-0.863803260882398)</f>
        <v>0</v>
      </c>
      <c r="AQ104" s="34" t="s">
        <v>5</v>
      </c>
      <c r="AV104" s="39">
        <f t="shared" si="39"/>
        <v>0</v>
      </c>
      <c r="AW104" s="39">
        <f t="shared" si="40"/>
        <v>0</v>
      </c>
      <c r="AX104" s="39">
        <f t="shared" si="41"/>
        <v>0</v>
      </c>
      <c r="AY104" s="40" t="s">
        <v>1983</v>
      </c>
      <c r="AZ104" s="40" t="s">
        <v>2032</v>
      </c>
      <c r="BA104" s="30" t="s">
        <v>2045</v>
      </c>
      <c r="BC104" s="39">
        <f t="shared" si="42"/>
        <v>0</v>
      </c>
      <c r="BD104" s="39">
        <f t="shared" si="43"/>
        <v>0</v>
      </c>
      <c r="BE104" s="39">
        <v>0</v>
      </c>
      <c r="BF104" s="39">
        <f t="shared" si="44"/>
        <v>0.48974999999999996</v>
      </c>
      <c r="BH104" s="21">
        <f t="shared" si="45"/>
        <v>0</v>
      </c>
      <c r="BI104" s="21">
        <f t="shared" si="46"/>
        <v>0</v>
      </c>
      <c r="BJ104" s="21">
        <f t="shared" si="47"/>
        <v>0</v>
      </c>
    </row>
    <row r="105" spans="1:62">
      <c r="C105" s="16" t="s">
        <v>609</v>
      </c>
      <c r="D105" s="919" t="s">
        <v>1302</v>
      </c>
      <c r="E105" s="920"/>
      <c r="F105" s="920"/>
      <c r="G105" s="920"/>
      <c r="H105" s="920"/>
      <c r="I105" s="920"/>
      <c r="J105" s="920"/>
      <c r="K105" s="920"/>
      <c r="L105" s="920"/>
      <c r="M105" s="920"/>
    </row>
    <row r="106" spans="1:62">
      <c r="A106" s="5" t="s">
        <v>67</v>
      </c>
      <c r="B106" s="5"/>
      <c r="C106" s="5" t="s">
        <v>671</v>
      </c>
      <c r="D106" s="5" t="s">
        <v>1301</v>
      </c>
      <c r="E106" s="5" t="s">
        <v>1943</v>
      </c>
      <c r="F106" s="21">
        <v>18</v>
      </c>
      <c r="G106" s="753">
        <v>0</v>
      </c>
      <c r="H106" s="21">
        <f>F106*AO106</f>
        <v>0</v>
      </c>
      <c r="I106" s="21">
        <f>F106*AP106</f>
        <v>0</v>
      </c>
      <c r="J106" s="21">
        <f>F106*G106</f>
        <v>0</v>
      </c>
      <c r="K106" s="21">
        <v>3.9789999999999999E-2</v>
      </c>
      <c r="L106" s="21">
        <f>F106*K106</f>
        <v>0.71621999999999997</v>
      </c>
      <c r="M106" s="34" t="s">
        <v>1961</v>
      </c>
      <c r="Z106" s="39">
        <f>IF(AQ106="5",BJ106,0)</f>
        <v>0</v>
      </c>
      <c r="AB106" s="39">
        <f>IF(AQ106="1",BH106,0)</f>
        <v>0</v>
      </c>
      <c r="AC106" s="39">
        <f>IF(AQ106="1",BI106,0)</f>
        <v>0</v>
      </c>
      <c r="AD106" s="39">
        <f>IF(AQ106="7",BH106,0)</f>
        <v>0</v>
      </c>
      <c r="AE106" s="39">
        <f>IF(AQ106="7",BI106,0)</f>
        <v>0</v>
      </c>
      <c r="AF106" s="39">
        <f>IF(AQ106="2",BH106,0)</f>
        <v>0</v>
      </c>
      <c r="AG106" s="39">
        <f>IF(AQ106="2",BI106,0)</f>
        <v>0</v>
      </c>
      <c r="AH106" s="39">
        <f>IF(AQ106="0",BJ106,0)</f>
        <v>0</v>
      </c>
      <c r="AI106" s="30"/>
      <c r="AJ106" s="21">
        <f>IF(AN106=0,J106,0)</f>
        <v>0</v>
      </c>
      <c r="AK106" s="21">
        <f>IF(AN106=15,J106,0)</f>
        <v>0</v>
      </c>
      <c r="AL106" s="21">
        <f>IF(AN106=21,J106,0)</f>
        <v>0</v>
      </c>
      <c r="AN106" s="39">
        <v>21</v>
      </c>
      <c r="AO106" s="39">
        <f>G106*0.883827957422382</f>
        <v>0</v>
      </c>
      <c r="AP106" s="39">
        <f>G106*(1-0.883827957422382)</f>
        <v>0</v>
      </c>
      <c r="AQ106" s="34" t="s">
        <v>5</v>
      </c>
      <c r="AV106" s="39">
        <f>AW106+AX106</f>
        <v>0</v>
      </c>
      <c r="AW106" s="39">
        <f>F106*AO106</f>
        <v>0</v>
      </c>
      <c r="AX106" s="39">
        <f>F106*AP106</f>
        <v>0</v>
      </c>
      <c r="AY106" s="40" t="s">
        <v>1983</v>
      </c>
      <c r="AZ106" s="40" t="s">
        <v>2032</v>
      </c>
      <c r="BA106" s="30" t="s">
        <v>2045</v>
      </c>
      <c r="BC106" s="39">
        <f>AW106+AX106</f>
        <v>0</v>
      </c>
      <c r="BD106" s="39">
        <f>G106/(100-BE106)*100</f>
        <v>0</v>
      </c>
      <c r="BE106" s="39">
        <v>0</v>
      </c>
      <c r="BF106" s="39">
        <f>L106</f>
        <v>0.71621999999999997</v>
      </c>
      <c r="BH106" s="21">
        <f>F106*AO106</f>
        <v>0</v>
      </c>
      <c r="BI106" s="21">
        <f>F106*AP106</f>
        <v>0</v>
      </c>
      <c r="BJ106" s="21">
        <f>F106*G106</f>
        <v>0</v>
      </c>
    </row>
    <row r="107" spans="1:62">
      <c r="C107" s="16" t="s">
        <v>609</v>
      </c>
      <c r="D107" s="919" t="s">
        <v>1303</v>
      </c>
      <c r="E107" s="920"/>
      <c r="F107" s="920"/>
      <c r="G107" s="920"/>
      <c r="H107" s="920"/>
      <c r="I107" s="920"/>
      <c r="J107" s="920"/>
      <c r="K107" s="920"/>
      <c r="L107" s="920"/>
      <c r="M107" s="920"/>
    </row>
    <row r="108" spans="1:62">
      <c r="A108" s="5" t="s">
        <v>68</v>
      </c>
      <c r="B108" s="5"/>
      <c r="C108" s="5" t="s">
        <v>672</v>
      </c>
      <c r="D108" s="5" t="s">
        <v>1304</v>
      </c>
      <c r="E108" s="5" t="s">
        <v>1943</v>
      </c>
      <c r="F108" s="21">
        <v>6</v>
      </c>
      <c r="G108" s="753">
        <v>0</v>
      </c>
      <c r="H108" s="21">
        <f>F108*AO108</f>
        <v>0</v>
      </c>
      <c r="I108" s="21">
        <f>F108*AP108</f>
        <v>0</v>
      </c>
      <c r="J108" s="21">
        <f>F108*G108</f>
        <v>0</v>
      </c>
      <c r="K108" s="21">
        <v>6.3130000000000006E-2</v>
      </c>
      <c r="L108" s="21">
        <f>F108*K108</f>
        <v>0.37878000000000001</v>
      </c>
      <c r="M108" s="34" t="s">
        <v>1961</v>
      </c>
      <c r="Z108" s="39">
        <f>IF(AQ108="5",BJ108,0)</f>
        <v>0</v>
      </c>
      <c r="AB108" s="39">
        <f>IF(AQ108="1",BH108,0)</f>
        <v>0</v>
      </c>
      <c r="AC108" s="39">
        <f>IF(AQ108="1",BI108,0)</f>
        <v>0</v>
      </c>
      <c r="AD108" s="39">
        <f>IF(AQ108="7",BH108,0)</f>
        <v>0</v>
      </c>
      <c r="AE108" s="39">
        <f>IF(AQ108="7",BI108,0)</f>
        <v>0</v>
      </c>
      <c r="AF108" s="39">
        <f>IF(AQ108="2",BH108,0)</f>
        <v>0</v>
      </c>
      <c r="AG108" s="39">
        <f>IF(AQ108="2",BI108,0)</f>
        <v>0</v>
      </c>
      <c r="AH108" s="39">
        <f>IF(AQ108="0",BJ108,0)</f>
        <v>0</v>
      </c>
      <c r="AI108" s="30"/>
      <c r="AJ108" s="21">
        <f>IF(AN108=0,J108,0)</f>
        <v>0</v>
      </c>
      <c r="AK108" s="21">
        <f>IF(AN108=15,J108,0)</f>
        <v>0</v>
      </c>
      <c r="AL108" s="21">
        <f>IF(AN108=21,J108,0)</f>
        <v>0</v>
      </c>
      <c r="AN108" s="39">
        <v>21</v>
      </c>
      <c r="AO108" s="39">
        <f>G108*0.878217054263566</f>
        <v>0</v>
      </c>
      <c r="AP108" s="39">
        <f>G108*(1-0.878217054263566)</f>
        <v>0</v>
      </c>
      <c r="AQ108" s="34" t="s">
        <v>5</v>
      </c>
      <c r="AV108" s="39">
        <f>AW108+AX108</f>
        <v>0</v>
      </c>
      <c r="AW108" s="39">
        <f>F108*AO108</f>
        <v>0</v>
      </c>
      <c r="AX108" s="39">
        <f>F108*AP108</f>
        <v>0</v>
      </c>
      <c r="AY108" s="40" t="s">
        <v>1983</v>
      </c>
      <c r="AZ108" s="40" t="s">
        <v>2032</v>
      </c>
      <c r="BA108" s="30" t="s">
        <v>2045</v>
      </c>
      <c r="BC108" s="39">
        <f>AW108+AX108</f>
        <v>0</v>
      </c>
      <c r="BD108" s="39">
        <f>G108/(100-BE108)*100</f>
        <v>0</v>
      </c>
      <c r="BE108" s="39">
        <v>0</v>
      </c>
      <c r="BF108" s="39">
        <f>L108</f>
        <v>0.37878000000000001</v>
      </c>
      <c r="BH108" s="21">
        <f>F108*AO108</f>
        <v>0</v>
      </c>
      <c r="BI108" s="21">
        <f>F108*AP108</f>
        <v>0</v>
      </c>
      <c r="BJ108" s="21">
        <f>F108*G108</f>
        <v>0</v>
      </c>
    </row>
    <row r="109" spans="1:62">
      <c r="C109" s="16" t="s">
        <v>609</v>
      </c>
      <c r="D109" s="919" t="s">
        <v>1305</v>
      </c>
      <c r="E109" s="920"/>
      <c r="F109" s="920"/>
      <c r="G109" s="920"/>
      <c r="H109" s="920"/>
      <c r="I109" s="920"/>
      <c r="J109" s="920"/>
      <c r="K109" s="920"/>
      <c r="L109" s="920"/>
      <c r="M109" s="920"/>
    </row>
    <row r="110" spans="1:62">
      <c r="A110" s="5" t="s">
        <v>69</v>
      </c>
      <c r="B110" s="5"/>
      <c r="C110" s="5" t="s">
        <v>673</v>
      </c>
      <c r="D110" s="5" t="s">
        <v>1306</v>
      </c>
      <c r="E110" s="5" t="s">
        <v>1943</v>
      </c>
      <c r="F110" s="21">
        <v>1</v>
      </c>
      <c r="G110" s="753">
        <v>0</v>
      </c>
      <c r="H110" s="21">
        <f>F110*AO110</f>
        <v>0</v>
      </c>
      <c r="I110" s="21">
        <f>F110*AP110</f>
        <v>0</v>
      </c>
      <c r="J110" s="21">
        <f>F110*G110</f>
        <v>0</v>
      </c>
      <c r="K110" s="21">
        <v>8.4339999999999998E-2</v>
      </c>
      <c r="L110" s="21">
        <f>F110*K110</f>
        <v>8.4339999999999998E-2</v>
      </c>
      <c r="M110" s="34" t="s">
        <v>1961</v>
      </c>
      <c r="Z110" s="39">
        <f>IF(AQ110="5",BJ110,0)</f>
        <v>0</v>
      </c>
      <c r="AB110" s="39">
        <f>IF(AQ110="1",BH110,0)</f>
        <v>0</v>
      </c>
      <c r="AC110" s="39">
        <f>IF(AQ110="1",BI110,0)</f>
        <v>0</v>
      </c>
      <c r="AD110" s="39">
        <f>IF(AQ110="7",BH110,0)</f>
        <v>0</v>
      </c>
      <c r="AE110" s="39">
        <f>IF(AQ110="7",BI110,0)</f>
        <v>0</v>
      </c>
      <c r="AF110" s="39">
        <f>IF(AQ110="2",BH110,0)</f>
        <v>0</v>
      </c>
      <c r="AG110" s="39">
        <f>IF(AQ110="2",BI110,0)</f>
        <v>0</v>
      </c>
      <c r="AH110" s="39">
        <f>IF(AQ110="0",BJ110,0)</f>
        <v>0</v>
      </c>
      <c r="AI110" s="30"/>
      <c r="AJ110" s="21">
        <f>IF(AN110=0,J110,0)</f>
        <v>0</v>
      </c>
      <c r="AK110" s="21">
        <f>IF(AN110=15,J110,0)</f>
        <v>0</v>
      </c>
      <c r="AL110" s="21">
        <f>IF(AN110=21,J110,0)</f>
        <v>0</v>
      </c>
      <c r="AN110" s="39">
        <v>21</v>
      </c>
      <c r="AO110" s="39">
        <f>G110*0.895162790697674</f>
        <v>0</v>
      </c>
      <c r="AP110" s="39">
        <f>G110*(1-0.895162790697674)</f>
        <v>0</v>
      </c>
      <c r="AQ110" s="34" t="s">
        <v>5</v>
      </c>
      <c r="AV110" s="39">
        <f>AW110+AX110</f>
        <v>0</v>
      </c>
      <c r="AW110" s="39">
        <f>F110*AO110</f>
        <v>0</v>
      </c>
      <c r="AX110" s="39">
        <f>F110*AP110</f>
        <v>0</v>
      </c>
      <c r="AY110" s="40" t="s">
        <v>1983</v>
      </c>
      <c r="AZ110" s="40" t="s">
        <v>2032</v>
      </c>
      <c r="BA110" s="30" t="s">
        <v>2045</v>
      </c>
      <c r="BC110" s="39">
        <f>AW110+AX110</f>
        <v>0</v>
      </c>
      <c r="BD110" s="39">
        <f>G110/(100-BE110)*100</f>
        <v>0</v>
      </c>
      <c r="BE110" s="39">
        <v>0</v>
      </c>
      <c r="BF110" s="39">
        <f>L110</f>
        <v>8.4339999999999998E-2</v>
      </c>
      <c r="BH110" s="21">
        <f>F110*AO110</f>
        <v>0</v>
      </c>
      <c r="BI110" s="21">
        <f>F110*AP110</f>
        <v>0</v>
      </c>
      <c r="BJ110" s="21">
        <f>F110*G110</f>
        <v>0</v>
      </c>
    </row>
    <row r="111" spans="1:62">
      <c r="C111" s="16" t="s">
        <v>609</v>
      </c>
      <c r="D111" s="919" t="s">
        <v>1307</v>
      </c>
      <c r="E111" s="920"/>
      <c r="F111" s="920"/>
      <c r="G111" s="920"/>
      <c r="H111" s="920"/>
      <c r="I111" s="920"/>
      <c r="J111" s="920"/>
      <c r="K111" s="920"/>
      <c r="L111" s="920"/>
      <c r="M111" s="920"/>
    </row>
    <row r="112" spans="1:62">
      <c r="A112" s="5" t="s">
        <v>70</v>
      </c>
      <c r="B112" s="5"/>
      <c r="C112" s="5" t="s">
        <v>674</v>
      </c>
      <c r="D112" s="5" t="s">
        <v>1308</v>
      </c>
      <c r="E112" s="5" t="s">
        <v>1942</v>
      </c>
      <c r="F112" s="21">
        <v>8.1059999999999993E-2</v>
      </c>
      <c r="G112" s="753">
        <v>0</v>
      </c>
      <c r="H112" s="21">
        <f>F112*AO112</f>
        <v>0</v>
      </c>
      <c r="I112" s="21">
        <f>F112*AP112</f>
        <v>0</v>
      </c>
      <c r="J112" s="21">
        <f>F112*G112</f>
        <v>0</v>
      </c>
      <c r="K112" s="21">
        <v>1.9539999999999998E-2</v>
      </c>
      <c r="L112" s="21">
        <f>F112*K112</f>
        <v>1.5839123999999997E-3</v>
      </c>
      <c r="M112" s="34" t="s">
        <v>1961</v>
      </c>
      <c r="Z112" s="39">
        <f>IF(AQ112="5",BJ112,0)</f>
        <v>0</v>
      </c>
      <c r="AB112" s="39">
        <f>IF(AQ112="1",BH112,0)</f>
        <v>0</v>
      </c>
      <c r="AC112" s="39">
        <f>IF(AQ112="1",BI112,0)</f>
        <v>0</v>
      </c>
      <c r="AD112" s="39">
        <f>IF(AQ112="7",BH112,0)</f>
        <v>0</v>
      </c>
      <c r="AE112" s="39">
        <f>IF(AQ112="7",BI112,0)</f>
        <v>0</v>
      </c>
      <c r="AF112" s="39">
        <f>IF(AQ112="2",BH112,0)</f>
        <v>0</v>
      </c>
      <c r="AG112" s="39">
        <f>IF(AQ112="2",BI112,0)</f>
        <v>0</v>
      </c>
      <c r="AH112" s="39">
        <f>IF(AQ112="0",BJ112,0)</f>
        <v>0</v>
      </c>
      <c r="AI112" s="30"/>
      <c r="AJ112" s="21">
        <f>IF(AN112=0,J112,0)</f>
        <v>0</v>
      </c>
      <c r="AK112" s="21">
        <f>IF(AN112=15,J112,0)</f>
        <v>0</v>
      </c>
      <c r="AL112" s="21">
        <f>IF(AN112=21,J112,0)</f>
        <v>0</v>
      </c>
      <c r="AN112" s="39">
        <v>21</v>
      </c>
      <c r="AO112" s="39">
        <f>G112*0.00207699832383507</f>
        <v>0</v>
      </c>
      <c r="AP112" s="39">
        <f>G112*(1-0.00207699832383507)</f>
        <v>0</v>
      </c>
      <c r="AQ112" s="34" t="s">
        <v>5</v>
      </c>
      <c r="AV112" s="39">
        <f>AW112+AX112</f>
        <v>0</v>
      </c>
      <c r="AW112" s="39">
        <f>F112*AO112</f>
        <v>0</v>
      </c>
      <c r="AX112" s="39">
        <f>F112*AP112</f>
        <v>0</v>
      </c>
      <c r="AY112" s="40" t="s">
        <v>1983</v>
      </c>
      <c r="AZ112" s="40" t="s">
        <v>2032</v>
      </c>
      <c r="BA112" s="30" t="s">
        <v>2045</v>
      </c>
      <c r="BC112" s="39">
        <f>AW112+AX112</f>
        <v>0</v>
      </c>
      <c r="BD112" s="39">
        <f>G112/(100-BE112)*100</f>
        <v>0</v>
      </c>
      <c r="BE112" s="39">
        <v>0</v>
      </c>
      <c r="BF112" s="39">
        <f>L112</f>
        <v>1.5839123999999997E-3</v>
      </c>
      <c r="BH112" s="21">
        <f>F112*AO112</f>
        <v>0</v>
      </c>
      <c r="BI112" s="21">
        <f>F112*AP112</f>
        <v>0</v>
      </c>
      <c r="BJ112" s="21">
        <f>F112*G112</f>
        <v>0</v>
      </c>
    </row>
    <row r="113" spans="1:62">
      <c r="A113" s="6" t="s">
        <v>71</v>
      </c>
      <c r="B113" s="6"/>
      <c r="C113" s="6" t="s">
        <v>675</v>
      </c>
      <c r="D113" s="6" t="s">
        <v>1309</v>
      </c>
      <c r="E113" s="6" t="s">
        <v>1942</v>
      </c>
      <c r="F113" s="22">
        <v>1.9050000000000001E-2</v>
      </c>
      <c r="G113" s="754">
        <v>0</v>
      </c>
      <c r="H113" s="22">
        <f>F113*AO113</f>
        <v>0</v>
      </c>
      <c r="I113" s="22">
        <f>F113*AP113</f>
        <v>0</v>
      </c>
      <c r="J113" s="22">
        <f>F113*G113</f>
        <v>0</v>
      </c>
      <c r="K113" s="22">
        <v>1</v>
      </c>
      <c r="L113" s="22">
        <f>F113*K113</f>
        <v>1.9050000000000001E-2</v>
      </c>
      <c r="M113" s="35" t="s">
        <v>1961</v>
      </c>
      <c r="Z113" s="39">
        <f>IF(AQ113="5",BJ113,0)</f>
        <v>0</v>
      </c>
      <c r="AB113" s="39">
        <f>IF(AQ113="1",BH113,0)</f>
        <v>0</v>
      </c>
      <c r="AC113" s="39">
        <f>IF(AQ113="1",BI113,0)</f>
        <v>0</v>
      </c>
      <c r="AD113" s="39">
        <f>IF(AQ113="7",BH113,0)</f>
        <v>0</v>
      </c>
      <c r="AE113" s="39">
        <f>IF(AQ113="7",BI113,0)</f>
        <v>0</v>
      </c>
      <c r="AF113" s="39">
        <f>IF(AQ113="2",BH113,0)</f>
        <v>0</v>
      </c>
      <c r="AG113" s="39">
        <f>IF(AQ113="2",BI113,0)</f>
        <v>0</v>
      </c>
      <c r="AH113" s="39">
        <f>IF(AQ113="0",BJ113,0)</f>
        <v>0</v>
      </c>
      <c r="AI113" s="30"/>
      <c r="AJ113" s="22">
        <f>IF(AN113=0,J113,0)</f>
        <v>0</v>
      </c>
      <c r="AK113" s="22">
        <f>IF(AN113=15,J113,0)</f>
        <v>0</v>
      </c>
      <c r="AL113" s="22">
        <f>IF(AN113=21,J113,0)</f>
        <v>0</v>
      </c>
      <c r="AN113" s="39">
        <v>21</v>
      </c>
      <c r="AO113" s="39">
        <f>G113*1</f>
        <v>0</v>
      </c>
      <c r="AP113" s="39">
        <f>G113*(1-1)</f>
        <v>0</v>
      </c>
      <c r="AQ113" s="35" t="s">
        <v>5</v>
      </c>
      <c r="AV113" s="39">
        <f>AW113+AX113</f>
        <v>0</v>
      </c>
      <c r="AW113" s="39">
        <f>F113*AO113</f>
        <v>0</v>
      </c>
      <c r="AX113" s="39">
        <f>F113*AP113</f>
        <v>0</v>
      </c>
      <c r="AY113" s="40" t="s">
        <v>1983</v>
      </c>
      <c r="AZ113" s="40" t="s">
        <v>2032</v>
      </c>
      <c r="BA113" s="30" t="s">
        <v>2045</v>
      </c>
      <c r="BC113" s="39">
        <f>AW113+AX113</f>
        <v>0</v>
      </c>
      <c r="BD113" s="39">
        <f>G113/(100-BE113)*100</f>
        <v>0</v>
      </c>
      <c r="BE113" s="39">
        <v>0</v>
      </c>
      <c r="BF113" s="39">
        <f>L113</f>
        <v>1.9050000000000001E-2</v>
      </c>
      <c r="BH113" s="22">
        <f>F113*AO113</f>
        <v>0</v>
      </c>
      <c r="BI113" s="22">
        <f>F113*AP113</f>
        <v>0</v>
      </c>
      <c r="BJ113" s="22">
        <f>F113*G113</f>
        <v>0</v>
      </c>
    </row>
    <row r="114" spans="1:62">
      <c r="A114" s="6" t="s">
        <v>72</v>
      </c>
      <c r="B114" s="6"/>
      <c r="C114" s="6" t="s">
        <v>676</v>
      </c>
      <c r="D114" s="6" t="s">
        <v>1310</v>
      </c>
      <c r="E114" s="6" t="s">
        <v>1942</v>
      </c>
      <c r="F114" s="22">
        <v>6.2010000000000003E-2</v>
      </c>
      <c r="G114" s="754">
        <v>0</v>
      </c>
      <c r="H114" s="22">
        <f>F114*AO114</f>
        <v>0</v>
      </c>
      <c r="I114" s="22">
        <f>F114*AP114</f>
        <v>0</v>
      </c>
      <c r="J114" s="22">
        <f>F114*G114</f>
        <v>0</v>
      </c>
      <c r="K114" s="22">
        <v>1</v>
      </c>
      <c r="L114" s="22">
        <f>F114*K114</f>
        <v>6.2010000000000003E-2</v>
      </c>
      <c r="M114" s="35" t="s">
        <v>1961</v>
      </c>
      <c r="Z114" s="39">
        <f>IF(AQ114="5",BJ114,0)</f>
        <v>0</v>
      </c>
      <c r="AB114" s="39">
        <f>IF(AQ114="1",BH114,0)</f>
        <v>0</v>
      </c>
      <c r="AC114" s="39">
        <f>IF(AQ114="1",BI114,0)</f>
        <v>0</v>
      </c>
      <c r="AD114" s="39">
        <f>IF(AQ114="7",BH114,0)</f>
        <v>0</v>
      </c>
      <c r="AE114" s="39">
        <f>IF(AQ114="7",BI114,0)</f>
        <v>0</v>
      </c>
      <c r="AF114" s="39">
        <f>IF(AQ114="2",BH114,0)</f>
        <v>0</v>
      </c>
      <c r="AG114" s="39">
        <f>IF(AQ114="2",BI114,0)</f>
        <v>0</v>
      </c>
      <c r="AH114" s="39">
        <f>IF(AQ114="0",BJ114,0)</f>
        <v>0</v>
      </c>
      <c r="AI114" s="30"/>
      <c r="AJ114" s="22">
        <f>IF(AN114=0,J114,0)</f>
        <v>0</v>
      </c>
      <c r="AK114" s="22">
        <f>IF(AN114=15,J114,0)</f>
        <v>0</v>
      </c>
      <c r="AL114" s="22">
        <f>IF(AN114=21,J114,0)</f>
        <v>0</v>
      </c>
      <c r="AN114" s="39">
        <v>21</v>
      </c>
      <c r="AO114" s="39">
        <f>G114*1</f>
        <v>0</v>
      </c>
      <c r="AP114" s="39">
        <f>G114*(1-1)</f>
        <v>0</v>
      </c>
      <c r="AQ114" s="35" t="s">
        <v>5</v>
      </c>
      <c r="AV114" s="39">
        <f>AW114+AX114</f>
        <v>0</v>
      </c>
      <c r="AW114" s="39">
        <f>F114*AO114</f>
        <v>0</v>
      </c>
      <c r="AX114" s="39">
        <f>F114*AP114</f>
        <v>0</v>
      </c>
      <c r="AY114" s="40" t="s">
        <v>1983</v>
      </c>
      <c r="AZ114" s="40" t="s">
        <v>2032</v>
      </c>
      <c r="BA114" s="30" t="s">
        <v>2045</v>
      </c>
      <c r="BC114" s="39">
        <f>AW114+AX114</f>
        <v>0</v>
      </c>
      <c r="BD114" s="39">
        <f>G114/(100-BE114)*100</f>
        <v>0</v>
      </c>
      <c r="BE114" s="39">
        <v>0</v>
      </c>
      <c r="BF114" s="39">
        <f>L114</f>
        <v>6.2010000000000003E-2</v>
      </c>
      <c r="BH114" s="22">
        <f>F114*AO114</f>
        <v>0</v>
      </c>
      <c r="BI114" s="22">
        <f>F114*AP114</f>
        <v>0</v>
      </c>
      <c r="BJ114" s="22">
        <f>F114*G114</f>
        <v>0</v>
      </c>
    </row>
    <row r="115" spans="1:62">
      <c r="A115" s="5" t="s">
        <v>73</v>
      </c>
      <c r="B115" s="5"/>
      <c r="C115" s="5" t="s">
        <v>677</v>
      </c>
      <c r="D115" s="5" t="s">
        <v>1311</v>
      </c>
      <c r="E115" s="5" t="s">
        <v>1942</v>
      </c>
      <c r="F115" s="21">
        <v>0.19084999999999999</v>
      </c>
      <c r="G115" s="753">
        <v>0</v>
      </c>
      <c r="H115" s="21">
        <f>F115*AO115</f>
        <v>0</v>
      </c>
      <c r="I115" s="21">
        <f>F115*AP115</f>
        <v>0</v>
      </c>
      <c r="J115" s="21">
        <f>F115*G115</f>
        <v>0</v>
      </c>
      <c r="K115" s="21">
        <v>1.0970899999999999</v>
      </c>
      <c r="L115" s="21">
        <f>F115*K115</f>
        <v>0.20937962649999997</v>
      </c>
      <c r="M115" s="34" t="s">
        <v>1961</v>
      </c>
      <c r="Z115" s="39">
        <f>IF(AQ115="5",BJ115,0)</f>
        <v>0</v>
      </c>
      <c r="AB115" s="39">
        <f>IF(AQ115="1",BH115,0)</f>
        <v>0</v>
      </c>
      <c r="AC115" s="39">
        <f>IF(AQ115="1",BI115,0)</f>
        <v>0</v>
      </c>
      <c r="AD115" s="39">
        <f>IF(AQ115="7",BH115,0)</f>
        <v>0</v>
      </c>
      <c r="AE115" s="39">
        <f>IF(AQ115="7",BI115,0)</f>
        <v>0</v>
      </c>
      <c r="AF115" s="39">
        <f>IF(AQ115="2",BH115,0)</f>
        <v>0</v>
      </c>
      <c r="AG115" s="39">
        <f>IF(AQ115="2",BI115,0)</f>
        <v>0</v>
      </c>
      <c r="AH115" s="39">
        <f>IF(AQ115="0",BJ115,0)</f>
        <v>0</v>
      </c>
      <c r="AI115" s="30"/>
      <c r="AJ115" s="21">
        <f>IF(AN115=0,J115,0)</f>
        <v>0</v>
      </c>
      <c r="AK115" s="21">
        <f>IF(AN115=15,J115,0)</f>
        <v>0</v>
      </c>
      <c r="AL115" s="21">
        <f>IF(AN115=21,J115,0)</f>
        <v>0</v>
      </c>
      <c r="AN115" s="39">
        <v>21</v>
      </c>
      <c r="AO115" s="39">
        <f>G115*0.743489650254999</f>
        <v>0</v>
      </c>
      <c r="AP115" s="39">
        <f>G115*(1-0.743489650254999)</f>
        <v>0</v>
      </c>
      <c r="AQ115" s="34" t="s">
        <v>5</v>
      </c>
      <c r="AV115" s="39">
        <f>AW115+AX115</f>
        <v>0</v>
      </c>
      <c r="AW115" s="39">
        <f>F115*AO115</f>
        <v>0</v>
      </c>
      <c r="AX115" s="39">
        <f>F115*AP115</f>
        <v>0</v>
      </c>
      <c r="AY115" s="40" t="s">
        <v>1983</v>
      </c>
      <c r="AZ115" s="40" t="s">
        <v>2032</v>
      </c>
      <c r="BA115" s="30" t="s">
        <v>2045</v>
      </c>
      <c r="BC115" s="39">
        <f>AW115+AX115</f>
        <v>0</v>
      </c>
      <c r="BD115" s="39">
        <f>G115/(100-BE115)*100</f>
        <v>0</v>
      </c>
      <c r="BE115" s="39">
        <v>0</v>
      </c>
      <c r="BF115" s="39">
        <f>L115</f>
        <v>0.20937962649999997</v>
      </c>
      <c r="BH115" s="21">
        <f>F115*AO115</f>
        <v>0</v>
      </c>
      <c r="BI115" s="21">
        <f>F115*AP115</f>
        <v>0</v>
      </c>
      <c r="BJ115" s="21">
        <f>F115*G115</f>
        <v>0</v>
      </c>
    </row>
    <row r="116" spans="1:62">
      <c r="C116" s="16" t="s">
        <v>609</v>
      </c>
      <c r="D116" s="919" t="s">
        <v>1312</v>
      </c>
      <c r="E116" s="920"/>
      <c r="F116" s="920"/>
      <c r="G116" s="920"/>
      <c r="H116" s="920"/>
      <c r="I116" s="920"/>
      <c r="J116" s="920"/>
      <c r="K116" s="920"/>
      <c r="L116" s="920"/>
      <c r="M116" s="920"/>
    </row>
    <row r="117" spans="1:62">
      <c r="A117" s="5" t="s">
        <v>74</v>
      </c>
      <c r="B117" s="5"/>
      <c r="C117" s="5" t="s">
        <v>678</v>
      </c>
      <c r="D117" s="5" t="s">
        <v>1313</v>
      </c>
      <c r="E117" s="5" t="s">
        <v>1943</v>
      </c>
      <c r="F117" s="21">
        <v>6</v>
      </c>
      <c r="G117" s="753">
        <v>0</v>
      </c>
      <c r="H117" s="21">
        <f t="shared" ref="H117:H130" si="48">F117*AO117</f>
        <v>0</v>
      </c>
      <c r="I117" s="21">
        <f t="shared" ref="I117:I130" si="49">F117*AP117</f>
        <v>0</v>
      </c>
      <c r="J117" s="21">
        <f t="shared" ref="J117:J130" si="50">F117*G117</f>
        <v>0</v>
      </c>
      <c r="K117" s="21">
        <v>7.1300000000000001E-3</v>
      </c>
      <c r="L117" s="21">
        <f t="shared" ref="L117:L130" si="51">F117*K117</f>
        <v>4.2779999999999999E-2</v>
      </c>
      <c r="M117" s="34" t="s">
        <v>1961</v>
      </c>
      <c r="Z117" s="39">
        <f t="shared" ref="Z117:Z130" si="52">IF(AQ117="5",BJ117,0)</f>
        <v>0</v>
      </c>
      <c r="AB117" s="39">
        <f t="shared" ref="AB117:AB130" si="53">IF(AQ117="1",BH117,0)</f>
        <v>0</v>
      </c>
      <c r="AC117" s="39">
        <f t="shared" ref="AC117:AC130" si="54">IF(AQ117="1",BI117,0)</f>
        <v>0</v>
      </c>
      <c r="AD117" s="39">
        <f t="shared" ref="AD117:AD130" si="55">IF(AQ117="7",BH117,0)</f>
        <v>0</v>
      </c>
      <c r="AE117" s="39">
        <f t="shared" ref="AE117:AE130" si="56">IF(AQ117="7",BI117,0)</f>
        <v>0</v>
      </c>
      <c r="AF117" s="39">
        <f t="shared" ref="AF117:AF130" si="57">IF(AQ117="2",BH117,0)</f>
        <v>0</v>
      </c>
      <c r="AG117" s="39">
        <f t="shared" ref="AG117:AG130" si="58">IF(AQ117="2",BI117,0)</f>
        <v>0</v>
      </c>
      <c r="AH117" s="39">
        <f t="shared" ref="AH117:AH130" si="59">IF(AQ117="0",BJ117,0)</f>
        <v>0</v>
      </c>
      <c r="AI117" s="30"/>
      <c r="AJ117" s="21">
        <f t="shared" ref="AJ117:AJ130" si="60">IF(AN117=0,J117,0)</f>
        <v>0</v>
      </c>
      <c r="AK117" s="21">
        <f t="shared" ref="AK117:AK130" si="61">IF(AN117=15,J117,0)</f>
        <v>0</v>
      </c>
      <c r="AL117" s="21">
        <f t="shared" ref="AL117:AL130" si="62">IF(AN117=21,J117,0)</f>
        <v>0</v>
      </c>
      <c r="AN117" s="39">
        <v>21</v>
      </c>
      <c r="AO117" s="39">
        <f>G117*0.0526815642458101</f>
        <v>0</v>
      </c>
      <c r="AP117" s="39">
        <f>G117*(1-0.0526815642458101)</f>
        <v>0</v>
      </c>
      <c r="AQ117" s="34" t="s">
        <v>5</v>
      </c>
      <c r="AV117" s="39">
        <f t="shared" ref="AV117:AV130" si="63">AW117+AX117</f>
        <v>0</v>
      </c>
      <c r="AW117" s="39">
        <f t="shared" ref="AW117:AW130" si="64">F117*AO117</f>
        <v>0</v>
      </c>
      <c r="AX117" s="39">
        <f t="shared" ref="AX117:AX130" si="65">F117*AP117</f>
        <v>0</v>
      </c>
      <c r="AY117" s="40" t="s">
        <v>1983</v>
      </c>
      <c r="AZ117" s="40" t="s">
        <v>2032</v>
      </c>
      <c r="BA117" s="30" t="s">
        <v>2045</v>
      </c>
      <c r="BC117" s="39">
        <f t="shared" ref="BC117:BC130" si="66">AW117+AX117</f>
        <v>0</v>
      </c>
      <c r="BD117" s="39">
        <f t="shared" ref="BD117:BD130" si="67">G117/(100-BE117)*100</f>
        <v>0</v>
      </c>
      <c r="BE117" s="39">
        <v>0</v>
      </c>
      <c r="BF117" s="39">
        <f t="shared" ref="BF117:BF130" si="68">L117</f>
        <v>4.2779999999999999E-2</v>
      </c>
      <c r="BH117" s="21">
        <f t="shared" ref="BH117:BH130" si="69">F117*AO117</f>
        <v>0</v>
      </c>
      <c r="BI117" s="21">
        <f t="shared" ref="BI117:BI130" si="70">F117*AP117</f>
        <v>0</v>
      </c>
      <c r="BJ117" s="21">
        <f t="shared" ref="BJ117:BJ130" si="71">F117*G117</f>
        <v>0</v>
      </c>
    </row>
    <row r="118" spans="1:62">
      <c r="A118" s="6" t="s">
        <v>75</v>
      </c>
      <c r="B118" s="6"/>
      <c r="C118" s="6" t="s">
        <v>679</v>
      </c>
      <c r="D118" s="6" t="s">
        <v>1314</v>
      </c>
      <c r="E118" s="6" t="s">
        <v>1943</v>
      </c>
      <c r="F118" s="22">
        <v>6</v>
      </c>
      <c r="G118" s="754">
        <v>0</v>
      </c>
      <c r="H118" s="22">
        <f t="shared" si="48"/>
        <v>0</v>
      </c>
      <c r="I118" s="22">
        <f t="shared" si="49"/>
        <v>0</v>
      </c>
      <c r="J118" s="22">
        <f t="shared" si="50"/>
        <v>0</v>
      </c>
      <c r="K118" s="22">
        <v>5.5E-2</v>
      </c>
      <c r="L118" s="22">
        <f t="shared" si="51"/>
        <v>0.33</v>
      </c>
      <c r="M118" s="35" t="s">
        <v>1961</v>
      </c>
      <c r="Z118" s="39">
        <f t="shared" si="52"/>
        <v>0</v>
      </c>
      <c r="AB118" s="39">
        <f t="shared" si="53"/>
        <v>0</v>
      </c>
      <c r="AC118" s="39">
        <f t="shared" si="54"/>
        <v>0</v>
      </c>
      <c r="AD118" s="39">
        <f t="shared" si="55"/>
        <v>0</v>
      </c>
      <c r="AE118" s="39">
        <f t="shared" si="56"/>
        <v>0</v>
      </c>
      <c r="AF118" s="39">
        <f t="shared" si="57"/>
        <v>0</v>
      </c>
      <c r="AG118" s="39">
        <f t="shared" si="58"/>
        <v>0</v>
      </c>
      <c r="AH118" s="39">
        <f t="shared" si="59"/>
        <v>0</v>
      </c>
      <c r="AI118" s="30"/>
      <c r="AJ118" s="22">
        <f t="shared" si="60"/>
        <v>0</v>
      </c>
      <c r="AK118" s="22">
        <f t="shared" si="61"/>
        <v>0</v>
      </c>
      <c r="AL118" s="22">
        <f t="shared" si="62"/>
        <v>0</v>
      </c>
      <c r="AN118" s="39">
        <v>21</v>
      </c>
      <c r="AO118" s="39">
        <f>G118*1</f>
        <v>0</v>
      </c>
      <c r="AP118" s="39">
        <f>G118*(1-1)</f>
        <v>0</v>
      </c>
      <c r="AQ118" s="35" t="s">
        <v>5</v>
      </c>
      <c r="AV118" s="39">
        <f t="shared" si="63"/>
        <v>0</v>
      </c>
      <c r="AW118" s="39">
        <f t="shared" si="64"/>
        <v>0</v>
      </c>
      <c r="AX118" s="39">
        <f t="shared" si="65"/>
        <v>0</v>
      </c>
      <c r="AY118" s="40" t="s">
        <v>1983</v>
      </c>
      <c r="AZ118" s="40" t="s">
        <v>2032</v>
      </c>
      <c r="BA118" s="30" t="s">
        <v>2045</v>
      </c>
      <c r="BC118" s="39">
        <f t="shared" si="66"/>
        <v>0</v>
      </c>
      <c r="BD118" s="39">
        <f t="shared" si="67"/>
        <v>0</v>
      </c>
      <c r="BE118" s="39">
        <v>0</v>
      </c>
      <c r="BF118" s="39">
        <f t="shared" si="68"/>
        <v>0.33</v>
      </c>
      <c r="BH118" s="22">
        <f t="shared" si="69"/>
        <v>0</v>
      </c>
      <c r="BI118" s="22">
        <f t="shared" si="70"/>
        <v>0</v>
      </c>
      <c r="BJ118" s="22">
        <f t="shared" si="71"/>
        <v>0</v>
      </c>
    </row>
    <row r="119" spans="1:62">
      <c r="A119" s="5" t="s">
        <v>76</v>
      </c>
      <c r="B119" s="5"/>
      <c r="C119" s="5" t="s">
        <v>680</v>
      </c>
      <c r="D119" s="5" t="s">
        <v>1315</v>
      </c>
      <c r="E119" s="5" t="s">
        <v>1943</v>
      </c>
      <c r="F119" s="21">
        <v>10</v>
      </c>
      <c r="G119" s="753">
        <v>0</v>
      </c>
      <c r="H119" s="21">
        <f t="shared" si="48"/>
        <v>0</v>
      </c>
      <c r="I119" s="21">
        <f t="shared" si="49"/>
        <v>0</v>
      </c>
      <c r="J119" s="21">
        <f t="shared" si="50"/>
        <v>0</v>
      </c>
      <c r="K119" s="21">
        <v>9.4999999999999998E-3</v>
      </c>
      <c r="L119" s="21">
        <f t="shared" si="51"/>
        <v>9.5000000000000001E-2</v>
      </c>
      <c r="M119" s="34" t="s">
        <v>1961</v>
      </c>
      <c r="Z119" s="39">
        <f t="shared" si="52"/>
        <v>0</v>
      </c>
      <c r="AB119" s="39">
        <f t="shared" si="53"/>
        <v>0</v>
      </c>
      <c r="AC119" s="39">
        <f t="shared" si="54"/>
        <v>0</v>
      </c>
      <c r="AD119" s="39">
        <f t="shared" si="55"/>
        <v>0</v>
      </c>
      <c r="AE119" s="39">
        <f t="shared" si="56"/>
        <v>0</v>
      </c>
      <c r="AF119" s="39">
        <f t="shared" si="57"/>
        <v>0</v>
      </c>
      <c r="AG119" s="39">
        <f t="shared" si="58"/>
        <v>0</v>
      </c>
      <c r="AH119" s="39">
        <f t="shared" si="59"/>
        <v>0</v>
      </c>
      <c r="AI119" s="30"/>
      <c r="AJ119" s="21">
        <f t="shared" si="60"/>
        <v>0</v>
      </c>
      <c r="AK119" s="21">
        <f t="shared" si="61"/>
        <v>0</v>
      </c>
      <c r="AL119" s="21">
        <f t="shared" si="62"/>
        <v>0</v>
      </c>
      <c r="AN119" s="39">
        <v>21</v>
      </c>
      <c r="AO119" s="39">
        <f>G119*0.0561968680089485</f>
        <v>0</v>
      </c>
      <c r="AP119" s="39">
        <f>G119*(1-0.0561968680089485)</f>
        <v>0</v>
      </c>
      <c r="AQ119" s="34" t="s">
        <v>5</v>
      </c>
      <c r="AV119" s="39">
        <f t="shared" si="63"/>
        <v>0</v>
      </c>
      <c r="AW119" s="39">
        <f t="shared" si="64"/>
        <v>0</v>
      </c>
      <c r="AX119" s="39">
        <f t="shared" si="65"/>
        <v>0</v>
      </c>
      <c r="AY119" s="40" t="s">
        <v>1983</v>
      </c>
      <c r="AZ119" s="40" t="s">
        <v>2032</v>
      </c>
      <c r="BA119" s="30" t="s">
        <v>2045</v>
      </c>
      <c r="BC119" s="39">
        <f t="shared" si="66"/>
        <v>0</v>
      </c>
      <c r="BD119" s="39">
        <f t="shared" si="67"/>
        <v>0</v>
      </c>
      <c r="BE119" s="39">
        <v>0</v>
      </c>
      <c r="BF119" s="39">
        <f t="shared" si="68"/>
        <v>9.5000000000000001E-2</v>
      </c>
      <c r="BH119" s="21">
        <f t="shared" si="69"/>
        <v>0</v>
      </c>
      <c r="BI119" s="21">
        <f t="shared" si="70"/>
        <v>0</v>
      </c>
      <c r="BJ119" s="21">
        <f t="shared" si="71"/>
        <v>0</v>
      </c>
    </row>
    <row r="120" spans="1:62">
      <c r="A120" s="6" t="s">
        <v>77</v>
      </c>
      <c r="B120" s="6"/>
      <c r="C120" s="6" t="s">
        <v>681</v>
      </c>
      <c r="D120" s="6" t="s">
        <v>1316</v>
      </c>
      <c r="E120" s="6" t="s">
        <v>1943</v>
      </c>
      <c r="F120" s="22">
        <v>2</v>
      </c>
      <c r="G120" s="754">
        <v>0</v>
      </c>
      <c r="H120" s="22">
        <f t="shared" si="48"/>
        <v>0</v>
      </c>
      <c r="I120" s="22">
        <f t="shared" si="49"/>
        <v>0</v>
      </c>
      <c r="J120" s="22">
        <f t="shared" si="50"/>
        <v>0</v>
      </c>
      <c r="K120" s="22">
        <v>0.161</v>
      </c>
      <c r="L120" s="22">
        <f t="shared" si="51"/>
        <v>0.32200000000000001</v>
      </c>
      <c r="M120" s="35" t="s">
        <v>1961</v>
      </c>
      <c r="Z120" s="39">
        <f t="shared" si="52"/>
        <v>0</v>
      </c>
      <c r="AB120" s="39">
        <f t="shared" si="53"/>
        <v>0</v>
      </c>
      <c r="AC120" s="39">
        <f t="shared" si="54"/>
        <v>0</v>
      </c>
      <c r="AD120" s="39">
        <f t="shared" si="55"/>
        <v>0</v>
      </c>
      <c r="AE120" s="39">
        <f t="shared" si="56"/>
        <v>0</v>
      </c>
      <c r="AF120" s="39">
        <f t="shared" si="57"/>
        <v>0</v>
      </c>
      <c r="AG120" s="39">
        <f t="shared" si="58"/>
        <v>0</v>
      </c>
      <c r="AH120" s="39">
        <f t="shared" si="59"/>
        <v>0</v>
      </c>
      <c r="AI120" s="30"/>
      <c r="AJ120" s="22">
        <f t="shared" si="60"/>
        <v>0</v>
      </c>
      <c r="AK120" s="22">
        <f t="shared" si="61"/>
        <v>0</v>
      </c>
      <c r="AL120" s="22">
        <f t="shared" si="62"/>
        <v>0</v>
      </c>
      <c r="AN120" s="39">
        <v>21</v>
      </c>
      <c r="AO120" s="39">
        <f>G120*1</f>
        <v>0</v>
      </c>
      <c r="AP120" s="39">
        <f>G120*(1-1)</f>
        <v>0</v>
      </c>
      <c r="AQ120" s="35" t="s">
        <v>5</v>
      </c>
      <c r="AV120" s="39">
        <f t="shared" si="63"/>
        <v>0</v>
      </c>
      <c r="AW120" s="39">
        <f t="shared" si="64"/>
        <v>0</v>
      </c>
      <c r="AX120" s="39">
        <f t="shared" si="65"/>
        <v>0</v>
      </c>
      <c r="AY120" s="40" t="s">
        <v>1983</v>
      </c>
      <c r="AZ120" s="40" t="s">
        <v>2032</v>
      </c>
      <c r="BA120" s="30" t="s">
        <v>2045</v>
      </c>
      <c r="BC120" s="39">
        <f t="shared" si="66"/>
        <v>0</v>
      </c>
      <c r="BD120" s="39">
        <f t="shared" si="67"/>
        <v>0</v>
      </c>
      <c r="BE120" s="39">
        <v>0</v>
      </c>
      <c r="BF120" s="39">
        <f t="shared" si="68"/>
        <v>0.32200000000000001</v>
      </c>
      <c r="BH120" s="22">
        <f t="shared" si="69"/>
        <v>0</v>
      </c>
      <c r="BI120" s="22">
        <f t="shared" si="70"/>
        <v>0</v>
      </c>
      <c r="BJ120" s="22">
        <f t="shared" si="71"/>
        <v>0</v>
      </c>
    </row>
    <row r="121" spans="1:62">
      <c r="A121" s="6" t="s">
        <v>78</v>
      </c>
      <c r="B121" s="6"/>
      <c r="C121" s="6" t="s">
        <v>682</v>
      </c>
      <c r="D121" s="6" t="s">
        <v>1317</v>
      </c>
      <c r="E121" s="6" t="s">
        <v>1943</v>
      </c>
      <c r="F121" s="22">
        <v>1</v>
      </c>
      <c r="G121" s="754">
        <v>0</v>
      </c>
      <c r="H121" s="22">
        <f t="shared" si="48"/>
        <v>0</v>
      </c>
      <c r="I121" s="22">
        <f t="shared" si="49"/>
        <v>0</v>
      </c>
      <c r="J121" s="22">
        <f t="shared" si="50"/>
        <v>0</v>
      </c>
      <c r="K121" s="22">
        <v>6.4000000000000001E-2</v>
      </c>
      <c r="L121" s="22">
        <f t="shared" si="51"/>
        <v>6.4000000000000001E-2</v>
      </c>
      <c r="M121" s="35" t="s">
        <v>1961</v>
      </c>
      <c r="Z121" s="39">
        <f t="shared" si="52"/>
        <v>0</v>
      </c>
      <c r="AB121" s="39">
        <f t="shared" si="53"/>
        <v>0</v>
      </c>
      <c r="AC121" s="39">
        <f t="shared" si="54"/>
        <v>0</v>
      </c>
      <c r="AD121" s="39">
        <f t="shared" si="55"/>
        <v>0</v>
      </c>
      <c r="AE121" s="39">
        <f t="shared" si="56"/>
        <v>0</v>
      </c>
      <c r="AF121" s="39">
        <f t="shared" si="57"/>
        <v>0</v>
      </c>
      <c r="AG121" s="39">
        <f t="shared" si="58"/>
        <v>0</v>
      </c>
      <c r="AH121" s="39">
        <f t="shared" si="59"/>
        <v>0</v>
      </c>
      <c r="AI121" s="30"/>
      <c r="AJ121" s="22">
        <f t="shared" si="60"/>
        <v>0</v>
      </c>
      <c r="AK121" s="22">
        <f t="shared" si="61"/>
        <v>0</v>
      </c>
      <c r="AL121" s="22">
        <f t="shared" si="62"/>
        <v>0</v>
      </c>
      <c r="AN121" s="39">
        <v>21</v>
      </c>
      <c r="AO121" s="39">
        <f>G121*1</f>
        <v>0</v>
      </c>
      <c r="AP121" s="39">
        <f>G121*(1-1)</f>
        <v>0</v>
      </c>
      <c r="AQ121" s="35" t="s">
        <v>5</v>
      </c>
      <c r="AV121" s="39">
        <f t="shared" si="63"/>
        <v>0</v>
      </c>
      <c r="AW121" s="39">
        <f t="shared" si="64"/>
        <v>0</v>
      </c>
      <c r="AX121" s="39">
        <f t="shared" si="65"/>
        <v>0</v>
      </c>
      <c r="AY121" s="40" t="s">
        <v>1983</v>
      </c>
      <c r="AZ121" s="40" t="s">
        <v>2032</v>
      </c>
      <c r="BA121" s="30" t="s">
        <v>2045</v>
      </c>
      <c r="BC121" s="39">
        <f t="shared" si="66"/>
        <v>0</v>
      </c>
      <c r="BD121" s="39">
        <f t="shared" si="67"/>
        <v>0</v>
      </c>
      <c r="BE121" s="39">
        <v>0</v>
      </c>
      <c r="BF121" s="39">
        <f t="shared" si="68"/>
        <v>6.4000000000000001E-2</v>
      </c>
      <c r="BH121" s="22">
        <f t="shared" si="69"/>
        <v>0</v>
      </c>
      <c r="BI121" s="22">
        <f t="shared" si="70"/>
        <v>0</v>
      </c>
      <c r="BJ121" s="22">
        <f t="shared" si="71"/>
        <v>0</v>
      </c>
    </row>
    <row r="122" spans="1:62">
      <c r="A122" s="6" t="s">
        <v>79</v>
      </c>
      <c r="B122" s="6"/>
      <c r="C122" s="6" t="s">
        <v>683</v>
      </c>
      <c r="D122" s="6" t="s">
        <v>1318</v>
      </c>
      <c r="E122" s="6" t="s">
        <v>1943</v>
      </c>
      <c r="F122" s="22">
        <v>2</v>
      </c>
      <c r="G122" s="754">
        <v>0</v>
      </c>
      <c r="H122" s="22">
        <f t="shared" si="48"/>
        <v>0</v>
      </c>
      <c r="I122" s="22">
        <f t="shared" si="49"/>
        <v>0</v>
      </c>
      <c r="J122" s="22">
        <f t="shared" si="50"/>
        <v>0</v>
      </c>
      <c r="K122" s="22">
        <v>8.2000000000000003E-2</v>
      </c>
      <c r="L122" s="22">
        <f t="shared" si="51"/>
        <v>0.16400000000000001</v>
      </c>
      <c r="M122" s="35" t="s">
        <v>1961</v>
      </c>
      <c r="Z122" s="39">
        <f t="shared" si="52"/>
        <v>0</v>
      </c>
      <c r="AB122" s="39">
        <f t="shared" si="53"/>
        <v>0</v>
      </c>
      <c r="AC122" s="39">
        <f t="shared" si="54"/>
        <v>0</v>
      </c>
      <c r="AD122" s="39">
        <f t="shared" si="55"/>
        <v>0</v>
      </c>
      <c r="AE122" s="39">
        <f t="shared" si="56"/>
        <v>0</v>
      </c>
      <c r="AF122" s="39">
        <f t="shared" si="57"/>
        <v>0</v>
      </c>
      <c r="AG122" s="39">
        <f t="shared" si="58"/>
        <v>0</v>
      </c>
      <c r="AH122" s="39">
        <f t="shared" si="59"/>
        <v>0</v>
      </c>
      <c r="AI122" s="30"/>
      <c r="AJ122" s="22">
        <f t="shared" si="60"/>
        <v>0</v>
      </c>
      <c r="AK122" s="22">
        <f t="shared" si="61"/>
        <v>0</v>
      </c>
      <c r="AL122" s="22">
        <f t="shared" si="62"/>
        <v>0</v>
      </c>
      <c r="AN122" s="39">
        <v>21</v>
      </c>
      <c r="AO122" s="39">
        <f>G122*1</f>
        <v>0</v>
      </c>
      <c r="AP122" s="39">
        <f>G122*(1-1)</f>
        <v>0</v>
      </c>
      <c r="AQ122" s="35" t="s">
        <v>5</v>
      </c>
      <c r="AV122" s="39">
        <f t="shared" si="63"/>
        <v>0</v>
      </c>
      <c r="AW122" s="39">
        <f t="shared" si="64"/>
        <v>0</v>
      </c>
      <c r="AX122" s="39">
        <f t="shared" si="65"/>
        <v>0</v>
      </c>
      <c r="AY122" s="40" t="s">
        <v>1983</v>
      </c>
      <c r="AZ122" s="40" t="s">
        <v>2032</v>
      </c>
      <c r="BA122" s="30" t="s">
        <v>2045</v>
      </c>
      <c r="BC122" s="39">
        <f t="shared" si="66"/>
        <v>0</v>
      </c>
      <c r="BD122" s="39">
        <f t="shared" si="67"/>
        <v>0</v>
      </c>
      <c r="BE122" s="39">
        <v>0</v>
      </c>
      <c r="BF122" s="39">
        <f t="shared" si="68"/>
        <v>0.16400000000000001</v>
      </c>
      <c r="BH122" s="22">
        <f t="shared" si="69"/>
        <v>0</v>
      </c>
      <c r="BI122" s="22">
        <f t="shared" si="70"/>
        <v>0</v>
      </c>
      <c r="BJ122" s="22">
        <f t="shared" si="71"/>
        <v>0</v>
      </c>
    </row>
    <row r="123" spans="1:62">
      <c r="A123" s="6" t="s">
        <v>80</v>
      </c>
      <c r="B123" s="6"/>
      <c r="C123" s="6" t="s">
        <v>684</v>
      </c>
      <c r="D123" s="6" t="s">
        <v>1319</v>
      </c>
      <c r="E123" s="6" t="s">
        <v>1943</v>
      </c>
      <c r="F123" s="22">
        <v>3</v>
      </c>
      <c r="G123" s="754">
        <v>0</v>
      </c>
      <c r="H123" s="22">
        <f t="shared" si="48"/>
        <v>0</v>
      </c>
      <c r="I123" s="22">
        <f t="shared" si="49"/>
        <v>0</v>
      </c>
      <c r="J123" s="22">
        <f t="shared" si="50"/>
        <v>0</v>
      </c>
      <c r="K123" s="22">
        <v>7.3999999999999996E-2</v>
      </c>
      <c r="L123" s="22">
        <f t="shared" si="51"/>
        <v>0.22199999999999998</v>
      </c>
      <c r="M123" s="35" t="s">
        <v>1961</v>
      </c>
      <c r="Z123" s="39">
        <f t="shared" si="52"/>
        <v>0</v>
      </c>
      <c r="AB123" s="39">
        <f t="shared" si="53"/>
        <v>0</v>
      </c>
      <c r="AC123" s="39">
        <f t="shared" si="54"/>
        <v>0</v>
      </c>
      <c r="AD123" s="39">
        <f t="shared" si="55"/>
        <v>0</v>
      </c>
      <c r="AE123" s="39">
        <f t="shared" si="56"/>
        <v>0</v>
      </c>
      <c r="AF123" s="39">
        <f t="shared" si="57"/>
        <v>0</v>
      </c>
      <c r="AG123" s="39">
        <f t="shared" si="58"/>
        <v>0</v>
      </c>
      <c r="AH123" s="39">
        <f t="shared" si="59"/>
        <v>0</v>
      </c>
      <c r="AI123" s="30"/>
      <c r="AJ123" s="22">
        <f t="shared" si="60"/>
        <v>0</v>
      </c>
      <c r="AK123" s="22">
        <f t="shared" si="61"/>
        <v>0</v>
      </c>
      <c r="AL123" s="22">
        <f t="shared" si="62"/>
        <v>0</v>
      </c>
      <c r="AN123" s="39">
        <v>21</v>
      </c>
      <c r="AO123" s="39">
        <f>G123*1</f>
        <v>0</v>
      </c>
      <c r="AP123" s="39">
        <f>G123*(1-1)</f>
        <v>0</v>
      </c>
      <c r="AQ123" s="35" t="s">
        <v>5</v>
      </c>
      <c r="AV123" s="39">
        <f t="shared" si="63"/>
        <v>0</v>
      </c>
      <c r="AW123" s="39">
        <f t="shared" si="64"/>
        <v>0</v>
      </c>
      <c r="AX123" s="39">
        <f t="shared" si="65"/>
        <v>0</v>
      </c>
      <c r="AY123" s="40" t="s">
        <v>1983</v>
      </c>
      <c r="AZ123" s="40" t="s">
        <v>2032</v>
      </c>
      <c r="BA123" s="30" t="s">
        <v>2045</v>
      </c>
      <c r="BC123" s="39">
        <f t="shared" si="66"/>
        <v>0</v>
      </c>
      <c r="BD123" s="39">
        <f t="shared" si="67"/>
        <v>0</v>
      </c>
      <c r="BE123" s="39">
        <v>0</v>
      </c>
      <c r="BF123" s="39">
        <f t="shared" si="68"/>
        <v>0.22199999999999998</v>
      </c>
      <c r="BH123" s="22">
        <f t="shared" si="69"/>
        <v>0</v>
      </c>
      <c r="BI123" s="22">
        <f t="shared" si="70"/>
        <v>0</v>
      </c>
      <c r="BJ123" s="22">
        <f t="shared" si="71"/>
        <v>0</v>
      </c>
    </row>
    <row r="124" spans="1:62">
      <c r="A124" s="6" t="s">
        <v>81</v>
      </c>
      <c r="B124" s="6"/>
      <c r="C124" s="6" t="s">
        <v>685</v>
      </c>
      <c r="D124" s="6" t="s">
        <v>1320</v>
      </c>
      <c r="E124" s="6" t="s">
        <v>1943</v>
      </c>
      <c r="F124" s="22">
        <v>2</v>
      </c>
      <c r="G124" s="754">
        <v>0</v>
      </c>
      <c r="H124" s="22">
        <f t="shared" si="48"/>
        <v>0</v>
      </c>
      <c r="I124" s="22">
        <f t="shared" si="49"/>
        <v>0</v>
      </c>
      <c r="J124" s="22">
        <f t="shared" si="50"/>
        <v>0</v>
      </c>
      <c r="K124" s="22">
        <v>8.7999999999999995E-2</v>
      </c>
      <c r="L124" s="22">
        <f t="shared" si="51"/>
        <v>0.17599999999999999</v>
      </c>
      <c r="M124" s="35" t="s">
        <v>1961</v>
      </c>
      <c r="Z124" s="39">
        <f t="shared" si="52"/>
        <v>0</v>
      </c>
      <c r="AB124" s="39">
        <f t="shared" si="53"/>
        <v>0</v>
      </c>
      <c r="AC124" s="39">
        <f t="shared" si="54"/>
        <v>0</v>
      </c>
      <c r="AD124" s="39">
        <f t="shared" si="55"/>
        <v>0</v>
      </c>
      <c r="AE124" s="39">
        <f t="shared" si="56"/>
        <v>0</v>
      </c>
      <c r="AF124" s="39">
        <f t="shared" si="57"/>
        <v>0</v>
      </c>
      <c r="AG124" s="39">
        <f t="shared" si="58"/>
        <v>0</v>
      </c>
      <c r="AH124" s="39">
        <f t="shared" si="59"/>
        <v>0</v>
      </c>
      <c r="AI124" s="30"/>
      <c r="AJ124" s="22">
        <f t="shared" si="60"/>
        <v>0</v>
      </c>
      <c r="AK124" s="22">
        <f t="shared" si="61"/>
        <v>0</v>
      </c>
      <c r="AL124" s="22">
        <f t="shared" si="62"/>
        <v>0</v>
      </c>
      <c r="AN124" s="39">
        <v>21</v>
      </c>
      <c r="AO124" s="39">
        <f>G124*1</f>
        <v>0</v>
      </c>
      <c r="AP124" s="39">
        <f>G124*(1-1)</f>
        <v>0</v>
      </c>
      <c r="AQ124" s="35" t="s">
        <v>5</v>
      </c>
      <c r="AV124" s="39">
        <f t="shared" si="63"/>
        <v>0</v>
      </c>
      <c r="AW124" s="39">
        <f t="shared" si="64"/>
        <v>0</v>
      </c>
      <c r="AX124" s="39">
        <f t="shared" si="65"/>
        <v>0</v>
      </c>
      <c r="AY124" s="40" t="s">
        <v>1983</v>
      </c>
      <c r="AZ124" s="40" t="s">
        <v>2032</v>
      </c>
      <c r="BA124" s="30" t="s">
        <v>2045</v>
      </c>
      <c r="BC124" s="39">
        <f t="shared" si="66"/>
        <v>0</v>
      </c>
      <c r="BD124" s="39">
        <f t="shared" si="67"/>
        <v>0</v>
      </c>
      <c r="BE124" s="39">
        <v>0</v>
      </c>
      <c r="BF124" s="39">
        <f t="shared" si="68"/>
        <v>0.17599999999999999</v>
      </c>
      <c r="BH124" s="22">
        <f t="shared" si="69"/>
        <v>0</v>
      </c>
      <c r="BI124" s="22">
        <f t="shared" si="70"/>
        <v>0</v>
      </c>
      <c r="BJ124" s="22">
        <f t="shared" si="71"/>
        <v>0</v>
      </c>
    </row>
    <row r="125" spans="1:62">
      <c r="A125" s="5" t="s">
        <v>82</v>
      </c>
      <c r="B125" s="5"/>
      <c r="C125" s="5" t="s">
        <v>686</v>
      </c>
      <c r="D125" s="5" t="s">
        <v>1321</v>
      </c>
      <c r="E125" s="5" t="s">
        <v>1943</v>
      </c>
      <c r="F125" s="21">
        <v>6</v>
      </c>
      <c r="G125" s="753">
        <v>0</v>
      </c>
      <c r="H125" s="21">
        <f t="shared" si="48"/>
        <v>0</v>
      </c>
      <c r="I125" s="21">
        <f t="shared" si="49"/>
        <v>0</v>
      </c>
      <c r="J125" s="21">
        <f t="shared" si="50"/>
        <v>0</v>
      </c>
      <c r="K125" s="21">
        <v>1.188E-2</v>
      </c>
      <c r="L125" s="21">
        <f t="shared" si="51"/>
        <v>7.1279999999999996E-2</v>
      </c>
      <c r="M125" s="34" t="s">
        <v>1961</v>
      </c>
      <c r="Z125" s="39">
        <f t="shared" si="52"/>
        <v>0</v>
      </c>
      <c r="AB125" s="39">
        <f t="shared" si="53"/>
        <v>0</v>
      </c>
      <c r="AC125" s="39">
        <f t="shared" si="54"/>
        <v>0</v>
      </c>
      <c r="AD125" s="39">
        <f t="shared" si="55"/>
        <v>0</v>
      </c>
      <c r="AE125" s="39">
        <f t="shared" si="56"/>
        <v>0</v>
      </c>
      <c r="AF125" s="39">
        <f t="shared" si="57"/>
        <v>0</v>
      </c>
      <c r="AG125" s="39">
        <f t="shared" si="58"/>
        <v>0</v>
      </c>
      <c r="AH125" s="39">
        <f t="shared" si="59"/>
        <v>0</v>
      </c>
      <c r="AI125" s="30"/>
      <c r="AJ125" s="21">
        <f t="shared" si="60"/>
        <v>0</v>
      </c>
      <c r="AK125" s="21">
        <f t="shared" si="61"/>
        <v>0</v>
      </c>
      <c r="AL125" s="21">
        <f t="shared" si="62"/>
        <v>0</v>
      </c>
      <c r="AN125" s="39">
        <v>21</v>
      </c>
      <c r="AO125" s="39">
        <f>G125*0.0467573439685705</f>
        <v>0</v>
      </c>
      <c r="AP125" s="39">
        <f>G125*(1-0.0467573439685705)</f>
        <v>0</v>
      </c>
      <c r="AQ125" s="34" t="s">
        <v>5</v>
      </c>
      <c r="AV125" s="39">
        <f t="shared" si="63"/>
        <v>0</v>
      </c>
      <c r="AW125" s="39">
        <f t="shared" si="64"/>
        <v>0</v>
      </c>
      <c r="AX125" s="39">
        <f t="shared" si="65"/>
        <v>0</v>
      </c>
      <c r="AY125" s="40" t="s">
        <v>1983</v>
      </c>
      <c r="AZ125" s="40" t="s">
        <v>2032</v>
      </c>
      <c r="BA125" s="30" t="s">
        <v>2045</v>
      </c>
      <c r="BC125" s="39">
        <f t="shared" si="66"/>
        <v>0</v>
      </c>
      <c r="BD125" s="39">
        <f t="shared" si="67"/>
        <v>0</v>
      </c>
      <c r="BE125" s="39">
        <v>0</v>
      </c>
      <c r="BF125" s="39">
        <f t="shared" si="68"/>
        <v>7.1279999999999996E-2</v>
      </c>
      <c r="BH125" s="21">
        <f t="shared" si="69"/>
        <v>0</v>
      </c>
      <c r="BI125" s="21">
        <f t="shared" si="70"/>
        <v>0</v>
      </c>
      <c r="BJ125" s="21">
        <f t="shared" si="71"/>
        <v>0</v>
      </c>
    </row>
    <row r="126" spans="1:62">
      <c r="A126" s="6" t="s">
        <v>83</v>
      </c>
      <c r="B126" s="6"/>
      <c r="C126" s="6" t="s">
        <v>687</v>
      </c>
      <c r="D126" s="6" t="s">
        <v>1322</v>
      </c>
      <c r="E126" s="6" t="s">
        <v>1943</v>
      </c>
      <c r="F126" s="22">
        <v>4</v>
      </c>
      <c r="G126" s="754">
        <v>0</v>
      </c>
      <c r="H126" s="22">
        <f t="shared" si="48"/>
        <v>0</v>
      </c>
      <c r="I126" s="22">
        <f t="shared" si="49"/>
        <v>0</v>
      </c>
      <c r="J126" s="22">
        <f t="shared" si="50"/>
        <v>0</v>
      </c>
      <c r="K126" s="22">
        <v>0.13200000000000001</v>
      </c>
      <c r="L126" s="22">
        <f t="shared" si="51"/>
        <v>0.52800000000000002</v>
      </c>
      <c r="M126" s="35" t="s">
        <v>1961</v>
      </c>
      <c r="Z126" s="39">
        <f t="shared" si="52"/>
        <v>0</v>
      </c>
      <c r="AB126" s="39">
        <f t="shared" si="53"/>
        <v>0</v>
      </c>
      <c r="AC126" s="39">
        <f t="shared" si="54"/>
        <v>0</v>
      </c>
      <c r="AD126" s="39">
        <f t="shared" si="55"/>
        <v>0</v>
      </c>
      <c r="AE126" s="39">
        <f t="shared" si="56"/>
        <v>0</v>
      </c>
      <c r="AF126" s="39">
        <f t="shared" si="57"/>
        <v>0</v>
      </c>
      <c r="AG126" s="39">
        <f t="shared" si="58"/>
        <v>0</v>
      </c>
      <c r="AH126" s="39">
        <f t="shared" si="59"/>
        <v>0</v>
      </c>
      <c r="AI126" s="30"/>
      <c r="AJ126" s="22">
        <f t="shared" si="60"/>
        <v>0</v>
      </c>
      <c r="AK126" s="22">
        <f t="shared" si="61"/>
        <v>0</v>
      </c>
      <c r="AL126" s="22">
        <f t="shared" si="62"/>
        <v>0</v>
      </c>
      <c r="AN126" s="39">
        <v>21</v>
      </c>
      <c r="AO126" s="39">
        <f>G126*1</f>
        <v>0</v>
      </c>
      <c r="AP126" s="39">
        <f>G126*(1-1)</f>
        <v>0</v>
      </c>
      <c r="AQ126" s="35" t="s">
        <v>5</v>
      </c>
      <c r="AV126" s="39">
        <f t="shared" si="63"/>
        <v>0</v>
      </c>
      <c r="AW126" s="39">
        <f t="shared" si="64"/>
        <v>0</v>
      </c>
      <c r="AX126" s="39">
        <f t="shared" si="65"/>
        <v>0</v>
      </c>
      <c r="AY126" s="40" t="s">
        <v>1983</v>
      </c>
      <c r="AZ126" s="40" t="s">
        <v>2032</v>
      </c>
      <c r="BA126" s="30" t="s">
        <v>2045</v>
      </c>
      <c r="BC126" s="39">
        <f t="shared" si="66"/>
        <v>0</v>
      </c>
      <c r="BD126" s="39">
        <f t="shared" si="67"/>
        <v>0</v>
      </c>
      <c r="BE126" s="39">
        <v>0</v>
      </c>
      <c r="BF126" s="39">
        <f t="shared" si="68"/>
        <v>0.52800000000000002</v>
      </c>
      <c r="BH126" s="22">
        <f t="shared" si="69"/>
        <v>0</v>
      </c>
      <c r="BI126" s="22">
        <f t="shared" si="70"/>
        <v>0</v>
      </c>
      <c r="BJ126" s="22">
        <f t="shared" si="71"/>
        <v>0</v>
      </c>
    </row>
    <row r="127" spans="1:62">
      <c r="A127" s="6" t="s">
        <v>84</v>
      </c>
      <c r="B127" s="6"/>
      <c r="C127" s="6" t="s">
        <v>688</v>
      </c>
      <c r="D127" s="6" t="s">
        <v>1323</v>
      </c>
      <c r="E127" s="6" t="s">
        <v>1943</v>
      </c>
      <c r="F127" s="22">
        <v>1</v>
      </c>
      <c r="G127" s="754">
        <v>0</v>
      </c>
      <c r="H127" s="22">
        <f t="shared" si="48"/>
        <v>0</v>
      </c>
      <c r="I127" s="22">
        <f t="shared" si="49"/>
        <v>0</v>
      </c>
      <c r="J127" s="22">
        <f t="shared" si="50"/>
        <v>0</v>
      </c>
      <c r="K127" s="22">
        <v>0.112</v>
      </c>
      <c r="L127" s="22">
        <f t="shared" si="51"/>
        <v>0.112</v>
      </c>
      <c r="M127" s="35" t="s">
        <v>1961</v>
      </c>
      <c r="Z127" s="39">
        <f t="shared" si="52"/>
        <v>0</v>
      </c>
      <c r="AB127" s="39">
        <f t="shared" si="53"/>
        <v>0</v>
      </c>
      <c r="AC127" s="39">
        <f t="shared" si="54"/>
        <v>0</v>
      </c>
      <c r="AD127" s="39">
        <f t="shared" si="55"/>
        <v>0</v>
      </c>
      <c r="AE127" s="39">
        <f t="shared" si="56"/>
        <v>0</v>
      </c>
      <c r="AF127" s="39">
        <f t="shared" si="57"/>
        <v>0</v>
      </c>
      <c r="AG127" s="39">
        <f t="shared" si="58"/>
        <v>0</v>
      </c>
      <c r="AH127" s="39">
        <f t="shared" si="59"/>
        <v>0</v>
      </c>
      <c r="AI127" s="30"/>
      <c r="AJ127" s="22">
        <f t="shared" si="60"/>
        <v>0</v>
      </c>
      <c r="AK127" s="22">
        <f t="shared" si="61"/>
        <v>0</v>
      </c>
      <c r="AL127" s="22">
        <f t="shared" si="62"/>
        <v>0</v>
      </c>
      <c r="AN127" s="39">
        <v>21</v>
      </c>
      <c r="AO127" s="39">
        <f>G127*1</f>
        <v>0</v>
      </c>
      <c r="AP127" s="39">
        <f>G127*(1-1)</f>
        <v>0</v>
      </c>
      <c r="AQ127" s="35" t="s">
        <v>5</v>
      </c>
      <c r="AV127" s="39">
        <f t="shared" si="63"/>
        <v>0</v>
      </c>
      <c r="AW127" s="39">
        <f t="shared" si="64"/>
        <v>0</v>
      </c>
      <c r="AX127" s="39">
        <f t="shared" si="65"/>
        <v>0</v>
      </c>
      <c r="AY127" s="40" t="s">
        <v>1983</v>
      </c>
      <c r="AZ127" s="40" t="s">
        <v>2032</v>
      </c>
      <c r="BA127" s="30" t="s">
        <v>2045</v>
      </c>
      <c r="BC127" s="39">
        <f t="shared" si="66"/>
        <v>0</v>
      </c>
      <c r="BD127" s="39">
        <f t="shared" si="67"/>
        <v>0</v>
      </c>
      <c r="BE127" s="39">
        <v>0</v>
      </c>
      <c r="BF127" s="39">
        <f t="shared" si="68"/>
        <v>0.112</v>
      </c>
      <c r="BH127" s="22">
        <f t="shared" si="69"/>
        <v>0</v>
      </c>
      <c r="BI127" s="22">
        <f t="shared" si="70"/>
        <v>0</v>
      </c>
      <c r="BJ127" s="22">
        <f t="shared" si="71"/>
        <v>0</v>
      </c>
    </row>
    <row r="128" spans="1:62">
      <c r="A128" s="6" t="s">
        <v>85</v>
      </c>
      <c r="B128" s="6"/>
      <c r="C128" s="6" t="s">
        <v>689</v>
      </c>
      <c r="D128" s="6" t="s">
        <v>1324</v>
      </c>
      <c r="E128" s="6" t="s">
        <v>1943</v>
      </c>
      <c r="F128" s="22">
        <v>1</v>
      </c>
      <c r="G128" s="754">
        <v>0</v>
      </c>
      <c r="H128" s="22">
        <f t="shared" si="48"/>
        <v>0</v>
      </c>
      <c r="I128" s="22">
        <f t="shared" si="49"/>
        <v>0</v>
      </c>
      <c r="J128" s="22">
        <f t="shared" si="50"/>
        <v>0</v>
      </c>
      <c r="K128" s="22">
        <v>0.104</v>
      </c>
      <c r="L128" s="22">
        <f t="shared" si="51"/>
        <v>0.104</v>
      </c>
      <c r="M128" s="35" t="s">
        <v>1961</v>
      </c>
      <c r="Z128" s="39">
        <f t="shared" si="52"/>
        <v>0</v>
      </c>
      <c r="AB128" s="39">
        <f t="shared" si="53"/>
        <v>0</v>
      </c>
      <c r="AC128" s="39">
        <f t="shared" si="54"/>
        <v>0</v>
      </c>
      <c r="AD128" s="39">
        <f t="shared" si="55"/>
        <v>0</v>
      </c>
      <c r="AE128" s="39">
        <f t="shared" si="56"/>
        <v>0</v>
      </c>
      <c r="AF128" s="39">
        <f t="shared" si="57"/>
        <v>0</v>
      </c>
      <c r="AG128" s="39">
        <f t="shared" si="58"/>
        <v>0</v>
      </c>
      <c r="AH128" s="39">
        <f t="shared" si="59"/>
        <v>0</v>
      </c>
      <c r="AI128" s="30"/>
      <c r="AJ128" s="22">
        <f t="shared" si="60"/>
        <v>0</v>
      </c>
      <c r="AK128" s="22">
        <f t="shared" si="61"/>
        <v>0</v>
      </c>
      <c r="AL128" s="22">
        <f t="shared" si="62"/>
        <v>0</v>
      </c>
      <c r="AN128" s="39">
        <v>21</v>
      </c>
      <c r="AO128" s="39">
        <f>G128*1</f>
        <v>0</v>
      </c>
      <c r="AP128" s="39">
        <f>G128*(1-1)</f>
        <v>0</v>
      </c>
      <c r="AQ128" s="35" t="s">
        <v>5</v>
      </c>
      <c r="AV128" s="39">
        <f t="shared" si="63"/>
        <v>0</v>
      </c>
      <c r="AW128" s="39">
        <f t="shared" si="64"/>
        <v>0</v>
      </c>
      <c r="AX128" s="39">
        <f t="shared" si="65"/>
        <v>0</v>
      </c>
      <c r="AY128" s="40" t="s">
        <v>1983</v>
      </c>
      <c r="AZ128" s="40" t="s">
        <v>2032</v>
      </c>
      <c r="BA128" s="30" t="s">
        <v>2045</v>
      </c>
      <c r="BC128" s="39">
        <f t="shared" si="66"/>
        <v>0</v>
      </c>
      <c r="BD128" s="39">
        <f t="shared" si="67"/>
        <v>0</v>
      </c>
      <c r="BE128" s="39">
        <v>0</v>
      </c>
      <c r="BF128" s="39">
        <f t="shared" si="68"/>
        <v>0.104</v>
      </c>
      <c r="BH128" s="22">
        <f t="shared" si="69"/>
        <v>0</v>
      </c>
      <c r="BI128" s="22">
        <f t="shared" si="70"/>
        <v>0</v>
      </c>
      <c r="BJ128" s="22">
        <f t="shared" si="71"/>
        <v>0</v>
      </c>
    </row>
    <row r="129" spans="1:62">
      <c r="A129" s="5" t="s">
        <v>86</v>
      </c>
      <c r="B129" s="5"/>
      <c r="C129" s="5" t="s">
        <v>690</v>
      </c>
      <c r="D129" s="5" t="s">
        <v>1325</v>
      </c>
      <c r="E129" s="5" t="s">
        <v>1941</v>
      </c>
      <c r="F129" s="21">
        <v>4.2051400000000001</v>
      </c>
      <c r="G129" s="753">
        <v>0</v>
      </c>
      <c r="H129" s="21">
        <f t="shared" si="48"/>
        <v>0</v>
      </c>
      <c r="I129" s="21">
        <f t="shared" si="49"/>
        <v>0</v>
      </c>
      <c r="J129" s="21">
        <f t="shared" si="50"/>
        <v>0</v>
      </c>
      <c r="K129" s="21">
        <v>2.03661</v>
      </c>
      <c r="L129" s="21">
        <f t="shared" si="51"/>
        <v>8.5642301754000005</v>
      </c>
      <c r="M129" s="34" t="s">
        <v>1961</v>
      </c>
      <c r="Z129" s="39">
        <f t="shared" si="52"/>
        <v>0</v>
      </c>
      <c r="AB129" s="39">
        <f t="shared" si="53"/>
        <v>0</v>
      </c>
      <c r="AC129" s="39">
        <f t="shared" si="54"/>
        <v>0</v>
      </c>
      <c r="AD129" s="39">
        <f t="shared" si="55"/>
        <v>0</v>
      </c>
      <c r="AE129" s="39">
        <f t="shared" si="56"/>
        <v>0</v>
      </c>
      <c r="AF129" s="39">
        <f t="shared" si="57"/>
        <v>0</v>
      </c>
      <c r="AG129" s="39">
        <f t="shared" si="58"/>
        <v>0</v>
      </c>
      <c r="AH129" s="39">
        <f t="shared" si="59"/>
        <v>0</v>
      </c>
      <c r="AI129" s="30"/>
      <c r="AJ129" s="21">
        <f t="shared" si="60"/>
        <v>0</v>
      </c>
      <c r="AK129" s="21">
        <f t="shared" si="61"/>
        <v>0</v>
      </c>
      <c r="AL129" s="21">
        <f t="shared" si="62"/>
        <v>0</v>
      </c>
      <c r="AN129" s="39">
        <v>21</v>
      </c>
      <c r="AO129" s="39">
        <f>G129*0.688231156182389</f>
        <v>0</v>
      </c>
      <c r="AP129" s="39">
        <f>G129*(1-0.688231156182389)</f>
        <v>0</v>
      </c>
      <c r="AQ129" s="34" t="s">
        <v>5</v>
      </c>
      <c r="AV129" s="39">
        <f t="shared" si="63"/>
        <v>0</v>
      </c>
      <c r="AW129" s="39">
        <f t="shared" si="64"/>
        <v>0</v>
      </c>
      <c r="AX129" s="39">
        <f t="shared" si="65"/>
        <v>0</v>
      </c>
      <c r="AY129" s="40" t="s">
        <v>1983</v>
      </c>
      <c r="AZ129" s="40" t="s">
        <v>2032</v>
      </c>
      <c r="BA129" s="30" t="s">
        <v>2045</v>
      </c>
      <c r="BC129" s="39">
        <f t="shared" si="66"/>
        <v>0</v>
      </c>
      <c r="BD129" s="39">
        <f t="shared" si="67"/>
        <v>0</v>
      </c>
      <c r="BE129" s="39">
        <v>0</v>
      </c>
      <c r="BF129" s="39">
        <f t="shared" si="68"/>
        <v>8.5642301754000005</v>
      </c>
      <c r="BH129" s="21">
        <f t="shared" si="69"/>
        <v>0</v>
      </c>
      <c r="BI129" s="21">
        <f t="shared" si="70"/>
        <v>0</v>
      </c>
      <c r="BJ129" s="21">
        <f t="shared" si="71"/>
        <v>0</v>
      </c>
    </row>
    <row r="130" spans="1:62">
      <c r="A130" s="5" t="s">
        <v>87</v>
      </c>
      <c r="B130" s="5"/>
      <c r="C130" s="5" t="s">
        <v>691</v>
      </c>
      <c r="D130" s="5" t="s">
        <v>1326</v>
      </c>
      <c r="E130" s="5" t="s">
        <v>1940</v>
      </c>
      <c r="F130" s="21">
        <v>4.399</v>
      </c>
      <c r="G130" s="753">
        <v>0</v>
      </c>
      <c r="H130" s="21">
        <f t="shared" si="48"/>
        <v>0</v>
      </c>
      <c r="I130" s="21">
        <f t="shared" si="49"/>
        <v>0</v>
      </c>
      <c r="J130" s="21">
        <f t="shared" si="50"/>
        <v>0</v>
      </c>
      <c r="K130" s="21">
        <v>0.23224</v>
      </c>
      <c r="L130" s="21">
        <f t="shared" si="51"/>
        <v>1.02162376</v>
      </c>
      <c r="M130" s="34" t="s">
        <v>1961</v>
      </c>
      <c r="Z130" s="39">
        <f t="shared" si="52"/>
        <v>0</v>
      </c>
      <c r="AB130" s="39">
        <f t="shared" si="53"/>
        <v>0</v>
      </c>
      <c r="AC130" s="39">
        <f t="shared" si="54"/>
        <v>0</v>
      </c>
      <c r="AD130" s="39">
        <f t="shared" si="55"/>
        <v>0</v>
      </c>
      <c r="AE130" s="39">
        <f t="shared" si="56"/>
        <v>0</v>
      </c>
      <c r="AF130" s="39">
        <f t="shared" si="57"/>
        <v>0</v>
      </c>
      <c r="AG130" s="39">
        <f t="shared" si="58"/>
        <v>0</v>
      </c>
      <c r="AH130" s="39">
        <f t="shared" si="59"/>
        <v>0</v>
      </c>
      <c r="AI130" s="30"/>
      <c r="AJ130" s="21">
        <f t="shared" si="60"/>
        <v>0</v>
      </c>
      <c r="AK130" s="21">
        <f t="shared" si="61"/>
        <v>0</v>
      </c>
      <c r="AL130" s="21">
        <f t="shared" si="62"/>
        <v>0</v>
      </c>
      <c r="AN130" s="39">
        <v>21</v>
      </c>
      <c r="AO130" s="39">
        <f>G130*0.825522938245097</f>
        <v>0</v>
      </c>
      <c r="AP130" s="39">
        <f>G130*(1-0.825522938245097)</f>
        <v>0</v>
      </c>
      <c r="AQ130" s="34" t="s">
        <v>5</v>
      </c>
      <c r="AV130" s="39">
        <f t="shared" si="63"/>
        <v>0</v>
      </c>
      <c r="AW130" s="39">
        <f t="shared" si="64"/>
        <v>0</v>
      </c>
      <c r="AX130" s="39">
        <f t="shared" si="65"/>
        <v>0</v>
      </c>
      <c r="AY130" s="40" t="s">
        <v>1983</v>
      </c>
      <c r="AZ130" s="40" t="s">
        <v>2032</v>
      </c>
      <c r="BA130" s="30" t="s">
        <v>2045</v>
      </c>
      <c r="BC130" s="39">
        <f t="shared" si="66"/>
        <v>0</v>
      </c>
      <c r="BD130" s="39">
        <f t="shared" si="67"/>
        <v>0</v>
      </c>
      <c r="BE130" s="39">
        <v>0</v>
      </c>
      <c r="BF130" s="39">
        <f t="shared" si="68"/>
        <v>1.02162376</v>
      </c>
      <c r="BH130" s="21">
        <f t="shared" si="69"/>
        <v>0</v>
      </c>
      <c r="BI130" s="21">
        <f t="shared" si="70"/>
        <v>0</v>
      </c>
      <c r="BJ130" s="21">
        <f t="shared" si="71"/>
        <v>0</v>
      </c>
    </row>
    <row r="131" spans="1:62">
      <c r="A131" s="4"/>
      <c r="B131" s="14"/>
      <c r="C131" s="14" t="s">
        <v>36</v>
      </c>
      <c r="D131" s="14" t="s">
        <v>1327</v>
      </c>
      <c r="E131" s="4" t="s">
        <v>4</v>
      </c>
      <c r="F131" s="4" t="s">
        <v>4</v>
      </c>
      <c r="G131" s="4"/>
      <c r="H131" s="42">
        <f>SUM(H132:H135)</f>
        <v>0</v>
      </c>
      <c r="I131" s="42">
        <f>SUM(I132:I135)</f>
        <v>0</v>
      </c>
      <c r="J131" s="42">
        <f>SUM(J132:J135)</f>
        <v>0</v>
      </c>
      <c r="K131" s="30"/>
      <c r="L131" s="42">
        <f>SUM(L132:L135)</f>
        <v>126.97306786210001</v>
      </c>
      <c r="M131" s="30"/>
      <c r="AI131" s="30"/>
      <c r="AS131" s="42">
        <f>SUM(AJ132:AJ135)</f>
        <v>0</v>
      </c>
      <c r="AT131" s="42">
        <f>SUM(AK132:AK135)</f>
        <v>0</v>
      </c>
      <c r="AU131" s="42">
        <f>SUM(AL132:AL135)</f>
        <v>0</v>
      </c>
    </row>
    <row r="132" spans="1:62">
      <c r="A132" s="5" t="s">
        <v>88</v>
      </c>
      <c r="B132" s="5"/>
      <c r="C132" s="5" t="s">
        <v>692</v>
      </c>
      <c r="D132" s="5" t="s">
        <v>1328</v>
      </c>
      <c r="E132" s="5" t="s">
        <v>1941</v>
      </c>
      <c r="F132" s="21">
        <v>38.115290000000002</v>
      </c>
      <c r="G132" s="753">
        <v>0</v>
      </c>
      <c r="H132" s="21">
        <f>F132*AO132</f>
        <v>0</v>
      </c>
      <c r="I132" s="21">
        <f>F132*AP132</f>
        <v>0</v>
      </c>
      <c r="J132" s="21">
        <f>F132*G132</f>
        <v>0</v>
      </c>
      <c r="K132" s="21">
        <v>3.0044900000000001</v>
      </c>
      <c r="L132" s="21">
        <f>F132*K132</f>
        <v>114.51700765210001</v>
      </c>
      <c r="M132" s="34" t="s">
        <v>1961</v>
      </c>
      <c r="Z132" s="39">
        <f>IF(AQ132="5",BJ132,0)</f>
        <v>0</v>
      </c>
      <c r="AB132" s="39">
        <f>IF(AQ132="1",BH132,0)</f>
        <v>0</v>
      </c>
      <c r="AC132" s="39">
        <f>IF(AQ132="1",BI132,0)</f>
        <v>0</v>
      </c>
      <c r="AD132" s="39">
        <f>IF(AQ132="7",BH132,0)</f>
        <v>0</v>
      </c>
      <c r="AE132" s="39">
        <f>IF(AQ132="7",BI132,0)</f>
        <v>0</v>
      </c>
      <c r="AF132" s="39">
        <f>IF(AQ132="2",BH132,0)</f>
        <v>0</v>
      </c>
      <c r="AG132" s="39">
        <f>IF(AQ132="2",BI132,0)</f>
        <v>0</v>
      </c>
      <c r="AH132" s="39">
        <f>IF(AQ132="0",BJ132,0)</f>
        <v>0</v>
      </c>
      <c r="AI132" s="30"/>
      <c r="AJ132" s="21">
        <f>IF(AN132=0,J132,0)</f>
        <v>0</v>
      </c>
      <c r="AK132" s="21">
        <f>IF(AN132=15,J132,0)</f>
        <v>0</v>
      </c>
      <c r="AL132" s="21">
        <f>IF(AN132=21,J132,0)</f>
        <v>0</v>
      </c>
      <c r="AN132" s="39">
        <v>21</v>
      </c>
      <c r="AO132" s="39">
        <f>G132*0.672003392818781</f>
        <v>0</v>
      </c>
      <c r="AP132" s="39">
        <f>G132*(1-0.672003392818781)</f>
        <v>0</v>
      </c>
      <c r="AQ132" s="34" t="s">
        <v>5</v>
      </c>
      <c r="AV132" s="39">
        <f>AW132+AX132</f>
        <v>0</v>
      </c>
      <c r="AW132" s="39">
        <f>F132*AO132</f>
        <v>0</v>
      </c>
      <c r="AX132" s="39">
        <f>F132*AP132</f>
        <v>0</v>
      </c>
      <c r="AY132" s="40" t="s">
        <v>1984</v>
      </c>
      <c r="AZ132" s="40" t="s">
        <v>2032</v>
      </c>
      <c r="BA132" s="30" t="s">
        <v>2045</v>
      </c>
      <c r="BC132" s="39">
        <f>AW132+AX132</f>
        <v>0</v>
      </c>
      <c r="BD132" s="39">
        <f>G132/(100-BE132)*100</f>
        <v>0</v>
      </c>
      <c r="BE132" s="39">
        <v>0</v>
      </c>
      <c r="BF132" s="39">
        <f>L132</f>
        <v>114.51700765210001</v>
      </c>
      <c r="BH132" s="21">
        <f>F132*AO132</f>
        <v>0</v>
      </c>
      <c r="BI132" s="21">
        <f>F132*AP132</f>
        <v>0</v>
      </c>
      <c r="BJ132" s="21">
        <f>F132*G132</f>
        <v>0</v>
      </c>
    </row>
    <row r="133" spans="1:62">
      <c r="A133" s="5" t="s">
        <v>89</v>
      </c>
      <c r="B133" s="5"/>
      <c r="C133" s="5" t="s">
        <v>693</v>
      </c>
      <c r="D133" s="5" t="s">
        <v>1329</v>
      </c>
      <c r="E133" s="5" t="s">
        <v>1942</v>
      </c>
      <c r="F133" s="21">
        <v>4.1466000000000003</v>
      </c>
      <c r="G133" s="753">
        <v>0</v>
      </c>
      <c r="H133" s="21">
        <f>F133*AO133</f>
        <v>0</v>
      </c>
      <c r="I133" s="21">
        <f>F133*AP133</f>
        <v>0</v>
      </c>
      <c r="J133" s="21">
        <f>F133*G133</f>
        <v>0</v>
      </c>
      <c r="K133" s="21">
        <v>1.01701</v>
      </c>
      <c r="L133" s="21">
        <f>F133*K133</f>
        <v>4.2171336660000005</v>
      </c>
      <c r="M133" s="34" t="s">
        <v>1961</v>
      </c>
      <c r="Z133" s="39">
        <f>IF(AQ133="5",BJ133,0)</f>
        <v>0</v>
      </c>
      <c r="AB133" s="39">
        <f>IF(AQ133="1",BH133,0)</f>
        <v>0</v>
      </c>
      <c r="AC133" s="39">
        <f>IF(AQ133="1",BI133,0)</f>
        <v>0</v>
      </c>
      <c r="AD133" s="39">
        <f>IF(AQ133="7",BH133,0)</f>
        <v>0</v>
      </c>
      <c r="AE133" s="39">
        <f>IF(AQ133="7",BI133,0)</f>
        <v>0</v>
      </c>
      <c r="AF133" s="39">
        <f>IF(AQ133="2",BH133,0)</f>
        <v>0</v>
      </c>
      <c r="AG133" s="39">
        <f>IF(AQ133="2",BI133,0)</f>
        <v>0</v>
      </c>
      <c r="AH133" s="39">
        <f>IF(AQ133="0",BJ133,0)</f>
        <v>0</v>
      </c>
      <c r="AI133" s="30"/>
      <c r="AJ133" s="21">
        <f>IF(AN133=0,J133,0)</f>
        <v>0</v>
      </c>
      <c r="AK133" s="21">
        <f>IF(AN133=15,J133,0)</f>
        <v>0</v>
      </c>
      <c r="AL133" s="21">
        <f>IF(AN133=21,J133,0)</f>
        <v>0</v>
      </c>
      <c r="AN133" s="39">
        <v>21</v>
      </c>
      <c r="AO133" s="39">
        <f>G133*0.474919409639625</f>
        <v>0</v>
      </c>
      <c r="AP133" s="39">
        <f>G133*(1-0.474919409639625)</f>
        <v>0</v>
      </c>
      <c r="AQ133" s="34" t="s">
        <v>5</v>
      </c>
      <c r="AV133" s="39">
        <f>AW133+AX133</f>
        <v>0</v>
      </c>
      <c r="AW133" s="39">
        <f>F133*AO133</f>
        <v>0</v>
      </c>
      <c r="AX133" s="39">
        <f>F133*AP133</f>
        <v>0</v>
      </c>
      <c r="AY133" s="40" t="s">
        <v>1984</v>
      </c>
      <c r="AZ133" s="40" t="s">
        <v>2032</v>
      </c>
      <c r="BA133" s="30" t="s">
        <v>2045</v>
      </c>
      <c r="BC133" s="39">
        <f>AW133+AX133</f>
        <v>0</v>
      </c>
      <c r="BD133" s="39">
        <f>G133/(100-BE133)*100</f>
        <v>0</v>
      </c>
      <c r="BE133" s="39">
        <v>0</v>
      </c>
      <c r="BF133" s="39">
        <f>L133</f>
        <v>4.2171336660000005</v>
      </c>
      <c r="BH133" s="21">
        <f>F133*AO133</f>
        <v>0</v>
      </c>
      <c r="BI133" s="21">
        <f>F133*AP133</f>
        <v>0</v>
      </c>
      <c r="BJ133" s="21">
        <f>F133*G133</f>
        <v>0</v>
      </c>
    </row>
    <row r="134" spans="1:62">
      <c r="A134" s="5" t="s">
        <v>90</v>
      </c>
      <c r="B134" s="5"/>
      <c r="C134" s="5" t="s">
        <v>694</v>
      </c>
      <c r="D134" s="5" t="s">
        <v>1330</v>
      </c>
      <c r="E134" s="5" t="s">
        <v>1940</v>
      </c>
      <c r="F134" s="21">
        <v>215.45310000000001</v>
      </c>
      <c r="G134" s="753">
        <v>0</v>
      </c>
      <c r="H134" s="21">
        <f>F134*AO134</f>
        <v>0</v>
      </c>
      <c r="I134" s="21">
        <f>F134*AP134</f>
        <v>0</v>
      </c>
      <c r="J134" s="21">
        <f>F134*G134</f>
        <v>0</v>
      </c>
      <c r="K134" s="21">
        <v>3.8240000000000003E-2</v>
      </c>
      <c r="L134" s="21">
        <f>F134*K134</f>
        <v>8.2389265440000017</v>
      </c>
      <c r="M134" s="34" t="s">
        <v>1961</v>
      </c>
      <c r="Z134" s="39">
        <f>IF(AQ134="5",BJ134,0)</f>
        <v>0</v>
      </c>
      <c r="AB134" s="39">
        <f>IF(AQ134="1",BH134,0)</f>
        <v>0</v>
      </c>
      <c r="AC134" s="39">
        <f>IF(AQ134="1",BI134,0)</f>
        <v>0</v>
      </c>
      <c r="AD134" s="39">
        <f>IF(AQ134="7",BH134,0)</f>
        <v>0</v>
      </c>
      <c r="AE134" s="39">
        <f>IF(AQ134="7",BI134,0)</f>
        <v>0</v>
      </c>
      <c r="AF134" s="39">
        <f>IF(AQ134="2",BH134,0)</f>
        <v>0</v>
      </c>
      <c r="AG134" s="39">
        <f>IF(AQ134="2",BI134,0)</f>
        <v>0</v>
      </c>
      <c r="AH134" s="39">
        <f>IF(AQ134="0",BJ134,0)</f>
        <v>0</v>
      </c>
      <c r="AI134" s="30"/>
      <c r="AJ134" s="21">
        <f>IF(AN134=0,J134,0)</f>
        <v>0</v>
      </c>
      <c r="AK134" s="21">
        <f>IF(AN134=15,J134,0)</f>
        <v>0</v>
      </c>
      <c r="AL134" s="21">
        <f>IF(AN134=21,J134,0)</f>
        <v>0</v>
      </c>
      <c r="AN134" s="39">
        <v>21</v>
      </c>
      <c r="AO134" s="39">
        <f>G134*0.316343109489713</f>
        <v>0</v>
      </c>
      <c r="AP134" s="39">
        <f>G134*(1-0.316343109489713)</f>
        <v>0</v>
      </c>
      <c r="AQ134" s="34" t="s">
        <v>5</v>
      </c>
      <c r="AV134" s="39">
        <f>AW134+AX134</f>
        <v>0</v>
      </c>
      <c r="AW134" s="39">
        <f>F134*AO134</f>
        <v>0</v>
      </c>
      <c r="AX134" s="39">
        <f>F134*AP134</f>
        <v>0</v>
      </c>
      <c r="AY134" s="40" t="s">
        <v>1984</v>
      </c>
      <c r="AZ134" s="40" t="s">
        <v>2032</v>
      </c>
      <c r="BA134" s="30" t="s">
        <v>2045</v>
      </c>
      <c r="BC134" s="39">
        <f>AW134+AX134</f>
        <v>0</v>
      </c>
      <c r="BD134" s="39">
        <f>G134/(100-BE134)*100</f>
        <v>0</v>
      </c>
      <c r="BE134" s="39">
        <v>0</v>
      </c>
      <c r="BF134" s="39">
        <f>L134</f>
        <v>8.2389265440000017</v>
      </c>
      <c r="BH134" s="21">
        <f>F134*AO134</f>
        <v>0</v>
      </c>
      <c r="BI134" s="21">
        <f>F134*AP134</f>
        <v>0</v>
      </c>
      <c r="BJ134" s="21">
        <f>F134*G134</f>
        <v>0</v>
      </c>
    </row>
    <row r="135" spans="1:62">
      <c r="A135" s="5" t="s">
        <v>91</v>
      </c>
      <c r="B135" s="5"/>
      <c r="C135" s="5" t="s">
        <v>695</v>
      </c>
      <c r="D135" s="5" t="s">
        <v>1331</v>
      </c>
      <c r="E135" s="5" t="s">
        <v>1940</v>
      </c>
      <c r="F135" s="21">
        <v>215.45310000000001</v>
      </c>
      <c r="G135" s="753">
        <v>0</v>
      </c>
      <c r="H135" s="21">
        <f>F135*AO135</f>
        <v>0</v>
      </c>
      <c r="I135" s="21">
        <f>F135*AP135</f>
        <v>0</v>
      </c>
      <c r="J135" s="21">
        <f>F135*G135</f>
        <v>0</v>
      </c>
      <c r="K135" s="21">
        <v>0</v>
      </c>
      <c r="L135" s="21">
        <f>F135*K135</f>
        <v>0</v>
      </c>
      <c r="M135" s="34" t="s">
        <v>1961</v>
      </c>
      <c r="Z135" s="39">
        <f>IF(AQ135="5",BJ135,0)</f>
        <v>0</v>
      </c>
      <c r="AB135" s="39">
        <f>IF(AQ135="1",BH135,0)</f>
        <v>0</v>
      </c>
      <c r="AC135" s="39">
        <f>IF(AQ135="1",BI135,0)</f>
        <v>0</v>
      </c>
      <c r="AD135" s="39">
        <f>IF(AQ135="7",BH135,0)</f>
        <v>0</v>
      </c>
      <c r="AE135" s="39">
        <f>IF(AQ135="7",BI135,0)</f>
        <v>0</v>
      </c>
      <c r="AF135" s="39">
        <f>IF(AQ135="2",BH135,0)</f>
        <v>0</v>
      </c>
      <c r="AG135" s="39">
        <f>IF(AQ135="2",BI135,0)</f>
        <v>0</v>
      </c>
      <c r="AH135" s="39">
        <f>IF(AQ135="0",BJ135,0)</f>
        <v>0</v>
      </c>
      <c r="AI135" s="30"/>
      <c r="AJ135" s="21">
        <f>IF(AN135=0,J135,0)</f>
        <v>0</v>
      </c>
      <c r="AK135" s="21">
        <f>IF(AN135=15,J135,0)</f>
        <v>0</v>
      </c>
      <c r="AL135" s="21">
        <f>IF(AN135=21,J135,0)</f>
        <v>0</v>
      </c>
      <c r="AN135" s="39">
        <v>21</v>
      </c>
      <c r="AO135" s="39">
        <f>G135*0</f>
        <v>0</v>
      </c>
      <c r="AP135" s="39">
        <f>G135*(1-0)</f>
        <v>0</v>
      </c>
      <c r="AQ135" s="34" t="s">
        <v>5</v>
      </c>
      <c r="AV135" s="39">
        <f>AW135+AX135</f>
        <v>0</v>
      </c>
      <c r="AW135" s="39">
        <f>F135*AO135</f>
        <v>0</v>
      </c>
      <c r="AX135" s="39">
        <f>F135*AP135</f>
        <v>0</v>
      </c>
      <c r="AY135" s="40" t="s">
        <v>1984</v>
      </c>
      <c r="AZ135" s="40" t="s">
        <v>2032</v>
      </c>
      <c r="BA135" s="30" t="s">
        <v>2045</v>
      </c>
      <c r="BC135" s="39">
        <f>AW135+AX135</f>
        <v>0</v>
      </c>
      <c r="BD135" s="39">
        <f>G135/(100-BE135)*100</f>
        <v>0</v>
      </c>
      <c r="BE135" s="39">
        <v>0</v>
      </c>
      <c r="BF135" s="39">
        <f>L135</f>
        <v>0</v>
      </c>
      <c r="BH135" s="21">
        <f>F135*AO135</f>
        <v>0</v>
      </c>
      <c r="BI135" s="21">
        <f>F135*AP135</f>
        <v>0</v>
      </c>
      <c r="BJ135" s="21">
        <f>F135*G135</f>
        <v>0</v>
      </c>
    </row>
    <row r="136" spans="1:62">
      <c r="A136" s="4"/>
      <c r="B136" s="14"/>
      <c r="C136" s="14" t="s">
        <v>37</v>
      </c>
      <c r="D136" s="14" t="s">
        <v>1332</v>
      </c>
      <c r="E136" s="4" t="s">
        <v>4</v>
      </c>
      <c r="F136" s="4" t="s">
        <v>4</v>
      </c>
      <c r="G136" s="4"/>
      <c r="H136" s="42">
        <f>SUM(H137:H146)</f>
        <v>0</v>
      </c>
      <c r="I136" s="42">
        <f>SUM(I137:I146)</f>
        <v>0</v>
      </c>
      <c r="J136" s="42">
        <f>SUM(J137:J146)</f>
        <v>0</v>
      </c>
      <c r="K136" s="30"/>
      <c r="L136" s="42">
        <f>SUM(L137:L146)</f>
        <v>84.212654450600013</v>
      </c>
      <c r="M136" s="30"/>
      <c r="AI136" s="30"/>
      <c r="AS136" s="42">
        <f>SUM(AJ137:AJ146)</f>
        <v>0</v>
      </c>
      <c r="AT136" s="42">
        <f>SUM(AK137:AK146)</f>
        <v>0</v>
      </c>
      <c r="AU136" s="42">
        <f>SUM(AL137:AL146)</f>
        <v>0</v>
      </c>
    </row>
    <row r="137" spans="1:62">
      <c r="A137" s="5" t="s">
        <v>92</v>
      </c>
      <c r="B137" s="5"/>
      <c r="C137" s="5" t="s">
        <v>696</v>
      </c>
      <c r="D137" s="5" t="s">
        <v>1333</v>
      </c>
      <c r="E137" s="5" t="s">
        <v>1942</v>
      </c>
      <c r="F137" s="21">
        <v>4.2314999999999996</v>
      </c>
      <c r="G137" s="753">
        <v>0</v>
      </c>
      <c r="H137" s="21">
        <f t="shared" ref="H137:H146" si="72">F137*AO137</f>
        <v>0</v>
      </c>
      <c r="I137" s="21">
        <f t="shared" ref="I137:I146" si="73">F137*AP137</f>
        <v>0</v>
      </c>
      <c r="J137" s="21">
        <f t="shared" ref="J137:J146" si="74">F137*G137</f>
        <v>0</v>
      </c>
      <c r="K137" s="21">
        <v>1.02396</v>
      </c>
      <c r="L137" s="21">
        <f t="shared" ref="L137:L146" si="75">F137*K137</f>
        <v>4.3328867399999993</v>
      </c>
      <c r="M137" s="34" t="s">
        <v>1961</v>
      </c>
      <c r="Z137" s="39">
        <f t="shared" ref="Z137:Z146" si="76">IF(AQ137="5",BJ137,0)</f>
        <v>0</v>
      </c>
      <c r="AB137" s="39">
        <f t="shared" ref="AB137:AB146" si="77">IF(AQ137="1",BH137,0)</f>
        <v>0</v>
      </c>
      <c r="AC137" s="39">
        <f t="shared" ref="AC137:AC146" si="78">IF(AQ137="1",BI137,0)</f>
        <v>0</v>
      </c>
      <c r="AD137" s="39">
        <f t="shared" ref="AD137:AD146" si="79">IF(AQ137="7",BH137,0)</f>
        <v>0</v>
      </c>
      <c r="AE137" s="39">
        <f t="shared" ref="AE137:AE146" si="80">IF(AQ137="7",BI137,0)</f>
        <v>0</v>
      </c>
      <c r="AF137" s="39">
        <f t="shared" ref="AF137:AF146" si="81">IF(AQ137="2",BH137,0)</f>
        <v>0</v>
      </c>
      <c r="AG137" s="39">
        <f t="shared" ref="AG137:AG146" si="82">IF(AQ137="2",BI137,0)</f>
        <v>0</v>
      </c>
      <c r="AH137" s="39">
        <f t="shared" ref="AH137:AH146" si="83">IF(AQ137="0",BJ137,0)</f>
        <v>0</v>
      </c>
      <c r="AI137" s="30"/>
      <c r="AJ137" s="21">
        <f t="shared" ref="AJ137:AJ146" si="84">IF(AN137=0,J137,0)</f>
        <v>0</v>
      </c>
      <c r="AK137" s="21">
        <f t="shared" ref="AK137:AK146" si="85">IF(AN137=15,J137,0)</f>
        <v>0</v>
      </c>
      <c r="AL137" s="21">
        <f t="shared" ref="AL137:AL146" si="86">IF(AN137=21,J137,0)</f>
        <v>0</v>
      </c>
      <c r="AN137" s="39">
        <v>21</v>
      </c>
      <c r="AO137" s="39">
        <f>G137*0.620275569007347</f>
        <v>0</v>
      </c>
      <c r="AP137" s="39">
        <f>G137*(1-0.620275569007347)</f>
        <v>0</v>
      </c>
      <c r="AQ137" s="34" t="s">
        <v>5</v>
      </c>
      <c r="AV137" s="39">
        <f t="shared" ref="AV137:AV146" si="87">AW137+AX137</f>
        <v>0</v>
      </c>
      <c r="AW137" s="39">
        <f t="shared" ref="AW137:AW146" si="88">F137*AO137</f>
        <v>0</v>
      </c>
      <c r="AX137" s="39">
        <f t="shared" ref="AX137:AX146" si="89">F137*AP137</f>
        <v>0</v>
      </c>
      <c r="AY137" s="40" t="s">
        <v>1985</v>
      </c>
      <c r="AZ137" s="40" t="s">
        <v>2032</v>
      </c>
      <c r="BA137" s="30" t="s">
        <v>2045</v>
      </c>
      <c r="BC137" s="39">
        <f t="shared" ref="BC137:BC146" si="90">AW137+AX137</f>
        <v>0</v>
      </c>
      <c r="BD137" s="39">
        <f t="shared" ref="BD137:BD146" si="91">G137/(100-BE137)*100</f>
        <v>0</v>
      </c>
      <c r="BE137" s="39">
        <v>0</v>
      </c>
      <c r="BF137" s="39">
        <f t="shared" ref="BF137:BF146" si="92">L137</f>
        <v>4.3328867399999993</v>
      </c>
      <c r="BH137" s="21">
        <f t="shared" ref="BH137:BH146" si="93">F137*AO137</f>
        <v>0</v>
      </c>
      <c r="BI137" s="21">
        <f t="shared" ref="BI137:BI146" si="94">F137*AP137</f>
        <v>0</v>
      </c>
      <c r="BJ137" s="21">
        <f t="shared" ref="BJ137:BJ146" si="95">F137*G137</f>
        <v>0</v>
      </c>
    </row>
    <row r="138" spans="1:62">
      <c r="A138" s="5" t="s">
        <v>93</v>
      </c>
      <c r="B138" s="5"/>
      <c r="C138" s="5" t="s">
        <v>697</v>
      </c>
      <c r="D138" s="5" t="s">
        <v>1334</v>
      </c>
      <c r="E138" s="5" t="s">
        <v>1940</v>
      </c>
      <c r="F138" s="21">
        <v>185.6</v>
      </c>
      <c r="G138" s="753">
        <v>0</v>
      </c>
      <c r="H138" s="21">
        <f t="shared" si="72"/>
        <v>0</v>
      </c>
      <c r="I138" s="21">
        <f t="shared" si="73"/>
        <v>0</v>
      </c>
      <c r="J138" s="21">
        <f t="shared" si="74"/>
        <v>0</v>
      </c>
      <c r="K138" s="21">
        <v>3.8080000000000003E-2</v>
      </c>
      <c r="L138" s="21">
        <f t="shared" si="75"/>
        <v>7.0676480000000002</v>
      </c>
      <c r="M138" s="34" t="s">
        <v>1961</v>
      </c>
      <c r="Z138" s="39">
        <f t="shared" si="76"/>
        <v>0</v>
      </c>
      <c r="AB138" s="39">
        <f t="shared" si="77"/>
        <v>0</v>
      </c>
      <c r="AC138" s="39">
        <f t="shared" si="78"/>
        <v>0</v>
      </c>
      <c r="AD138" s="39">
        <f t="shared" si="79"/>
        <v>0</v>
      </c>
      <c r="AE138" s="39">
        <f t="shared" si="80"/>
        <v>0</v>
      </c>
      <c r="AF138" s="39">
        <f t="shared" si="81"/>
        <v>0</v>
      </c>
      <c r="AG138" s="39">
        <f t="shared" si="82"/>
        <v>0</v>
      </c>
      <c r="AH138" s="39">
        <f t="shared" si="83"/>
        <v>0</v>
      </c>
      <c r="AI138" s="30"/>
      <c r="AJ138" s="21">
        <f t="shared" si="84"/>
        <v>0</v>
      </c>
      <c r="AK138" s="21">
        <f t="shared" si="85"/>
        <v>0</v>
      </c>
      <c r="AL138" s="21">
        <f t="shared" si="86"/>
        <v>0</v>
      </c>
      <c r="AN138" s="39">
        <v>21</v>
      </c>
      <c r="AO138" s="39">
        <f>G138*0.469129662522202</f>
        <v>0</v>
      </c>
      <c r="AP138" s="39">
        <f>G138*(1-0.469129662522202)</f>
        <v>0</v>
      </c>
      <c r="AQ138" s="34" t="s">
        <v>5</v>
      </c>
      <c r="AV138" s="39">
        <f t="shared" si="87"/>
        <v>0</v>
      </c>
      <c r="AW138" s="39">
        <f t="shared" si="88"/>
        <v>0</v>
      </c>
      <c r="AX138" s="39">
        <f t="shared" si="89"/>
        <v>0</v>
      </c>
      <c r="AY138" s="40" t="s">
        <v>1985</v>
      </c>
      <c r="AZ138" s="40" t="s">
        <v>2032</v>
      </c>
      <c r="BA138" s="30" t="s">
        <v>2045</v>
      </c>
      <c r="BC138" s="39">
        <f t="shared" si="90"/>
        <v>0</v>
      </c>
      <c r="BD138" s="39">
        <f t="shared" si="91"/>
        <v>0</v>
      </c>
      <c r="BE138" s="39">
        <v>0</v>
      </c>
      <c r="BF138" s="39">
        <f t="shared" si="92"/>
        <v>7.0676480000000002</v>
      </c>
      <c r="BH138" s="21">
        <f t="shared" si="93"/>
        <v>0</v>
      </c>
      <c r="BI138" s="21">
        <f t="shared" si="94"/>
        <v>0</v>
      </c>
      <c r="BJ138" s="21">
        <f t="shared" si="95"/>
        <v>0</v>
      </c>
    </row>
    <row r="139" spans="1:62">
      <c r="A139" s="5" t="s">
        <v>94</v>
      </c>
      <c r="B139" s="5"/>
      <c r="C139" s="5" t="s">
        <v>698</v>
      </c>
      <c r="D139" s="5" t="s">
        <v>1335</v>
      </c>
      <c r="E139" s="5" t="s">
        <v>1940</v>
      </c>
      <c r="F139" s="21">
        <v>185.6</v>
      </c>
      <c r="G139" s="753">
        <v>0</v>
      </c>
      <c r="H139" s="21">
        <f t="shared" si="72"/>
        <v>0</v>
      </c>
      <c r="I139" s="21">
        <f t="shared" si="73"/>
        <v>0</v>
      </c>
      <c r="J139" s="21">
        <f t="shared" si="74"/>
        <v>0</v>
      </c>
      <c r="K139" s="21">
        <v>0</v>
      </c>
      <c r="L139" s="21">
        <f t="shared" si="75"/>
        <v>0</v>
      </c>
      <c r="M139" s="34" t="s">
        <v>1961</v>
      </c>
      <c r="Z139" s="39">
        <f t="shared" si="76"/>
        <v>0</v>
      </c>
      <c r="AB139" s="39">
        <f t="shared" si="77"/>
        <v>0</v>
      </c>
      <c r="AC139" s="39">
        <f t="shared" si="78"/>
        <v>0</v>
      </c>
      <c r="AD139" s="39">
        <f t="shared" si="79"/>
        <v>0</v>
      </c>
      <c r="AE139" s="39">
        <f t="shared" si="80"/>
        <v>0</v>
      </c>
      <c r="AF139" s="39">
        <f t="shared" si="81"/>
        <v>0</v>
      </c>
      <c r="AG139" s="39">
        <f t="shared" si="82"/>
        <v>0</v>
      </c>
      <c r="AH139" s="39">
        <f t="shared" si="83"/>
        <v>0</v>
      </c>
      <c r="AI139" s="30"/>
      <c r="AJ139" s="21">
        <f t="shared" si="84"/>
        <v>0</v>
      </c>
      <c r="AK139" s="21">
        <f t="shared" si="85"/>
        <v>0</v>
      </c>
      <c r="AL139" s="21">
        <f t="shared" si="86"/>
        <v>0</v>
      </c>
      <c r="AN139" s="39">
        <v>21</v>
      </c>
      <c r="AO139" s="39">
        <f>G139*0</f>
        <v>0</v>
      </c>
      <c r="AP139" s="39">
        <f>G139*(1-0)</f>
        <v>0</v>
      </c>
      <c r="AQ139" s="34" t="s">
        <v>5</v>
      </c>
      <c r="AV139" s="39">
        <f t="shared" si="87"/>
        <v>0</v>
      </c>
      <c r="AW139" s="39">
        <f t="shared" si="88"/>
        <v>0</v>
      </c>
      <c r="AX139" s="39">
        <f t="shared" si="89"/>
        <v>0</v>
      </c>
      <c r="AY139" s="40" t="s">
        <v>1985</v>
      </c>
      <c r="AZ139" s="40" t="s">
        <v>2032</v>
      </c>
      <c r="BA139" s="30" t="s">
        <v>2045</v>
      </c>
      <c r="BC139" s="39">
        <f t="shared" si="90"/>
        <v>0</v>
      </c>
      <c r="BD139" s="39">
        <f t="shared" si="91"/>
        <v>0</v>
      </c>
      <c r="BE139" s="39">
        <v>0</v>
      </c>
      <c r="BF139" s="39">
        <f t="shared" si="92"/>
        <v>0</v>
      </c>
      <c r="BH139" s="21">
        <f t="shared" si="93"/>
        <v>0</v>
      </c>
      <c r="BI139" s="21">
        <f t="shared" si="94"/>
        <v>0</v>
      </c>
      <c r="BJ139" s="21">
        <f t="shared" si="95"/>
        <v>0</v>
      </c>
    </row>
    <row r="140" spans="1:62">
      <c r="A140" s="5" t="s">
        <v>95</v>
      </c>
      <c r="B140" s="5"/>
      <c r="C140" s="5" t="s">
        <v>699</v>
      </c>
      <c r="D140" s="5" t="s">
        <v>1336</v>
      </c>
      <c r="E140" s="5" t="s">
        <v>1940</v>
      </c>
      <c r="F140" s="21">
        <v>5.8875000000000002</v>
      </c>
      <c r="G140" s="753">
        <v>0</v>
      </c>
      <c r="H140" s="21">
        <f t="shared" si="72"/>
        <v>0</v>
      </c>
      <c r="I140" s="21">
        <f t="shared" si="73"/>
        <v>0</v>
      </c>
      <c r="J140" s="21">
        <f t="shared" si="74"/>
        <v>0</v>
      </c>
      <c r="K140" s="21">
        <v>5.7000000000000002E-3</v>
      </c>
      <c r="L140" s="21">
        <f t="shared" si="75"/>
        <v>3.3558750000000005E-2</v>
      </c>
      <c r="M140" s="34" t="s">
        <v>1961</v>
      </c>
      <c r="Z140" s="39">
        <f t="shared" si="76"/>
        <v>0</v>
      </c>
      <c r="AB140" s="39">
        <f t="shared" si="77"/>
        <v>0</v>
      </c>
      <c r="AC140" s="39">
        <f t="shared" si="78"/>
        <v>0</v>
      </c>
      <c r="AD140" s="39">
        <f t="shared" si="79"/>
        <v>0</v>
      </c>
      <c r="AE140" s="39">
        <f t="shared" si="80"/>
        <v>0</v>
      </c>
      <c r="AF140" s="39">
        <f t="shared" si="81"/>
        <v>0</v>
      </c>
      <c r="AG140" s="39">
        <f t="shared" si="82"/>
        <v>0</v>
      </c>
      <c r="AH140" s="39">
        <f t="shared" si="83"/>
        <v>0</v>
      </c>
      <c r="AI140" s="30"/>
      <c r="AJ140" s="21">
        <f t="shared" si="84"/>
        <v>0</v>
      </c>
      <c r="AK140" s="21">
        <f t="shared" si="85"/>
        <v>0</v>
      </c>
      <c r="AL140" s="21">
        <f t="shared" si="86"/>
        <v>0</v>
      </c>
      <c r="AN140" s="39">
        <v>21</v>
      </c>
      <c r="AO140" s="39">
        <f>G140*0.0999281820299002</f>
        <v>0</v>
      </c>
      <c r="AP140" s="39">
        <f>G140*(1-0.0999281820299002)</f>
        <v>0</v>
      </c>
      <c r="AQ140" s="34" t="s">
        <v>5</v>
      </c>
      <c r="AV140" s="39">
        <f t="shared" si="87"/>
        <v>0</v>
      </c>
      <c r="AW140" s="39">
        <f t="shared" si="88"/>
        <v>0</v>
      </c>
      <c r="AX140" s="39">
        <f t="shared" si="89"/>
        <v>0</v>
      </c>
      <c r="AY140" s="40" t="s">
        <v>1985</v>
      </c>
      <c r="AZ140" s="40" t="s">
        <v>2032</v>
      </c>
      <c r="BA140" s="30" t="s">
        <v>2045</v>
      </c>
      <c r="BC140" s="39">
        <f t="shared" si="90"/>
        <v>0</v>
      </c>
      <c r="BD140" s="39">
        <f t="shared" si="91"/>
        <v>0</v>
      </c>
      <c r="BE140" s="39">
        <v>0</v>
      </c>
      <c r="BF140" s="39">
        <f t="shared" si="92"/>
        <v>3.3558750000000005E-2</v>
      </c>
      <c r="BH140" s="21">
        <f t="shared" si="93"/>
        <v>0</v>
      </c>
      <c r="BI140" s="21">
        <f t="shared" si="94"/>
        <v>0</v>
      </c>
      <c r="BJ140" s="21">
        <f t="shared" si="95"/>
        <v>0</v>
      </c>
    </row>
    <row r="141" spans="1:62">
      <c r="A141" s="5" t="s">
        <v>96</v>
      </c>
      <c r="B141" s="5"/>
      <c r="C141" s="5" t="s">
        <v>700</v>
      </c>
      <c r="D141" s="5" t="s">
        <v>1337</v>
      </c>
      <c r="E141" s="5" t="s">
        <v>1940</v>
      </c>
      <c r="F141" s="21">
        <v>5.8875000000000002</v>
      </c>
      <c r="G141" s="753">
        <v>0</v>
      </c>
      <c r="H141" s="21">
        <f t="shared" si="72"/>
        <v>0</v>
      </c>
      <c r="I141" s="21">
        <f t="shared" si="73"/>
        <v>0</v>
      </c>
      <c r="J141" s="21">
        <f t="shared" si="74"/>
        <v>0</v>
      </c>
      <c r="K141" s="21">
        <v>0</v>
      </c>
      <c r="L141" s="21">
        <f t="shared" si="75"/>
        <v>0</v>
      </c>
      <c r="M141" s="34" t="s">
        <v>1961</v>
      </c>
      <c r="Z141" s="39">
        <f t="shared" si="76"/>
        <v>0</v>
      </c>
      <c r="AB141" s="39">
        <f t="shared" si="77"/>
        <v>0</v>
      </c>
      <c r="AC141" s="39">
        <f t="shared" si="78"/>
        <v>0</v>
      </c>
      <c r="AD141" s="39">
        <f t="shared" si="79"/>
        <v>0</v>
      </c>
      <c r="AE141" s="39">
        <f t="shared" si="80"/>
        <v>0</v>
      </c>
      <c r="AF141" s="39">
        <f t="shared" si="81"/>
        <v>0</v>
      </c>
      <c r="AG141" s="39">
        <f t="shared" si="82"/>
        <v>0</v>
      </c>
      <c r="AH141" s="39">
        <f t="shared" si="83"/>
        <v>0</v>
      </c>
      <c r="AI141" s="30"/>
      <c r="AJ141" s="21">
        <f t="shared" si="84"/>
        <v>0</v>
      </c>
      <c r="AK141" s="21">
        <f t="shared" si="85"/>
        <v>0</v>
      </c>
      <c r="AL141" s="21">
        <f t="shared" si="86"/>
        <v>0</v>
      </c>
      <c r="AN141" s="39">
        <v>21</v>
      </c>
      <c r="AO141" s="39">
        <f>G141*0</f>
        <v>0</v>
      </c>
      <c r="AP141" s="39">
        <f>G141*(1-0)</f>
        <v>0</v>
      </c>
      <c r="AQ141" s="34" t="s">
        <v>5</v>
      </c>
      <c r="AV141" s="39">
        <f t="shared" si="87"/>
        <v>0</v>
      </c>
      <c r="AW141" s="39">
        <f t="shared" si="88"/>
        <v>0</v>
      </c>
      <c r="AX141" s="39">
        <f t="shared" si="89"/>
        <v>0</v>
      </c>
      <c r="AY141" s="40" t="s">
        <v>1985</v>
      </c>
      <c r="AZ141" s="40" t="s">
        <v>2032</v>
      </c>
      <c r="BA141" s="30" t="s">
        <v>2045</v>
      </c>
      <c r="BC141" s="39">
        <f t="shared" si="90"/>
        <v>0</v>
      </c>
      <c r="BD141" s="39">
        <f t="shared" si="91"/>
        <v>0</v>
      </c>
      <c r="BE141" s="39">
        <v>0</v>
      </c>
      <c r="BF141" s="39">
        <f t="shared" si="92"/>
        <v>0</v>
      </c>
      <c r="BH141" s="21">
        <f t="shared" si="93"/>
        <v>0</v>
      </c>
      <c r="BI141" s="21">
        <f t="shared" si="94"/>
        <v>0</v>
      </c>
      <c r="BJ141" s="21">
        <f t="shared" si="95"/>
        <v>0</v>
      </c>
    </row>
    <row r="142" spans="1:62">
      <c r="A142" s="5" t="s">
        <v>97</v>
      </c>
      <c r="B142" s="5"/>
      <c r="C142" s="5" t="s">
        <v>701</v>
      </c>
      <c r="D142" s="5" t="s">
        <v>1338</v>
      </c>
      <c r="E142" s="5" t="s">
        <v>1941</v>
      </c>
      <c r="F142" s="21">
        <v>5.4720000000000004</v>
      </c>
      <c r="G142" s="753">
        <v>0</v>
      </c>
      <c r="H142" s="21">
        <f t="shared" si="72"/>
        <v>0</v>
      </c>
      <c r="I142" s="21">
        <f t="shared" si="73"/>
        <v>0</v>
      </c>
      <c r="J142" s="21">
        <f t="shared" si="74"/>
        <v>0</v>
      </c>
      <c r="K142" s="21">
        <v>2.53999</v>
      </c>
      <c r="L142" s="21">
        <f t="shared" si="75"/>
        <v>13.898825280000001</v>
      </c>
      <c r="M142" s="34" t="s">
        <v>1961</v>
      </c>
      <c r="Z142" s="39">
        <f t="shared" si="76"/>
        <v>0</v>
      </c>
      <c r="AB142" s="39">
        <f t="shared" si="77"/>
        <v>0</v>
      </c>
      <c r="AC142" s="39">
        <f t="shared" si="78"/>
        <v>0</v>
      </c>
      <c r="AD142" s="39">
        <f t="shared" si="79"/>
        <v>0</v>
      </c>
      <c r="AE142" s="39">
        <f t="shared" si="80"/>
        <v>0</v>
      </c>
      <c r="AF142" s="39">
        <f t="shared" si="81"/>
        <v>0</v>
      </c>
      <c r="AG142" s="39">
        <f t="shared" si="82"/>
        <v>0</v>
      </c>
      <c r="AH142" s="39">
        <f t="shared" si="83"/>
        <v>0</v>
      </c>
      <c r="AI142" s="30"/>
      <c r="AJ142" s="21">
        <f t="shared" si="84"/>
        <v>0</v>
      </c>
      <c r="AK142" s="21">
        <f t="shared" si="85"/>
        <v>0</v>
      </c>
      <c r="AL142" s="21">
        <f t="shared" si="86"/>
        <v>0</v>
      </c>
      <c r="AN142" s="39">
        <v>21</v>
      </c>
      <c r="AO142" s="39">
        <f>G142*0.744712778429074</f>
        <v>0</v>
      </c>
      <c r="AP142" s="39">
        <f>G142*(1-0.744712778429074)</f>
        <v>0</v>
      </c>
      <c r="AQ142" s="34" t="s">
        <v>5</v>
      </c>
      <c r="AV142" s="39">
        <f t="shared" si="87"/>
        <v>0</v>
      </c>
      <c r="AW142" s="39">
        <f t="shared" si="88"/>
        <v>0</v>
      </c>
      <c r="AX142" s="39">
        <f t="shared" si="89"/>
        <v>0</v>
      </c>
      <c r="AY142" s="40" t="s">
        <v>1985</v>
      </c>
      <c r="AZ142" s="40" t="s">
        <v>2032</v>
      </c>
      <c r="BA142" s="30" t="s">
        <v>2045</v>
      </c>
      <c r="BC142" s="39">
        <f t="shared" si="90"/>
        <v>0</v>
      </c>
      <c r="BD142" s="39">
        <f t="shared" si="91"/>
        <v>0</v>
      </c>
      <c r="BE142" s="39">
        <v>0</v>
      </c>
      <c r="BF142" s="39">
        <f t="shared" si="92"/>
        <v>13.898825280000001</v>
      </c>
      <c r="BH142" s="21">
        <f t="shared" si="93"/>
        <v>0</v>
      </c>
      <c r="BI142" s="21">
        <f t="shared" si="94"/>
        <v>0</v>
      </c>
      <c r="BJ142" s="21">
        <f t="shared" si="95"/>
        <v>0</v>
      </c>
    </row>
    <row r="143" spans="1:62">
      <c r="A143" s="5" t="s">
        <v>98</v>
      </c>
      <c r="B143" s="5"/>
      <c r="C143" s="5" t="s">
        <v>702</v>
      </c>
      <c r="D143" s="5" t="s">
        <v>1339</v>
      </c>
      <c r="E143" s="5" t="s">
        <v>1941</v>
      </c>
      <c r="F143" s="21">
        <v>15.191940000000001</v>
      </c>
      <c r="G143" s="753">
        <v>0</v>
      </c>
      <c r="H143" s="21">
        <f t="shared" si="72"/>
        <v>0</v>
      </c>
      <c r="I143" s="21">
        <f t="shared" si="73"/>
        <v>0</v>
      </c>
      <c r="J143" s="21">
        <f t="shared" si="74"/>
        <v>0</v>
      </c>
      <c r="K143" s="21">
        <v>2.53999</v>
      </c>
      <c r="L143" s="21">
        <f t="shared" si="75"/>
        <v>38.587375680600005</v>
      </c>
      <c r="M143" s="34" t="s">
        <v>1961</v>
      </c>
      <c r="Z143" s="39">
        <f t="shared" si="76"/>
        <v>0</v>
      </c>
      <c r="AB143" s="39">
        <f t="shared" si="77"/>
        <v>0</v>
      </c>
      <c r="AC143" s="39">
        <f t="shared" si="78"/>
        <v>0</v>
      </c>
      <c r="AD143" s="39">
        <f t="shared" si="79"/>
        <v>0</v>
      </c>
      <c r="AE143" s="39">
        <f t="shared" si="80"/>
        <v>0</v>
      </c>
      <c r="AF143" s="39">
        <f t="shared" si="81"/>
        <v>0</v>
      </c>
      <c r="AG143" s="39">
        <f t="shared" si="82"/>
        <v>0</v>
      </c>
      <c r="AH143" s="39">
        <f t="shared" si="83"/>
        <v>0</v>
      </c>
      <c r="AI143" s="30"/>
      <c r="AJ143" s="21">
        <f t="shared" si="84"/>
        <v>0</v>
      </c>
      <c r="AK143" s="21">
        <f t="shared" si="85"/>
        <v>0</v>
      </c>
      <c r="AL143" s="21">
        <f t="shared" si="86"/>
        <v>0</v>
      </c>
      <c r="AN143" s="39">
        <v>21</v>
      </c>
      <c r="AO143" s="39">
        <f>G143*0.734114824856508</f>
        <v>0</v>
      </c>
      <c r="AP143" s="39">
        <f>G143*(1-0.734114824856508)</f>
        <v>0</v>
      </c>
      <c r="AQ143" s="34" t="s">
        <v>5</v>
      </c>
      <c r="AV143" s="39">
        <f t="shared" si="87"/>
        <v>0</v>
      </c>
      <c r="AW143" s="39">
        <f t="shared" si="88"/>
        <v>0</v>
      </c>
      <c r="AX143" s="39">
        <f t="shared" si="89"/>
        <v>0</v>
      </c>
      <c r="AY143" s="40" t="s">
        <v>1985</v>
      </c>
      <c r="AZ143" s="40" t="s">
        <v>2032</v>
      </c>
      <c r="BA143" s="30" t="s">
        <v>2045</v>
      </c>
      <c r="BC143" s="39">
        <f t="shared" si="90"/>
        <v>0</v>
      </c>
      <c r="BD143" s="39">
        <f t="shared" si="91"/>
        <v>0</v>
      </c>
      <c r="BE143" s="39">
        <v>0</v>
      </c>
      <c r="BF143" s="39">
        <f t="shared" si="92"/>
        <v>38.587375680600005</v>
      </c>
      <c r="BH143" s="21">
        <f t="shared" si="93"/>
        <v>0</v>
      </c>
      <c r="BI143" s="21">
        <f t="shared" si="94"/>
        <v>0</v>
      </c>
      <c r="BJ143" s="21">
        <f t="shared" si="95"/>
        <v>0</v>
      </c>
    </row>
    <row r="144" spans="1:62">
      <c r="A144" s="5" t="s">
        <v>99</v>
      </c>
      <c r="B144" s="5"/>
      <c r="C144" s="5" t="s">
        <v>703</v>
      </c>
      <c r="D144" s="5" t="s">
        <v>1340</v>
      </c>
      <c r="E144" s="5" t="s">
        <v>1943</v>
      </c>
      <c r="F144" s="21">
        <v>6</v>
      </c>
      <c r="G144" s="753">
        <v>0</v>
      </c>
      <c r="H144" s="21">
        <f t="shared" si="72"/>
        <v>0</v>
      </c>
      <c r="I144" s="21">
        <f t="shared" si="73"/>
        <v>0</v>
      </c>
      <c r="J144" s="21">
        <f t="shared" si="74"/>
        <v>0</v>
      </c>
      <c r="K144" s="21">
        <v>0.11206000000000001</v>
      </c>
      <c r="L144" s="21">
        <f t="shared" si="75"/>
        <v>0.67236000000000007</v>
      </c>
      <c r="M144" s="34" t="s">
        <v>1961</v>
      </c>
      <c r="Z144" s="39">
        <f t="shared" si="76"/>
        <v>0</v>
      </c>
      <c r="AB144" s="39">
        <f t="shared" si="77"/>
        <v>0</v>
      </c>
      <c r="AC144" s="39">
        <f t="shared" si="78"/>
        <v>0</v>
      </c>
      <c r="AD144" s="39">
        <f t="shared" si="79"/>
        <v>0</v>
      </c>
      <c r="AE144" s="39">
        <f t="shared" si="80"/>
        <v>0</v>
      </c>
      <c r="AF144" s="39">
        <f t="shared" si="81"/>
        <v>0</v>
      </c>
      <c r="AG144" s="39">
        <f t="shared" si="82"/>
        <v>0</v>
      </c>
      <c r="AH144" s="39">
        <f t="shared" si="83"/>
        <v>0</v>
      </c>
      <c r="AI144" s="30"/>
      <c r="AJ144" s="21">
        <f t="shared" si="84"/>
        <v>0</v>
      </c>
      <c r="AK144" s="21">
        <f t="shared" si="85"/>
        <v>0</v>
      </c>
      <c r="AL144" s="21">
        <f t="shared" si="86"/>
        <v>0</v>
      </c>
      <c r="AN144" s="39">
        <v>21</v>
      </c>
      <c r="AO144" s="39">
        <f>G144*0.0410117145899894</f>
        <v>0</v>
      </c>
      <c r="AP144" s="39">
        <f>G144*(1-0.0410117145899894)</f>
        <v>0</v>
      </c>
      <c r="AQ144" s="34" t="s">
        <v>5</v>
      </c>
      <c r="AV144" s="39">
        <f t="shared" si="87"/>
        <v>0</v>
      </c>
      <c r="AW144" s="39">
        <f t="shared" si="88"/>
        <v>0</v>
      </c>
      <c r="AX144" s="39">
        <f t="shared" si="89"/>
        <v>0</v>
      </c>
      <c r="AY144" s="40" t="s">
        <v>1985</v>
      </c>
      <c r="AZ144" s="40" t="s">
        <v>2032</v>
      </c>
      <c r="BA144" s="30" t="s">
        <v>2045</v>
      </c>
      <c r="BC144" s="39">
        <f t="shared" si="90"/>
        <v>0</v>
      </c>
      <c r="BD144" s="39">
        <f t="shared" si="91"/>
        <v>0</v>
      </c>
      <c r="BE144" s="39">
        <v>0</v>
      </c>
      <c r="BF144" s="39">
        <f t="shared" si="92"/>
        <v>0.67236000000000007</v>
      </c>
      <c r="BH144" s="21">
        <f t="shared" si="93"/>
        <v>0</v>
      </c>
      <c r="BI144" s="21">
        <f t="shared" si="94"/>
        <v>0</v>
      </c>
      <c r="BJ144" s="21">
        <f t="shared" si="95"/>
        <v>0</v>
      </c>
    </row>
    <row r="145" spans="1:62">
      <c r="A145" s="6" t="s">
        <v>100</v>
      </c>
      <c r="B145" s="6"/>
      <c r="C145" s="6" t="s">
        <v>704</v>
      </c>
      <c r="D145" s="6" t="s">
        <v>1341</v>
      </c>
      <c r="E145" s="6" t="s">
        <v>1943</v>
      </c>
      <c r="F145" s="22">
        <v>2</v>
      </c>
      <c r="G145" s="754">
        <v>0</v>
      </c>
      <c r="H145" s="22">
        <f t="shared" si="72"/>
        <v>0</v>
      </c>
      <c r="I145" s="22">
        <f t="shared" si="73"/>
        <v>0</v>
      </c>
      <c r="J145" s="22">
        <f t="shared" si="74"/>
        <v>0</v>
      </c>
      <c r="K145" s="22">
        <v>4.7</v>
      </c>
      <c r="L145" s="22">
        <f t="shared" si="75"/>
        <v>9.4</v>
      </c>
      <c r="M145" s="35" t="s">
        <v>1961</v>
      </c>
      <c r="Z145" s="39">
        <f t="shared" si="76"/>
        <v>0</v>
      </c>
      <c r="AB145" s="39">
        <f t="shared" si="77"/>
        <v>0</v>
      </c>
      <c r="AC145" s="39">
        <f t="shared" si="78"/>
        <v>0</v>
      </c>
      <c r="AD145" s="39">
        <f t="shared" si="79"/>
        <v>0</v>
      </c>
      <c r="AE145" s="39">
        <f t="shared" si="80"/>
        <v>0</v>
      </c>
      <c r="AF145" s="39">
        <f t="shared" si="81"/>
        <v>0</v>
      </c>
      <c r="AG145" s="39">
        <f t="shared" si="82"/>
        <v>0</v>
      </c>
      <c r="AH145" s="39">
        <f t="shared" si="83"/>
        <v>0</v>
      </c>
      <c r="AI145" s="30"/>
      <c r="AJ145" s="22">
        <f t="shared" si="84"/>
        <v>0</v>
      </c>
      <c r="AK145" s="22">
        <f t="shared" si="85"/>
        <v>0</v>
      </c>
      <c r="AL145" s="22">
        <f t="shared" si="86"/>
        <v>0</v>
      </c>
      <c r="AN145" s="39">
        <v>21</v>
      </c>
      <c r="AO145" s="39">
        <f>G145*1</f>
        <v>0</v>
      </c>
      <c r="AP145" s="39">
        <f>G145*(1-1)</f>
        <v>0</v>
      </c>
      <c r="AQ145" s="35" t="s">
        <v>5</v>
      </c>
      <c r="AV145" s="39">
        <f t="shared" si="87"/>
        <v>0</v>
      </c>
      <c r="AW145" s="39">
        <f t="shared" si="88"/>
        <v>0</v>
      </c>
      <c r="AX145" s="39">
        <f t="shared" si="89"/>
        <v>0</v>
      </c>
      <c r="AY145" s="40" t="s">
        <v>1985</v>
      </c>
      <c r="AZ145" s="40" t="s">
        <v>2032</v>
      </c>
      <c r="BA145" s="30" t="s">
        <v>2045</v>
      </c>
      <c r="BC145" s="39">
        <f t="shared" si="90"/>
        <v>0</v>
      </c>
      <c r="BD145" s="39">
        <f t="shared" si="91"/>
        <v>0</v>
      </c>
      <c r="BE145" s="39">
        <v>0</v>
      </c>
      <c r="BF145" s="39">
        <f t="shared" si="92"/>
        <v>9.4</v>
      </c>
      <c r="BH145" s="22">
        <f t="shared" si="93"/>
        <v>0</v>
      </c>
      <c r="BI145" s="22">
        <f t="shared" si="94"/>
        <v>0</v>
      </c>
      <c r="BJ145" s="22">
        <f t="shared" si="95"/>
        <v>0</v>
      </c>
    </row>
    <row r="146" spans="1:62">
      <c r="A146" s="6" t="s">
        <v>101</v>
      </c>
      <c r="B146" s="6"/>
      <c r="C146" s="6" t="s">
        <v>705</v>
      </c>
      <c r="D146" s="6" t="s">
        <v>1342</v>
      </c>
      <c r="E146" s="6" t="s">
        <v>1943</v>
      </c>
      <c r="F146" s="22">
        <v>4</v>
      </c>
      <c r="G146" s="754">
        <v>0</v>
      </c>
      <c r="H146" s="22">
        <f t="shared" si="72"/>
        <v>0</v>
      </c>
      <c r="I146" s="22">
        <f t="shared" si="73"/>
        <v>0</v>
      </c>
      <c r="J146" s="22">
        <f t="shared" si="74"/>
        <v>0</v>
      </c>
      <c r="K146" s="22">
        <v>2.5550000000000002</v>
      </c>
      <c r="L146" s="22">
        <f t="shared" si="75"/>
        <v>10.220000000000001</v>
      </c>
      <c r="M146" s="35" t="s">
        <v>1960</v>
      </c>
      <c r="Z146" s="39">
        <f t="shared" si="76"/>
        <v>0</v>
      </c>
      <c r="AB146" s="39">
        <f t="shared" si="77"/>
        <v>0</v>
      </c>
      <c r="AC146" s="39">
        <f t="shared" si="78"/>
        <v>0</v>
      </c>
      <c r="AD146" s="39">
        <f t="shared" si="79"/>
        <v>0</v>
      </c>
      <c r="AE146" s="39">
        <f t="shared" si="80"/>
        <v>0</v>
      </c>
      <c r="AF146" s="39">
        <f t="shared" si="81"/>
        <v>0</v>
      </c>
      <c r="AG146" s="39">
        <f t="shared" si="82"/>
        <v>0</v>
      </c>
      <c r="AH146" s="39">
        <f t="shared" si="83"/>
        <v>0</v>
      </c>
      <c r="AI146" s="30"/>
      <c r="AJ146" s="22">
        <f t="shared" si="84"/>
        <v>0</v>
      </c>
      <c r="AK146" s="22">
        <f t="shared" si="85"/>
        <v>0</v>
      </c>
      <c r="AL146" s="22">
        <f t="shared" si="86"/>
        <v>0</v>
      </c>
      <c r="AN146" s="39">
        <v>21</v>
      </c>
      <c r="AO146" s="39">
        <f>G146*1</f>
        <v>0</v>
      </c>
      <c r="AP146" s="39">
        <f>G146*(1-1)</f>
        <v>0</v>
      </c>
      <c r="AQ146" s="35" t="s">
        <v>5</v>
      </c>
      <c r="AV146" s="39">
        <f t="shared" si="87"/>
        <v>0</v>
      </c>
      <c r="AW146" s="39">
        <f t="shared" si="88"/>
        <v>0</v>
      </c>
      <c r="AX146" s="39">
        <f t="shared" si="89"/>
        <v>0</v>
      </c>
      <c r="AY146" s="40" t="s">
        <v>1985</v>
      </c>
      <c r="AZ146" s="40" t="s">
        <v>2032</v>
      </c>
      <c r="BA146" s="30" t="s">
        <v>2045</v>
      </c>
      <c r="BC146" s="39">
        <f t="shared" si="90"/>
        <v>0</v>
      </c>
      <c r="BD146" s="39">
        <f t="shared" si="91"/>
        <v>0</v>
      </c>
      <c r="BE146" s="39">
        <v>0</v>
      </c>
      <c r="BF146" s="39">
        <f t="shared" si="92"/>
        <v>10.220000000000001</v>
      </c>
      <c r="BH146" s="22">
        <f t="shared" si="93"/>
        <v>0</v>
      </c>
      <c r="BI146" s="22">
        <f t="shared" si="94"/>
        <v>0</v>
      </c>
      <c r="BJ146" s="22">
        <f t="shared" si="95"/>
        <v>0</v>
      </c>
    </row>
    <row r="147" spans="1:62">
      <c r="A147" s="4"/>
      <c r="B147" s="14"/>
      <c r="C147" s="14" t="s">
        <v>38</v>
      </c>
      <c r="D147" s="14" t="s">
        <v>1343</v>
      </c>
      <c r="E147" s="4" t="s">
        <v>4</v>
      </c>
      <c r="F147" s="4" t="s">
        <v>4</v>
      </c>
      <c r="G147" s="4"/>
      <c r="H147" s="42">
        <f>SUM(H148:H164)</f>
        <v>0</v>
      </c>
      <c r="I147" s="42">
        <f>SUM(I148:I164)</f>
        <v>0</v>
      </c>
      <c r="J147" s="42">
        <f>SUM(J148:J164)</f>
        <v>0</v>
      </c>
      <c r="K147" s="30"/>
      <c r="L147" s="42">
        <f>SUM(L148:L164)</f>
        <v>144.11198893650001</v>
      </c>
      <c r="M147" s="30"/>
      <c r="AI147" s="30"/>
      <c r="AS147" s="42">
        <f>SUM(AJ148:AJ164)</f>
        <v>0</v>
      </c>
      <c r="AT147" s="42">
        <f>SUM(AK148:AK164)</f>
        <v>0</v>
      </c>
      <c r="AU147" s="42">
        <f>SUM(AL148:AL164)</f>
        <v>0</v>
      </c>
    </row>
    <row r="148" spans="1:62">
      <c r="A148" s="5" t="s">
        <v>102</v>
      </c>
      <c r="B148" s="5"/>
      <c r="C148" s="5" t="s">
        <v>706</v>
      </c>
      <c r="D148" s="5" t="s">
        <v>1344</v>
      </c>
      <c r="E148" s="5" t="s">
        <v>1940</v>
      </c>
      <c r="F148" s="21">
        <v>96.473749999999995</v>
      </c>
      <c r="G148" s="753">
        <v>0</v>
      </c>
      <c r="H148" s="21">
        <f t="shared" ref="H148:H156" si="96">F148*AO148</f>
        <v>0</v>
      </c>
      <c r="I148" s="21">
        <f t="shared" ref="I148:I156" si="97">F148*AP148</f>
        <v>0</v>
      </c>
      <c r="J148" s="21">
        <f t="shared" ref="J148:J156" si="98">F148*G148</f>
        <v>0</v>
      </c>
      <c r="K148" s="21">
        <v>7.4709999999999999E-2</v>
      </c>
      <c r="L148" s="21">
        <f t="shared" ref="L148:L156" si="99">F148*K148</f>
        <v>7.2075538624999993</v>
      </c>
      <c r="M148" s="34" t="s">
        <v>1961</v>
      </c>
      <c r="Z148" s="39">
        <f t="shared" ref="Z148:Z156" si="100">IF(AQ148="5",BJ148,0)</f>
        <v>0</v>
      </c>
      <c r="AB148" s="39">
        <f t="shared" ref="AB148:AB156" si="101">IF(AQ148="1",BH148,0)</f>
        <v>0</v>
      </c>
      <c r="AC148" s="39">
        <f t="shared" ref="AC148:AC156" si="102">IF(AQ148="1",BI148,0)</f>
        <v>0</v>
      </c>
      <c r="AD148" s="39">
        <f t="shared" ref="AD148:AD156" si="103">IF(AQ148="7",BH148,0)</f>
        <v>0</v>
      </c>
      <c r="AE148" s="39">
        <f t="shared" ref="AE148:AE156" si="104">IF(AQ148="7",BI148,0)</f>
        <v>0</v>
      </c>
      <c r="AF148" s="39">
        <f t="shared" ref="AF148:AF156" si="105">IF(AQ148="2",BH148,0)</f>
        <v>0</v>
      </c>
      <c r="AG148" s="39">
        <f t="shared" ref="AG148:AG156" si="106">IF(AQ148="2",BI148,0)</f>
        <v>0</v>
      </c>
      <c r="AH148" s="39">
        <f t="shared" ref="AH148:AH156" si="107">IF(AQ148="0",BJ148,0)</f>
        <v>0</v>
      </c>
      <c r="AI148" s="30"/>
      <c r="AJ148" s="21">
        <f t="shared" ref="AJ148:AJ156" si="108">IF(AN148=0,J148,0)</f>
        <v>0</v>
      </c>
      <c r="AK148" s="21">
        <f t="shared" ref="AK148:AK156" si="109">IF(AN148=15,J148,0)</f>
        <v>0</v>
      </c>
      <c r="AL148" s="21">
        <f t="shared" ref="AL148:AL156" si="110">IF(AN148=21,J148,0)</f>
        <v>0</v>
      </c>
      <c r="AN148" s="39">
        <v>21</v>
      </c>
      <c r="AO148" s="39">
        <f>G148*0.660963569443734</f>
        <v>0</v>
      </c>
      <c r="AP148" s="39">
        <f>G148*(1-0.660963569443734)</f>
        <v>0</v>
      </c>
      <c r="AQ148" s="34" t="s">
        <v>5</v>
      </c>
      <c r="AV148" s="39">
        <f t="shared" ref="AV148:AV156" si="111">AW148+AX148</f>
        <v>0</v>
      </c>
      <c r="AW148" s="39">
        <f t="shared" ref="AW148:AW156" si="112">F148*AO148</f>
        <v>0</v>
      </c>
      <c r="AX148" s="39">
        <f t="shared" ref="AX148:AX156" si="113">F148*AP148</f>
        <v>0</v>
      </c>
      <c r="AY148" s="40" t="s">
        <v>1986</v>
      </c>
      <c r="AZ148" s="40" t="s">
        <v>2032</v>
      </c>
      <c r="BA148" s="30" t="s">
        <v>2045</v>
      </c>
      <c r="BC148" s="39">
        <f t="shared" ref="BC148:BC156" si="114">AW148+AX148</f>
        <v>0</v>
      </c>
      <c r="BD148" s="39">
        <f t="shared" ref="BD148:BD156" si="115">G148/(100-BE148)*100</f>
        <v>0</v>
      </c>
      <c r="BE148" s="39">
        <v>0</v>
      </c>
      <c r="BF148" s="39">
        <f t="shared" ref="BF148:BF156" si="116">L148</f>
        <v>7.2075538624999993</v>
      </c>
      <c r="BH148" s="21">
        <f t="shared" ref="BH148:BH156" si="117">F148*AO148</f>
        <v>0</v>
      </c>
      <c r="BI148" s="21">
        <f t="shared" ref="BI148:BI156" si="118">F148*AP148</f>
        <v>0</v>
      </c>
      <c r="BJ148" s="21">
        <f t="shared" ref="BJ148:BJ156" si="119">F148*G148</f>
        <v>0</v>
      </c>
    </row>
    <row r="149" spans="1:62">
      <c r="A149" s="5" t="s">
        <v>103</v>
      </c>
      <c r="B149" s="5"/>
      <c r="C149" s="5" t="s">
        <v>707</v>
      </c>
      <c r="D149" s="5" t="s">
        <v>1345</v>
      </c>
      <c r="E149" s="5" t="s">
        <v>1940</v>
      </c>
      <c r="F149" s="21">
        <v>297.28874999999999</v>
      </c>
      <c r="G149" s="753">
        <v>0</v>
      </c>
      <c r="H149" s="21">
        <f t="shared" si="96"/>
        <v>0</v>
      </c>
      <c r="I149" s="21">
        <f t="shared" si="97"/>
        <v>0</v>
      </c>
      <c r="J149" s="21">
        <f t="shared" si="98"/>
        <v>0</v>
      </c>
      <c r="K149" s="21">
        <v>9.4030000000000002E-2</v>
      </c>
      <c r="L149" s="21">
        <f t="shared" si="99"/>
        <v>27.9540611625</v>
      </c>
      <c r="M149" s="34" t="s">
        <v>1961</v>
      </c>
      <c r="Z149" s="39">
        <f t="shared" si="100"/>
        <v>0</v>
      </c>
      <c r="AB149" s="39">
        <f t="shared" si="101"/>
        <v>0</v>
      </c>
      <c r="AC149" s="39">
        <f t="shared" si="102"/>
        <v>0</v>
      </c>
      <c r="AD149" s="39">
        <f t="shared" si="103"/>
        <v>0</v>
      </c>
      <c r="AE149" s="39">
        <f t="shared" si="104"/>
        <v>0</v>
      </c>
      <c r="AF149" s="39">
        <f t="shared" si="105"/>
        <v>0</v>
      </c>
      <c r="AG149" s="39">
        <f t="shared" si="106"/>
        <v>0</v>
      </c>
      <c r="AH149" s="39">
        <f t="shared" si="107"/>
        <v>0</v>
      </c>
      <c r="AI149" s="30"/>
      <c r="AJ149" s="21">
        <f t="shared" si="108"/>
        <v>0</v>
      </c>
      <c r="AK149" s="21">
        <f t="shared" si="109"/>
        <v>0</v>
      </c>
      <c r="AL149" s="21">
        <f t="shared" si="110"/>
        <v>0</v>
      </c>
      <c r="AN149" s="39">
        <v>21</v>
      </c>
      <c r="AO149" s="39">
        <f>G149*0.710969970001405</f>
        <v>0</v>
      </c>
      <c r="AP149" s="39">
        <f>G149*(1-0.710969970001405)</f>
        <v>0</v>
      </c>
      <c r="AQ149" s="34" t="s">
        <v>5</v>
      </c>
      <c r="AV149" s="39">
        <f t="shared" si="111"/>
        <v>0</v>
      </c>
      <c r="AW149" s="39">
        <f t="shared" si="112"/>
        <v>0</v>
      </c>
      <c r="AX149" s="39">
        <f t="shared" si="113"/>
        <v>0</v>
      </c>
      <c r="AY149" s="40" t="s">
        <v>1986</v>
      </c>
      <c r="AZ149" s="40" t="s">
        <v>2032</v>
      </c>
      <c r="BA149" s="30" t="s">
        <v>2045</v>
      </c>
      <c r="BC149" s="39">
        <f t="shared" si="114"/>
        <v>0</v>
      </c>
      <c r="BD149" s="39">
        <f t="shared" si="115"/>
        <v>0</v>
      </c>
      <c r="BE149" s="39">
        <v>0</v>
      </c>
      <c r="BF149" s="39">
        <f t="shared" si="116"/>
        <v>27.9540611625</v>
      </c>
      <c r="BH149" s="21">
        <f t="shared" si="117"/>
        <v>0</v>
      </c>
      <c r="BI149" s="21">
        <f t="shared" si="118"/>
        <v>0</v>
      </c>
      <c r="BJ149" s="21">
        <f t="shared" si="119"/>
        <v>0</v>
      </c>
    </row>
    <row r="150" spans="1:62">
      <c r="A150" s="5" t="s">
        <v>104</v>
      </c>
      <c r="B150" s="5"/>
      <c r="C150" s="5" t="s">
        <v>708</v>
      </c>
      <c r="D150" s="5" t="s">
        <v>1346</v>
      </c>
      <c r="E150" s="5" t="s">
        <v>1940</v>
      </c>
      <c r="F150" s="21">
        <v>480.24655000000001</v>
      </c>
      <c r="G150" s="753">
        <v>0</v>
      </c>
      <c r="H150" s="21">
        <f t="shared" si="96"/>
        <v>0</v>
      </c>
      <c r="I150" s="21">
        <f t="shared" si="97"/>
        <v>0</v>
      </c>
      <c r="J150" s="21">
        <f t="shared" si="98"/>
        <v>0</v>
      </c>
      <c r="K150" s="21">
        <v>0.11219</v>
      </c>
      <c r="L150" s="21">
        <f t="shared" si="99"/>
        <v>53.878860444499999</v>
      </c>
      <c r="M150" s="34" t="s">
        <v>1961</v>
      </c>
      <c r="Z150" s="39">
        <f t="shared" si="100"/>
        <v>0</v>
      </c>
      <c r="AB150" s="39">
        <f t="shared" si="101"/>
        <v>0</v>
      </c>
      <c r="AC150" s="39">
        <f t="shared" si="102"/>
        <v>0</v>
      </c>
      <c r="AD150" s="39">
        <f t="shared" si="103"/>
        <v>0</v>
      </c>
      <c r="AE150" s="39">
        <f t="shared" si="104"/>
        <v>0</v>
      </c>
      <c r="AF150" s="39">
        <f t="shared" si="105"/>
        <v>0</v>
      </c>
      <c r="AG150" s="39">
        <f t="shared" si="106"/>
        <v>0</v>
      </c>
      <c r="AH150" s="39">
        <f t="shared" si="107"/>
        <v>0</v>
      </c>
      <c r="AI150" s="30"/>
      <c r="AJ150" s="21">
        <f t="shared" si="108"/>
        <v>0</v>
      </c>
      <c r="AK150" s="21">
        <f t="shared" si="109"/>
        <v>0</v>
      </c>
      <c r="AL150" s="21">
        <f t="shared" si="110"/>
        <v>0</v>
      </c>
      <c r="AN150" s="39">
        <v>21</v>
      </c>
      <c r="AO150" s="39">
        <f>G150*0.732481977421484</f>
        <v>0</v>
      </c>
      <c r="AP150" s="39">
        <f>G150*(1-0.732481977421484)</f>
        <v>0</v>
      </c>
      <c r="AQ150" s="34" t="s">
        <v>5</v>
      </c>
      <c r="AV150" s="39">
        <f t="shared" si="111"/>
        <v>0</v>
      </c>
      <c r="AW150" s="39">
        <f t="shared" si="112"/>
        <v>0</v>
      </c>
      <c r="AX150" s="39">
        <f t="shared" si="113"/>
        <v>0</v>
      </c>
      <c r="AY150" s="40" t="s">
        <v>1986</v>
      </c>
      <c r="AZ150" s="40" t="s">
        <v>2032</v>
      </c>
      <c r="BA150" s="30" t="s">
        <v>2045</v>
      </c>
      <c r="BC150" s="39">
        <f t="shared" si="114"/>
        <v>0</v>
      </c>
      <c r="BD150" s="39">
        <f t="shared" si="115"/>
        <v>0</v>
      </c>
      <c r="BE150" s="39">
        <v>0</v>
      </c>
      <c r="BF150" s="39">
        <f t="shared" si="116"/>
        <v>53.878860444499999</v>
      </c>
      <c r="BH150" s="21">
        <f t="shared" si="117"/>
        <v>0</v>
      </c>
      <c r="BI150" s="21">
        <f t="shared" si="118"/>
        <v>0</v>
      </c>
      <c r="BJ150" s="21">
        <f t="shared" si="119"/>
        <v>0</v>
      </c>
    </row>
    <row r="151" spans="1:62">
      <c r="A151" s="5" t="s">
        <v>105</v>
      </c>
      <c r="B151" s="5"/>
      <c r="C151" s="5" t="s">
        <v>709</v>
      </c>
      <c r="D151" s="5" t="s">
        <v>1347</v>
      </c>
      <c r="E151" s="5" t="s">
        <v>1940</v>
      </c>
      <c r="F151" s="21">
        <v>232.68700000000001</v>
      </c>
      <c r="G151" s="753">
        <v>0</v>
      </c>
      <c r="H151" s="21">
        <f t="shared" si="96"/>
        <v>0</v>
      </c>
      <c r="I151" s="21">
        <f t="shared" si="97"/>
        <v>0</v>
      </c>
      <c r="J151" s="21">
        <f t="shared" si="98"/>
        <v>0</v>
      </c>
      <c r="K151" s="21">
        <v>0.17199</v>
      </c>
      <c r="L151" s="21">
        <f t="shared" si="99"/>
        <v>40.019837130000006</v>
      </c>
      <c r="M151" s="34" t="s">
        <v>1961</v>
      </c>
      <c r="Z151" s="39">
        <f t="shared" si="100"/>
        <v>0</v>
      </c>
      <c r="AB151" s="39">
        <f t="shared" si="101"/>
        <v>0</v>
      </c>
      <c r="AC151" s="39">
        <f t="shared" si="102"/>
        <v>0</v>
      </c>
      <c r="AD151" s="39">
        <f t="shared" si="103"/>
        <v>0</v>
      </c>
      <c r="AE151" s="39">
        <f t="shared" si="104"/>
        <v>0</v>
      </c>
      <c r="AF151" s="39">
        <f t="shared" si="105"/>
        <v>0</v>
      </c>
      <c r="AG151" s="39">
        <f t="shared" si="106"/>
        <v>0</v>
      </c>
      <c r="AH151" s="39">
        <f t="shared" si="107"/>
        <v>0</v>
      </c>
      <c r="AI151" s="30"/>
      <c r="AJ151" s="21">
        <f t="shared" si="108"/>
        <v>0</v>
      </c>
      <c r="AK151" s="21">
        <f t="shared" si="109"/>
        <v>0</v>
      </c>
      <c r="AL151" s="21">
        <f t="shared" si="110"/>
        <v>0</v>
      </c>
      <c r="AN151" s="39">
        <v>21</v>
      </c>
      <c r="AO151" s="39">
        <f>G151*0.762386533001354</f>
        <v>0</v>
      </c>
      <c r="AP151" s="39">
        <f>G151*(1-0.762386533001354)</f>
        <v>0</v>
      </c>
      <c r="AQ151" s="34" t="s">
        <v>5</v>
      </c>
      <c r="AV151" s="39">
        <f t="shared" si="111"/>
        <v>0</v>
      </c>
      <c r="AW151" s="39">
        <f t="shared" si="112"/>
        <v>0</v>
      </c>
      <c r="AX151" s="39">
        <f t="shared" si="113"/>
        <v>0</v>
      </c>
      <c r="AY151" s="40" t="s">
        <v>1986</v>
      </c>
      <c r="AZ151" s="40" t="s">
        <v>2032</v>
      </c>
      <c r="BA151" s="30" t="s">
        <v>2045</v>
      </c>
      <c r="BC151" s="39">
        <f t="shared" si="114"/>
        <v>0</v>
      </c>
      <c r="BD151" s="39">
        <f t="shared" si="115"/>
        <v>0</v>
      </c>
      <c r="BE151" s="39">
        <v>0</v>
      </c>
      <c r="BF151" s="39">
        <f t="shared" si="116"/>
        <v>40.019837130000006</v>
      </c>
      <c r="BH151" s="21">
        <f t="shared" si="117"/>
        <v>0</v>
      </c>
      <c r="BI151" s="21">
        <f t="shared" si="118"/>
        <v>0</v>
      </c>
      <c r="BJ151" s="21">
        <f t="shared" si="119"/>
        <v>0</v>
      </c>
    </row>
    <row r="152" spans="1:62">
      <c r="A152" s="5" t="s">
        <v>106</v>
      </c>
      <c r="B152" s="5"/>
      <c r="C152" s="5" t="s">
        <v>710</v>
      </c>
      <c r="D152" s="5" t="s">
        <v>1348</v>
      </c>
      <c r="E152" s="5" t="s">
        <v>1940</v>
      </c>
      <c r="F152" s="21">
        <v>19.7075</v>
      </c>
      <c r="G152" s="753">
        <v>0</v>
      </c>
      <c r="H152" s="21">
        <f t="shared" si="96"/>
        <v>0</v>
      </c>
      <c r="I152" s="21">
        <f t="shared" si="97"/>
        <v>0</v>
      </c>
      <c r="J152" s="21">
        <f t="shared" si="98"/>
        <v>0</v>
      </c>
      <c r="K152" s="21">
        <v>0.12182999999999999</v>
      </c>
      <c r="L152" s="21">
        <f t="shared" si="99"/>
        <v>2.4009647249999997</v>
      </c>
      <c r="M152" s="34" t="s">
        <v>1961</v>
      </c>
      <c r="Z152" s="39">
        <f t="shared" si="100"/>
        <v>0</v>
      </c>
      <c r="AB152" s="39">
        <f t="shared" si="101"/>
        <v>0</v>
      </c>
      <c r="AC152" s="39">
        <f t="shared" si="102"/>
        <v>0</v>
      </c>
      <c r="AD152" s="39">
        <f t="shared" si="103"/>
        <v>0</v>
      </c>
      <c r="AE152" s="39">
        <f t="shared" si="104"/>
        <v>0</v>
      </c>
      <c r="AF152" s="39">
        <f t="shared" si="105"/>
        <v>0</v>
      </c>
      <c r="AG152" s="39">
        <f t="shared" si="106"/>
        <v>0</v>
      </c>
      <c r="AH152" s="39">
        <f t="shared" si="107"/>
        <v>0</v>
      </c>
      <c r="AI152" s="30"/>
      <c r="AJ152" s="21">
        <f t="shared" si="108"/>
        <v>0</v>
      </c>
      <c r="AK152" s="21">
        <f t="shared" si="109"/>
        <v>0</v>
      </c>
      <c r="AL152" s="21">
        <f t="shared" si="110"/>
        <v>0</v>
      </c>
      <c r="AN152" s="39">
        <v>21</v>
      </c>
      <c r="AO152" s="39">
        <f>G152*0.637930938258152</f>
        <v>0</v>
      </c>
      <c r="AP152" s="39">
        <f>G152*(1-0.637930938258152)</f>
        <v>0</v>
      </c>
      <c r="AQ152" s="34" t="s">
        <v>5</v>
      </c>
      <c r="AV152" s="39">
        <f t="shared" si="111"/>
        <v>0</v>
      </c>
      <c r="AW152" s="39">
        <f t="shared" si="112"/>
        <v>0</v>
      </c>
      <c r="AX152" s="39">
        <f t="shared" si="113"/>
        <v>0</v>
      </c>
      <c r="AY152" s="40" t="s">
        <v>1986</v>
      </c>
      <c r="AZ152" s="40" t="s">
        <v>2032</v>
      </c>
      <c r="BA152" s="30" t="s">
        <v>2045</v>
      </c>
      <c r="BC152" s="39">
        <f t="shared" si="114"/>
        <v>0</v>
      </c>
      <c r="BD152" s="39">
        <f t="shared" si="115"/>
        <v>0</v>
      </c>
      <c r="BE152" s="39">
        <v>0</v>
      </c>
      <c r="BF152" s="39">
        <f t="shared" si="116"/>
        <v>2.4009647249999997</v>
      </c>
      <c r="BH152" s="21">
        <f t="shared" si="117"/>
        <v>0</v>
      </c>
      <c r="BI152" s="21">
        <f t="shared" si="118"/>
        <v>0</v>
      </c>
      <c r="BJ152" s="21">
        <f t="shared" si="119"/>
        <v>0</v>
      </c>
    </row>
    <row r="153" spans="1:62">
      <c r="A153" s="5" t="s">
        <v>107</v>
      </c>
      <c r="B153" s="5"/>
      <c r="C153" s="5" t="s">
        <v>711</v>
      </c>
      <c r="D153" s="5" t="s">
        <v>1349</v>
      </c>
      <c r="E153" s="5" t="s">
        <v>1940</v>
      </c>
      <c r="F153" s="21">
        <v>2.76</v>
      </c>
      <c r="G153" s="753">
        <v>0</v>
      </c>
      <c r="H153" s="21">
        <f t="shared" si="96"/>
        <v>0</v>
      </c>
      <c r="I153" s="21">
        <f t="shared" si="97"/>
        <v>0</v>
      </c>
      <c r="J153" s="21">
        <f t="shared" si="98"/>
        <v>0</v>
      </c>
      <c r="K153" s="21">
        <v>0.15931000000000001</v>
      </c>
      <c r="L153" s="21">
        <f t="shared" si="99"/>
        <v>0.43969559999999996</v>
      </c>
      <c r="M153" s="34" t="s">
        <v>1961</v>
      </c>
      <c r="Z153" s="39">
        <f t="shared" si="100"/>
        <v>0</v>
      </c>
      <c r="AB153" s="39">
        <f t="shared" si="101"/>
        <v>0</v>
      </c>
      <c r="AC153" s="39">
        <f t="shared" si="102"/>
        <v>0</v>
      </c>
      <c r="AD153" s="39">
        <f t="shared" si="103"/>
        <v>0</v>
      </c>
      <c r="AE153" s="39">
        <f t="shared" si="104"/>
        <v>0</v>
      </c>
      <c r="AF153" s="39">
        <f t="shared" si="105"/>
        <v>0</v>
      </c>
      <c r="AG153" s="39">
        <f t="shared" si="106"/>
        <v>0</v>
      </c>
      <c r="AH153" s="39">
        <f t="shared" si="107"/>
        <v>0</v>
      </c>
      <c r="AI153" s="30"/>
      <c r="AJ153" s="21">
        <f t="shared" si="108"/>
        <v>0</v>
      </c>
      <c r="AK153" s="21">
        <f t="shared" si="109"/>
        <v>0</v>
      </c>
      <c r="AL153" s="21">
        <f t="shared" si="110"/>
        <v>0</v>
      </c>
      <c r="AN153" s="39">
        <v>21</v>
      </c>
      <c r="AO153" s="39">
        <f>G153*0.705632502308403</f>
        <v>0</v>
      </c>
      <c r="AP153" s="39">
        <f>G153*(1-0.705632502308403)</f>
        <v>0</v>
      </c>
      <c r="AQ153" s="34" t="s">
        <v>5</v>
      </c>
      <c r="AV153" s="39">
        <f t="shared" si="111"/>
        <v>0</v>
      </c>
      <c r="AW153" s="39">
        <f t="shared" si="112"/>
        <v>0</v>
      </c>
      <c r="AX153" s="39">
        <f t="shared" si="113"/>
        <v>0</v>
      </c>
      <c r="AY153" s="40" t="s">
        <v>1986</v>
      </c>
      <c r="AZ153" s="40" t="s">
        <v>2032</v>
      </c>
      <c r="BA153" s="30" t="s">
        <v>2045</v>
      </c>
      <c r="BC153" s="39">
        <f t="shared" si="114"/>
        <v>0</v>
      </c>
      <c r="BD153" s="39">
        <f t="shared" si="115"/>
        <v>0</v>
      </c>
      <c r="BE153" s="39">
        <v>0</v>
      </c>
      <c r="BF153" s="39">
        <f t="shared" si="116"/>
        <v>0.43969559999999996</v>
      </c>
      <c r="BH153" s="21">
        <f t="shared" si="117"/>
        <v>0</v>
      </c>
      <c r="BI153" s="21">
        <f t="shared" si="118"/>
        <v>0</v>
      </c>
      <c r="BJ153" s="21">
        <f t="shared" si="119"/>
        <v>0</v>
      </c>
    </row>
    <row r="154" spans="1:62">
      <c r="A154" s="5" t="s">
        <v>108</v>
      </c>
      <c r="B154" s="5"/>
      <c r="C154" s="5" t="s">
        <v>712</v>
      </c>
      <c r="D154" s="5" t="s">
        <v>1350</v>
      </c>
      <c r="E154" s="5" t="s">
        <v>1940</v>
      </c>
      <c r="F154" s="21">
        <v>14.56875</v>
      </c>
      <c r="G154" s="753">
        <v>0</v>
      </c>
      <c r="H154" s="21">
        <f t="shared" si="96"/>
        <v>0</v>
      </c>
      <c r="I154" s="21">
        <f t="shared" si="97"/>
        <v>0</v>
      </c>
      <c r="J154" s="21">
        <f t="shared" si="98"/>
        <v>0</v>
      </c>
      <c r="K154" s="21">
        <v>0.19575000000000001</v>
      </c>
      <c r="L154" s="21">
        <f t="shared" si="99"/>
        <v>2.8518328125000001</v>
      </c>
      <c r="M154" s="34" t="s">
        <v>1961</v>
      </c>
      <c r="Z154" s="39">
        <f t="shared" si="100"/>
        <v>0</v>
      </c>
      <c r="AB154" s="39">
        <f t="shared" si="101"/>
        <v>0</v>
      </c>
      <c r="AC154" s="39">
        <f t="shared" si="102"/>
        <v>0</v>
      </c>
      <c r="AD154" s="39">
        <f t="shared" si="103"/>
        <v>0</v>
      </c>
      <c r="AE154" s="39">
        <f t="shared" si="104"/>
        <v>0</v>
      </c>
      <c r="AF154" s="39">
        <f t="shared" si="105"/>
        <v>0</v>
      </c>
      <c r="AG154" s="39">
        <f t="shared" si="106"/>
        <v>0</v>
      </c>
      <c r="AH154" s="39">
        <f t="shared" si="107"/>
        <v>0</v>
      </c>
      <c r="AI154" s="30"/>
      <c r="AJ154" s="21">
        <f t="shared" si="108"/>
        <v>0</v>
      </c>
      <c r="AK154" s="21">
        <f t="shared" si="109"/>
        <v>0</v>
      </c>
      <c r="AL154" s="21">
        <f t="shared" si="110"/>
        <v>0</v>
      </c>
      <c r="AN154" s="39">
        <v>21</v>
      </c>
      <c r="AO154" s="39">
        <f>G154*0.713624119960904</f>
        <v>0</v>
      </c>
      <c r="AP154" s="39">
        <f>G154*(1-0.713624119960904)</f>
        <v>0</v>
      </c>
      <c r="AQ154" s="34" t="s">
        <v>5</v>
      </c>
      <c r="AV154" s="39">
        <f t="shared" si="111"/>
        <v>0</v>
      </c>
      <c r="AW154" s="39">
        <f t="shared" si="112"/>
        <v>0</v>
      </c>
      <c r="AX154" s="39">
        <f t="shared" si="113"/>
        <v>0</v>
      </c>
      <c r="AY154" s="40" t="s">
        <v>1986</v>
      </c>
      <c r="AZ154" s="40" t="s">
        <v>2032</v>
      </c>
      <c r="BA154" s="30" t="s">
        <v>2045</v>
      </c>
      <c r="BC154" s="39">
        <f t="shared" si="114"/>
        <v>0</v>
      </c>
      <c r="BD154" s="39">
        <f t="shared" si="115"/>
        <v>0</v>
      </c>
      <c r="BE154" s="39">
        <v>0</v>
      </c>
      <c r="BF154" s="39">
        <f t="shared" si="116"/>
        <v>2.8518328125000001</v>
      </c>
      <c r="BH154" s="21">
        <f t="shared" si="117"/>
        <v>0</v>
      </c>
      <c r="BI154" s="21">
        <f t="shared" si="118"/>
        <v>0</v>
      </c>
      <c r="BJ154" s="21">
        <f t="shared" si="119"/>
        <v>0</v>
      </c>
    </row>
    <row r="155" spans="1:62">
      <c r="A155" s="5" t="s">
        <v>109</v>
      </c>
      <c r="B155" s="5"/>
      <c r="C155" s="5" t="s">
        <v>713</v>
      </c>
      <c r="D155" s="5" t="s">
        <v>5823</v>
      </c>
      <c r="E155" s="5" t="s">
        <v>1940</v>
      </c>
      <c r="F155" s="21">
        <v>46.889200000000002</v>
      </c>
      <c r="G155" s="753">
        <v>0</v>
      </c>
      <c r="H155" s="21">
        <f t="shared" si="96"/>
        <v>0</v>
      </c>
      <c r="I155" s="21">
        <f t="shared" si="97"/>
        <v>0</v>
      </c>
      <c r="J155" s="21">
        <f t="shared" si="98"/>
        <v>0</v>
      </c>
      <c r="K155" s="21">
        <v>0.14252999999999999</v>
      </c>
      <c r="L155" s="21">
        <f t="shared" si="99"/>
        <v>6.6831176760000002</v>
      </c>
      <c r="M155" s="34" t="s">
        <v>1961</v>
      </c>
      <c r="Z155" s="39">
        <f t="shared" si="100"/>
        <v>0</v>
      </c>
      <c r="AB155" s="39">
        <f t="shared" si="101"/>
        <v>0</v>
      </c>
      <c r="AC155" s="39">
        <f t="shared" si="102"/>
        <v>0</v>
      </c>
      <c r="AD155" s="39">
        <f t="shared" si="103"/>
        <v>0</v>
      </c>
      <c r="AE155" s="39">
        <f t="shared" si="104"/>
        <v>0</v>
      </c>
      <c r="AF155" s="39">
        <f t="shared" si="105"/>
        <v>0</v>
      </c>
      <c r="AG155" s="39">
        <f t="shared" si="106"/>
        <v>0</v>
      </c>
      <c r="AH155" s="39">
        <f t="shared" si="107"/>
        <v>0</v>
      </c>
      <c r="AI155" s="30"/>
      <c r="AJ155" s="21">
        <f t="shared" si="108"/>
        <v>0</v>
      </c>
      <c r="AK155" s="21">
        <f t="shared" si="109"/>
        <v>0</v>
      </c>
      <c r="AL155" s="21">
        <f t="shared" si="110"/>
        <v>0</v>
      </c>
      <c r="AN155" s="39">
        <v>21</v>
      </c>
      <c r="AO155" s="39">
        <f>G155*0.620467601208486</f>
        <v>0</v>
      </c>
      <c r="AP155" s="39">
        <f>G155*(1-0.620467601208486)</f>
        <v>0</v>
      </c>
      <c r="AQ155" s="34" t="s">
        <v>5</v>
      </c>
      <c r="AV155" s="39">
        <f t="shared" si="111"/>
        <v>0</v>
      </c>
      <c r="AW155" s="39">
        <f t="shared" si="112"/>
        <v>0</v>
      </c>
      <c r="AX155" s="39">
        <f t="shared" si="113"/>
        <v>0</v>
      </c>
      <c r="AY155" s="40" t="s">
        <v>1986</v>
      </c>
      <c r="AZ155" s="40" t="s">
        <v>2032</v>
      </c>
      <c r="BA155" s="30" t="s">
        <v>2045</v>
      </c>
      <c r="BC155" s="39">
        <f t="shared" si="114"/>
        <v>0</v>
      </c>
      <c r="BD155" s="39">
        <f t="shared" si="115"/>
        <v>0</v>
      </c>
      <c r="BE155" s="39">
        <v>0</v>
      </c>
      <c r="BF155" s="39">
        <f t="shared" si="116"/>
        <v>6.6831176760000002</v>
      </c>
      <c r="BH155" s="21">
        <f t="shared" si="117"/>
        <v>0</v>
      </c>
      <c r="BI155" s="21">
        <f t="shared" si="118"/>
        <v>0</v>
      </c>
      <c r="BJ155" s="21">
        <f t="shared" si="119"/>
        <v>0</v>
      </c>
    </row>
    <row r="156" spans="1:62">
      <c r="A156" s="5" t="s">
        <v>110</v>
      </c>
      <c r="B156" s="5"/>
      <c r="C156" s="5" t="s">
        <v>714</v>
      </c>
      <c r="D156" s="5" t="s">
        <v>1351</v>
      </c>
      <c r="E156" s="5" t="s">
        <v>1940</v>
      </c>
      <c r="F156" s="21">
        <v>20.213999999999999</v>
      </c>
      <c r="G156" s="753">
        <v>0</v>
      </c>
      <c r="H156" s="21">
        <f t="shared" si="96"/>
        <v>0</v>
      </c>
      <c r="I156" s="21">
        <f t="shared" si="97"/>
        <v>0</v>
      </c>
      <c r="J156" s="21">
        <f t="shared" si="98"/>
        <v>0</v>
      </c>
      <c r="K156" s="21">
        <v>4.2419999999999999E-2</v>
      </c>
      <c r="L156" s="21">
        <f t="shared" si="99"/>
        <v>0.85747787999999991</v>
      </c>
      <c r="M156" s="34" t="s">
        <v>1961</v>
      </c>
      <c r="Z156" s="39">
        <f t="shared" si="100"/>
        <v>0</v>
      </c>
      <c r="AB156" s="39">
        <f t="shared" si="101"/>
        <v>0</v>
      </c>
      <c r="AC156" s="39">
        <f t="shared" si="102"/>
        <v>0</v>
      </c>
      <c r="AD156" s="39">
        <f t="shared" si="103"/>
        <v>0</v>
      </c>
      <c r="AE156" s="39">
        <f t="shared" si="104"/>
        <v>0</v>
      </c>
      <c r="AF156" s="39">
        <f t="shared" si="105"/>
        <v>0</v>
      </c>
      <c r="AG156" s="39">
        <f t="shared" si="106"/>
        <v>0</v>
      </c>
      <c r="AH156" s="39">
        <f t="shared" si="107"/>
        <v>0</v>
      </c>
      <c r="AI156" s="30"/>
      <c r="AJ156" s="21">
        <f t="shared" si="108"/>
        <v>0</v>
      </c>
      <c r="AK156" s="21">
        <f t="shared" si="109"/>
        <v>0</v>
      </c>
      <c r="AL156" s="21">
        <f t="shared" si="110"/>
        <v>0</v>
      </c>
      <c r="AN156" s="39">
        <v>21</v>
      </c>
      <c r="AO156" s="39">
        <f>G156*0.514584028103458</f>
        <v>0</v>
      </c>
      <c r="AP156" s="39">
        <f>G156*(1-0.514584028103458)</f>
        <v>0</v>
      </c>
      <c r="AQ156" s="34" t="s">
        <v>5</v>
      </c>
      <c r="AV156" s="39">
        <f t="shared" si="111"/>
        <v>0</v>
      </c>
      <c r="AW156" s="39">
        <f t="shared" si="112"/>
        <v>0</v>
      </c>
      <c r="AX156" s="39">
        <f t="shared" si="113"/>
        <v>0</v>
      </c>
      <c r="AY156" s="40" t="s">
        <v>1986</v>
      </c>
      <c r="AZ156" s="40" t="s">
        <v>2032</v>
      </c>
      <c r="BA156" s="30" t="s">
        <v>2045</v>
      </c>
      <c r="BC156" s="39">
        <f t="shared" si="114"/>
        <v>0</v>
      </c>
      <c r="BD156" s="39">
        <f t="shared" si="115"/>
        <v>0</v>
      </c>
      <c r="BE156" s="39">
        <v>0</v>
      </c>
      <c r="BF156" s="39">
        <f t="shared" si="116"/>
        <v>0.85747787999999991</v>
      </c>
      <c r="BH156" s="21">
        <f t="shared" si="117"/>
        <v>0</v>
      </c>
      <c r="BI156" s="21">
        <f t="shared" si="118"/>
        <v>0</v>
      </c>
      <c r="BJ156" s="21">
        <f t="shared" si="119"/>
        <v>0</v>
      </c>
    </row>
    <row r="157" spans="1:62">
      <c r="C157" s="16" t="s">
        <v>609</v>
      </c>
      <c r="D157" s="919" t="s">
        <v>1352</v>
      </c>
      <c r="E157" s="920"/>
      <c r="F157" s="920"/>
      <c r="G157" s="920"/>
      <c r="H157" s="920"/>
      <c r="I157" s="920"/>
      <c r="J157" s="920"/>
      <c r="K157" s="920"/>
      <c r="L157" s="920"/>
      <c r="M157" s="920"/>
    </row>
    <row r="158" spans="1:62">
      <c r="A158" s="5" t="s">
        <v>111</v>
      </c>
      <c r="B158" s="5"/>
      <c r="C158" s="5" t="s">
        <v>715</v>
      </c>
      <c r="D158" s="5" t="s">
        <v>1353</v>
      </c>
      <c r="E158" s="5" t="s">
        <v>1940</v>
      </c>
      <c r="F158" s="21">
        <v>10.778700000000001</v>
      </c>
      <c r="G158" s="753">
        <v>0</v>
      </c>
      <c r="H158" s="21">
        <f>F158*AO158</f>
        <v>0</v>
      </c>
      <c r="I158" s="21">
        <f>F158*AP158</f>
        <v>0</v>
      </c>
      <c r="J158" s="21">
        <f>F158*G158</f>
        <v>0</v>
      </c>
      <c r="K158" s="21">
        <v>4.4229999999999998E-2</v>
      </c>
      <c r="L158" s="21">
        <f>F158*K158</f>
        <v>0.47674190100000002</v>
      </c>
      <c r="M158" s="34" t="s">
        <v>1961</v>
      </c>
      <c r="Z158" s="39">
        <f>IF(AQ158="5",BJ158,0)</f>
        <v>0</v>
      </c>
      <c r="AB158" s="39">
        <f>IF(AQ158="1",BH158,0)</f>
        <v>0</v>
      </c>
      <c r="AC158" s="39">
        <f>IF(AQ158="1",BI158,0)</f>
        <v>0</v>
      </c>
      <c r="AD158" s="39">
        <f>IF(AQ158="7",BH158,0)</f>
        <v>0</v>
      </c>
      <c r="AE158" s="39">
        <f>IF(AQ158="7",BI158,0)</f>
        <v>0</v>
      </c>
      <c r="AF158" s="39">
        <f>IF(AQ158="2",BH158,0)</f>
        <v>0</v>
      </c>
      <c r="AG158" s="39">
        <f>IF(AQ158="2",BI158,0)</f>
        <v>0</v>
      </c>
      <c r="AH158" s="39">
        <f>IF(AQ158="0",BJ158,0)</f>
        <v>0</v>
      </c>
      <c r="AI158" s="30"/>
      <c r="AJ158" s="21">
        <f>IF(AN158=0,J158,0)</f>
        <v>0</v>
      </c>
      <c r="AK158" s="21">
        <f>IF(AN158=15,J158,0)</f>
        <v>0</v>
      </c>
      <c r="AL158" s="21">
        <f>IF(AN158=21,J158,0)</f>
        <v>0</v>
      </c>
      <c r="AN158" s="39">
        <v>21</v>
      </c>
      <c r="AO158" s="39">
        <f>G158*0.465994975752498</f>
        <v>0</v>
      </c>
      <c r="AP158" s="39">
        <f>G158*(1-0.465994975752498)</f>
        <v>0</v>
      </c>
      <c r="AQ158" s="34" t="s">
        <v>5</v>
      </c>
      <c r="AV158" s="39">
        <f>AW158+AX158</f>
        <v>0</v>
      </c>
      <c r="AW158" s="39">
        <f>F158*AO158</f>
        <v>0</v>
      </c>
      <c r="AX158" s="39">
        <f>F158*AP158</f>
        <v>0</v>
      </c>
      <c r="AY158" s="40" t="s">
        <v>1986</v>
      </c>
      <c r="AZ158" s="40" t="s">
        <v>2032</v>
      </c>
      <c r="BA158" s="30" t="s">
        <v>2045</v>
      </c>
      <c r="BC158" s="39">
        <f>AW158+AX158</f>
        <v>0</v>
      </c>
      <c r="BD158" s="39">
        <f>G158/(100-BE158)*100</f>
        <v>0</v>
      </c>
      <c r="BE158" s="39">
        <v>0</v>
      </c>
      <c r="BF158" s="39">
        <f>L158</f>
        <v>0.47674190100000002</v>
      </c>
      <c r="BH158" s="21">
        <f>F158*AO158</f>
        <v>0</v>
      </c>
      <c r="BI158" s="21">
        <f>F158*AP158</f>
        <v>0</v>
      </c>
      <c r="BJ158" s="21">
        <f>F158*G158</f>
        <v>0</v>
      </c>
    </row>
    <row r="159" spans="1:62">
      <c r="C159" s="16" t="s">
        <v>609</v>
      </c>
      <c r="D159" s="919" t="s">
        <v>1354</v>
      </c>
      <c r="E159" s="920"/>
      <c r="F159" s="920"/>
      <c r="G159" s="920"/>
      <c r="H159" s="920"/>
      <c r="I159" s="920"/>
      <c r="J159" s="920"/>
      <c r="K159" s="920"/>
      <c r="L159" s="920"/>
      <c r="M159" s="920"/>
    </row>
    <row r="160" spans="1:62">
      <c r="A160" s="5" t="s">
        <v>112</v>
      </c>
      <c r="B160" s="5"/>
      <c r="C160" s="5" t="s">
        <v>716</v>
      </c>
      <c r="D160" s="5" t="s">
        <v>1355</v>
      </c>
      <c r="E160" s="5" t="s">
        <v>1940</v>
      </c>
      <c r="F160" s="21">
        <v>38.469000000000001</v>
      </c>
      <c r="G160" s="753">
        <v>0</v>
      </c>
      <c r="H160" s="21">
        <f>F160*AO160</f>
        <v>0</v>
      </c>
      <c r="I160" s="21">
        <f>F160*AP160</f>
        <v>0</v>
      </c>
      <c r="J160" s="21">
        <f>F160*G160</f>
        <v>0</v>
      </c>
      <c r="K160" s="21">
        <v>1.2370000000000001E-2</v>
      </c>
      <c r="L160" s="21">
        <f>F160*K160</f>
        <v>0.47586153000000003</v>
      </c>
      <c r="M160" s="34" t="s">
        <v>1961</v>
      </c>
      <c r="Z160" s="39">
        <f>IF(AQ160="5",BJ160,0)</f>
        <v>0</v>
      </c>
      <c r="AB160" s="39">
        <f>IF(AQ160="1",BH160,0)</f>
        <v>0</v>
      </c>
      <c r="AC160" s="39">
        <f>IF(AQ160="1",BI160,0)</f>
        <v>0</v>
      </c>
      <c r="AD160" s="39">
        <f>IF(AQ160="7",BH160,0)</f>
        <v>0</v>
      </c>
      <c r="AE160" s="39">
        <f>IF(AQ160="7",BI160,0)</f>
        <v>0</v>
      </c>
      <c r="AF160" s="39">
        <f>IF(AQ160="2",BH160,0)</f>
        <v>0</v>
      </c>
      <c r="AG160" s="39">
        <f>IF(AQ160="2",BI160,0)</f>
        <v>0</v>
      </c>
      <c r="AH160" s="39">
        <f>IF(AQ160="0",BJ160,0)</f>
        <v>0</v>
      </c>
      <c r="AI160" s="30"/>
      <c r="AJ160" s="21">
        <f>IF(AN160=0,J160,0)</f>
        <v>0</v>
      </c>
      <c r="AK160" s="21">
        <f>IF(AN160=15,J160,0)</f>
        <v>0</v>
      </c>
      <c r="AL160" s="21">
        <f>IF(AN160=21,J160,0)</f>
        <v>0</v>
      </c>
      <c r="AN160" s="39">
        <v>21</v>
      </c>
      <c r="AO160" s="39">
        <f>G160*0.408227674620045</f>
        <v>0</v>
      </c>
      <c r="AP160" s="39">
        <f>G160*(1-0.408227674620045)</f>
        <v>0</v>
      </c>
      <c r="AQ160" s="34" t="s">
        <v>5</v>
      </c>
      <c r="AV160" s="39">
        <f>AW160+AX160</f>
        <v>0</v>
      </c>
      <c r="AW160" s="39">
        <f>F160*AO160</f>
        <v>0</v>
      </c>
      <c r="AX160" s="39">
        <f>F160*AP160</f>
        <v>0</v>
      </c>
      <c r="AY160" s="40" t="s">
        <v>1986</v>
      </c>
      <c r="AZ160" s="40" t="s">
        <v>2032</v>
      </c>
      <c r="BA160" s="30" t="s">
        <v>2045</v>
      </c>
      <c r="BC160" s="39">
        <f>AW160+AX160</f>
        <v>0</v>
      </c>
      <c r="BD160" s="39">
        <f>G160/(100-BE160)*100</f>
        <v>0</v>
      </c>
      <c r="BE160" s="39">
        <v>0</v>
      </c>
      <c r="BF160" s="39">
        <f>L160</f>
        <v>0.47586153000000003</v>
      </c>
      <c r="BH160" s="21">
        <f>F160*AO160</f>
        <v>0</v>
      </c>
      <c r="BI160" s="21">
        <f>F160*AP160</f>
        <v>0</v>
      </c>
      <c r="BJ160" s="21">
        <f>F160*G160</f>
        <v>0</v>
      </c>
    </row>
    <row r="161" spans="1:62">
      <c r="A161" s="5" t="s">
        <v>113</v>
      </c>
      <c r="B161" s="5"/>
      <c r="C161" s="5" t="s">
        <v>717</v>
      </c>
      <c r="D161" s="5" t="s">
        <v>1356</v>
      </c>
      <c r="E161" s="5" t="s">
        <v>1940</v>
      </c>
      <c r="F161" s="21">
        <v>43.244250000000001</v>
      </c>
      <c r="G161" s="753">
        <v>0</v>
      </c>
      <c r="H161" s="21">
        <f>F161*AO161</f>
        <v>0</v>
      </c>
      <c r="I161" s="21">
        <f>F161*AP161</f>
        <v>0</v>
      </c>
      <c r="J161" s="21">
        <f>F161*G161</f>
        <v>0</v>
      </c>
      <c r="K161" s="21">
        <v>1.2370000000000001E-2</v>
      </c>
      <c r="L161" s="21">
        <f>F161*K161</f>
        <v>0.5349313725</v>
      </c>
      <c r="M161" s="34" t="s">
        <v>1961</v>
      </c>
      <c r="Z161" s="39">
        <f>IF(AQ161="5",BJ161,0)</f>
        <v>0</v>
      </c>
      <c r="AB161" s="39">
        <f>IF(AQ161="1",BH161,0)</f>
        <v>0</v>
      </c>
      <c r="AC161" s="39">
        <f>IF(AQ161="1",BI161,0)</f>
        <v>0</v>
      </c>
      <c r="AD161" s="39">
        <f>IF(AQ161="7",BH161,0)</f>
        <v>0</v>
      </c>
      <c r="AE161" s="39">
        <f>IF(AQ161="7",BI161,0)</f>
        <v>0</v>
      </c>
      <c r="AF161" s="39">
        <f>IF(AQ161="2",BH161,0)</f>
        <v>0</v>
      </c>
      <c r="AG161" s="39">
        <f>IF(AQ161="2",BI161,0)</f>
        <v>0</v>
      </c>
      <c r="AH161" s="39">
        <f>IF(AQ161="0",BJ161,0)</f>
        <v>0</v>
      </c>
      <c r="AI161" s="30"/>
      <c r="AJ161" s="21">
        <f>IF(AN161=0,J161,0)</f>
        <v>0</v>
      </c>
      <c r="AK161" s="21">
        <f>IF(AN161=15,J161,0)</f>
        <v>0</v>
      </c>
      <c r="AL161" s="21">
        <f>IF(AN161=21,J161,0)</f>
        <v>0</v>
      </c>
      <c r="AN161" s="39">
        <v>21</v>
      </c>
      <c r="AO161" s="39">
        <f>G161*0.408227871336269</f>
        <v>0</v>
      </c>
      <c r="AP161" s="39">
        <f>G161*(1-0.408227871336269)</f>
        <v>0</v>
      </c>
      <c r="AQ161" s="34" t="s">
        <v>5</v>
      </c>
      <c r="AV161" s="39">
        <f>AW161+AX161</f>
        <v>0</v>
      </c>
      <c r="AW161" s="39">
        <f>F161*AO161</f>
        <v>0</v>
      </c>
      <c r="AX161" s="39">
        <f>F161*AP161</f>
        <v>0</v>
      </c>
      <c r="AY161" s="40" t="s">
        <v>1986</v>
      </c>
      <c r="AZ161" s="40" t="s">
        <v>2032</v>
      </c>
      <c r="BA161" s="30" t="s">
        <v>2045</v>
      </c>
      <c r="BC161" s="39">
        <f>AW161+AX161</f>
        <v>0</v>
      </c>
      <c r="BD161" s="39">
        <f>G161/(100-BE161)*100</f>
        <v>0</v>
      </c>
      <c r="BE161" s="39">
        <v>0</v>
      </c>
      <c r="BF161" s="39">
        <f>L161</f>
        <v>0.5349313725</v>
      </c>
      <c r="BH161" s="21">
        <f>F161*AO161</f>
        <v>0</v>
      </c>
      <c r="BI161" s="21">
        <f>F161*AP161</f>
        <v>0</v>
      </c>
      <c r="BJ161" s="21">
        <f>F161*G161</f>
        <v>0</v>
      </c>
    </row>
    <row r="162" spans="1:62">
      <c r="A162" s="5" t="s">
        <v>114</v>
      </c>
      <c r="B162" s="5"/>
      <c r="C162" s="5" t="s">
        <v>718</v>
      </c>
      <c r="D162" s="5" t="s">
        <v>1357</v>
      </c>
      <c r="E162" s="5" t="s">
        <v>1940</v>
      </c>
      <c r="F162" s="21">
        <v>24.931999999999999</v>
      </c>
      <c r="G162" s="753">
        <v>0</v>
      </c>
      <c r="H162" s="21">
        <f>F162*AO162</f>
        <v>0</v>
      </c>
      <c r="I162" s="21">
        <f>F162*AP162</f>
        <v>0</v>
      </c>
      <c r="J162" s="21">
        <f>F162*G162</f>
        <v>0</v>
      </c>
      <c r="K162" s="21">
        <v>1.2370000000000001E-2</v>
      </c>
      <c r="L162" s="21">
        <f>F162*K162</f>
        <v>0.30840884000000002</v>
      </c>
      <c r="M162" s="34" t="s">
        <v>1961</v>
      </c>
      <c r="Z162" s="39">
        <f>IF(AQ162="5",BJ162,0)</f>
        <v>0</v>
      </c>
      <c r="AB162" s="39">
        <f>IF(AQ162="1",BH162,0)</f>
        <v>0</v>
      </c>
      <c r="AC162" s="39">
        <f>IF(AQ162="1",BI162,0)</f>
        <v>0</v>
      </c>
      <c r="AD162" s="39">
        <f>IF(AQ162="7",BH162,0)</f>
        <v>0</v>
      </c>
      <c r="AE162" s="39">
        <f>IF(AQ162="7",BI162,0)</f>
        <v>0</v>
      </c>
      <c r="AF162" s="39">
        <f>IF(AQ162="2",BH162,0)</f>
        <v>0</v>
      </c>
      <c r="AG162" s="39">
        <f>IF(AQ162="2",BI162,0)</f>
        <v>0</v>
      </c>
      <c r="AH162" s="39">
        <f>IF(AQ162="0",BJ162,0)</f>
        <v>0</v>
      </c>
      <c r="AI162" s="30"/>
      <c r="AJ162" s="21">
        <f>IF(AN162=0,J162,0)</f>
        <v>0</v>
      </c>
      <c r="AK162" s="21">
        <f>IF(AN162=15,J162,0)</f>
        <v>0</v>
      </c>
      <c r="AL162" s="21">
        <f>IF(AN162=21,J162,0)</f>
        <v>0</v>
      </c>
      <c r="AN162" s="39">
        <v>21</v>
      </c>
      <c r="AO162" s="39">
        <f>G162*0.408230220138426</f>
        <v>0</v>
      </c>
      <c r="AP162" s="39">
        <f>G162*(1-0.408230220138426)</f>
        <v>0</v>
      </c>
      <c r="AQ162" s="34" t="s">
        <v>5</v>
      </c>
      <c r="AV162" s="39">
        <f>AW162+AX162</f>
        <v>0</v>
      </c>
      <c r="AW162" s="39">
        <f>F162*AO162</f>
        <v>0</v>
      </c>
      <c r="AX162" s="39">
        <f>F162*AP162</f>
        <v>0</v>
      </c>
      <c r="AY162" s="40" t="s">
        <v>1986</v>
      </c>
      <c r="AZ162" s="40" t="s">
        <v>2032</v>
      </c>
      <c r="BA162" s="30" t="s">
        <v>2045</v>
      </c>
      <c r="BC162" s="39">
        <f>AW162+AX162</f>
        <v>0</v>
      </c>
      <c r="BD162" s="39">
        <f>G162/(100-BE162)*100</f>
        <v>0</v>
      </c>
      <c r="BE162" s="39">
        <v>0</v>
      </c>
      <c r="BF162" s="39">
        <f>L162</f>
        <v>0.30840884000000002</v>
      </c>
      <c r="BH162" s="21">
        <f>F162*AO162</f>
        <v>0</v>
      </c>
      <c r="BI162" s="21">
        <f>F162*AP162</f>
        <v>0</v>
      </c>
      <c r="BJ162" s="21">
        <f>F162*G162</f>
        <v>0</v>
      </c>
    </row>
    <row r="163" spans="1:62">
      <c r="A163" s="5" t="s">
        <v>115</v>
      </c>
      <c r="B163" s="5"/>
      <c r="C163" s="5" t="s">
        <v>719</v>
      </c>
      <c r="D163" s="5" t="s">
        <v>1358</v>
      </c>
      <c r="E163" s="5" t="s">
        <v>1940</v>
      </c>
      <c r="F163" s="21">
        <v>289.1635</v>
      </c>
      <c r="G163" s="753">
        <v>0</v>
      </c>
      <c r="H163" s="21">
        <f>F163*AO163</f>
        <v>0</v>
      </c>
      <c r="I163" s="21">
        <f>F163*AP163</f>
        <v>0</v>
      </c>
      <c r="J163" s="21">
        <f>F163*G163</f>
        <v>0</v>
      </c>
      <c r="K163" s="21">
        <v>0</v>
      </c>
      <c r="L163" s="21">
        <f>F163*K163</f>
        <v>0</v>
      </c>
      <c r="M163" s="34" t="s">
        <v>1961</v>
      </c>
      <c r="Z163" s="39">
        <f>IF(AQ163="5",BJ163,0)</f>
        <v>0</v>
      </c>
      <c r="AB163" s="39">
        <f>IF(AQ163="1",BH163,0)</f>
        <v>0</v>
      </c>
      <c r="AC163" s="39">
        <f>IF(AQ163="1",BI163,0)</f>
        <v>0</v>
      </c>
      <c r="AD163" s="39">
        <f>IF(AQ163="7",BH163,0)</f>
        <v>0</v>
      </c>
      <c r="AE163" s="39">
        <f>IF(AQ163="7",BI163,0)</f>
        <v>0</v>
      </c>
      <c r="AF163" s="39">
        <f>IF(AQ163="2",BH163,0)</f>
        <v>0</v>
      </c>
      <c r="AG163" s="39">
        <f>IF(AQ163="2",BI163,0)</f>
        <v>0</v>
      </c>
      <c r="AH163" s="39">
        <f>IF(AQ163="0",BJ163,0)</f>
        <v>0</v>
      </c>
      <c r="AI163" s="30"/>
      <c r="AJ163" s="21">
        <f>IF(AN163=0,J163,0)</f>
        <v>0</v>
      </c>
      <c r="AK163" s="21">
        <f>IF(AN163=15,J163,0)</f>
        <v>0</v>
      </c>
      <c r="AL163" s="21">
        <f>IF(AN163=21,J163,0)</f>
        <v>0</v>
      </c>
      <c r="AN163" s="39">
        <v>21</v>
      </c>
      <c r="AO163" s="39">
        <f>G163*0</f>
        <v>0</v>
      </c>
      <c r="AP163" s="39">
        <f>G163*(1-0)</f>
        <v>0</v>
      </c>
      <c r="AQ163" s="34" t="s">
        <v>5</v>
      </c>
      <c r="AV163" s="39">
        <f>AW163+AX163</f>
        <v>0</v>
      </c>
      <c r="AW163" s="39">
        <f>F163*AO163</f>
        <v>0</v>
      </c>
      <c r="AX163" s="39">
        <f>F163*AP163</f>
        <v>0</v>
      </c>
      <c r="AY163" s="40" t="s">
        <v>1986</v>
      </c>
      <c r="AZ163" s="40" t="s">
        <v>2032</v>
      </c>
      <c r="BA163" s="30" t="s">
        <v>2045</v>
      </c>
      <c r="BC163" s="39">
        <f>AW163+AX163</f>
        <v>0</v>
      </c>
      <c r="BD163" s="39">
        <f>G163/(100-BE163)*100</f>
        <v>0</v>
      </c>
      <c r="BE163" s="39">
        <v>0</v>
      </c>
      <c r="BF163" s="39">
        <f>L163</f>
        <v>0</v>
      </c>
      <c r="BH163" s="21">
        <f>F163*AO163</f>
        <v>0</v>
      </c>
      <c r="BI163" s="21">
        <f>F163*AP163</f>
        <v>0</v>
      </c>
      <c r="BJ163" s="21">
        <f>F163*G163</f>
        <v>0</v>
      </c>
    </row>
    <row r="164" spans="1:62">
      <c r="A164" s="5" t="s">
        <v>116</v>
      </c>
      <c r="B164" s="5"/>
      <c r="C164" s="5" t="s">
        <v>720</v>
      </c>
      <c r="D164" s="5" t="s">
        <v>1359</v>
      </c>
      <c r="E164" s="5" t="s">
        <v>1939</v>
      </c>
      <c r="F164" s="21">
        <v>22.2</v>
      </c>
      <c r="G164" s="753">
        <v>0</v>
      </c>
      <c r="H164" s="21">
        <f>F164*AO164</f>
        <v>0</v>
      </c>
      <c r="I164" s="21">
        <f>F164*AP164</f>
        <v>0</v>
      </c>
      <c r="J164" s="21">
        <f>F164*G164</f>
        <v>0</v>
      </c>
      <c r="K164" s="21">
        <v>1.0200000000000001E-3</v>
      </c>
      <c r="L164" s="21">
        <f>F164*K164</f>
        <v>2.2644000000000001E-2</v>
      </c>
      <c r="M164" s="34" t="s">
        <v>1961</v>
      </c>
      <c r="Z164" s="39">
        <f>IF(AQ164="5",BJ164,0)</f>
        <v>0</v>
      </c>
      <c r="AB164" s="39">
        <f>IF(AQ164="1",BH164,0)</f>
        <v>0</v>
      </c>
      <c r="AC164" s="39">
        <f>IF(AQ164="1",BI164,0)</f>
        <v>0</v>
      </c>
      <c r="AD164" s="39">
        <f>IF(AQ164="7",BH164,0)</f>
        <v>0</v>
      </c>
      <c r="AE164" s="39">
        <f>IF(AQ164="7",BI164,0)</f>
        <v>0</v>
      </c>
      <c r="AF164" s="39">
        <f>IF(AQ164="2",BH164,0)</f>
        <v>0</v>
      </c>
      <c r="AG164" s="39">
        <f>IF(AQ164="2",BI164,0)</f>
        <v>0</v>
      </c>
      <c r="AH164" s="39">
        <f>IF(AQ164="0",BJ164,0)</f>
        <v>0</v>
      </c>
      <c r="AI164" s="30"/>
      <c r="AJ164" s="21">
        <f>IF(AN164=0,J164,0)</f>
        <v>0</v>
      </c>
      <c r="AK164" s="21">
        <f>IF(AN164=15,J164,0)</f>
        <v>0</v>
      </c>
      <c r="AL164" s="21">
        <f>IF(AN164=21,J164,0)</f>
        <v>0</v>
      </c>
      <c r="AN164" s="39">
        <v>21</v>
      </c>
      <c r="AO164" s="39">
        <f>G164*0.259628445637706</f>
        <v>0</v>
      </c>
      <c r="AP164" s="39">
        <f>G164*(1-0.259628445637706)</f>
        <v>0</v>
      </c>
      <c r="AQ164" s="34" t="s">
        <v>5</v>
      </c>
      <c r="AV164" s="39">
        <f>AW164+AX164</f>
        <v>0</v>
      </c>
      <c r="AW164" s="39">
        <f>F164*AO164</f>
        <v>0</v>
      </c>
      <c r="AX164" s="39">
        <f>F164*AP164</f>
        <v>0</v>
      </c>
      <c r="AY164" s="40" t="s">
        <v>1986</v>
      </c>
      <c r="AZ164" s="40" t="s">
        <v>2032</v>
      </c>
      <c r="BA164" s="30" t="s">
        <v>2045</v>
      </c>
      <c r="BC164" s="39">
        <f>AW164+AX164</f>
        <v>0</v>
      </c>
      <c r="BD164" s="39">
        <f>G164/(100-BE164)*100</f>
        <v>0</v>
      </c>
      <c r="BE164" s="39">
        <v>0</v>
      </c>
      <c r="BF164" s="39">
        <f>L164</f>
        <v>2.2644000000000001E-2</v>
      </c>
      <c r="BH164" s="21">
        <f>F164*AO164</f>
        <v>0</v>
      </c>
      <c r="BI164" s="21">
        <f>F164*AP164</f>
        <v>0</v>
      </c>
      <c r="BJ164" s="21">
        <f>F164*G164</f>
        <v>0</v>
      </c>
    </row>
    <row r="165" spans="1:62">
      <c r="A165" s="4"/>
      <c r="B165" s="14"/>
      <c r="C165" s="14" t="s">
        <v>42</v>
      </c>
      <c r="D165" s="14" t="s">
        <v>1360</v>
      </c>
      <c r="E165" s="4" t="s">
        <v>4</v>
      </c>
      <c r="F165" s="4" t="s">
        <v>4</v>
      </c>
      <c r="G165" s="4" t="s">
        <v>4</v>
      </c>
      <c r="H165" s="42">
        <f>SUM(H166:H171)</f>
        <v>0</v>
      </c>
      <c r="I165" s="42">
        <f>SUM(I166:I171)</f>
        <v>0</v>
      </c>
      <c r="J165" s="42">
        <f>SUM(J166:J171)</f>
        <v>0</v>
      </c>
      <c r="K165" s="30"/>
      <c r="L165" s="42">
        <f>SUM(L166:L171)</f>
        <v>104.96544254849999</v>
      </c>
      <c r="M165" s="30"/>
      <c r="AI165" s="30"/>
      <c r="AS165" s="42">
        <f>SUM(AJ166:AJ171)</f>
        <v>0</v>
      </c>
      <c r="AT165" s="42">
        <f>SUM(AK166:AK171)</f>
        <v>0</v>
      </c>
      <c r="AU165" s="42">
        <f>SUM(AL166:AL171)</f>
        <v>0</v>
      </c>
    </row>
    <row r="166" spans="1:62">
      <c r="A166" s="5" t="s">
        <v>117</v>
      </c>
      <c r="B166" s="5"/>
      <c r="C166" s="5" t="s">
        <v>721</v>
      </c>
      <c r="D166" s="5" t="s">
        <v>1361</v>
      </c>
      <c r="E166" s="5" t="s">
        <v>1941</v>
      </c>
      <c r="F166" s="21">
        <v>0.5</v>
      </c>
      <c r="G166" s="753">
        <v>0</v>
      </c>
      <c r="H166" s="21">
        <f>F166*AO166</f>
        <v>0</v>
      </c>
      <c r="I166" s="21">
        <f>F166*AP166</f>
        <v>0</v>
      </c>
      <c r="J166" s="21">
        <f>F166*G166</f>
        <v>0</v>
      </c>
      <c r="K166" s="21">
        <v>2.5698099999999999</v>
      </c>
      <c r="L166" s="21">
        <f>F166*K166</f>
        <v>1.284905</v>
      </c>
      <c r="M166" s="34" t="s">
        <v>1961</v>
      </c>
      <c r="Z166" s="39">
        <f>IF(AQ166="5",BJ166,0)</f>
        <v>0</v>
      </c>
      <c r="AB166" s="39">
        <f>IF(AQ166="1",BH166,0)</f>
        <v>0</v>
      </c>
      <c r="AC166" s="39">
        <f>IF(AQ166="1",BI166,0)</f>
        <v>0</v>
      </c>
      <c r="AD166" s="39">
        <f>IF(AQ166="7",BH166,0)</f>
        <v>0</v>
      </c>
      <c r="AE166" s="39">
        <f>IF(AQ166="7",BI166,0)</f>
        <v>0</v>
      </c>
      <c r="AF166" s="39">
        <f>IF(AQ166="2",BH166,0)</f>
        <v>0</v>
      </c>
      <c r="AG166" s="39">
        <f>IF(AQ166="2",BI166,0)</f>
        <v>0</v>
      </c>
      <c r="AH166" s="39">
        <f>IF(AQ166="0",BJ166,0)</f>
        <v>0</v>
      </c>
      <c r="AI166" s="30"/>
      <c r="AJ166" s="21">
        <f>IF(AN166=0,J166,0)</f>
        <v>0</v>
      </c>
      <c r="AK166" s="21">
        <f>IF(AN166=15,J166,0)</f>
        <v>0</v>
      </c>
      <c r="AL166" s="21">
        <f>IF(AN166=21,J166,0)</f>
        <v>0</v>
      </c>
      <c r="AN166" s="39">
        <v>21</v>
      </c>
      <c r="AO166" s="39">
        <f>G166*0.678546534653465</f>
        <v>0</v>
      </c>
      <c r="AP166" s="39">
        <f>G166*(1-0.678546534653465)</f>
        <v>0</v>
      </c>
      <c r="AQ166" s="34" t="s">
        <v>5</v>
      </c>
      <c r="AV166" s="39">
        <f>AW166+AX166</f>
        <v>0</v>
      </c>
      <c r="AW166" s="39">
        <f>F166*AO166</f>
        <v>0</v>
      </c>
      <c r="AX166" s="39">
        <f>F166*AP166</f>
        <v>0</v>
      </c>
      <c r="AY166" s="40" t="s">
        <v>1987</v>
      </c>
      <c r="AZ166" s="40" t="s">
        <v>2032</v>
      </c>
      <c r="BA166" s="30" t="s">
        <v>2045</v>
      </c>
      <c r="BC166" s="39">
        <f>AW166+AX166</f>
        <v>0</v>
      </c>
      <c r="BD166" s="39">
        <f>G166/(100-BE166)*100</f>
        <v>0</v>
      </c>
      <c r="BE166" s="39">
        <v>0</v>
      </c>
      <c r="BF166" s="39">
        <f>L166</f>
        <v>1.284905</v>
      </c>
      <c r="BH166" s="21">
        <f>F166*AO166</f>
        <v>0</v>
      </c>
      <c r="BI166" s="21">
        <f>F166*AP166</f>
        <v>0</v>
      </c>
      <c r="BJ166" s="21">
        <f>F166*G166</f>
        <v>0</v>
      </c>
    </row>
    <row r="167" spans="1:62">
      <c r="A167" s="5" t="s">
        <v>118</v>
      </c>
      <c r="B167" s="5"/>
      <c r="C167" s="5" t="s">
        <v>722</v>
      </c>
      <c r="D167" s="5" t="s">
        <v>5824</v>
      </c>
      <c r="E167" s="5" t="s">
        <v>1938</v>
      </c>
      <c r="F167" s="21">
        <v>1</v>
      </c>
      <c r="G167" s="753">
        <v>0</v>
      </c>
      <c r="H167" s="21">
        <f>F167*AO167</f>
        <v>0</v>
      </c>
      <c r="I167" s="21">
        <f>F167*AP167</f>
        <v>0</v>
      </c>
      <c r="J167" s="21">
        <f>F167*G167</f>
        <v>0</v>
      </c>
      <c r="K167" s="21">
        <v>5.0910000000000002</v>
      </c>
      <c r="L167" s="21">
        <f>F167*K167</f>
        <v>5.0910000000000002</v>
      </c>
      <c r="M167" s="34" t="s">
        <v>1960</v>
      </c>
      <c r="Z167" s="39">
        <f>IF(AQ167="5",BJ167,0)</f>
        <v>0</v>
      </c>
      <c r="AB167" s="39">
        <f>IF(AQ167="1",BH167,0)</f>
        <v>0</v>
      </c>
      <c r="AC167" s="39">
        <f>IF(AQ167="1",BI167,0)</f>
        <v>0</v>
      </c>
      <c r="AD167" s="39">
        <f>IF(AQ167="7",BH167,0)</f>
        <v>0</v>
      </c>
      <c r="AE167" s="39">
        <f>IF(AQ167="7",BI167,0)</f>
        <v>0</v>
      </c>
      <c r="AF167" s="39">
        <f>IF(AQ167="2",BH167,0)</f>
        <v>0</v>
      </c>
      <c r="AG167" s="39">
        <f>IF(AQ167="2",BI167,0)</f>
        <v>0</v>
      </c>
      <c r="AH167" s="39">
        <f>IF(AQ167="0",BJ167,0)</f>
        <v>0</v>
      </c>
      <c r="AI167" s="30"/>
      <c r="AJ167" s="21">
        <f>IF(AN167=0,J167,0)</f>
        <v>0</v>
      </c>
      <c r="AK167" s="21">
        <f>IF(AN167=15,J167,0)</f>
        <v>0</v>
      </c>
      <c r="AL167" s="21">
        <f>IF(AN167=21,J167,0)</f>
        <v>0</v>
      </c>
      <c r="AN167" s="39">
        <v>21</v>
      </c>
      <c r="AO167" s="39">
        <f>G167*0.125137064935065</f>
        <v>0</v>
      </c>
      <c r="AP167" s="39">
        <f>G167*(1-0.125137064935065)</f>
        <v>0</v>
      </c>
      <c r="AQ167" s="34" t="s">
        <v>5</v>
      </c>
      <c r="AV167" s="39">
        <f>AW167+AX167</f>
        <v>0</v>
      </c>
      <c r="AW167" s="39">
        <f>F167*AO167</f>
        <v>0</v>
      </c>
      <c r="AX167" s="39">
        <f>F167*AP167</f>
        <v>0</v>
      </c>
      <c r="AY167" s="40" t="s">
        <v>1987</v>
      </c>
      <c r="AZ167" s="40" t="s">
        <v>2032</v>
      </c>
      <c r="BA167" s="30" t="s">
        <v>2045</v>
      </c>
      <c r="BC167" s="39">
        <f>AW167+AX167</f>
        <v>0</v>
      </c>
      <c r="BD167" s="39">
        <f>G167/(100-BE167)*100</f>
        <v>0</v>
      </c>
      <c r="BE167" s="39">
        <v>0</v>
      </c>
      <c r="BF167" s="39">
        <f>L167</f>
        <v>5.0910000000000002</v>
      </c>
      <c r="BH167" s="21">
        <f>F167*AO167</f>
        <v>0</v>
      </c>
      <c r="BI167" s="21">
        <f>F167*AP167</f>
        <v>0</v>
      </c>
      <c r="BJ167" s="21">
        <f>F167*G167</f>
        <v>0</v>
      </c>
    </row>
    <row r="168" spans="1:62">
      <c r="A168" s="5" t="s">
        <v>119</v>
      </c>
      <c r="B168" s="5"/>
      <c r="C168" s="5" t="s">
        <v>723</v>
      </c>
      <c r="D168" s="5" t="s">
        <v>1362</v>
      </c>
      <c r="E168" s="5" t="s">
        <v>1944</v>
      </c>
      <c r="F168" s="21">
        <v>4215.8833500000001</v>
      </c>
      <c r="G168" s="753">
        <v>0</v>
      </c>
      <c r="H168" s="21">
        <f>F168*AO168</f>
        <v>0</v>
      </c>
      <c r="I168" s="21">
        <f>F168*AP168</f>
        <v>0</v>
      </c>
      <c r="J168" s="21">
        <f>F168*G168</f>
        <v>0</v>
      </c>
      <c r="K168" s="21">
        <v>2.291E-2</v>
      </c>
      <c r="L168" s="21">
        <f>F168*K168</f>
        <v>96.585887548499997</v>
      </c>
      <c r="M168" s="34" t="s">
        <v>1960</v>
      </c>
      <c r="Z168" s="39">
        <f>IF(AQ168="5",BJ168,0)</f>
        <v>0</v>
      </c>
      <c r="AB168" s="39">
        <f>IF(AQ168="1",BH168,0)</f>
        <v>0</v>
      </c>
      <c r="AC168" s="39">
        <f>IF(AQ168="1",BI168,0)</f>
        <v>0</v>
      </c>
      <c r="AD168" s="39">
        <f>IF(AQ168="7",BH168,0)</f>
        <v>0</v>
      </c>
      <c r="AE168" s="39">
        <f>IF(AQ168="7",BI168,0)</f>
        <v>0</v>
      </c>
      <c r="AF168" s="39">
        <f>IF(AQ168="2",BH168,0)</f>
        <v>0</v>
      </c>
      <c r="AG168" s="39">
        <f>IF(AQ168="2",BI168,0)</f>
        <v>0</v>
      </c>
      <c r="AH168" s="39">
        <f>IF(AQ168="0",BJ168,0)</f>
        <v>0</v>
      </c>
      <c r="AI168" s="30"/>
      <c r="AJ168" s="21">
        <f>IF(AN168=0,J168,0)</f>
        <v>0</v>
      </c>
      <c r="AK168" s="21">
        <f>IF(AN168=15,J168,0)</f>
        <v>0</v>
      </c>
      <c r="AL168" s="21">
        <f>IF(AN168=21,J168,0)</f>
        <v>0</v>
      </c>
      <c r="AN168" s="39">
        <v>21</v>
      </c>
      <c r="AO168" s="39">
        <f>G168*0.0585263155337464</f>
        <v>0</v>
      </c>
      <c r="AP168" s="39">
        <f>G168*(1-0.0585263155337464)</f>
        <v>0</v>
      </c>
      <c r="AQ168" s="34" t="s">
        <v>5</v>
      </c>
      <c r="AV168" s="39">
        <f>AW168+AX168</f>
        <v>0</v>
      </c>
      <c r="AW168" s="39">
        <f>F168*AO168</f>
        <v>0</v>
      </c>
      <c r="AX168" s="39">
        <f>F168*AP168</f>
        <v>0</v>
      </c>
      <c r="AY168" s="40" t="s">
        <v>1987</v>
      </c>
      <c r="AZ168" s="40" t="s">
        <v>2032</v>
      </c>
      <c r="BA168" s="30" t="s">
        <v>2045</v>
      </c>
      <c r="BC168" s="39">
        <f>AW168+AX168</f>
        <v>0</v>
      </c>
      <c r="BD168" s="39">
        <f>G168/(100-BE168)*100</f>
        <v>0</v>
      </c>
      <c r="BE168" s="39">
        <v>0</v>
      </c>
      <c r="BF168" s="39">
        <f>L168</f>
        <v>96.585887548499997</v>
      </c>
      <c r="BH168" s="21">
        <f>F168*AO168</f>
        <v>0</v>
      </c>
      <c r="BI168" s="21">
        <f>F168*AP168</f>
        <v>0</v>
      </c>
      <c r="BJ168" s="21">
        <f>F168*G168</f>
        <v>0</v>
      </c>
    </row>
    <row r="169" spans="1:62">
      <c r="C169" s="16" t="s">
        <v>609</v>
      </c>
      <c r="D169" s="919" t="s">
        <v>1363</v>
      </c>
      <c r="E169" s="920"/>
      <c r="F169" s="920"/>
      <c r="G169" s="920"/>
      <c r="H169" s="920"/>
      <c r="I169" s="920"/>
      <c r="J169" s="920"/>
      <c r="K169" s="920"/>
      <c r="L169" s="920"/>
      <c r="M169" s="920"/>
    </row>
    <row r="170" spans="1:62">
      <c r="A170" s="5" t="s">
        <v>120</v>
      </c>
      <c r="B170" s="5"/>
      <c r="C170" s="5" t="s">
        <v>724</v>
      </c>
      <c r="D170" s="5" t="s">
        <v>1364</v>
      </c>
      <c r="E170" s="5" t="s">
        <v>1939</v>
      </c>
      <c r="F170" s="21">
        <v>5</v>
      </c>
      <c r="G170" s="753">
        <v>0</v>
      </c>
      <c r="H170" s="21">
        <f>F170*AO170</f>
        <v>0</v>
      </c>
      <c r="I170" s="21">
        <f>F170*AP170</f>
        <v>0</v>
      </c>
      <c r="J170" s="21">
        <f>F170*G170</f>
        <v>0</v>
      </c>
      <c r="K170" s="21">
        <v>7.2999999999999996E-4</v>
      </c>
      <c r="L170" s="21">
        <f>F170*K170</f>
        <v>3.6499999999999996E-3</v>
      </c>
      <c r="M170" s="34" t="s">
        <v>1961</v>
      </c>
      <c r="Z170" s="39">
        <f>IF(AQ170="5",BJ170,0)</f>
        <v>0</v>
      </c>
      <c r="AB170" s="39">
        <f>IF(AQ170="1",BH170,0)</f>
        <v>0</v>
      </c>
      <c r="AC170" s="39">
        <f>IF(AQ170="1",BI170,0)</f>
        <v>0</v>
      </c>
      <c r="AD170" s="39">
        <f>IF(AQ170="7",BH170,0)</f>
        <v>0</v>
      </c>
      <c r="AE170" s="39">
        <f>IF(AQ170="7",BI170,0)</f>
        <v>0</v>
      </c>
      <c r="AF170" s="39">
        <f>IF(AQ170="2",BH170,0)</f>
        <v>0</v>
      </c>
      <c r="AG170" s="39">
        <f>IF(AQ170="2",BI170,0)</f>
        <v>0</v>
      </c>
      <c r="AH170" s="39">
        <f>IF(AQ170="0",BJ170,0)</f>
        <v>0</v>
      </c>
      <c r="AI170" s="30"/>
      <c r="AJ170" s="21">
        <f>IF(AN170=0,J170,0)</f>
        <v>0</v>
      </c>
      <c r="AK170" s="21">
        <f>IF(AN170=15,J170,0)</f>
        <v>0</v>
      </c>
      <c r="AL170" s="21">
        <f>IF(AN170=21,J170,0)</f>
        <v>0</v>
      </c>
      <c r="AN170" s="39">
        <v>21</v>
      </c>
      <c r="AO170" s="39">
        <f>G170*0.516825396825397</f>
        <v>0</v>
      </c>
      <c r="AP170" s="39">
        <f>G170*(1-0.516825396825397)</f>
        <v>0</v>
      </c>
      <c r="AQ170" s="34" t="s">
        <v>5</v>
      </c>
      <c r="AV170" s="39">
        <f>AW170+AX170</f>
        <v>0</v>
      </c>
      <c r="AW170" s="39">
        <f>F170*AO170</f>
        <v>0</v>
      </c>
      <c r="AX170" s="39">
        <f>F170*AP170</f>
        <v>0</v>
      </c>
      <c r="AY170" s="40" t="s">
        <v>1987</v>
      </c>
      <c r="AZ170" s="40" t="s">
        <v>2032</v>
      </c>
      <c r="BA170" s="30" t="s">
        <v>2045</v>
      </c>
      <c r="BC170" s="39">
        <f>AW170+AX170</f>
        <v>0</v>
      </c>
      <c r="BD170" s="39">
        <f>G170/(100-BE170)*100</f>
        <v>0</v>
      </c>
      <c r="BE170" s="39">
        <v>0</v>
      </c>
      <c r="BF170" s="39">
        <f>L170</f>
        <v>3.6499999999999996E-3</v>
      </c>
      <c r="BH170" s="21">
        <f>F170*AO170</f>
        <v>0</v>
      </c>
      <c r="BI170" s="21">
        <f>F170*AP170</f>
        <v>0</v>
      </c>
      <c r="BJ170" s="21">
        <f>F170*G170</f>
        <v>0</v>
      </c>
    </row>
    <row r="171" spans="1:62">
      <c r="A171" s="5" t="s">
        <v>121</v>
      </c>
      <c r="B171" s="5"/>
      <c r="C171" s="5" t="s">
        <v>725</v>
      </c>
      <c r="D171" s="5" t="s">
        <v>1365</v>
      </c>
      <c r="E171" s="5" t="s">
        <v>1938</v>
      </c>
      <c r="F171" s="21">
        <v>1</v>
      </c>
      <c r="G171" s="753">
        <v>0</v>
      </c>
      <c r="H171" s="21">
        <f>F171*AO171</f>
        <v>0</v>
      </c>
      <c r="I171" s="21">
        <f>F171*AP171</f>
        <v>0</v>
      </c>
      <c r="J171" s="21">
        <f>F171*G171</f>
        <v>0</v>
      </c>
      <c r="K171" s="21">
        <v>2</v>
      </c>
      <c r="L171" s="21">
        <f>F171*K171</f>
        <v>2</v>
      </c>
      <c r="M171" s="34" t="s">
        <v>1960</v>
      </c>
      <c r="Z171" s="39">
        <f>IF(AQ171="5",BJ171,0)</f>
        <v>0</v>
      </c>
      <c r="AB171" s="39">
        <f>IF(AQ171="1",BH171,0)</f>
        <v>0</v>
      </c>
      <c r="AC171" s="39">
        <f>IF(AQ171="1",BI171,0)</f>
        <v>0</v>
      </c>
      <c r="AD171" s="39">
        <f>IF(AQ171="7",BH171,0)</f>
        <v>0</v>
      </c>
      <c r="AE171" s="39">
        <f>IF(AQ171="7",BI171,0)</f>
        <v>0</v>
      </c>
      <c r="AF171" s="39">
        <f>IF(AQ171="2",BH171,0)</f>
        <v>0</v>
      </c>
      <c r="AG171" s="39">
        <f>IF(AQ171="2",BI171,0)</f>
        <v>0</v>
      </c>
      <c r="AH171" s="39">
        <f>IF(AQ171="0",BJ171,0)</f>
        <v>0</v>
      </c>
      <c r="AI171" s="30"/>
      <c r="AJ171" s="21">
        <f>IF(AN171=0,J171,0)</f>
        <v>0</v>
      </c>
      <c r="AK171" s="21">
        <f>IF(AN171=15,J171,0)</f>
        <v>0</v>
      </c>
      <c r="AL171" s="21">
        <f>IF(AN171=21,J171,0)</f>
        <v>0</v>
      </c>
      <c r="AN171" s="39">
        <v>21</v>
      </c>
      <c r="AO171" s="39">
        <f>G171*0.516825</f>
        <v>0</v>
      </c>
      <c r="AP171" s="39">
        <f>G171*(1-0.516825)</f>
        <v>0</v>
      </c>
      <c r="AQ171" s="34" t="s">
        <v>5</v>
      </c>
      <c r="AV171" s="39">
        <f>AW171+AX171</f>
        <v>0</v>
      </c>
      <c r="AW171" s="39">
        <f>F171*AO171</f>
        <v>0</v>
      </c>
      <c r="AX171" s="39">
        <f>F171*AP171</f>
        <v>0</v>
      </c>
      <c r="AY171" s="40" t="s">
        <v>1987</v>
      </c>
      <c r="AZ171" s="40" t="s">
        <v>2032</v>
      </c>
      <c r="BA171" s="30" t="s">
        <v>2045</v>
      </c>
      <c r="BC171" s="39">
        <f>AW171+AX171</f>
        <v>0</v>
      </c>
      <c r="BD171" s="39">
        <f>G171/(100-BE171)*100</f>
        <v>0</v>
      </c>
      <c r="BE171" s="39">
        <v>0</v>
      </c>
      <c r="BF171" s="39">
        <f>L171</f>
        <v>2</v>
      </c>
      <c r="BH171" s="21">
        <f>F171*AO171</f>
        <v>0</v>
      </c>
      <c r="BI171" s="21">
        <f>F171*AP171</f>
        <v>0</v>
      </c>
      <c r="BJ171" s="21">
        <f>F171*G171</f>
        <v>0</v>
      </c>
    </row>
    <row r="172" spans="1:62" ht="89.85" customHeight="1">
      <c r="C172" s="17" t="s">
        <v>605</v>
      </c>
      <c r="D172" s="917" t="s">
        <v>1366</v>
      </c>
      <c r="E172" s="918"/>
      <c r="F172" s="918"/>
      <c r="G172" s="918"/>
      <c r="H172" s="918"/>
      <c r="I172" s="918"/>
      <c r="J172" s="918"/>
      <c r="K172" s="918"/>
      <c r="L172" s="918"/>
      <c r="M172" s="918"/>
    </row>
    <row r="173" spans="1:62">
      <c r="A173" s="4"/>
      <c r="B173" s="14"/>
      <c r="C173" s="14" t="s">
        <v>45</v>
      </c>
      <c r="D173" s="14" t="s">
        <v>1367</v>
      </c>
      <c r="E173" s="4" t="s">
        <v>4</v>
      </c>
      <c r="F173" s="4" t="s">
        <v>4</v>
      </c>
      <c r="G173" s="4" t="s">
        <v>4</v>
      </c>
      <c r="H173" s="42">
        <f>SUM(H174:H201)</f>
        <v>0</v>
      </c>
      <c r="I173" s="42">
        <f>SUM(I174:I201)</f>
        <v>0</v>
      </c>
      <c r="J173" s="42">
        <f>SUM(J174:J201)</f>
        <v>0</v>
      </c>
      <c r="K173" s="30"/>
      <c r="L173" s="42">
        <f>SUM(L174:L201)</f>
        <v>1065.7771050660997</v>
      </c>
      <c r="M173" s="30"/>
      <c r="AI173" s="30"/>
      <c r="AS173" s="42">
        <f>SUM(AJ174:AJ201)</f>
        <v>0</v>
      </c>
      <c r="AT173" s="42">
        <f>SUM(AK174:AK201)</f>
        <v>0</v>
      </c>
      <c r="AU173" s="42">
        <f>SUM(AL174:AL201)</f>
        <v>0</v>
      </c>
    </row>
    <row r="174" spans="1:62">
      <c r="A174" s="5" t="s">
        <v>122</v>
      </c>
      <c r="B174" s="5"/>
      <c r="C174" s="5" t="s">
        <v>726</v>
      </c>
      <c r="D174" s="5" t="s">
        <v>1368</v>
      </c>
      <c r="E174" s="5" t="s">
        <v>1941</v>
      </c>
      <c r="F174" s="21">
        <v>328.93297000000001</v>
      </c>
      <c r="G174" s="753">
        <v>0</v>
      </c>
      <c r="H174" s="21">
        <f t="shared" ref="H174:H201" si="120">F174*AO174</f>
        <v>0</v>
      </c>
      <c r="I174" s="21">
        <f t="shared" ref="I174:I201" si="121">F174*AP174</f>
        <v>0</v>
      </c>
      <c r="J174" s="21">
        <f t="shared" ref="J174:J201" si="122">F174*G174</f>
        <v>0</v>
      </c>
      <c r="K174" s="21">
        <v>2.5251399999999999</v>
      </c>
      <c r="L174" s="21">
        <f t="shared" ref="L174:L201" si="123">F174*K174</f>
        <v>830.60179986579999</v>
      </c>
      <c r="M174" s="34" t="s">
        <v>1961</v>
      </c>
      <c r="Z174" s="39">
        <f t="shared" ref="Z174:Z201" si="124">IF(AQ174="5",BJ174,0)</f>
        <v>0</v>
      </c>
      <c r="AB174" s="39">
        <f t="shared" ref="AB174:AB201" si="125">IF(AQ174="1",BH174,0)</f>
        <v>0</v>
      </c>
      <c r="AC174" s="39">
        <f t="shared" ref="AC174:AC201" si="126">IF(AQ174="1",BI174,0)</f>
        <v>0</v>
      </c>
      <c r="AD174" s="39">
        <f t="shared" ref="AD174:AD201" si="127">IF(AQ174="7",BH174,0)</f>
        <v>0</v>
      </c>
      <c r="AE174" s="39">
        <f t="shared" ref="AE174:AE201" si="128">IF(AQ174="7",BI174,0)</f>
        <v>0</v>
      </c>
      <c r="AF174" s="39">
        <f t="shared" ref="AF174:AF201" si="129">IF(AQ174="2",BH174,0)</f>
        <v>0</v>
      </c>
      <c r="AG174" s="39">
        <f t="shared" ref="AG174:AG201" si="130">IF(AQ174="2",BI174,0)</f>
        <v>0</v>
      </c>
      <c r="AH174" s="39">
        <f t="shared" ref="AH174:AH201" si="131">IF(AQ174="0",BJ174,0)</f>
        <v>0</v>
      </c>
      <c r="AI174" s="30"/>
      <c r="AJ174" s="21">
        <f t="shared" ref="AJ174:AJ201" si="132">IF(AN174=0,J174,0)</f>
        <v>0</v>
      </c>
      <c r="AK174" s="21">
        <f t="shared" ref="AK174:AK201" si="133">IF(AN174=15,J174,0)</f>
        <v>0</v>
      </c>
      <c r="AL174" s="21">
        <f t="shared" ref="AL174:AL201" si="134">IF(AN174=21,J174,0)</f>
        <v>0</v>
      </c>
      <c r="AN174" s="39">
        <v>21</v>
      </c>
      <c r="AO174" s="39">
        <f>G174*0.840845429818859</f>
        <v>0</v>
      </c>
      <c r="AP174" s="39">
        <f>G174*(1-0.840845429818859)</f>
        <v>0</v>
      </c>
      <c r="AQ174" s="34" t="s">
        <v>5</v>
      </c>
      <c r="AV174" s="39">
        <f t="shared" ref="AV174:AV201" si="135">AW174+AX174</f>
        <v>0</v>
      </c>
      <c r="AW174" s="39">
        <f t="shared" ref="AW174:AW201" si="136">F174*AO174</f>
        <v>0</v>
      </c>
      <c r="AX174" s="39">
        <f t="shared" ref="AX174:AX201" si="137">F174*AP174</f>
        <v>0</v>
      </c>
      <c r="AY174" s="40" t="s">
        <v>1988</v>
      </c>
      <c r="AZ174" s="40" t="s">
        <v>2033</v>
      </c>
      <c r="BA174" s="30" t="s">
        <v>2045</v>
      </c>
      <c r="BC174" s="39">
        <f t="shared" ref="BC174:BC201" si="138">AW174+AX174</f>
        <v>0</v>
      </c>
      <c r="BD174" s="39">
        <f t="shared" ref="BD174:BD201" si="139">G174/(100-BE174)*100</f>
        <v>0</v>
      </c>
      <c r="BE174" s="39">
        <v>0</v>
      </c>
      <c r="BF174" s="39">
        <f t="shared" ref="BF174:BF201" si="140">L174</f>
        <v>830.60179986579999</v>
      </c>
      <c r="BH174" s="21">
        <f t="shared" ref="BH174:BH201" si="141">F174*AO174</f>
        <v>0</v>
      </c>
      <c r="BI174" s="21">
        <f t="shared" ref="BI174:BI201" si="142">F174*AP174</f>
        <v>0</v>
      </c>
      <c r="BJ174" s="21">
        <f t="shared" ref="BJ174:BJ201" si="143">F174*G174</f>
        <v>0</v>
      </c>
    </row>
    <row r="175" spans="1:62">
      <c r="A175" s="5" t="s">
        <v>123</v>
      </c>
      <c r="B175" s="5"/>
      <c r="C175" s="5" t="s">
        <v>727</v>
      </c>
      <c r="D175" s="5" t="s">
        <v>1369</v>
      </c>
      <c r="E175" s="5" t="s">
        <v>1940</v>
      </c>
      <c r="F175" s="21">
        <v>50.248800000000003</v>
      </c>
      <c r="G175" s="753">
        <v>0</v>
      </c>
      <c r="H175" s="21">
        <f t="shared" si="120"/>
        <v>0</v>
      </c>
      <c r="I175" s="21">
        <f t="shared" si="121"/>
        <v>0</v>
      </c>
      <c r="J175" s="21">
        <f t="shared" si="122"/>
        <v>0</v>
      </c>
      <c r="K175" s="21">
        <v>1.3169999999999999E-2</v>
      </c>
      <c r="L175" s="21">
        <f t="shared" si="123"/>
        <v>0.661776696</v>
      </c>
      <c r="M175" s="34" t="s">
        <v>1961</v>
      </c>
      <c r="Z175" s="39">
        <f t="shared" si="124"/>
        <v>0</v>
      </c>
      <c r="AB175" s="39">
        <f t="shared" si="125"/>
        <v>0</v>
      </c>
      <c r="AC175" s="39">
        <f t="shared" si="126"/>
        <v>0</v>
      </c>
      <c r="AD175" s="39">
        <f t="shared" si="127"/>
        <v>0</v>
      </c>
      <c r="AE175" s="39">
        <f t="shared" si="128"/>
        <v>0</v>
      </c>
      <c r="AF175" s="39">
        <f t="shared" si="129"/>
        <v>0</v>
      </c>
      <c r="AG175" s="39">
        <f t="shared" si="130"/>
        <v>0</v>
      </c>
      <c r="AH175" s="39">
        <f t="shared" si="131"/>
        <v>0</v>
      </c>
      <c r="AI175" s="30"/>
      <c r="AJ175" s="21">
        <f t="shared" si="132"/>
        <v>0</v>
      </c>
      <c r="AK175" s="21">
        <f t="shared" si="133"/>
        <v>0</v>
      </c>
      <c r="AL175" s="21">
        <f t="shared" si="134"/>
        <v>0</v>
      </c>
      <c r="AN175" s="39">
        <v>21</v>
      </c>
      <c r="AO175" s="39">
        <f>G175*0.894497947237771</f>
        <v>0</v>
      </c>
      <c r="AP175" s="39">
        <f>G175*(1-0.894497947237771)</f>
        <v>0</v>
      </c>
      <c r="AQ175" s="34" t="s">
        <v>5</v>
      </c>
      <c r="AV175" s="39">
        <f t="shared" si="135"/>
        <v>0</v>
      </c>
      <c r="AW175" s="39">
        <f t="shared" si="136"/>
        <v>0</v>
      </c>
      <c r="AX175" s="39">
        <f t="shared" si="137"/>
        <v>0</v>
      </c>
      <c r="AY175" s="40" t="s">
        <v>1988</v>
      </c>
      <c r="AZ175" s="40" t="s">
        <v>2033</v>
      </c>
      <c r="BA175" s="30" t="s">
        <v>2045</v>
      </c>
      <c r="BC175" s="39">
        <f t="shared" si="138"/>
        <v>0</v>
      </c>
      <c r="BD175" s="39">
        <f t="shared" si="139"/>
        <v>0</v>
      </c>
      <c r="BE175" s="39">
        <v>0</v>
      </c>
      <c r="BF175" s="39">
        <f t="shared" si="140"/>
        <v>0.661776696</v>
      </c>
      <c r="BH175" s="21">
        <f t="shared" si="141"/>
        <v>0</v>
      </c>
      <c r="BI175" s="21">
        <f t="shared" si="142"/>
        <v>0</v>
      </c>
      <c r="BJ175" s="21">
        <f t="shared" si="143"/>
        <v>0</v>
      </c>
    </row>
    <row r="176" spans="1:62">
      <c r="A176" s="5" t="s">
        <v>124</v>
      </c>
      <c r="B176" s="5"/>
      <c r="C176" s="5" t="s">
        <v>728</v>
      </c>
      <c r="D176" s="5" t="s">
        <v>1370</v>
      </c>
      <c r="E176" s="5" t="s">
        <v>1940</v>
      </c>
      <c r="F176" s="21">
        <v>1550.8589300000001</v>
      </c>
      <c r="G176" s="753">
        <v>0</v>
      </c>
      <c r="H176" s="21">
        <f t="shared" si="120"/>
        <v>0</v>
      </c>
      <c r="I176" s="21">
        <f t="shared" si="121"/>
        <v>0</v>
      </c>
      <c r="J176" s="21">
        <f t="shared" si="122"/>
        <v>0</v>
      </c>
      <c r="K176" s="21">
        <v>4.7509999999999997E-2</v>
      </c>
      <c r="L176" s="21">
        <f t="shared" si="123"/>
        <v>73.681307764300001</v>
      </c>
      <c r="M176" s="34" t="s">
        <v>1961</v>
      </c>
      <c r="Z176" s="39">
        <f t="shared" si="124"/>
        <v>0</v>
      </c>
      <c r="AB176" s="39">
        <f t="shared" si="125"/>
        <v>0</v>
      </c>
      <c r="AC176" s="39">
        <f t="shared" si="126"/>
        <v>0</v>
      </c>
      <c r="AD176" s="39">
        <f t="shared" si="127"/>
        <v>0</v>
      </c>
      <c r="AE176" s="39">
        <f t="shared" si="128"/>
        <v>0</v>
      </c>
      <c r="AF176" s="39">
        <f t="shared" si="129"/>
        <v>0</v>
      </c>
      <c r="AG176" s="39">
        <f t="shared" si="130"/>
        <v>0</v>
      </c>
      <c r="AH176" s="39">
        <f t="shared" si="131"/>
        <v>0</v>
      </c>
      <c r="AI176" s="30"/>
      <c r="AJ176" s="21">
        <f t="shared" si="132"/>
        <v>0</v>
      </c>
      <c r="AK176" s="21">
        <f t="shared" si="133"/>
        <v>0</v>
      </c>
      <c r="AL176" s="21">
        <f t="shared" si="134"/>
        <v>0</v>
      </c>
      <c r="AN176" s="39">
        <v>21</v>
      </c>
      <c r="AO176" s="39">
        <f>G176*0.326292964968371</f>
        <v>0</v>
      </c>
      <c r="AP176" s="39">
        <f>G176*(1-0.326292964968371)</f>
        <v>0</v>
      </c>
      <c r="AQ176" s="34" t="s">
        <v>5</v>
      </c>
      <c r="AV176" s="39">
        <f t="shared" si="135"/>
        <v>0</v>
      </c>
      <c r="AW176" s="39">
        <f t="shared" si="136"/>
        <v>0</v>
      </c>
      <c r="AX176" s="39">
        <f t="shared" si="137"/>
        <v>0</v>
      </c>
      <c r="AY176" s="40" t="s">
        <v>1988</v>
      </c>
      <c r="AZ176" s="40" t="s">
        <v>2033</v>
      </c>
      <c r="BA176" s="30" t="s">
        <v>2045</v>
      </c>
      <c r="BC176" s="39">
        <f t="shared" si="138"/>
        <v>0</v>
      </c>
      <c r="BD176" s="39">
        <f t="shared" si="139"/>
        <v>0</v>
      </c>
      <c r="BE176" s="39">
        <v>0</v>
      </c>
      <c r="BF176" s="39">
        <f t="shared" si="140"/>
        <v>73.681307764300001</v>
      </c>
      <c r="BH176" s="21">
        <f t="shared" si="141"/>
        <v>0</v>
      </c>
      <c r="BI176" s="21">
        <f t="shared" si="142"/>
        <v>0</v>
      </c>
      <c r="BJ176" s="21">
        <f t="shared" si="143"/>
        <v>0</v>
      </c>
    </row>
    <row r="177" spans="1:62">
      <c r="A177" s="5" t="s">
        <v>125</v>
      </c>
      <c r="B177" s="5"/>
      <c r="C177" s="5" t="s">
        <v>729</v>
      </c>
      <c r="D177" s="5" t="s">
        <v>1371</v>
      </c>
      <c r="E177" s="5" t="s">
        <v>1940</v>
      </c>
      <c r="F177" s="21">
        <v>1550.8589300000001</v>
      </c>
      <c r="G177" s="753">
        <v>0</v>
      </c>
      <c r="H177" s="21">
        <f t="shared" si="120"/>
        <v>0</v>
      </c>
      <c r="I177" s="21">
        <f t="shared" si="121"/>
        <v>0</v>
      </c>
      <c r="J177" s="21">
        <f t="shared" si="122"/>
        <v>0</v>
      </c>
      <c r="K177" s="21">
        <v>0</v>
      </c>
      <c r="L177" s="21">
        <f t="shared" si="123"/>
        <v>0</v>
      </c>
      <c r="M177" s="34" t="s">
        <v>1961</v>
      </c>
      <c r="Z177" s="39">
        <f t="shared" si="124"/>
        <v>0</v>
      </c>
      <c r="AB177" s="39">
        <f t="shared" si="125"/>
        <v>0</v>
      </c>
      <c r="AC177" s="39">
        <f t="shared" si="126"/>
        <v>0</v>
      </c>
      <c r="AD177" s="39">
        <f t="shared" si="127"/>
        <v>0</v>
      </c>
      <c r="AE177" s="39">
        <f t="shared" si="128"/>
        <v>0</v>
      </c>
      <c r="AF177" s="39">
        <f t="shared" si="129"/>
        <v>0</v>
      </c>
      <c r="AG177" s="39">
        <f t="shared" si="130"/>
        <v>0</v>
      </c>
      <c r="AH177" s="39">
        <f t="shared" si="131"/>
        <v>0</v>
      </c>
      <c r="AI177" s="30"/>
      <c r="AJ177" s="21">
        <f t="shared" si="132"/>
        <v>0</v>
      </c>
      <c r="AK177" s="21">
        <f t="shared" si="133"/>
        <v>0</v>
      </c>
      <c r="AL177" s="21">
        <f t="shared" si="134"/>
        <v>0</v>
      </c>
      <c r="AN177" s="39">
        <v>21</v>
      </c>
      <c r="AO177" s="39">
        <f>G177*0</f>
        <v>0</v>
      </c>
      <c r="AP177" s="39">
        <f>G177*(1-0)</f>
        <v>0</v>
      </c>
      <c r="AQ177" s="34" t="s">
        <v>5</v>
      </c>
      <c r="AV177" s="39">
        <f t="shared" si="135"/>
        <v>0</v>
      </c>
      <c r="AW177" s="39">
        <f t="shared" si="136"/>
        <v>0</v>
      </c>
      <c r="AX177" s="39">
        <f t="shared" si="137"/>
        <v>0</v>
      </c>
      <c r="AY177" s="40" t="s">
        <v>1988</v>
      </c>
      <c r="AZ177" s="40" t="s">
        <v>2033</v>
      </c>
      <c r="BA177" s="30" t="s">
        <v>2045</v>
      </c>
      <c r="BC177" s="39">
        <f t="shared" si="138"/>
        <v>0</v>
      </c>
      <c r="BD177" s="39">
        <f t="shared" si="139"/>
        <v>0</v>
      </c>
      <c r="BE177" s="39">
        <v>0</v>
      </c>
      <c r="BF177" s="39">
        <f t="shared" si="140"/>
        <v>0</v>
      </c>
      <c r="BH177" s="21">
        <f t="shared" si="141"/>
        <v>0</v>
      </c>
      <c r="BI177" s="21">
        <f t="shared" si="142"/>
        <v>0</v>
      </c>
      <c r="BJ177" s="21">
        <f t="shared" si="143"/>
        <v>0</v>
      </c>
    </row>
    <row r="178" spans="1:62">
      <c r="A178" s="5" t="s">
        <v>126</v>
      </c>
      <c r="B178" s="5"/>
      <c r="C178" s="5" t="s">
        <v>730</v>
      </c>
      <c r="D178" s="5" t="s">
        <v>1372</v>
      </c>
      <c r="E178" s="5" t="s">
        <v>1940</v>
      </c>
      <c r="F178" s="21">
        <v>1550.8589300000001</v>
      </c>
      <c r="G178" s="753">
        <v>0</v>
      </c>
      <c r="H178" s="21">
        <f t="shared" si="120"/>
        <v>0</v>
      </c>
      <c r="I178" s="21">
        <f t="shared" si="121"/>
        <v>0</v>
      </c>
      <c r="J178" s="21">
        <f t="shared" si="122"/>
        <v>0</v>
      </c>
      <c r="K178" s="21">
        <v>5.5199999999999997E-3</v>
      </c>
      <c r="L178" s="21">
        <f t="shared" si="123"/>
        <v>8.5607412935999996</v>
      </c>
      <c r="M178" s="34" t="s">
        <v>1961</v>
      </c>
      <c r="Z178" s="39">
        <f t="shared" si="124"/>
        <v>0</v>
      </c>
      <c r="AB178" s="39">
        <f t="shared" si="125"/>
        <v>0</v>
      </c>
      <c r="AC178" s="39">
        <f t="shared" si="126"/>
        <v>0</v>
      </c>
      <c r="AD178" s="39">
        <f t="shared" si="127"/>
        <v>0</v>
      </c>
      <c r="AE178" s="39">
        <f t="shared" si="128"/>
        <v>0</v>
      </c>
      <c r="AF178" s="39">
        <f t="shared" si="129"/>
        <v>0</v>
      </c>
      <c r="AG178" s="39">
        <f t="shared" si="130"/>
        <v>0</v>
      </c>
      <c r="AH178" s="39">
        <f t="shared" si="131"/>
        <v>0</v>
      </c>
      <c r="AI178" s="30"/>
      <c r="AJ178" s="21">
        <f t="shared" si="132"/>
        <v>0</v>
      </c>
      <c r="AK178" s="21">
        <f t="shared" si="133"/>
        <v>0</v>
      </c>
      <c r="AL178" s="21">
        <f t="shared" si="134"/>
        <v>0</v>
      </c>
      <c r="AN178" s="39">
        <v>21</v>
      </c>
      <c r="AO178" s="39">
        <f>G178*0.14761310365255</f>
        <v>0</v>
      </c>
      <c r="AP178" s="39">
        <f>G178*(1-0.14761310365255)</f>
        <v>0</v>
      </c>
      <c r="AQ178" s="34" t="s">
        <v>5</v>
      </c>
      <c r="AV178" s="39">
        <f t="shared" si="135"/>
        <v>0</v>
      </c>
      <c r="AW178" s="39">
        <f t="shared" si="136"/>
        <v>0</v>
      </c>
      <c r="AX178" s="39">
        <f t="shared" si="137"/>
        <v>0</v>
      </c>
      <c r="AY178" s="40" t="s">
        <v>1988</v>
      </c>
      <c r="AZ178" s="40" t="s">
        <v>2033</v>
      </c>
      <c r="BA178" s="30" t="s">
        <v>2045</v>
      </c>
      <c r="BC178" s="39">
        <f t="shared" si="138"/>
        <v>0</v>
      </c>
      <c r="BD178" s="39">
        <f t="shared" si="139"/>
        <v>0</v>
      </c>
      <c r="BE178" s="39">
        <v>0</v>
      </c>
      <c r="BF178" s="39">
        <f t="shared" si="140"/>
        <v>8.5607412935999996</v>
      </c>
      <c r="BH178" s="21">
        <f t="shared" si="141"/>
        <v>0</v>
      </c>
      <c r="BI178" s="21">
        <f t="shared" si="142"/>
        <v>0</v>
      </c>
      <c r="BJ178" s="21">
        <f t="shared" si="143"/>
        <v>0</v>
      </c>
    </row>
    <row r="179" spans="1:62">
      <c r="A179" s="5" t="s">
        <v>127</v>
      </c>
      <c r="B179" s="5"/>
      <c r="C179" s="5" t="s">
        <v>731</v>
      </c>
      <c r="D179" s="5" t="s">
        <v>1373</v>
      </c>
      <c r="E179" s="5" t="s">
        <v>1940</v>
      </c>
      <c r="F179" s="21">
        <v>1550.8589300000001</v>
      </c>
      <c r="G179" s="753">
        <v>0</v>
      </c>
      <c r="H179" s="21">
        <f t="shared" si="120"/>
        <v>0</v>
      </c>
      <c r="I179" s="21">
        <f t="shared" si="121"/>
        <v>0</v>
      </c>
      <c r="J179" s="21">
        <f t="shared" si="122"/>
        <v>0</v>
      </c>
      <c r="K179" s="21">
        <v>0</v>
      </c>
      <c r="L179" s="21">
        <f t="shared" si="123"/>
        <v>0</v>
      </c>
      <c r="M179" s="34" t="s">
        <v>1961</v>
      </c>
      <c r="Z179" s="39">
        <f t="shared" si="124"/>
        <v>0</v>
      </c>
      <c r="AB179" s="39">
        <f t="shared" si="125"/>
        <v>0</v>
      </c>
      <c r="AC179" s="39">
        <f t="shared" si="126"/>
        <v>0</v>
      </c>
      <c r="AD179" s="39">
        <f t="shared" si="127"/>
        <v>0</v>
      </c>
      <c r="AE179" s="39">
        <f t="shared" si="128"/>
        <v>0</v>
      </c>
      <c r="AF179" s="39">
        <f t="shared" si="129"/>
        <v>0</v>
      </c>
      <c r="AG179" s="39">
        <f t="shared" si="130"/>
        <v>0</v>
      </c>
      <c r="AH179" s="39">
        <f t="shared" si="131"/>
        <v>0</v>
      </c>
      <c r="AI179" s="30"/>
      <c r="AJ179" s="21">
        <f t="shared" si="132"/>
        <v>0</v>
      </c>
      <c r="AK179" s="21">
        <f t="shared" si="133"/>
        <v>0</v>
      </c>
      <c r="AL179" s="21">
        <f t="shared" si="134"/>
        <v>0</v>
      </c>
      <c r="AN179" s="39">
        <v>21</v>
      </c>
      <c r="AO179" s="39">
        <f>G179*0</f>
        <v>0</v>
      </c>
      <c r="AP179" s="39">
        <f>G179*(1-0)</f>
        <v>0</v>
      </c>
      <c r="AQ179" s="34" t="s">
        <v>5</v>
      </c>
      <c r="AV179" s="39">
        <f t="shared" si="135"/>
        <v>0</v>
      </c>
      <c r="AW179" s="39">
        <f t="shared" si="136"/>
        <v>0</v>
      </c>
      <c r="AX179" s="39">
        <f t="shared" si="137"/>
        <v>0</v>
      </c>
      <c r="AY179" s="40" t="s">
        <v>1988</v>
      </c>
      <c r="AZ179" s="40" t="s">
        <v>2033</v>
      </c>
      <c r="BA179" s="30" t="s">
        <v>2045</v>
      </c>
      <c r="BC179" s="39">
        <f t="shared" si="138"/>
        <v>0</v>
      </c>
      <c r="BD179" s="39">
        <f t="shared" si="139"/>
        <v>0</v>
      </c>
      <c r="BE179" s="39">
        <v>0</v>
      </c>
      <c r="BF179" s="39">
        <f t="shared" si="140"/>
        <v>0</v>
      </c>
      <c r="BH179" s="21">
        <f t="shared" si="141"/>
        <v>0</v>
      </c>
      <c r="BI179" s="21">
        <f t="shared" si="142"/>
        <v>0</v>
      </c>
      <c r="BJ179" s="21">
        <f t="shared" si="143"/>
        <v>0</v>
      </c>
    </row>
    <row r="180" spans="1:62">
      <c r="A180" s="5" t="s">
        <v>128</v>
      </c>
      <c r="B180" s="5"/>
      <c r="C180" s="5" t="s">
        <v>732</v>
      </c>
      <c r="D180" s="5" t="s">
        <v>1374</v>
      </c>
      <c r="E180" s="5" t="s">
        <v>1942</v>
      </c>
      <c r="F180" s="21">
        <v>43.268999999999998</v>
      </c>
      <c r="G180" s="753">
        <v>0</v>
      </c>
      <c r="H180" s="21">
        <f t="shared" si="120"/>
        <v>0</v>
      </c>
      <c r="I180" s="21">
        <f t="shared" si="121"/>
        <v>0</v>
      </c>
      <c r="J180" s="21">
        <f t="shared" si="122"/>
        <v>0</v>
      </c>
      <c r="K180" s="21">
        <v>1.02139</v>
      </c>
      <c r="L180" s="21">
        <f t="shared" si="123"/>
        <v>44.194523910000001</v>
      </c>
      <c r="M180" s="34" t="s">
        <v>1961</v>
      </c>
      <c r="Z180" s="39">
        <f t="shared" si="124"/>
        <v>0</v>
      </c>
      <c r="AB180" s="39">
        <f t="shared" si="125"/>
        <v>0</v>
      </c>
      <c r="AC180" s="39">
        <f t="shared" si="126"/>
        <v>0</v>
      </c>
      <c r="AD180" s="39">
        <f t="shared" si="127"/>
        <v>0</v>
      </c>
      <c r="AE180" s="39">
        <f t="shared" si="128"/>
        <v>0</v>
      </c>
      <c r="AF180" s="39">
        <f t="shared" si="129"/>
        <v>0</v>
      </c>
      <c r="AG180" s="39">
        <f t="shared" si="130"/>
        <v>0</v>
      </c>
      <c r="AH180" s="39">
        <f t="shared" si="131"/>
        <v>0</v>
      </c>
      <c r="AI180" s="30"/>
      <c r="AJ180" s="21">
        <f t="shared" si="132"/>
        <v>0</v>
      </c>
      <c r="AK180" s="21">
        <f t="shared" si="133"/>
        <v>0</v>
      </c>
      <c r="AL180" s="21">
        <f t="shared" si="134"/>
        <v>0</v>
      </c>
      <c r="AN180" s="39">
        <v>21</v>
      </c>
      <c r="AO180" s="39">
        <f>G180*0.646053099593496</f>
        <v>0</v>
      </c>
      <c r="AP180" s="39">
        <f>G180*(1-0.646053099593496)</f>
        <v>0</v>
      </c>
      <c r="AQ180" s="34" t="s">
        <v>5</v>
      </c>
      <c r="AV180" s="39">
        <f t="shared" si="135"/>
        <v>0</v>
      </c>
      <c r="AW180" s="39">
        <f t="shared" si="136"/>
        <v>0</v>
      </c>
      <c r="AX180" s="39">
        <f t="shared" si="137"/>
        <v>0</v>
      </c>
      <c r="AY180" s="40" t="s">
        <v>1988</v>
      </c>
      <c r="AZ180" s="40" t="s">
        <v>2033</v>
      </c>
      <c r="BA180" s="30" t="s">
        <v>2045</v>
      </c>
      <c r="BC180" s="39">
        <f t="shared" si="138"/>
        <v>0</v>
      </c>
      <c r="BD180" s="39">
        <f t="shared" si="139"/>
        <v>0</v>
      </c>
      <c r="BE180" s="39">
        <v>0</v>
      </c>
      <c r="BF180" s="39">
        <f t="shared" si="140"/>
        <v>44.194523910000001</v>
      </c>
      <c r="BH180" s="21">
        <f t="shared" si="141"/>
        <v>0</v>
      </c>
      <c r="BI180" s="21">
        <f t="shared" si="142"/>
        <v>0</v>
      </c>
      <c r="BJ180" s="21">
        <f t="shared" si="143"/>
        <v>0</v>
      </c>
    </row>
    <row r="181" spans="1:62">
      <c r="A181" s="5" t="s">
        <v>129</v>
      </c>
      <c r="B181" s="5"/>
      <c r="C181" s="5" t="s">
        <v>733</v>
      </c>
      <c r="D181" s="5" t="s">
        <v>1375</v>
      </c>
      <c r="E181" s="5" t="s">
        <v>1942</v>
      </c>
      <c r="F181" s="21">
        <v>0.23196</v>
      </c>
      <c r="G181" s="753">
        <v>0</v>
      </c>
      <c r="H181" s="21">
        <f t="shared" si="120"/>
        <v>0</v>
      </c>
      <c r="I181" s="21">
        <f t="shared" si="121"/>
        <v>0</v>
      </c>
      <c r="J181" s="21">
        <f t="shared" si="122"/>
        <v>0</v>
      </c>
      <c r="K181" s="21">
        <v>1.0554399999999999</v>
      </c>
      <c r="L181" s="21">
        <f t="shared" si="123"/>
        <v>0.24481986239999998</v>
      </c>
      <c r="M181" s="34" t="s">
        <v>1961</v>
      </c>
      <c r="Z181" s="39">
        <f t="shared" si="124"/>
        <v>0</v>
      </c>
      <c r="AB181" s="39">
        <f t="shared" si="125"/>
        <v>0</v>
      </c>
      <c r="AC181" s="39">
        <f t="shared" si="126"/>
        <v>0</v>
      </c>
      <c r="AD181" s="39">
        <f t="shared" si="127"/>
        <v>0</v>
      </c>
      <c r="AE181" s="39">
        <f t="shared" si="128"/>
        <v>0</v>
      </c>
      <c r="AF181" s="39">
        <f t="shared" si="129"/>
        <v>0</v>
      </c>
      <c r="AG181" s="39">
        <f t="shared" si="130"/>
        <v>0</v>
      </c>
      <c r="AH181" s="39">
        <f t="shared" si="131"/>
        <v>0</v>
      </c>
      <c r="AI181" s="30"/>
      <c r="AJ181" s="21">
        <f t="shared" si="132"/>
        <v>0</v>
      </c>
      <c r="AK181" s="21">
        <f t="shared" si="133"/>
        <v>0</v>
      </c>
      <c r="AL181" s="21">
        <f t="shared" si="134"/>
        <v>0</v>
      </c>
      <c r="AN181" s="39">
        <v>21</v>
      </c>
      <c r="AO181" s="39">
        <f>G181*0.810885013076287</f>
        <v>0</v>
      </c>
      <c r="AP181" s="39">
        <f>G181*(1-0.810885013076287)</f>
        <v>0</v>
      </c>
      <c r="AQ181" s="34" t="s">
        <v>5</v>
      </c>
      <c r="AV181" s="39">
        <f t="shared" si="135"/>
        <v>0</v>
      </c>
      <c r="AW181" s="39">
        <f t="shared" si="136"/>
        <v>0</v>
      </c>
      <c r="AX181" s="39">
        <f t="shared" si="137"/>
        <v>0</v>
      </c>
      <c r="AY181" s="40" t="s">
        <v>1988</v>
      </c>
      <c r="AZ181" s="40" t="s">
        <v>2033</v>
      </c>
      <c r="BA181" s="30" t="s">
        <v>2045</v>
      </c>
      <c r="BC181" s="39">
        <f t="shared" si="138"/>
        <v>0</v>
      </c>
      <c r="BD181" s="39">
        <f t="shared" si="139"/>
        <v>0</v>
      </c>
      <c r="BE181" s="39">
        <v>0</v>
      </c>
      <c r="BF181" s="39">
        <f t="shared" si="140"/>
        <v>0.24481986239999998</v>
      </c>
      <c r="BH181" s="21">
        <f t="shared" si="141"/>
        <v>0</v>
      </c>
      <c r="BI181" s="21">
        <f t="shared" si="142"/>
        <v>0</v>
      </c>
      <c r="BJ181" s="21">
        <f t="shared" si="143"/>
        <v>0</v>
      </c>
    </row>
    <row r="182" spans="1:62">
      <c r="A182" s="5" t="s">
        <v>130</v>
      </c>
      <c r="B182" s="5"/>
      <c r="C182" s="5" t="s">
        <v>734</v>
      </c>
      <c r="D182" s="5" t="s">
        <v>1376</v>
      </c>
      <c r="E182" s="5" t="s">
        <v>1941</v>
      </c>
      <c r="F182" s="21">
        <v>24.719200000000001</v>
      </c>
      <c r="G182" s="753">
        <v>0</v>
      </c>
      <c r="H182" s="21">
        <f t="shared" si="120"/>
        <v>0</v>
      </c>
      <c r="I182" s="21">
        <f t="shared" si="121"/>
        <v>0</v>
      </c>
      <c r="J182" s="21">
        <f t="shared" si="122"/>
        <v>0</v>
      </c>
      <c r="K182" s="21">
        <v>2.5250699999999999</v>
      </c>
      <c r="L182" s="21">
        <f t="shared" si="123"/>
        <v>62.417710344</v>
      </c>
      <c r="M182" s="34" t="s">
        <v>1961</v>
      </c>
      <c r="Z182" s="39">
        <f t="shared" si="124"/>
        <v>0</v>
      </c>
      <c r="AB182" s="39">
        <f t="shared" si="125"/>
        <v>0</v>
      </c>
      <c r="AC182" s="39">
        <f t="shared" si="126"/>
        <v>0</v>
      </c>
      <c r="AD182" s="39">
        <f t="shared" si="127"/>
        <v>0</v>
      </c>
      <c r="AE182" s="39">
        <f t="shared" si="128"/>
        <v>0</v>
      </c>
      <c r="AF182" s="39">
        <f t="shared" si="129"/>
        <v>0</v>
      </c>
      <c r="AG182" s="39">
        <f t="shared" si="130"/>
        <v>0</v>
      </c>
      <c r="AH182" s="39">
        <f t="shared" si="131"/>
        <v>0</v>
      </c>
      <c r="AI182" s="30"/>
      <c r="AJ182" s="21">
        <f t="shared" si="132"/>
        <v>0</v>
      </c>
      <c r="AK182" s="21">
        <f t="shared" si="133"/>
        <v>0</v>
      </c>
      <c r="AL182" s="21">
        <f t="shared" si="134"/>
        <v>0</v>
      </c>
      <c r="AN182" s="39">
        <v>21</v>
      </c>
      <c r="AO182" s="39">
        <f>G182*0.84823883164651</f>
        <v>0</v>
      </c>
      <c r="AP182" s="39">
        <f>G182*(1-0.84823883164651)</f>
        <v>0</v>
      </c>
      <c r="AQ182" s="34" t="s">
        <v>5</v>
      </c>
      <c r="AV182" s="39">
        <f t="shared" si="135"/>
        <v>0</v>
      </c>
      <c r="AW182" s="39">
        <f t="shared" si="136"/>
        <v>0</v>
      </c>
      <c r="AX182" s="39">
        <f t="shared" si="137"/>
        <v>0</v>
      </c>
      <c r="AY182" s="40" t="s">
        <v>1988</v>
      </c>
      <c r="AZ182" s="40" t="s">
        <v>2033</v>
      </c>
      <c r="BA182" s="30" t="s">
        <v>2045</v>
      </c>
      <c r="BC182" s="39">
        <f t="shared" si="138"/>
        <v>0</v>
      </c>
      <c r="BD182" s="39">
        <f t="shared" si="139"/>
        <v>0</v>
      </c>
      <c r="BE182" s="39">
        <v>0</v>
      </c>
      <c r="BF182" s="39">
        <f t="shared" si="140"/>
        <v>62.417710344</v>
      </c>
      <c r="BH182" s="21">
        <f t="shared" si="141"/>
        <v>0</v>
      </c>
      <c r="BI182" s="21">
        <f t="shared" si="142"/>
        <v>0</v>
      </c>
      <c r="BJ182" s="21">
        <f t="shared" si="143"/>
        <v>0</v>
      </c>
    </row>
    <row r="183" spans="1:62">
      <c r="A183" s="5" t="s">
        <v>131</v>
      </c>
      <c r="B183" s="5"/>
      <c r="C183" s="5" t="s">
        <v>735</v>
      </c>
      <c r="D183" s="5" t="s">
        <v>1377</v>
      </c>
      <c r="E183" s="5" t="s">
        <v>1942</v>
      </c>
      <c r="F183" s="21">
        <v>13.4786</v>
      </c>
      <c r="G183" s="753">
        <v>0</v>
      </c>
      <c r="H183" s="21">
        <f t="shared" si="120"/>
        <v>0</v>
      </c>
      <c r="I183" s="21">
        <f t="shared" si="121"/>
        <v>0</v>
      </c>
      <c r="J183" s="21">
        <f t="shared" si="122"/>
        <v>0</v>
      </c>
      <c r="K183" s="21">
        <v>1.01939</v>
      </c>
      <c r="L183" s="21">
        <f t="shared" si="123"/>
        <v>13.739950054000001</v>
      </c>
      <c r="M183" s="34" t="s">
        <v>1961</v>
      </c>
      <c r="Z183" s="39">
        <f t="shared" si="124"/>
        <v>0</v>
      </c>
      <c r="AB183" s="39">
        <f t="shared" si="125"/>
        <v>0</v>
      </c>
      <c r="AC183" s="39">
        <f t="shared" si="126"/>
        <v>0</v>
      </c>
      <c r="AD183" s="39">
        <f t="shared" si="127"/>
        <v>0</v>
      </c>
      <c r="AE183" s="39">
        <f t="shared" si="128"/>
        <v>0</v>
      </c>
      <c r="AF183" s="39">
        <f t="shared" si="129"/>
        <v>0</v>
      </c>
      <c r="AG183" s="39">
        <f t="shared" si="130"/>
        <v>0</v>
      </c>
      <c r="AH183" s="39">
        <f t="shared" si="131"/>
        <v>0</v>
      </c>
      <c r="AI183" s="30"/>
      <c r="AJ183" s="21">
        <f t="shared" si="132"/>
        <v>0</v>
      </c>
      <c r="AK183" s="21">
        <f t="shared" si="133"/>
        <v>0</v>
      </c>
      <c r="AL183" s="21">
        <f t="shared" si="134"/>
        <v>0</v>
      </c>
      <c r="AN183" s="39">
        <v>21</v>
      </c>
      <c r="AO183" s="39">
        <f>G183*0.506272893401015</f>
        <v>0</v>
      </c>
      <c r="AP183" s="39">
        <f>G183*(1-0.506272893401015)</f>
        <v>0</v>
      </c>
      <c r="AQ183" s="34" t="s">
        <v>5</v>
      </c>
      <c r="AV183" s="39">
        <f t="shared" si="135"/>
        <v>0</v>
      </c>
      <c r="AW183" s="39">
        <f t="shared" si="136"/>
        <v>0</v>
      </c>
      <c r="AX183" s="39">
        <f t="shared" si="137"/>
        <v>0</v>
      </c>
      <c r="AY183" s="40" t="s">
        <v>1988</v>
      </c>
      <c r="AZ183" s="40" t="s">
        <v>2033</v>
      </c>
      <c r="BA183" s="30" t="s">
        <v>2045</v>
      </c>
      <c r="BC183" s="39">
        <f t="shared" si="138"/>
        <v>0</v>
      </c>
      <c r="BD183" s="39">
        <f t="shared" si="139"/>
        <v>0</v>
      </c>
      <c r="BE183" s="39">
        <v>0</v>
      </c>
      <c r="BF183" s="39">
        <f t="shared" si="140"/>
        <v>13.739950054000001</v>
      </c>
      <c r="BH183" s="21">
        <f t="shared" si="141"/>
        <v>0</v>
      </c>
      <c r="BI183" s="21">
        <f t="shared" si="142"/>
        <v>0</v>
      </c>
      <c r="BJ183" s="21">
        <f t="shared" si="143"/>
        <v>0</v>
      </c>
    </row>
    <row r="184" spans="1:62">
      <c r="A184" s="5" t="s">
        <v>132</v>
      </c>
      <c r="B184" s="5"/>
      <c r="C184" s="5" t="s">
        <v>736</v>
      </c>
      <c r="D184" s="5" t="s">
        <v>1378</v>
      </c>
      <c r="E184" s="5" t="s">
        <v>1940</v>
      </c>
      <c r="F184" s="21">
        <v>9.6300000000000008</v>
      </c>
      <c r="G184" s="753">
        <v>0</v>
      </c>
      <c r="H184" s="21">
        <f t="shared" si="120"/>
        <v>0</v>
      </c>
      <c r="I184" s="21">
        <f t="shared" si="121"/>
        <v>0</v>
      </c>
      <c r="J184" s="21">
        <f t="shared" si="122"/>
        <v>0</v>
      </c>
      <c r="K184" s="21">
        <v>4.3200000000000001E-3</v>
      </c>
      <c r="L184" s="21">
        <f t="shared" si="123"/>
        <v>4.1601600000000002E-2</v>
      </c>
      <c r="M184" s="34" t="s">
        <v>1961</v>
      </c>
      <c r="Z184" s="39">
        <f t="shared" si="124"/>
        <v>0</v>
      </c>
      <c r="AB184" s="39">
        <f t="shared" si="125"/>
        <v>0</v>
      </c>
      <c r="AC184" s="39">
        <f t="shared" si="126"/>
        <v>0</v>
      </c>
      <c r="AD184" s="39">
        <f t="shared" si="127"/>
        <v>0</v>
      </c>
      <c r="AE184" s="39">
        <f t="shared" si="128"/>
        <v>0</v>
      </c>
      <c r="AF184" s="39">
        <f t="shared" si="129"/>
        <v>0</v>
      </c>
      <c r="AG184" s="39">
        <f t="shared" si="130"/>
        <v>0</v>
      </c>
      <c r="AH184" s="39">
        <f t="shared" si="131"/>
        <v>0</v>
      </c>
      <c r="AI184" s="30"/>
      <c r="AJ184" s="21">
        <f t="shared" si="132"/>
        <v>0</v>
      </c>
      <c r="AK184" s="21">
        <f t="shared" si="133"/>
        <v>0</v>
      </c>
      <c r="AL184" s="21">
        <f t="shared" si="134"/>
        <v>0</v>
      </c>
      <c r="AN184" s="39">
        <v>21</v>
      </c>
      <c r="AO184" s="39">
        <f>G184*0.194897959183673</f>
        <v>0</v>
      </c>
      <c r="AP184" s="39">
        <f>G184*(1-0.194897959183673)</f>
        <v>0</v>
      </c>
      <c r="AQ184" s="34" t="s">
        <v>5</v>
      </c>
      <c r="AV184" s="39">
        <f t="shared" si="135"/>
        <v>0</v>
      </c>
      <c r="AW184" s="39">
        <f t="shared" si="136"/>
        <v>0</v>
      </c>
      <c r="AX184" s="39">
        <f t="shared" si="137"/>
        <v>0</v>
      </c>
      <c r="AY184" s="40" t="s">
        <v>1988</v>
      </c>
      <c r="AZ184" s="40" t="s">
        <v>2033</v>
      </c>
      <c r="BA184" s="30" t="s">
        <v>2045</v>
      </c>
      <c r="BC184" s="39">
        <f t="shared" si="138"/>
        <v>0</v>
      </c>
      <c r="BD184" s="39">
        <f t="shared" si="139"/>
        <v>0</v>
      </c>
      <c r="BE184" s="39">
        <v>0</v>
      </c>
      <c r="BF184" s="39">
        <f t="shared" si="140"/>
        <v>4.1601600000000002E-2</v>
      </c>
      <c r="BH184" s="21">
        <f t="shared" si="141"/>
        <v>0</v>
      </c>
      <c r="BI184" s="21">
        <f t="shared" si="142"/>
        <v>0</v>
      </c>
      <c r="BJ184" s="21">
        <f t="shared" si="143"/>
        <v>0</v>
      </c>
    </row>
    <row r="185" spans="1:62">
      <c r="A185" s="5" t="s">
        <v>133</v>
      </c>
      <c r="B185" s="5"/>
      <c r="C185" s="5" t="s">
        <v>737</v>
      </c>
      <c r="D185" s="5" t="s">
        <v>1379</v>
      </c>
      <c r="E185" s="5" t="s">
        <v>1940</v>
      </c>
      <c r="F185" s="21">
        <v>9.6300000000000008</v>
      </c>
      <c r="G185" s="753">
        <v>0</v>
      </c>
      <c r="H185" s="21">
        <f t="shared" si="120"/>
        <v>0</v>
      </c>
      <c r="I185" s="21">
        <f t="shared" si="121"/>
        <v>0</v>
      </c>
      <c r="J185" s="21">
        <f t="shared" si="122"/>
        <v>0</v>
      </c>
      <c r="K185" s="21">
        <v>0</v>
      </c>
      <c r="L185" s="21">
        <f t="shared" si="123"/>
        <v>0</v>
      </c>
      <c r="M185" s="34" t="s">
        <v>1961</v>
      </c>
      <c r="Z185" s="39">
        <f t="shared" si="124"/>
        <v>0</v>
      </c>
      <c r="AB185" s="39">
        <f t="shared" si="125"/>
        <v>0</v>
      </c>
      <c r="AC185" s="39">
        <f t="shared" si="126"/>
        <v>0</v>
      </c>
      <c r="AD185" s="39">
        <f t="shared" si="127"/>
        <v>0</v>
      </c>
      <c r="AE185" s="39">
        <f t="shared" si="128"/>
        <v>0</v>
      </c>
      <c r="AF185" s="39">
        <f t="shared" si="129"/>
        <v>0</v>
      </c>
      <c r="AG185" s="39">
        <f t="shared" si="130"/>
        <v>0</v>
      </c>
      <c r="AH185" s="39">
        <f t="shared" si="131"/>
        <v>0</v>
      </c>
      <c r="AI185" s="30"/>
      <c r="AJ185" s="21">
        <f t="shared" si="132"/>
        <v>0</v>
      </c>
      <c r="AK185" s="21">
        <f t="shared" si="133"/>
        <v>0</v>
      </c>
      <c r="AL185" s="21">
        <f t="shared" si="134"/>
        <v>0</v>
      </c>
      <c r="AN185" s="39">
        <v>21</v>
      </c>
      <c r="AO185" s="39">
        <f>G185*0</f>
        <v>0</v>
      </c>
      <c r="AP185" s="39">
        <f>G185*(1-0)</f>
        <v>0</v>
      </c>
      <c r="AQ185" s="34" t="s">
        <v>5</v>
      </c>
      <c r="AV185" s="39">
        <f t="shared" si="135"/>
        <v>0</v>
      </c>
      <c r="AW185" s="39">
        <f t="shared" si="136"/>
        <v>0</v>
      </c>
      <c r="AX185" s="39">
        <f t="shared" si="137"/>
        <v>0</v>
      </c>
      <c r="AY185" s="40" t="s">
        <v>1988</v>
      </c>
      <c r="AZ185" s="40" t="s">
        <v>2033</v>
      </c>
      <c r="BA185" s="30" t="s">
        <v>2045</v>
      </c>
      <c r="BC185" s="39">
        <f t="shared" si="138"/>
        <v>0</v>
      </c>
      <c r="BD185" s="39">
        <f t="shared" si="139"/>
        <v>0</v>
      </c>
      <c r="BE185" s="39">
        <v>0</v>
      </c>
      <c r="BF185" s="39">
        <f t="shared" si="140"/>
        <v>0</v>
      </c>
      <c r="BH185" s="21">
        <f t="shared" si="141"/>
        <v>0</v>
      </c>
      <c r="BI185" s="21">
        <f t="shared" si="142"/>
        <v>0</v>
      </c>
      <c r="BJ185" s="21">
        <f t="shared" si="143"/>
        <v>0</v>
      </c>
    </row>
    <row r="186" spans="1:62">
      <c r="A186" s="5" t="s">
        <v>134</v>
      </c>
      <c r="B186" s="5"/>
      <c r="C186" s="5" t="s">
        <v>726</v>
      </c>
      <c r="D186" s="5" t="s">
        <v>1368</v>
      </c>
      <c r="E186" s="5" t="s">
        <v>1941</v>
      </c>
      <c r="F186" s="21">
        <v>4.1040000000000001</v>
      </c>
      <c r="G186" s="753">
        <v>0</v>
      </c>
      <c r="H186" s="21">
        <f t="shared" si="120"/>
        <v>0</v>
      </c>
      <c r="I186" s="21">
        <f t="shared" si="121"/>
        <v>0</v>
      </c>
      <c r="J186" s="21">
        <f t="shared" si="122"/>
        <v>0</v>
      </c>
      <c r="K186" s="21">
        <v>2.5251399999999999</v>
      </c>
      <c r="L186" s="21">
        <f t="shared" si="123"/>
        <v>10.363174559999999</v>
      </c>
      <c r="M186" s="34" t="s">
        <v>1961</v>
      </c>
      <c r="Z186" s="39">
        <f t="shared" si="124"/>
        <v>0</v>
      </c>
      <c r="AB186" s="39">
        <f t="shared" si="125"/>
        <v>0</v>
      </c>
      <c r="AC186" s="39">
        <f t="shared" si="126"/>
        <v>0</v>
      </c>
      <c r="AD186" s="39">
        <f t="shared" si="127"/>
        <v>0</v>
      </c>
      <c r="AE186" s="39">
        <f t="shared" si="128"/>
        <v>0</v>
      </c>
      <c r="AF186" s="39">
        <f t="shared" si="129"/>
        <v>0</v>
      </c>
      <c r="AG186" s="39">
        <f t="shared" si="130"/>
        <v>0</v>
      </c>
      <c r="AH186" s="39">
        <f t="shared" si="131"/>
        <v>0</v>
      </c>
      <c r="AI186" s="30"/>
      <c r="AJ186" s="21">
        <f t="shared" si="132"/>
        <v>0</v>
      </c>
      <c r="AK186" s="21">
        <f t="shared" si="133"/>
        <v>0</v>
      </c>
      <c r="AL186" s="21">
        <f t="shared" si="134"/>
        <v>0</v>
      </c>
      <c r="AN186" s="39">
        <v>21</v>
      </c>
      <c r="AO186" s="39">
        <f>G186*0.840845425867508</f>
        <v>0</v>
      </c>
      <c r="AP186" s="39">
        <f>G186*(1-0.840845425867508)</f>
        <v>0</v>
      </c>
      <c r="AQ186" s="34" t="s">
        <v>5</v>
      </c>
      <c r="AV186" s="39">
        <f t="shared" si="135"/>
        <v>0</v>
      </c>
      <c r="AW186" s="39">
        <f t="shared" si="136"/>
        <v>0</v>
      </c>
      <c r="AX186" s="39">
        <f t="shared" si="137"/>
        <v>0</v>
      </c>
      <c r="AY186" s="40" t="s">
        <v>1988</v>
      </c>
      <c r="AZ186" s="40" t="s">
        <v>2033</v>
      </c>
      <c r="BA186" s="30" t="s">
        <v>2045</v>
      </c>
      <c r="BC186" s="39">
        <f t="shared" si="138"/>
        <v>0</v>
      </c>
      <c r="BD186" s="39">
        <f t="shared" si="139"/>
        <v>0</v>
      </c>
      <c r="BE186" s="39">
        <v>0</v>
      </c>
      <c r="BF186" s="39">
        <f t="shared" si="140"/>
        <v>10.363174559999999</v>
      </c>
      <c r="BH186" s="21">
        <f t="shared" si="141"/>
        <v>0</v>
      </c>
      <c r="BI186" s="21">
        <f t="shared" si="142"/>
        <v>0</v>
      </c>
      <c r="BJ186" s="21">
        <f t="shared" si="143"/>
        <v>0</v>
      </c>
    </row>
    <row r="187" spans="1:62">
      <c r="A187" s="5" t="s">
        <v>135</v>
      </c>
      <c r="B187" s="5"/>
      <c r="C187" s="5" t="s">
        <v>738</v>
      </c>
      <c r="D187" s="5" t="s">
        <v>1380</v>
      </c>
      <c r="E187" s="5" t="s">
        <v>1940</v>
      </c>
      <c r="F187" s="21">
        <v>211.02119999999999</v>
      </c>
      <c r="G187" s="753">
        <v>0</v>
      </c>
      <c r="H187" s="21">
        <f t="shared" si="120"/>
        <v>0</v>
      </c>
      <c r="I187" s="21">
        <f t="shared" si="121"/>
        <v>0</v>
      </c>
      <c r="J187" s="21">
        <f t="shared" si="122"/>
        <v>0</v>
      </c>
      <c r="K187" s="21">
        <v>5.7700000000000001E-2</v>
      </c>
      <c r="L187" s="21">
        <f t="shared" si="123"/>
        <v>12.175923239999999</v>
      </c>
      <c r="M187" s="34" t="s">
        <v>1961</v>
      </c>
      <c r="Z187" s="39">
        <f t="shared" si="124"/>
        <v>0</v>
      </c>
      <c r="AB187" s="39">
        <f t="shared" si="125"/>
        <v>0</v>
      </c>
      <c r="AC187" s="39">
        <f t="shared" si="126"/>
        <v>0</v>
      </c>
      <c r="AD187" s="39">
        <f t="shared" si="127"/>
        <v>0</v>
      </c>
      <c r="AE187" s="39">
        <f t="shared" si="128"/>
        <v>0</v>
      </c>
      <c r="AF187" s="39">
        <f t="shared" si="129"/>
        <v>0</v>
      </c>
      <c r="AG187" s="39">
        <f t="shared" si="130"/>
        <v>0</v>
      </c>
      <c r="AH187" s="39">
        <f t="shared" si="131"/>
        <v>0</v>
      </c>
      <c r="AI187" s="30"/>
      <c r="AJ187" s="21">
        <f t="shared" si="132"/>
        <v>0</v>
      </c>
      <c r="AK187" s="21">
        <f t="shared" si="133"/>
        <v>0</v>
      </c>
      <c r="AL187" s="21">
        <f t="shared" si="134"/>
        <v>0</v>
      </c>
      <c r="AN187" s="39">
        <v>21</v>
      </c>
      <c r="AO187" s="39">
        <f>G187*0.221123591468865</f>
        <v>0</v>
      </c>
      <c r="AP187" s="39">
        <f>G187*(1-0.221123591468865)</f>
        <v>0</v>
      </c>
      <c r="AQ187" s="34" t="s">
        <v>5</v>
      </c>
      <c r="AV187" s="39">
        <f t="shared" si="135"/>
        <v>0</v>
      </c>
      <c r="AW187" s="39">
        <f t="shared" si="136"/>
        <v>0</v>
      </c>
      <c r="AX187" s="39">
        <f t="shared" si="137"/>
        <v>0</v>
      </c>
      <c r="AY187" s="40" t="s">
        <v>1988</v>
      </c>
      <c r="AZ187" s="40" t="s">
        <v>2033</v>
      </c>
      <c r="BA187" s="30" t="s">
        <v>2045</v>
      </c>
      <c r="BC187" s="39">
        <f t="shared" si="138"/>
        <v>0</v>
      </c>
      <c r="BD187" s="39">
        <f t="shared" si="139"/>
        <v>0</v>
      </c>
      <c r="BE187" s="39">
        <v>0</v>
      </c>
      <c r="BF187" s="39">
        <f t="shared" si="140"/>
        <v>12.175923239999999</v>
      </c>
      <c r="BH187" s="21">
        <f t="shared" si="141"/>
        <v>0</v>
      </c>
      <c r="BI187" s="21">
        <f t="shared" si="142"/>
        <v>0</v>
      </c>
      <c r="BJ187" s="21">
        <f t="shared" si="143"/>
        <v>0</v>
      </c>
    </row>
    <row r="188" spans="1:62">
      <c r="A188" s="5" t="s">
        <v>136</v>
      </c>
      <c r="B188" s="5"/>
      <c r="C188" s="5" t="s">
        <v>739</v>
      </c>
      <c r="D188" s="5" t="s">
        <v>1381</v>
      </c>
      <c r="E188" s="5" t="s">
        <v>1940</v>
      </c>
      <c r="F188" s="21">
        <v>211.02119999999999</v>
      </c>
      <c r="G188" s="753">
        <v>0</v>
      </c>
      <c r="H188" s="21">
        <f t="shared" si="120"/>
        <v>0</v>
      </c>
      <c r="I188" s="21">
        <f t="shared" si="121"/>
        <v>0</v>
      </c>
      <c r="J188" s="21">
        <f t="shared" si="122"/>
        <v>0</v>
      </c>
      <c r="K188" s="21">
        <v>0</v>
      </c>
      <c r="L188" s="21">
        <f t="shared" si="123"/>
        <v>0</v>
      </c>
      <c r="M188" s="34" t="s">
        <v>1961</v>
      </c>
      <c r="Z188" s="39">
        <f t="shared" si="124"/>
        <v>0</v>
      </c>
      <c r="AB188" s="39">
        <f t="shared" si="125"/>
        <v>0</v>
      </c>
      <c r="AC188" s="39">
        <f t="shared" si="126"/>
        <v>0</v>
      </c>
      <c r="AD188" s="39">
        <f t="shared" si="127"/>
        <v>0</v>
      </c>
      <c r="AE188" s="39">
        <f t="shared" si="128"/>
        <v>0</v>
      </c>
      <c r="AF188" s="39">
        <f t="shared" si="129"/>
        <v>0</v>
      </c>
      <c r="AG188" s="39">
        <f t="shared" si="130"/>
        <v>0</v>
      </c>
      <c r="AH188" s="39">
        <f t="shared" si="131"/>
        <v>0</v>
      </c>
      <c r="AI188" s="30"/>
      <c r="AJ188" s="21">
        <f t="shared" si="132"/>
        <v>0</v>
      </c>
      <c r="AK188" s="21">
        <f t="shared" si="133"/>
        <v>0</v>
      </c>
      <c r="AL188" s="21">
        <f t="shared" si="134"/>
        <v>0</v>
      </c>
      <c r="AN188" s="39">
        <v>21</v>
      </c>
      <c r="AO188" s="39">
        <f>G188*0</f>
        <v>0</v>
      </c>
      <c r="AP188" s="39">
        <f>G188*(1-0)</f>
        <v>0</v>
      </c>
      <c r="AQ188" s="34" t="s">
        <v>5</v>
      </c>
      <c r="AV188" s="39">
        <f t="shared" si="135"/>
        <v>0</v>
      </c>
      <c r="AW188" s="39">
        <f t="shared" si="136"/>
        <v>0</v>
      </c>
      <c r="AX188" s="39">
        <f t="shared" si="137"/>
        <v>0</v>
      </c>
      <c r="AY188" s="40" t="s">
        <v>1988</v>
      </c>
      <c r="AZ188" s="40" t="s">
        <v>2033</v>
      </c>
      <c r="BA188" s="30" t="s">
        <v>2045</v>
      </c>
      <c r="BC188" s="39">
        <f t="shared" si="138"/>
        <v>0</v>
      </c>
      <c r="BD188" s="39">
        <f t="shared" si="139"/>
        <v>0</v>
      </c>
      <c r="BE188" s="39">
        <v>0</v>
      </c>
      <c r="BF188" s="39">
        <f t="shared" si="140"/>
        <v>0</v>
      </c>
      <c r="BH188" s="21">
        <f t="shared" si="141"/>
        <v>0</v>
      </c>
      <c r="BI188" s="21">
        <f t="shared" si="142"/>
        <v>0</v>
      </c>
      <c r="BJ188" s="21">
        <f t="shared" si="143"/>
        <v>0</v>
      </c>
    </row>
    <row r="189" spans="1:62">
      <c r="A189" s="5" t="s">
        <v>137</v>
      </c>
      <c r="B189" s="5"/>
      <c r="C189" s="5" t="s">
        <v>740</v>
      </c>
      <c r="D189" s="5" t="s">
        <v>1382</v>
      </c>
      <c r="E189" s="5" t="s">
        <v>1940</v>
      </c>
      <c r="F189" s="21">
        <v>211.02119999999999</v>
      </c>
      <c r="G189" s="753">
        <v>0</v>
      </c>
      <c r="H189" s="21">
        <f t="shared" si="120"/>
        <v>0</v>
      </c>
      <c r="I189" s="21">
        <f t="shared" si="121"/>
        <v>0</v>
      </c>
      <c r="J189" s="21">
        <f t="shared" si="122"/>
        <v>0</v>
      </c>
      <c r="K189" s="21">
        <v>8.6E-3</v>
      </c>
      <c r="L189" s="21">
        <f t="shared" si="123"/>
        <v>1.8147823199999999</v>
      </c>
      <c r="M189" s="34" t="s">
        <v>1961</v>
      </c>
      <c r="Z189" s="39">
        <f t="shared" si="124"/>
        <v>0</v>
      </c>
      <c r="AB189" s="39">
        <f t="shared" si="125"/>
        <v>0</v>
      </c>
      <c r="AC189" s="39">
        <f t="shared" si="126"/>
        <v>0</v>
      </c>
      <c r="AD189" s="39">
        <f t="shared" si="127"/>
        <v>0</v>
      </c>
      <c r="AE189" s="39">
        <f t="shared" si="128"/>
        <v>0</v>
      </c>
      <c r="AF189" s="39">
        <f t="shared" si="129"/>
        <v>0</v>
      </c>
      <c r="AG189" s="39">
        <f t="shared" si="130"/>
        <v>0</v>
      </c>
      <c r="AH189" s="39">
        <f t="shared" si="131"/>
        <v>0</v>
      </c>
      <c r="AI189" s="30"/>
      <c r="AJ189" s="21">
        <f t="shared" si="132"/>
        <v>0</v>
      </c>
      <c r="AK189" s="21">
        <f t="shared" si="133"/>
        <v>0</v>
      </c>
      <c r="AL189" s="21">
        <f t="shared" si="134"/>
        <v>0</v>
      </c>
      <c r="AN189" s="39">
        <v>21</v>
      </c>
      <c r="AO189" s="39">
        <f>G189*0.0966608351482108</f>
        <v>0</v>
      </c>
      <c r="AP189" s="39">
        <f>G189*(1-0.0966608351482108)</f>
        <v>0</v>
      </c>
      <c r="AQ189" s="34" t="s">
        <v>5</v>
      </c>
      <c r="AV189" s="39">
        <f t="shared" si="135"/>
        <v>0</v>
      </c>
      <c r="AW189" s="39">
        <f t="shared" si="136"/>
        <v>0</v>
      </c>
      <c r="AX189" s="39">
        <f t="shared" si="137"/>
        <v>0</v>
      </c>
      <c r="AY189" s="40" t="s">
        <v>1988</v>
      </c>
      <c r="AZ189" s="40" t="s">
        <v>2033</v>
      </c>
      <c r="BA189" s="30" t="s">
        <v>2045</v>
      </c>
      <c r="BC189" s="39">
        <f t="shared" si="138"/>
        <v>0</v>
      </c>
      <c r="BD189" s="39">
        <f t="shared" si="139"/>
        <v>0</v>
      </c>
      <c r="BE189" s="39">
        <v>0</v>
      </c>
      <c r="BF189" s="39">
        <f t="shared" si="140"/>
        <v>1.8147823199999999</v>
      </c>
      <c r="BH189" s="21">
        <f t="shared" si="141"/>
        <v>0</v>
      </c>
      <c r="BI189" s="21">
        <f t="shared" si="142"/>
        <v>0</v>
      </c>
      <c r="BJ189" s="21">
        <f t="shared" si="143"/>
        <v>0</v>
      </c>
    </row>
    <row r="190" spans="1:62">
      <c r="A190" s="5" t="s">
        <v>138</v>
      </c>
      <c r="B190" s="5"/>
      <c r="C190" s="5" t="s">
        <v>741</v>
      </c>
      <c r="D190" s="5" t="s">
        <v>1383</v>
      </c>
      <c r="E190" s="5" t="s">
        <v>1940</v>
      </c>
      <c r="F190" s="21">
        <v>211.02119999999999</v>
      </c>
      <c r="G190" s="753">
        <v>0</v>
      </c>
      <c r="H190" s="21">
        <f t="shared" si="120"/>
        <v>0</v>
      </c>
      <c r="I190" s="21">
        <f t="shared" si="121"/>
        <v>0</v>
      </c>
      <c r="J190" s="21">
        <f t="shared" si="122"/>
        <v>0</v>
      </c>
      <c r="K190" s="21">
        <v>0</v>
      </c>
      <c r="L190" s="21">
        <f t="shared" si="123"/>
        <v>0</v>
      </c>
      <c r="M190" s="34" t="s">
        <v>1961</v>
      </c>
      <c r="Z190" s="39">
        <f t="shared" si="124"/>
        <v>0</v>
      </c>
      <c r="AB190" s="39">
        <f t="shared" si="125"/>
        <v>0</v>
      </c>
      <c r="AC190" s="39">
        <f t="shared" si="126"/>
        <v>0</v>
      </c>
      <c r="AD190" s="39">
        <f t="shared" si="127"/>
        <v>0</v>
      </c>
      <c r="AE190" s="39">
        <f t="shared" si="128"/>
        <v>0</v>
      </c>
      <c r="AF190" s="39">
        <f t="shared" si="129"/>
        <v>0</v>
      </c>
      <c r="AG190" s="39">
        <f t="shared" si="130"/>
        <v>0</v>
      </c>
      <c r="AH190" s="39">
        <f t="shared" si="131"/>
        <v>0</v>
      </c>
      <c r="AI190" s="30"/>
      <c r="AJ190" s="21">
        <f t="shared" si="132"/>
        <v>0</v>
      </c>
      <c r="AK190" s="21">
        <f t="shared" si="133"/>
        <v>0</v>
      </c>
      <c r="AL190" s="21">
        <f t="shared" si="134"/>
        <v>0</v>
      </c>
      <c r="AN190" s="39">
        <v>21</v>
      </c>
      <c r="AO190" s="39">
        <f>G190*0</f>
        <v>0</v>
      </c>
      <c r="AP190" s="39">
        <f>G190*(1-0)</f>
        <v>0</v>
      </c>
      <c r="AQ190" s="34" t="s">
        <v>5</v>
      </c>
      <c r="AV190" s="39">
        <f t="shared" si="135"/>
        <v>0</v>
      </c>
      <c r="AW190" s="39">
        <f t="shared" si="136"/>
        <v>0</v>
      </c>
      <c r="AX190" s="39">
        <f t="shared" si="137"/>
        <v>0</v>
      </c>
      <c r="AY190" s="40" t="s">
        <v>1988</v>
      </c>
      <c r="AZ190" s="40" t="s">
        <v>2033</v>
      </c>
      <c r="BA190" s="30" t="s">
        <v>2045</v>
      </c>
      <c r="BC190" s="39">
        <f t="shared" si="138"/>
        <v>0</v>
      </c>
      <c r="BD190" s="39">
        <f t="shared" si="139"/>
        <v>0</v>
      </c>
      <c r="BE190" s="39">
        <v>0</v>
      </c>
      <c r="BF190" s="39">
        <f t="shared" si="140"/>
        <v>0</v>
      </c>
      <c r="BH190" s="21">
        <f t="shared" si="141"/>
        <v>0</v>
      </c>
      <c r="BI190" s="21">
        <f t="shared" si="142"/>
        <v>0</v>
      </c>
      <c r="BJ190" s="21">
        <f t="shared" si="143"/>
        <v>0</v>
      </c>
    </row>
    <row r="191" spans="1:62">
      <c r="A191" s="5" t="s">
        <v>139</v>
      </c>
      <c r="B191" s="5"/>
      <c r="C191" s="5" t="s">
        <v>742</v>
      </c>
      <c r="D191" s="5" t="s">
        <v>5825</v>
      </c>
      <c r="E191" s="5" t="s">
        <v>1940</v>
      </c>
      <c r="F191" s="21">
        <v>56.06</v>
      </c>
      <c r="G191" s="753">
        <v>0</v>
      </c>
      <c r="H191" s="21">
        <f t="shared" si="120"/>
        <v>0</v>
      </c>
      <c r="I191" s="21">
        <f t="shared" si="121"/>
        <v>0</v>
      </c>
      <c r="J191" s="21">
        <f t="shared" si="122"/>
        <v>0</v>
      </c>
      <c r="K191" s="21">
        <v>1.6049999999999998E-2</v>
      </c>
      <c r="L191" s="21">
        <f t="shared" si="123"/>
        <v>0.89976299999999998</v>
      </c>
      <c r="M191" s="34" t="s">
        <v>1961</v>
      </c>
      <c r="Z191" s="39">
        <f t="shared" si="124"/>
        <v>0</v>
      </c>
      <c r="AB191" s="39">
        <f t="shared" si="125"/>
        <v>0</v>
      </c>
      <c r="AC191" s="39">
        <f t="shared" si="126"/>
        <v>0</v>
      </c>
      <c r="AD191" s="39">
        <f t="shared" si="127"/>
        <v>0</v>
      </c>
      <c r="AE191" s="39">
        <f t="shared" si="128"/>
        <v>0</v>
      </c>
      <c r="AF191" s="39">
        <f t="shared" si="129"/>
        <v>0</v>
      </c>
      <c r="AG191" s="39">
        <f t="shared" si="130"/>
        <v>0</v>
      </c>
      <c r="AH191" s="39">
        <f t="shared" si="131"/>
        <v>0</v>
      </c>
      <c r="AI191" s="30"/>
      <c r="AJ191" s="21">
        <f t="shared" si="132"/>
        <v>0</v>
      </c>
      <c r="AK191" s="21">
        <f t="shared" si="133"/>
        <v>0</v>
      </c>
      <c r="AL191" s="21">
        <f t="shared" si="134"/>
        <v>0</v>
      </c>
      <c r="AN191" s="39">
        <v>21</v>
      </c>
      <c r="AO191" s="39">
        <f>G191*0.391390134529148</f>
        <v>0</v>
      </c>
      <c r="AP191" s="39">
        <f>G191*(1-0.391390134529148)</f>
        <v>0</v>
      </c>
      <c r="AQ191" s="34" t="s">
        <v>5</v>
      </c>
      <c r="AV191" s="39">
        <f t="shared" si="135"/>
        <v>0</v>
      </c>
      <c r="AW191" s="39">
        <f t="shared" si="136"/>
        <v>0</v>
      </c>
      <c r="AX191" s="39">
        <f t="shared" si="137"/>
        <v>0</v>
      </c>
      <c r="AY191" s="40" t="s">
        <v>1988</v>
      </c>
      <c r="AZ191" s="40" t="s">
        <v>2033</v>
      </c>
      <c r="BA191" s="30" t="s">
        <v>2045</v>
      </c>
      <c r="BC191" s="39">
        <f t="shared" si="138"/>
        <v>0</v>
      </c>
      <c r="BD191" s="39">
        <f t="shared" si="139"/>
        <v>0</v>
      </c>
      <c r="BE191" s="39">
        <v>0</v>
      </c>
      <c r="BF191" s="39">
        <f t="shared" si="140"/>
        <v>0.89976299999999998</v>
      </c>
      <c r="BH191" s="21">
        <f t="shared" si="141"/>
        <v>0</v>
      </c>
      <c r="BI191" s="21">
        <f t="shared" si="142"/>
        <v>0</v>
      </c>
      <c r="BJ191" s="21">
        <f t="shared" si="143"/>
        <v>0</v>
      </c>
    </row>
    <row r="192" spans="1:62">
      <c r="A192" s="5" t="s">
        <v>140</v>
      </c>
      <c r="B192" s="5"/>
      <c r="C192" s="5" t="s">
        <v>743</v>
      </c>
      <c r="D192" s="5" t="s">
        <v>5826</v>
      </c>
      <c r="E192" s="5" t="s">
        <v>1940</v>
      </c>
      <c r="F192" s="21">
        <v>70.010999999999996</v>
      </c>
      <c r="G192" s="753">
        <v>0</v>
      </c>
      <c r="H192" s="21">
        <f t="shared" si="120"/>
        <v>0</v>
      </c>
      <c r="I192" s="21">
        <f t="shared" si="121"/>
        <v>0</v>
      </c>
      <c r="J192" s="21">
        <f t="shared" si="122"/>
        <v>0</v>
      </c>
      <c r="K192" s="21">
        <v>1.201E-2</v>
      </c>
      <c r="L192" s="21">
        <f t="shared" si="123"/>
        <v>0.84083210999999991</v>
      </c>
      <c r="M192" s="34" t="s">
        <v>1961</v>
      </c>
      <c r="Z192" s="39">
        <f t="shared" si="124"/>
        <v>0</v>
      </c>
      <c r="AB192" s="39">
        <f t="shared" si="125"/>
        <v>0</v>
      </c>
      <c r="AC192" s="39">
        <f t="shared" si="126"/>
        <v>0</v>
      </c>
      <c r="AD192" s="39">
        <f t="shared" si="127"/>
        <v>0</v>
      </c>
      <c r="AE192" s="39">
        <f t="shared" si="128"/>
        <v>0</v>
      </c>
      <c r="AF192" s="39">
        <f t="shared" si="129"/>
        <v>0</v>
      </c>
      <c r="AG192" s="39">
        <f t="shared" si="130"/>
        <v>0</v>
      </c>
      <c r="AH192" s="39">
        <f t="shared" si="131"/>
        <v>0</v>
      </c>
      <c r="AI192" s="30"/>
      <c r="AJ192" s="21">
        <f t="shared" si="132"/>
        <v>0</v>
      </c>
      <c r="AK192" s="21">
        <f t="shared" si="133"/>
        <v>0</v>
      </c>
      <c r="AL192" s="21">
        <f t="shared" si="134"/>
        <v>0</v>
      </c>
      <c r="AN192" s="39">
        <v>21</v>
      </c>
      <c r="AO192" s="39">
        <f>G192*0.341341014848789</f>
        <v>0</v>
      </c>
      <c r="AP192" s="39">
        <f>G192*(1-0.341341014848789)</f>
        <v>0</v>
      </c>
      <c r="AQ192" s="34" t="s">
        <v>5</v>
      </c>
      <c r="AV192" s="39">
        <f t="shared" si="135"/>
        <v>0</v>
      </c>
      <c r="AW192" s="39">
        <f t="shared" si="136"/>
        <v>0</v>
      </c>
      <c r="AX192" s="39">
        <f t="shared" si="137"/>
        <v>0</v>
      </c>
      <c r="AY192" s="40" t="s">
        <v>1988</v>
      </c>
      <c r="AZ192" s="40" t="s">
        <v>2033</v>
      </c>
      <c r="BA192" s="30" t="s">
        <v>2045</v>
      </c>
      <c r="BC192" s="39">
        <f t="shared" si="138"/>
        <v>0</v>
      </c>
      <c r="BD192" s="39">
        <f t="shared" si="139"/>
        <v>0</v>
      </c>
      <c r="BE192" s="39">
        <v>0</v>
      </c>
      <c r="BF192" s="39">
        <f t="shared" si="140"/>
        <v>0.84083210999999991</v>
      </c>
      <c r="BH192" s="21">
        <f t="shared" si="141"/>
        <v>0</v>
      </c>
      <c r="BI192" s="21">
        <f t="shared" si="142"/>
        <v>0</v>
      </c>
      <c r="BJ192" s="21">
        <f t="shared" si="143"/>
        <v>0</v>
      </c>
    </row>
    <row r="193" spans="1:62">
      <c r="A193" s="5" t="s">
        <v>141</v>
      </c>
      <c r="B193" s="5"/>
      <c r="C193" s="5" t="s">
        <v>744</v>
      </c>
      <c r="D193" s="5" t="s">
        <v>1386</v>
      </c>
      <c r="E193" s="5" t="s">
        <v>1940</v>
      </c>
      <c r="F193" s="21">
        <v>25.43</v>
      </c>
      <c r="G193" s="753">
        <v>0</v>
      </c>
      <c r="H193" s="21">
        <f t="shared" si="120"/>
        <v>0</v>
      </c>
      <c r="I193" s="21">
        <f t="shared" si="121"/>
        <v>0</v>
      </c>
      <c r="J193" s="21">
        <f t="shared" si="122"/>
        <v>0</v>
      </c>
      <c r="K193" s="21">
        <v>3.1539999999999999E-2</v>
      </c>
      <c r="L193" s="21">
        <f t="shared" si="123"/>
        <v>0.80206219999999995</v>
      </c>
      <c r="M193" s="34" t="s">
        <v>1961</v>
      </c>
      <c r="Z193" s="39">
        <f t="shared" si="124"/>
        <v>0</v>
      </c>
      <c r="AB193" s="39">
        <f t="shared" si="125"/>
        <v>0</v>
      </c>
      <c r="AC193" s="39">
        <f t="shared" si="126"/>
        <v>0</v>
      </c>
      <c r="AD193" s="39">
        <f t="shared" si="127"/>
        <v>0</v>
      </c>
      <c r="AE193" s="39">
        <f t="shared" si="128"/>
        <v>0</v>
      </c>
      <c r="AF193" s="39">
        <f t="shared" si="129"/>
        <v>0</v>
      </c>
      <c r="AG193" s="39">
        <f t="shared" si="130"/>
        <v>0</v>
      </c>
      <c r="AH193" s="39">
        <f t="shared" si="131"/>
        <v>0</v>
      </c>
      <c r="AI193" s="30"/>
      <c r="AJ193" s="21">
        <f t="shared" si="132"/>
        <v>0</v>
      </c>
      <c r="AK193" s="21">
        <f t="shared" si="133"/>
        <v>0</v>
      </c>
      <c r="AL193" s="21">
        <f t="shared" si="134"/>
        <v>0</v>
      </c>
      <c r="AN193" s="39">
        <v>21</v>
      </c>
      <c r="AO193" s="39">
        <f>G193*0.571837910779573</f>
        <v>0</v>
      </c>
      <c r="AP193" s="39">
        <f>G193*(1-0.571837910779573)</f>
        <v>0</v>
      </c>
      <c r="AQ193" s="34" t="s">
        <v>5</v>
      </c>
      <c r="AV193" s="39">
        <f t="shared" si="135"/>
        <v>0</v>
      </c>
      <c r="AW193" s="39">
        <f t="shared" si="136"/>
        <v>0</v>
      </c>
      <c r="AX193" s="39">
        <f t="shared" si="137"/>
        <v>0</v>
      </c>
      <c r="AY193" s="40" t="s">
        <v>1988</v>
      </c>
      <c r="AZ193" s="40" t="s">
        <v>2033</v>
      </c>
      <c r="BA193" s="30" t="s">
        <v>2045</v>
      </c>
      <c r="BC193" s="39">
        <f t="shared" si="138"/>
        <v>0</v>
      </c>
      <c r="BD193" s="39">
        <f t="shared" si="139"/>
        <v>0</v>
      </c>
      <c r="BE193" s="39">
        <v>0</v>
      </c>
      <c r="BF193" s="39">
        <f t="shared" si="140"/>
        <v>0.80206219999999995</v>
      </c>
      <c r="BH193" s="21">
        <f t="shared" si="141"/>
        <v>0</v>
      </c>
      <c r="BI193" s="21">
        <f t="shared" si="142"/>
        <v>0</v>
      </c>
      <c r="BJ193" s="21">
        <f t="shared" si="143"/>
        <v>0</v>
      </c>
    </row>
    <row r="194" spans="1:62">
      <c r="A194" s="5" t="s">
        <v>142</v>
      </c>
      <c r="B194" s="5"/>
      <c r="C194" s="5" t="s">
        <v>745</v>
      </c>
      <c r="D194" s="5" t="s">
        <v>1387</v>
      </c>
      <c r="E194" s="5" t="s">
        <v>1940</v>
      </c>
      <c r="F194" s="21">
        <v>37.04</v>
      </c>
      <c r="G194" s="753">
        <v>0</v>
      </c>
      <c r="H194" s="21">
        <f t="shared" si="120"/>
        <v>0</v>
      </c>
      <c r="I194" s="21">
        <f t="shared" si="121"/>
        <v>0</v>
      </c>
      <c r="J194" s="21">
        <f t="shared" si="122"/>
        <v>0</v>
      </c>
      <c r="K194" s="21">
        <v>1.8460000000000001E-2</v>
      </c>
      <c r="L194" s="21">
        <f t="shared" si="123"/>
        <v>0.68375839999999999</v>
      </c>
      <c r="M194" s="34" t="s">
        <v>1961</v>
      </c>
      <c r="Z194" s="39">
        <f t="shared" si="124"/>
        <v>0</v>
      </c>
      <c r="AB194" s="39">
        <f t="shared" si="125"/>
        <v>0</v>
      </c>
      <c r="AC194" s="39">
        <f t="shared" si="126"/>
        <v>0</v>
      </c>
      <c r="AD194" s="39">
        <f t="shared" si="127"/>
        <v>0</v>
      </c>
      <c r="AE194" s="39">
        <f t="shared" si="128"/>
        <v>0</v>
      </c>
      <c r="AF194" s="39">
        <f t="shared" si="129"/>
        <v>0</v>
      </c>
      <c r="AG194" s="39">
        <f t="shared" si="130"/>
        <v>0</v>
      </c>
      <c r="AH194" s="39">
        <f t="shared" si="131"/>
        <v>0</v>
      </c>
      <c r="AI194" s="30"/>
      <c r="AJ194" s="21">
        <f t="shared" si="132"/>
        <v>0</v>
      </c>
      <c r="AK194" s="21">
        <f t="shared" si="133"/>
        <v>0</v>
      </c>
      <c r="AL194" s="21">
        <f t="shared" si="134"/>
        <v>0</v>
      </c>
      <c r="AN194" s="39">
        <v>21</v>
      </c>
      <c r="AO194" s="39">
        <f>G194*0.397469478357381</f>
        <v>0</v>
      </c>
      <c r="AP194" s="39">
        <f>G194*(1-0.397469478357381)</f>
        <v>0</v>
      </c>
      <c r="AQ194" s="34" t="s">
        <v>5</v>
      </c>
      <c r="AV194" s="39">
        <f t="shared" si="135"/>
        <v>0</v>
      </c>
      <c r="AW194" s="39">
        <f t="shared" si="136"/>
        <v>0</v>
      </c>
      <c r="AX194" s="39">
        <f t="shared" si="137"/>
        <v>0</v>
      </c>
      <c r="AY194" s="40" t="s">
        <v>1988</v>
      </c>
      <c r="AZ194" s="40" t="s">
        <v>2033</v>
      </c>
      <c r="BA194" s="30" t="s">
        <v>2045</v>
      </c>
      <c r="BC194" s="39">
        <f t="shared" si="138"/>
        <v>0</v>
      </c>
      <c r="BD194" s="39">
        <f t="shared" si="139"/>
        <v>0</v>
      </c>
      <c r="BE194" s="39">
        <v>0</v>
      </c>
      <c r="BF194" s="39">
        <f t="shared" si="140"/>
        <v>0.68375839999999999</v>
      </c>
      <c r="BH194" s="21">
        <f t="shared" si="141"/>
        <v>0</v>
      </c>
      <c r="BI194" s="21">
        <f t="shared" si="142"/>
        <v>0</v>
      </c>
      <c r="BJ194" s="21">
        <f t="shared" si="143"/>
        <v>0</v>
      </c>
    </row>
    <row r="195" spans="1:62">
      <c r="A195" s="5" t="s">
        <v>143</v>
      </c>
      <c r="B195" s="5"/>
      <c r="C195" s="5" t="s">
        <v>746</v>
      </c>
      <c r="D195" s="5" t="s">
        <v>1388</v>
      </c>
      <c r="E195" s="5" t="s">
        <v>1940</v>
      </c>
      <c r="F195" s="21">
        <v>14.2811</v>
      </c>
      <c r="G195" s="753">
        <v>0</v>
      </c>
      <c r="H195" s="21">
        <f t="shared" si="120"/>
        <v>0</v>
      </c>
      <c r="I195" s="21">
        <f t="shared" si="121"/>
        <v>0</v>
      </c>
      <c r="J195" s="21">
        <f t="shared" si="122"/>
        <v>0</v>
      </c>
      <c r="K195" s="21">
        <v>1.4959999999999999E-2</v>
      </c>
      <c r="L195" s="21">
        <f t="shared" si="123"/>
        <v>0.21364525600000001</v>
      </c>
      <c r="M195" s="34" t="s">
        <v>1960</v>
      </c>
      <c r="Z195" s="39">
        <f t="shared" si="124"/>
        <v>0</v>
      </c>
      <c r="AB195" s="39">
        <f t="shared" si="125"/>
        <v>0</v>
      </c>
      <c r="AC195" s="39">
        <f t="shared" si="126"/>
        <v>0</v>
      </c>
      <c r="AD195" s="39">
        <f t="shared" si="127"/>
        <v>0</v>
      </c>
      <c r="AE195" s="39">
        <f t="shared" si="128"/>
        <v>0</v>
      </c>
      <c r="AF195" s="39">
        <f t="shared" si="129"/>
        <v>0</v>
      </c>
      <c r="AG195" s="39">
        <f t="shared" si="130"/>
        <v>0</v>
      </c>
      <c r="AH195" s="39">
        <f t="shared" si="131"/>
        <v>0</v>
      </c>
      <c r="AI195" s="30"/>
      <c r="AJ195" s="21">
        <f t="shared" si="132"/>
        <v>0</v>
      </c>
      <c r="AK195" s="21">
        <f t="shared" si="133"/>
        <v>0</v>
      </c>
      <c r="AL195" s="21">
        <f t="shared" si="134"/>
        <v>0</v>
      </c>
      <c r="AN195" s="39">
        <v>21</v>
      </c>
      <c r="AO195" s="39">
        <f>G195*0.359097292069256</f>
        <v>0</v>
      </c>
      <c r="AP195" s="39">
        <f>G195*(1-0.359097292069256)</f>
        <v>0</v>
      </c>
      <c r="AQ195" s="34" t="s">
        <v>5</v>
      </c>
      <c r="AV195" s="39">
        <f t="shared" si="135"/>
        <v>0</v>
      </c>
      <c r="AW195" s="39">
        <f t="shared" si="136"/>
        <v>0</v>
      </c>
      <c r="AX195" s="39">
        <f t="shared" si="137"/>
        <v>0</v>
      </c>
      <c r="AY195" s="40" t="s">
        <v>1988</v>
      </c>
      <c r="AZ195" s="40" t="s">
        <v>2033</v>
      </c>
      <c r="BA195" s="30" t="s">
        <v>2045</v>
      </c>
      <c r="BC195" s="39">
        <f t="shared" si="138"/>
        <v>0</v>
      </c>
      <c r="BD195" s="39">
        <f t="shared" si="139"/>
        <v>0</v>
      </c>
      <c r="BE195" s="39">
        <v>0</v>
      </c>
      <c r="BF195" s="39">
        <f t="shared" si="140"/>
        <v>0.21364525600000001</v>
      </c>
      <c r="BH195" s="21">
        <f t="shared" si="141"/>
        <v>0</v>
      </c>
      <c r="BI195" s="21">
        <f t="shared" si="142"/>
        <v>0</v>
      </c>
      <c r="BJ195" s="21">
        <f t="shared" si="143"/>
        <v>0</v>
      </c>
    </row>
    <row r="196" spans="1:62">
      <c r="A196" s="5" t="s">
        <v>144</v>
      </c>
      <c r="B196" s="5"/>
      <c r="C196" s="5" t="s">
        <v>747</v>
      </c>
      <c r="D196" s="5" t="s">
        <v>1389</v>
      </c>
      <c r="E196" s="5" t="s">
        <v>1940</v>
      </c>
      <c r="F196" s="21">
        <v>27.36</v>
      </c>
      <c r="G196" s="753">
        <v>0</v>
      </c>
      <c r="H196" s="21">
        <f t="shared" si="120"/>
        <v>0</v>
      </c>
      <c r="I196" s="21">
        <f t="shared" si="121"/>
        <v>0</v>
      </c>
      <c r="J196" s="21">
        <f t="shared" si="122"/>
        <v>0</v>
      </c>
      <c r="K196" s="21">
        <v>1.4959999999999999E-2</v>
      </c>
      <c r="L196" s="21">
        <f t="shared" si="123"/>
        <v>0.40930559999999999</v>
      </c>
      <c r="M196" s="34" t="s">
        <v>1961</v>
      </c>
      <c r="Z196" s="39">
        <f t="shared" si="124"/>
        <v>0</v>
      </c>
      <c r="AB196" s="39">
        <f t="shared" si="125"/>
        <v>0</v>
      </c>
      <c r="AC196" s="39">
        <f t="shared" si="126"/>
        <v>0</v>
      </c>
      <c r="AD196" s="39">
        <f t="shared" si="127"/>
        <v>0</v>
      </c>
      <c r="AE196" s="39">
        <f t="shared" si="128"/>
        <v>0</v>
      </c>
      <c r="AF196" s="39">
        <f t="shared" si="129"/>
        <v>0</v>
      </c>
      <c r="AG196" s="39">
        <f t="shared" si="130"/>
        <v>0</v>
      </c>
      <c r="AH196" s="39">
        <f t="shared" si="131"/>
        <v>0</v>
      </c>
      <c r="AI196" s="30"/>
      <c r="AJ196" s="21">
        <f t="shared" si="132"/>
        <v>0</v>
      </c>
      <c r="AK196" s="21">
        <f t="shared" si="133"/>
        <v>0</v>
      </c>
      <c r="AL196" s="21">
        <f t="shared" si="134"/>
        <v>0</v>
      </c>
      <c r="AN196" s="39">
        <v>21</v>
      </c>
      <c r="AO196" s="39">
        <f>G196*0.3591015625</f>
        <v>0</v>
      </c>
      <c r="AP196" s="39">
        <f>G196*(1-0.3591015625)</f>
        <v>0</v>
      </c>
      <c r="AQ196" s="34" t="s">
        <v>5</v>
      </c>
      <c r="AV196" s="39">
        <f t="shared" si="135"/>
        <v>0</v>
      </c>
      <c r="AW196" s="39">
        <f t="shared" si="136"/>
        <v>0</v>
      </c>
      <c r="AX196" s="39">
        <f t="shared" si="137"/>
        <v>0</v>
      </c>
      <c r="AY196" s="40" t="s">
        <v>1988</v>
      </c>
      <c r="AZ196" s="40" t="s">
        <v>2033</v>
      </c>
      <c r="BA196" s="30" t="s">
        <v>2045</v>
      </c>
      <c r="BC196" s="39">
        <f t="shared" si="138"/>
        <v>0</v>
      </c>
      <c r="BD196" s="39">
        <f t="shared" si="139"/>
        <v>0</v>
      </c>
      <c r="BE196" s="39">
        <v>0</v>
      </c>
      <c r="BF196" s="39">
        <f t="shared" si="140"/>
        <v>0.40930559999999999</v>
      </c>
      <c r="BH196" s="21">
        <f t="shared" si="141"/>
        <v>0</v>
      </c>
      <c r="BI196" s="21">
        <f t="shared" si="142"/>
        <v>0</v>
      </c>
      <c r="BJ196" s="21">
        <f t="shared" si="143"/>
        <v>0</v>
      </c>
    </row>
    <row r="197" spans="1:62">
      <c r="A197" s="5" t="s">
        <v>145</v>
      </c>
      <c r="B197" s="5"/>
      <c r="C197" s="5" t="s">
        <v>748</v>
      </c>
      <c r="D197" s="5" t="s">
        <v>1390</v>
      </c>
      <c r="E197" s="5" t="s">
        <v>1940</v>
      </c>
      <c r="F197" s="21">
        <v>2.681</v>
      </c>
      <c r="G197" s="753">
        <v>0</v>
      </c>
      <c r="H197" s="21">
        <f t="shared" si="120"/>
        <v>0</v>
      </c>
      <c r="I197" s="21">
        <f t="shared" si="121"/>
        <v>0</v>
      </c>
      <c r="J197" s="21">
        <f t="shared" si="122"/>
        <v>0</v>
      </c>
      <c r="K197" s="21">
        <v>1.4959999999999999E-2</v>
      </c>
      <c r="L197" s="21">
        <f t="shared" si="123"/>
        <v>4.0107759999999999E-2</v>
      </c>
      <c r="M197" s="34" t="s">
        <v>1960</v>
      </c>
      <c r="Z197" s="39">
        <f t="shared" si="124"/>
        <v>0</v>
      </c>
      <c r="AB197" s="39">
        <f t="shared" si="125"/>
        <v>0</v>
      </c>
      <c r="AC197" s="39">
        <f t="shared" si="126"/>
        <v>0</v>
      </c>
      <c r="AD197" s="39">
        <f t="shared" si="127"/>
        <v>0</v>
      </c>
      <c r="AE197" s="39">
        <f t="shared" si="128"/>
        <v>0</v>
      </c>
      <c r="AF197" s="39">
        <f t="shared" si="129"/>
        <v>0</v>
      </c>
      <c r="AG197" s="39">
        <f t="shared" si="130"/>
        <v>0</v>
      </c>
      <c r="AH197" s="39">
        <f t="shared" si="131"/>
        <v>0</v>
      </c>
      <c r="AI197" s="30"/>
      <c r="AJ197" s="21">
        <f t="shared" si="132"/>
        <v>0</v>
      </c>
      <c r="AK197" s="21">
        <f t="shared" si="133"/>
        <v>0</v>
      </c>
      <c r="AL197" s="21">
        <f t="shared" si="134"/>
        <v>0</v>
      </c>
      <c r="AN197" s="39">
        <v>21</v>
      </c>
      <c r="AO197" s="39">
        <f>G197*0.359097222222222</f>
        <v>0</v>
      </c>
      <c r="AP197" s="39">
        <f>G197*(1-0.359097222222222)</f>
        <v>0</v>
      </c>
      <c r="AQ197" s="34" t="s">
        <v>5</v>
      </c>
      <c r="AV197" s="39">
        <f t="shared" si="135"/>
        <v>0</v>
      </c>
      <c r="AW197" s="39">
        <f t="shared" si="136"/>
        <v>0</v>
      </c>
      <c r="AX197" s="39">
        <f t="shared" si="137"/>
        <v>0</v>
      </c>
      <c r="AY197" s="40" t="s">
        <v>1988</v>
      </c>
      <c r="AZ197" s="40" t="s">
        <v>2033</v>
      </c>
      <c r="BA197" s="30" t="s">
        <v>2045</v>
      </c>
      <c r="BC197" s="39">
        <f t="shared" si="138"/>
        <v>0</v>
      </c>
      <c r="BD197" s="39">
        <f t="shared" si="139"/>
        <v>0</v>
      </c>
      <c r="BE197" s="39">
        <v>0</v>
      </c>
      <c r="BF197" s="39">
        <f t="shared" si="140"/>
        <v>4.0107759999999999E-2</v>
      </c>
      <c r="BH197" s="21">
        <f t="shared" si="141"/>
        <v>0</v>
      </c>
      <c r="BI197" s="21">
        <f t="shared" si="142"/>
        <v>0</v>
      </c>
      <c r="BJ197" s="21">
        <f t="shared" si="143"/>
        <v>0</v>
      </c>
    </row>
    <row r="198" spans="1:62">
      <c r="A198" s="5" t="s">
        <v>146</v>
      </c>
      <c r="B198" s="5"/>
      <c r="C198" s="5" t="s">
        <v>749</v>
      </c>
      <c r="D198" s="5" t="s">
        <v>1391</v>
      </c>
      <c r="E198" s="5" t="s">
        <v>1940</v>
      </c>
      <c r="F198" s="21">
        <v>4.1509999999999998</v>
      </c>
      <c r="G198" s="753">
        <v>0</v>
      </c>
      <c r="H198" s="21">
        <f t="shared" si="120"/>
        <v>0</v>
      </c>
      <c r="I198" s="21">
        <f t="shared" si="121"/>
        <v>0</v>
      </c>
      <c r="J198" s="21">
        <f t="shared" si="122"/>
        <v>0</v>
      </c>
      <c r="K198" s="21">
        <v>1.4959999999999999E-2</v>
      </c>
      <c r="L198" s="21">
        <f t="shared" si="123"/>
        <v>6.2098959999999995E-2</v>
      </c>
      <c r="M198" s="34" t="s">
        <v>1960</v>
      </c>
      <c r="Z198" s="39">
        <f t="shared" si="124"/>
        <v>0</v>
      </c>
      <c r="AB198" s="39">
        <f t="shared" si="125"/>
        <v>0</v>
      </c>
      <c r="AC198" s="39">
        <f t="shared" si="126"/>
        <v>0</v>
      </c>
      <c r="AD198" s="39">
        <f t="shared" si="127"/>
        <v>0</v>
      </c>
      <c r="AE198" s="39">
        <f t="shared" si="128"/>
        <v>0</v>
      </c>
      <c r="AF198" s="39">
        <f t="shared" si="129"/>
        <v>0</v>
      </c>
      <c r="AG198" s="39">
        <f t="shared" si="130"/>
        <v>0</v>
      </c>
      <c r="AH198" s="39">
        <f t="shared" si="131"/>
        <v>0</v>
      </c>
      <c r="AI198" s="30"/>
      <c r="AJ198" s="21">
        <f t="shared" si="132"/>
        <v>0</v>
      </c>
      <c r="AK198" s="21">
        <f t="shared" si="133"/>
        <v>0</v>
      </c>
      <c r="AL198" s="21">
        <f t="shared" si="134"/>
        <v>0</v>
      </c>
      <c r="AN198" s="39">
        <v>21</v>
      </c>
      <c r="AO198" s="39">
        <f>G198*0.359098602169433</f>
        <v>0</v>
      </c>
      <c r="AP198" s="39">
        <f>G198*(1-0.359098602169433)</f>
        <v>0</v>
      </c>
      <c r="AQ198" s="34" t="s">
        <v>5</v>
      </c>
      <c r="AV198" s="39">
        <f t="shared" si="135"/>
        <v>0</v>
      </c>
      <c r="AW198" s="39">
        <f t="shared" si="136"/>
        <v>0</v>
      </c>
      <c r="AX198" s="39">
        <f t="shared" si="137"/>
        <v>0</v>
      </c>
      <c r="AY198" s="40" t="s">
        <v>1988</v>
      </c>
      <c r="AZ198" s="40" t="s">
        <v>2033</v>
      </c>
      <c r="BA198" s="30" t="s">
        <v>2045</v>
      </c>
      <c r="BC198" s="39">
        <f t="shared" si="138"/>
        <v>0</v>
      </c>
      <c r="BD198" s="39">
        <f t="shared" si="139"/>
        <v>0</v>
      </c>
      <c r="BE198" s="39">
        <v>0</v>
      </c>
      <c r="BF198" s="39">
        <f t="shared" si="140"/>
        <v>6.2098959999999995E-2</v>
      </c>
      <c r="BH198" s="21">
        <f t="shared" si="141"/>
        <v>0</v>
      </c>
      <c r="BI198" s="21">
        <f t="shared" si="142"/>
        <v>0</v>
      </c>
      <c r="BJ198" s="21">
        <f t="shared" si="143"/>
        <v>0</v>
      </c>
    </row>
    <row r="199" spans="1:62">
      <c r="A199" s="5" t="s">
        <v>147</v>
      </c>
      <c r="B199" s="5"/>
      <c r="C199" s="5" t="s">
        <v>750</v>
      </c>
      <c r="D199" s="5" t="s">
        <v>1392</v>
      </c>
      <c r="E199" s="5" t="s">
        <v>1940</v>
      </c>
      <c r="F199" s="21">
        <v>50.019750000000002</v>
      </c>
      <c r="G199" s="753">
        <v>0</v>
      </c>
      <c r="H199" s="21">
        <f t="shared" si="120"/>
        <v>0</v>
      </c>
      <c r="I199" s="21">
        <f t="shared" si="121"/>
        <v>0</v>
      </c>
      <c r="J199" s="21">
        <f t="shared" si="122"/>
        <v>0</v>
      </c>
      <c r="K199" s="21">
        <v>1.4959999999999999E-2</v>
      </c>
      <c r="L199" s="21">
        <f t="shared" si="123"/>
        <v>0.74829546000000002</v>
      </c>
      <c r="M199" s="34" t="s">
        <v>1960</v>
      </c>
      <c r="Z199" s="39">
        <f t="shared" si="124"/>
        <v>0</v>
      </c>
      <c r="AB199" s="39">
        <f t="shared" si="125"/>
        <v>0</v>
      </c>
      <c r="AC199" s="39">
        <f t="shared" si="126"/>
        <v>0</v>
      </c>
      <c r="AD199" s="39">
        <f t="shared" si="127"/>
        <v>0</v>
      </c>
      <c r="AE199" s="39">
        <f t="shared" si="128"/>
        <v>0</v>
      </c>
      <c r="AF199" s="39">
        <f t="shared" si="129"/>
        <v>0</v>
      </c>
      <c r="AG199" s="39">
        <f t="shared" si="130"/>
        <v>0</v>
      </c>
      <c r="AH199" s="39">
        <f t="shared" si="131"/>
        <v>0</v>
      </c>
      <c r="AI199" s="30"/>
      <c r="AJ199" s="21">
        <f t="shared" si="132"/>
        <v>0</v>
      </c>
      <c r="AK199" s="21">
        <f t="shared" si="133"/>
        <v>0</v>
      </c>
      <c r="AL199" s="21">
        <f t="shared" si="134"/>
        <v>0</v>
      </c>
      <c r="AN199" s="39">
        <v>21</v>
      </c>
      <c r="AO199" s="39">
        <f>G199*0.359102465289806</f>
        <v>0</v>
      </c>
      <c r="AP199" s="39">
        <f>G199*(1-0.359102465289806)</f>
        <v>0</v>
      </c>
      <c r="AQ199" s="34" t="s">
        <v>5</v>
      </c>
      <c r="AV199" s="39">
        <f t="shared" si="135"/>
        <v>0</v>
      </c>
      <c r="AW199" s="39">
        <f t="shared" si="136"/>
        <v>0</v>
      </c>
      <c r="AX199" s="39">
        <f t="shared" si="137"/>
        <v>0</v>
      </c>
      <c r="AY199" s="40" t="s">
        <v>1988</v>
      </c>
      <c r="AZ199" s="40" t="s">
        <v>2033</v>
      </c>
      <c r="BA199" s="30" t="s">
        <v>2045</v>
      </c>
      <c r="BC199" s="39">
        <f t="shared" si="138"/>
        <v>0</v>
      </c>
      <c r="BD199" s="39">
        <f t="shared" si="139"/>
        <v>0</v>
      </c>
      <c r="BE199" s="39">
        <v>0</v>
      </c>
      <c r="BF199" s="39">
        <f t="shared" si="140"/>
        <v>0.74829546000000002</v>
      </c>
      <c r="BH199" s="21">
        <f t="shared" si="141"/>
        <v>0</v>
      </c>
      <c r="BI199" s="21">
        <f t="shared" si="142"/>
        <v>0</v>
      </c>
      <c r="BJ199" s="21">
        <f t="shared" si="143"/>
        <v>0</v>
      </c>
    </row>
    <row r="200" spans="1:62">
      <c r="A200" s="5" t="s">
        <v>148</v>
      </c>
      <c r="B200" s="5"/>
      <c r="C200" s="5" t="s">
        <v>751</v>
      </c>
      <c r="D200" s="5" t="s">
        <v>1393</v>
      </c>
      <c r="E200" s="5" t="s">
        <v>1940</v>
      </c>
      <c r="F200" s="21">
        <v>0.26700000000000002</v>
      </c>
      <c r="G200" s="753">
        <v>0</v>
      </c>
      <c r="H200" s="21">
        <f t="shared" si="120"/>
        <v>0</v>
      </c>
      <c r="I200" s="21">
        <f t="shared" si="121"/>
        <v>0</v>
      </c>
      <c r="J200" s="21">
        <f t="shared" si="122"/>
        <v>0</v>
      </c>
      <c r="K200" s="21">
        <v>0.19042999999999999</v>
      </c>
      <c r="L200" s="21">
        <f t="shared" si="123"/>
        <v>5.0844809999999997E-2</v>
      </c>
      <c r="M200" s="34" t="s">
        <v>1961</v>
      </c>
      <c r="Z200" s="39">
        <f t="shared" si="124"/>
        <v>0</v>
      </c>
      <c r="AB200" s="39">
        <f t="shared" si="125"/>
        <v>0</v>
      </c>
      <c r="AC200" s="39">
        <f t="shared" si="126"/>
        <v>0</v>
      </c>
      <c r="AD200" s="39">
        <f t="shared" si="127"/>
        <v>0</v>
      </c>
      <c r="AE200" s="39">
        <f t="shared" si="128"/>
        <v>0</v>
      </c>
      <c r="AF200" s="39">
        <f t="shared" si="129"/>
        <v>0</v>
      </c>
      <c r="AG200" s="39">
        <f t="shared" si="130"/>
        <v>0</v>
      </c>
      <c r="AH200" s="39">
        <f t="shared" si="131"/>
        <v>0</v>
      </c>
      <c r="AI200" s="30"/>
      <c r="AJ200" s="21">
        <f t="shared" si="132"/>
        <v>0</v>
      </c>
      <c r="AK200" s="21">
        <f t="shared" si="133"/>
        <v>0</v>
      </c>
      <c r="AL200" s="21">
        <f t="shared" si="134"/>
        <v>0</v>
      </c>
      <c r="AN200" s="39">
        <v>21</v>
      </c>
      <c r="AO200" s="39">
        <f>G200*0.590484600956011</f>
        <v>0</v>
      </c>
      <c r="AP200" s="39">
        <f>G200*(1-0.590484600956011)</f>
        <v>0</v>
      </c>
      <c r="AQ200" s="34" t="s">
        <v>5</v>
      </c>
      <c r="AV200" s="39">
        <f t="shared" si="135"/>
        <v>0</v>
      </c>
      <c r="AW200" s="39">
        <f t="shared" si="136"/>
        <v>0</v>
      </c>
      <c r="AX200" s="39">
        <f t="shared" si="137"/>
        <v>0</v>
      </c>
      <c r="AY200" s="40" t="s">
        <v>1988</v>
      </c>
      <c r="AZ200" s="40" t="s">
        <v>2033</v>
      </c>
      <c r="BA200" s="30" t="s">
        <v>2045</v>
      </c>
      <c r="BC200" s="39">
        <f t="shared" si="138"/>
        <v>0</v>
      </c>
      <c r="BD200" s="39">
        <f t="shared" si="139"/>
        <v>0</v>
      </c>
      <c r="BE200" s="39">
        <v>0</v>
      </c>
      <c r="BF200" s="39">
        <f t="shared" si="140"/>
        <v>5.0844809999999997E-2</v>
      </c>
      <c r="BH200" s="21">
        <f t="shared" si="141"/>
        <v>0</v>
      </c>
      <c r="BI200" s="21">
        <f t="shared" si="142"/>
        <v>0</v>
      </c>
      <c r="BJ200" s="21">
        <f t="shared" si="143"/>
        <v>0</v>
      </c>
    </row>
    <row r="201" spans="1:62">
      <c r="A201" s="5" t="s">
        <v>149</v>
      </c>
      <c r="B201" s="5"/>
      <c r="C201" s="5" t="s">
        <v>752</v>
      </c>
      <c r="D201" s="5" t="s">
        <v>1394</v>
      </c>
      <c r="E201" s="5" t="s">
        <v>1943</v>
      </c>
      <c r="F201" s="21">
        <v>54</v>
      </c>
      <c r="G201" s="753">
        <v>0</v>
      </c>
      <c r="H201" s="21">
        <f t="shared" si="120"/>
        <v>0</v>
      </c>
      <c r="I201" s="21">
        <f t="shared" si="121"/>
        <v>0</v>
      </c>
      <c r="J201" s="21">
        <f t="shared" si="122"/>
        <v>0</v>
      </c>
      <c r="K201" s="21">
        <v>4.6820000000000001E-2</v>
      </c>
      <c r="L201" s="21">
        <f t="shared" si="123"/>
        <v>2.5282800000000001</v>
      </c>
      <c r="M201" s="34" t="s">
        <v>1961</v>
      </c>
      <c r="Z201" s="39">
        <f t="shared" si="124"/>
        <v>0</v>
      </c>
      <c r="AB201" s="39">
        <f t="shared" si="125"/>
        <v>0</v>
      </c>
      <c r="AC201" s="39">
        <f t="shared" si="126"/>
        <v>0</v>
      </c>
      <c r="AD201" s="39">
        <f t="shared" si="127"/>
        <v>0</v>
      </c>
      <c r="AE201" s="39">
        <f t="shared" si="128"/>
        <v>0</v>
      </c>
      <c r="AF201" s="39">
        <f t="shared" si="129"/>
        <v>0</v>
      </c>
      <c r="AG201" s="39">
        <f t="shared" si="130"/>
        <v>0</v>
      </c>
      <c r="AH201" s="39">
        <f t="shared" si="131"/>
        <v>0</v>
      </c>
      <c r="AI201" s="30"/>
      <c r="AJ201" s="21">
        <f t="shared" si="132"/>
        <v>0</v>
      </c>
      <c r="AK201" s="21">
        <f t="shared" si="133"/>
        <v>0</v>
      </c>
      <c r="AL201" s="21">
        <f t="shared" si="134"/>
        <v>0</v>
      </c>
      <c r="AN201" s="39">
        <v>21</v>
      </c>
      <c r="AO201" s="39">
        <f>G201*0.607421326594527</f>
        <v>0</v>
      </c>
      <c r="AP201" s="39">
        <f>G201*(1-0.607421326594527)</f>
        <v>0</v>
      </c>
      <c r="AQ201" s="34" t="s">
        <v>5</v>
      </c>
      <c r="AV201" s="39">
        <f t="shared" si="135"/>
        <v>0</v>
      </c>
      <c r="AW201" s="39">
        <f t="shared" si="136"/>
        <v>0</v>
      </c>
      <c r="AX201" s="39">
        <f t="shared" si="137"/>
        <v>0</v>
      </c>
      <c r="AY201" s="40" t="s">
        <v>1988</v>
      </c>
      <c r="AZ201" s="40" t="s">
        <v>2033</v>
      </c>
      <c r="BA201" s="30" t="s">
        <v>2045</v>
      </c>
      <c r="BC201" s="39">
        <f t="shared" si="138"/>
        <v>0</v>
      </c>
      <c r="BD201" s="39">
        <f t="shared" si="139"/>
        <v>0</v>
      </c>
      <c r="BE201" s="39">
        <v>0</v>
      </c>
      <c r="BF201" s="39">
        <f t="shared" si="140"/>
        <v>2.5282800000000001</v>
      </c>
      <c r="BH201" s="21">
        <f t="shared" si="141"/>
        <v>0</v>
      </c>
      <c r="BI201" s="21">
        <f t="shared" si="142"/>
        <v>0</v>
      </c>
      <c r="BJ201" s="21">
        <f t="shared" si="143"/>
        <v>0</v>
      </c>
    </row>
    <row r="202" spans="1:62">
      <c r="C202" s="16" t="s">
        <v>609</v>
      </c>
      <c r="D202" s="919" t="s">
        <v>1395</v>
      </c>
      <c r="E202" s="920"/>
      <c r="F202" s="920"/>
      <c r="G202" s="920"/>
      <c r="H202" s="920"/>
      <c r="I202" s="920"/>
      <c r="J202" s="920"/>
      <c r="K202" s="920"/>
      <c r="L202" s="920"/>
      <c r="M202" s="920"/>
    </row>
    <row r="203" spans="1:62">
      <c r="A203" s="4"/>
      <c r="B203" s="14"/>
      <c r="C203" s="14" t="s">
        <v>47</v>
      </c>
      <c r="D203" s="14" t="s">
        <v>1396</v>
      </c>
      <c r="E203" s="4" t="s">
        <v>4</v>
      </c>
      <c r="F203" s="4" t="s">
        <v>4</v>
      </c>
      <c r="G203" s="4" t="s">
        <v>4</v>
      </c>
      <c r="H203" s="42">
        <f>SUM(H204:H211)</f>
        <v>0</v>
      </c>
      <c r="I203" s="42">
        <f>SUM(I204:I211)</f>
        <v>0</v>
      </c>
      <c r="J203" s="42">
        <f>SUM(J204:J211)</f>
        <v>0</v>
      </c>
      <c r="K203" s="30"/>
      <c r="L203" s="42">
        <f>SUM(L204:L211)</f>
        <v>83.134877180300009</v>
      </c>
      <c r="M203" s="30"/>
      <c r="AI203" s="30"/>
      <c r="AS203" s="42">
        <f>SUM(AJ204:AJ211)</f>
        <v>0</v>
      </c>
      <c r="AT203" s="42">
        <f>SUM(AK204:AK211)</f>
        <v>0</v>
      </c>
      <c r="AU203" s="42">
        <f>SUM(AL204:AL211)</f>
        <v>0</v>
      </c>
    </row>
    <row r="204" spans="1:62">
      <c r="A204" s="5" t="s">
        <v>150</v>
      </c>
      <c r="B204" s="5"/>
      <c r="C204" s="5" t="s">
        <v>753</v>
      </c>
      <c r="D204" s="5" t="s">
        <v>1397</v>
      </c>
      <c r="E204" s="5" t="s">
        <v>1942</v>
      </c>
      <c r="F204" s="21">
        <v>2.8730000000000002</v>
      </c>
      <c r="G204" s="753">
        <v>0</v>
      </c>
      <c r="H204" s="21">
        <f t="shared" ref="H204:H209" si="144">F204*AO204</f>
        <v>0</v>
      </c>
      <c r="I204" s="21">
        <f t="shared" ref="I204:I209" si="145">F204*AP204</f>
        <v>0</v>
      </c>
      <c r="J204" s="21">
        <f t="shared" ref="J204:J209" si="146">F204*G204</f>
        <v>0</v>
      </c>
      <c r="K204" s="21">
        <v>1.02092</v>
      </c>
      <c r="L204" s="21">
        <f t="shared" ref="L204:L209" si="147">F204*K204</f>
        <v>2.9331031600000004</v>
      </c>
      <c r="M204" s="34" t="s">
        <v>1961</v>
      </c>
      <c r="Z204" s="39">
        <f t="shared" ref="Z204:Z209" si="148">IF(AQ204="5",BJ204,0)</f>
        <v>0</v>
      </c>
      <c r="AB204" s="39">
        <f t="shared" ref="AB204:AB209" si="149">IF(AQ204="1",BH204,0)</f>
        <v>0</v>
      </c>
      <c r="AC204" s="39">
        <f t="shared" ref="AC204:AC209" si="150">IF(AQ204="1",BI204,0)</f>
        <v>0</v>
      </c>
      <c r="AD204" s="39">
        <f t="shared" ref="AD204:AD209" si="151">IF(AQ204="7",BH204,0)</f>
        <v>0</v>
      </c>
      <c r="AE204" s="39">
        <f t="shared" ref="AE204:AE209" si="152">IF(AQ204="7",BI204,0)</f>
        <v>0</v>
      </c>
      <c r="AF204" s="39">
        <f t="shared" ref="AF204:AF209" si="153">IF(AQ204="2",BH204,0)</f>
        <v>0</v>
      </c>
      <c r="AG204" s="39">
        <f t="shared" ref="AG204:AG209" si="154">IF(AQ204="2",BI204,0)</f>
        <v>0</v>
      </c>
      <c r="AH204" s="39">
        <f t="shared" ref="AH204:AH209" si="155">IF(AQ204="0",BJ204,0)</f>
        <v>0</v>
      </c>
      <c r="AI204" s="30"/>
      <c r="AJ204" s="21">
        <f t="shared" ref="AJ204:AJ209" si="156">IF(AN204=0,J204,0)</f>
        <v>0</v>
      </c>
      <c r="AK204" s="21">
        <f t="shared" ref="AK204:AK209" si="157">IF(AN204=15,J204,0)</f>
        <v>0</v>
      </c>
      <c r="AL204" s="21">
        <f t="shared" ref="AL204:AL209" si="158">IF(AN204=21,J204,0)</f>
        <v>0</v>
      </c>
      <c r="AN204" s="39">
        <v>21</v>
      </c>
      <c r="AO204" s="39">
        <f>G204*0.491306824810422</f>
        <v>0</v>
      </c>
      <c r="AP204" s="39">
        <f>G204*(1-0.491306824810422)</f>
        <v>0</v>
      </c>
      <c r="AQ204" s="34" t="s">
        <v>5</v>
      </c>
      <c r="AV204" s="39">
        <f t="shared" ref="AV204:AV209" si="159">AW204+AX204</f>
        <v>0</v>
      </c>
      <c r="AW204" s="39">
        <f t="shared" ref="AW204:AW209" si="160">F204*AO204</f>
        <v>0</v>
      </c>
      <c r="AX204" s="39">
        <f t="shared" ref="AX204:AX209" si="161">F204*AP204</f>
        <v>0</v>
      </c>
      <c r="AY204" s="40" t="s">
        <v>1989</v>
      </c>
      <c r="AZ204" s="40" t="s">
        <v>2033</v>
      </c>
      <c r="BA204" s="30" t="s">
        <v>2045</v>
      </c>
      <c r="BC204" s="39">
        <f t="shared" ref="BC204:BC209" si="162">AW204+AX204</f>
        <v>0</v>
      </c>
      <c r="BD204" s="39">
        <f t="shared" ref="BD204:BD209" si="163">G204/(100-BE204)*100</f>
        <v>0</v>
      </c>
      <c r="BE204" s="39">
        <v>0</v>
      </c>
      <c r="BF204" s="39">
        <f t="shared" ref="BF204:BF209" si="164">L204</f>
        <v>2.9331031600000004</v>
      </c>
      <c r="BH204" s="21">
        <f t="shared" ref="BH204:BH209" si="165">F204*AO204</f>
        <v>0</v>
      </c>
      <c r="BI204" s="21">
        <f t="shared" ref="BI204:BI209" si="166">F204*AP204</f>
        <v>0</v>
      </c>
      <c r="BJ204" s="21">
        <f t="shared" ref="BJ204:BJ209" si="167">F204*G204</f>
        <v>0</v>
      </c>
    </row>
    <row r="205" spans="1:62">
      <c r="A205" s="5" t="s">
        <v>151</v>
      </c>
      <c r="B205" s="5"/>
      <c r="C205" s="5" t="s">
        <v>754</v>
      </c>
      <c r="D205" s="5" t="s">
        <v>1398</v>
      </c>
      <c r="E205" s="5" t="s">
        <v>1938</v>
      </c>
      <c r="F205" s="21">
        <v>1</v>
      </c>
      <c r="G205" s="753">
        <v>0</v>
      </c>
      <c r="H205" s="21">
        <f t="shared" si="144"/>
        <v>0</v>
      </c>
      <c r="I205" s="21">
        <f t="shared" si="145"/>
        <v>0</v>
      </c>
      <c r="J205" s="21">
        <f t="shared" si="146"/>
        <v>0</v>
      </c>
      <c r="K205" s="21">
        <v>0.1</v>
      </c>
      <c r="L205" s="21">
        <f t="shared" si="147"/>
        <v>0.1</v>
      </c>
      <c r="M205" s="34" t="s">
        <v>1960</v>
      </c>
      <c r="Z205" s="39">
        <f t="shared" si="148"/>
        <v>0</v>
      </c>
      <c r="AB205" s="39">
        <f t="shared" si="149"/>
        <v>0</v>
      </c>
      <c r="AC205" s="39">
        <f t="shared" si="150"/>
        <v>0</v>
      </c>
      <c r="AD205" s="39">
        <f t="shared" si="151"/>
        <v>0</v>
      </c>
      <c r="AE205" s="39">
        <f t="shared" si="152"/>
        <v>0</v>
      </c>
      <c r="AF205" s="39">
        <f t="shared" si="153"/>
        <v>0</v>
      </c>
      <c r="AG205" s="39">
        <f t="shared" si="154"/>
        <v>0</v>
      </c>
      <c r="AH205" s="39">
        <f t="shared" si="155"/>
        <v>0</v>
      </c>
      <c r="AI205" s="30"/>
      <c r="AJ205" s="21">
        <f t="shared" si="156"/>
        <v>0</v>
      </c>
      <c r="AK205" s="21">
        <f t="shared" si="157"/>
        <v>0</v>
      </c>
      <c r="AL205" s="21">
        <f t="shared" si="158"/>
        <v>0</v>
      </c>
      <c r="AN205" s="39">
        <v>21</v>
      </c>
      <c r="AO205" s="39">
        <f>G205*0.491307</f>
        <v>0</v>
      </c>
      <c r="AP205" s="39">
        <f>G205*(1-0.491307)</f>
        <v>0</v>
      </c>
      <c r="AQ205" s="34" t="s">
        <v>5</v>
      </c>
      <c r="AV205" s="39">
        <f t="shared" si="159"/>
        <v>0</v>
      </c>
      <c r="AW205" s="39">
        <f t="shared" si="160"/>
        <v>0</v>
      </c>
      <c r="AX205" s="39">
        <f t="shared" si="161"/>
        <v>0</v>
      </c>
      <c r="AY205" s="40" t="s">
        <v>1989</v>
      </c>
      <c r="AZ205" s="40" t="s">
        <v>2033</v>
      </c>
      <c r="BA205" s="30" t="s">
        <v>2045</v>
      </c>
      <c r="BC205" s="39">
        <f t="shared" si="162"/>
        <v>0</v>
      </c>
      <c r="BD205" s="39">
        <f t="shared" si="163"/>
        <v>0</v>
      </c>
      <c r="BE205" s="39">
        <v>0</v>
      </c>
      <c r="BF205" s="39">
        <f t="shared" si="164"/>
        <v>0.1</v>
      </c>
      <c r="BH205" s="21">
        <f t="shared" si="165"/>
        <v>0</v>
      </c>
      <c r="BI205" s="21">
        <f t="shared" si="166"/>
        <v>0</v>
      </c>
      <c r="BJ205" s="21">
        <f t="shared" si="167"/>
        <v>0</v>
      </c>
    </row>
    <row r="206" spans="1:62">
      <c r="A206" s="5" t="s">
        <v>152</v>
      </c>
      <c r="B206" s="5"/>
      <c r="C206" s="5" t="s">
        <v>755</v>
      </c>
      <c r="D206" s="5" t="s">
        <v>1399</v>
      </c>
      <c r="E206" s="5" t="s">
        <v>1941</v>
      </c>
      <c r="F206" s="21">
        <v>19.52196</v>
      </c>
      <c r="G206" s="753">
        <v>0</v>
      </c>
      <c r="H206" s="21">
        <f t="shared" si="144"/>
        <v>0</v>
      </c>
      <c r="I206" s="21">
        <f t="shared" si="145"/>
        <v>0</v>
      </c>
      <c r="J206" s="21">
        <f t="shared" si="146"/>
        <v>0</v>
      </c>
      <c r="K206" s="21">
        <v>2.52508</v>
      </c>
      <c r="L206" s="21">
        <f t="shared" si="147"/>
        <v>49.294510756800001</v>
      </c>
      <c r="M206" s="34" t="s">
        <v>1961</v>
      </c>
      <c r="Z206" s="39">
        <f t="shared" si="148"/>
        <v>0</v>
      </c>
      <c r="AB206" s="39">
        <f t="shared" si="149"/>
        <v>0</v>
      </c>
      <c r="AC206" s="39">
        <f t="shared" si="150"/>
        <v>0</v>
      </c>
      <c r="AD206" s="39">
        <f t="shared" si="151"/>
        <v>0</v>
      </c>
      <c r="AE206" s="39">
        <f t="shared" si="152"/>
        <v>0</v>
      </c>
      <c r="AF206" s="39">
        <f t="shared" si="153"/>
        <v>0</v>
      </c>
      <c r="AG206" s="39">
        <f t="shared" si="154"/>
        <v>0</v>
      </c>
      <c r="AH206" s="39">
        <f t="shared" si="155"/>
        <v>0</v>
      </c>
      <c r="AI206" s="30"/>
      <c r="AJ206" s="21">
        <f t="shared" si="156"/>
        <v>0</v>
      </c>
      <c r="AK206" s="21">
        <f t="shared" si="157"/>
        <v>0</v>
      </c>
      <c r="AL206" s="21">
        <f t="shared" si="158"/>
        <v>0</v>
      </c>
      <c r="AN206" s="39">
        <v>21</v>
      </c>
      <c r="AO206" s="39">
        <f>G206*0.603495117154631</f>
        <v>0</v>
      </c>
      <c r="AP206" s="39">
        <f>G206*(1-0.603495117154631)</f>
        <v>0</v>
      </c>
      <c r="AQ206" s="34" t="s">
        <v>5</v>
      </c>
      <c r="AV206" s="39">
        <f t="shared" si="159"/>
        <v>0</v>
      </c>
      <c r="AW206" s="39">
        <f t="shared" si="160"/>
        <v>0</v>
      </c>
      <c r="AX206" s="39">
        <f t="shared" si="161"/>
        <v>0</v>
      </c>
      <c r="AY206" s="40" t="s">
        <v>1989</v>
      </c>
      <c r="AZ206" s="40" t="s">
        <v>2033</v>
      </c>
      <c r="BA206" s="30" t="s">
        <v>2045</v>
      </c>
      <c r="BC206" s="39">
        <f t="shared" si="162"/>
        <v>0</v>
      </c>
      <c r="BD206" s="39">
        <f t="shared" si="163"/>
        <v>0</v>
      </c>
      <c r="BE206" s="39">
        <v>0</v>
      </c>
      <c r="BF206" s="39">
        <f t="shared" si="164"/>
        <v>49.294510756800001</v>
      </c>
      <c r="BH206" s="21">
        <f t="shared" si="165"/>
        <v>0</v>
      </c>
      <c r="BI206" s="21">
        <f t="shared" si="166"/>
        <v>0</v>
      </c>
      <c r="BJ206" s="21">
        <f t="shared" si="167"/>
        <v>0</v>
      </c>
    </row>
    <row r="207" spans="1:62">
      <c r="A207" s="5" t="s">
        <v>153</v>
      </c>
      <c r="B207" s="5"/>
      <c r="C207" s="5" t="s">
        <v>756</v>
      </c>
      <c r="D207" s="5" t="s">
        <v>1400</v>
      </c>
      <c r="E207" s="5" t="s">
        <v>1940</v>
      </c>
      <c r="F207" s="21">
        <v>128.81805</v>
      </c>
      <c r="G207" s="753">
        <v>0</v>
      </c>
      <c r="H207" s="21">
        <f t="shared" si="144"/>
        <v>0</v>
      </c>
      <c r="I207" s="21">
        <f t="shared" si="145"/>
        <v>0</v>
      </c>
      <c r="J207" s="21">
        <f t="shared" si="146"/>
        <v>0</v>
      </c>
      <c r="K207" s="21">
        <v>4.5969999999999997E-2</v>
      </c>
      <c r="L207" s="21">
        <f t="shared" si="147"/>
        <v>5.9217657584999994</v>
      </c>
      <c r="M207" s="34" t="s">
        <v>1961</v>
      </c>
      <c r="Z207" s="39">
        <f t="shared" si="148"/>
        <v>0</v>
      </c>
      <c r="AB207" s="39">
        <f t="shared" si="149"/>
        <v>0</v>
      </c>
      <c r="AC207" s="39">
        <f t="shared" si="150"/>
        <v>0</v>
      </c>
      <c r="AD207" s="39">
        <f t="shared" si="151"/>
        <v>0</v>
      </c>
      <c r="AE207" s="39">
        <f t="shared" si="152"/>
        <v>0</v>
      </c>
      <c r="AF207" s="39">
        <f t="shared" si="153"/>
        <v>0</v>
      </c>
      <c r="AG207" s="39">
        <f t="shared" si="154"/>
        <v>0</v>
      </c>
      <c r="AH207" s="39">
        <f t="shared" si="155"/>
        <v>0</v>
      </c>
      <c r="AI207" s="30"/>
      <c r="AJ207" s="21">
        <f t="shared" si="156"/>
        <v>0</v>
      </c>
      <c r="AK207" s="21">
        <f t="shared" si="157"/>
        <v>0</v>
      </c>
      <c r="AL207" s="21">
        <f t="shared" si="158"/>
        <v>0</v>
      </c>
      <c r="AN207" s="39">
        <v>21</v>
      </c>
      <c r="AO207" s="39">
        <f>G207*0.514171716903161</f>
        <v>0</v>
      </c>
      <c r="AP207" s="39">
        <f>G207*(1-0.514171716903161)</f>
        <v>0</v>
      </c>
      <c r="AQ207" s="34" t="s">
        <v>5</v>
      </c>
      <c r="AV207" s="39">
        <f t="shared" si="159"/>
        <v>0</v>
      </c>
      <c r="AW207" s="39">
        <f t="shared" si="160"/>
        <v>0</v>
      </c>
      <c r="AX207" s="39">
        <f t="shared" si="161"/>
        <v>0</v>
      </c>
      <c r="AY207" s="40" t="s">
        <v>1989</v>
      </c>
      <c r="AZ207" s="40" t="s">
        <v>2033</v>
      </c>
      <c r="BA207" s="30" t="s">
        <v>2045</v>
      </c>
      <c r="BC207" s="39">
        <f t="shared" si="162"/>
        <v>0</v>
      </c>
      <c r="BD207" s="39">
        <f t="shared" si="163"/>
        <v>0</v>
      </c>
      <c r="BE207" s="39">
        <v>0</v>
      </c>
      <c r="BF207" s="39">
        <f t="shared" si="164"/>
        <v>5.9217657584999994</v>
      </c>
      <c r="BH207" s="21">
        <f t="shared" si="165"/>
        <v>0</v>
      </c>
      <c r="BI207" s="21">
        <f t="shared" si="166"/>
        <v>0</v>
      </c>
      <c r="BJ207" s="21">
        <f t="shared" si="167"/>
        <v>0</v>
      </c>
    </row>
    <row r="208" spans="1:62">
      <c r="A208" s="5" t="s">
        <v>154</v>
      </c>
      <c r="B208" s="5"/>
      <c r="C208" s="5" t="s">
        <v>757</v>
      </c>
      <c r="D208" s="5" t="s">
        <v>1401</v>
      </c>
      <c r="E208" s="5" t="s">
        <v>1940</v>
      </c>
      <c r="F208" s="21">
        <v>128.81805</v>
      </c>
      <c r="G208" s="753">
        <v>0</v>
      </c>
      <c r="H208" s="21">
        <f t="shared" si="144"/>
        <v>0</v>
      </c>
      <c r="I208" s="21">
        <f t="shared" si="145"/>
        <v>0</v>
      </c>
      <c r="J208" s="21">
        <f t="shared" si="146"/>
        <v>0</v>
      </c>
      <c r="K208" s="21">
        <v>0</v>
      </c>
      <c r="L208" s="21">
        <f t="shared" si="147"/>
        <v>0</v>
      </c>
      <c r="M208" s="34" t="s">
        <v>1961</v>
      </c>
      <c r="Z208" s="39">
        <f t="shared" si="148"/>
        <v>0</v>
      </c>
      <c r="AB208" s="39">
        <f t="shared" si="149"/>
        <v>0</v>
      </c>
      <c r="AC208" s="39">
        <f t="shared" si="150"/>
        <v>0</v>
      </c>
      <c r="AD208" s="39">
        <f t="shared" si="151"/>
        <v>0</v>
      </c>
      <c r="AE208" s="39">
        <f t="shared" si="152"/>
        <v>0</v>
      </c>
      <c r="AF208" s="39">
        <f t="shared" si="153"/>
        <v>0</v>
      </c>
      <c r="AG208" s="39">
        <f t="shared" si="154"/>
        <v>0</v>
      </c>
      <c r="AH208" s="39">
        <f t="shared" si="155"/>
        <v>0</v>
      </c>
      <c r="AI208" s="30"/>
      <c r="AJ208" s="21">
        <f t="shared" si="156"/>
        <v>0</v>
      </c>
      <c r="AK208" s="21">
        <f t="shared" si="157"/>
        <v>0</v>
      </c>
      <c r="AL208" s="21">
        <f t="shared" si="158"/>
        <v>0</v>
      </c>
      <c r="AN208" s="39">
        <v>21</v>
      </c>
      <c r="AO208" s="39">
        <f>G208*0</f>
        <v>0</v>
      </c>
      <c r="AP208" s="39">
        <f>G208*(1-0)</f>
        <v>0</v>
      </c>
      <c r="AQ208" s="34" t="s">
        <v>5</v>
      </c>
      <c r="AV208" s="39">
        <f t="shared" si="159"/>
        <v>0</v>
      </c>
      <c r="AW208" s="39">
        <f t="shared" si="160"/>
        <v>0</v>
      </c>
      <c r="AX208" s="39">
        <f t="shared" si="161"/>
        <v>0</v>
      </c>
      <c r="AY208" s="40" t="s">
        <v>1989</v>
      </c>
      <c r="AZ208" s="40" t="s">
        <v>2033</v>
      </c>
      <c r="BA208" s="30" t="s">
        <v>2045</v>
      </c>
      <c r="BC208" s="39">
        <f t="shared" si="162"/>
        <v>0</v>
      </c>
      <c r="BD208" s="39">
        <f t="shared" si="163"/>
        <v>0</v>
      </c>
      <c r="BE208" s="39">
        <v>0</v>
      </c>
      <c r="BF208" s="39">
        <f t="shared" si="164"/>
        <v>0</v>
      </c>
      <c r="BH208" s="21">
        <f t="shared" si="165"/>
        <v>0</v>
      </c>
      <c r="BI208" s="21">
        <f t="shared" si="166"/>
        <v>0</v>
      </c>
      <c r="BJ208" s="21">
        <f t="shared" si="167"/>
        <v>0</v>
      </c>
    </row>
    <row r="209" spans="1:62">
      <c r="A209" s="5" t="s">
        <v>155</v>
      </c>
      <c r="B209" s="5"/>
      <c r="C209" s="5" t="s">
        <v>758</v>
      </c>
      <c r="D209" s="5" t="s">
        <v>1402</v>
      </c>
      <c r="E209" s="5" t="s">
        <v>1941</v>
      </c>
      <c r="F209" s="21">
        <v>8.0175900000000002</v>
      </c>
      <c r="G209" s="753">
        <v>0</v>
      </c>
      <c r="H209" s="21">
        <f t="shared" si="144"/>
        <v>0</v>
      </c>
      <c r="I209" s="21">
        <f t="shared" si="145"/>
        <v>0</v>
      </c>
      <c r="J209" s="21">
        <f t="shared" si="146"/>
        <v>0</v>
      </c>
      <c r="K209" s="21">
        <v>3.0807500000000001</v>
      </c>
      <c r="L209" s="21">
        <f t="shared" si="147"/>
        <v>24.700190392500001</v>
      </c>
      <c r="M209" s="34" t="s">
        <v>1961</v>
      </c>
      <c r="Z209" s="39">
        <f t="shared" si="148"/>
        <v>0</v>
      </c>
      <c r="AB209" s="39">
        <f t="shared" si="149"/>
        <v>0</v>
      </c>
      <c r="AC209" s="39">
        <f t="shared" si="150"/>
        <v>0</v>
      </c>
      <c r="AD209" s="39">
        <f t="shared" si="151"/>
        <v>0</v>
      </c>
      <c r="AE209" s="39">
        <f t="shared" si="152"/>
        <v>0</v>
      </c>
      <c r="AF209" s="39">
        <f t="shared" si="153"/>
        <v>0</v>
      </c>
      <c r="AG209" s="39">
        <f t="shared" si="154"/>
        <v>0</v>
      </c>
      <c r="AH209" s="39">
        <f t="shared" si="155"/>
        <v>0</v>
      </c>
      <c r="AI209" s="30"/>
      <c r="AJ209" s="21">
        <f t="shared" si="156"/>
        <v>0</v>
      </c>
      <c r="AK209" s="21">
        <f t="shared" si="157"/>
        <v>0</v>
      </c>
      <c r="AL209" s="21">
        <f t="shared" si="158"/>
        <v>0</v>
      </c>
      <c r="AN209" s="39">
        <v>21</v>
      </c>
      <c r="AO209" s="39">
        <f>G209*0.415469079501912</f>
        <v>0</v>
      </c>
      <c r="AP209" s="39">
        <f>G209*(1-0.415469079501912)</f>
        <v>0</v>
      </c>
      <c r="AQ209" s="34" t="s">
        <v>5</v>
      </c>
      <c r="AV209" s="39">
        <f t="shared" si="159"/>
        <v>0</v>
      </c>
      <c r="AW209" s="39">
        <f t="shared" si="160"/>
        <v>0</v>
      </c>
      <c r="AX209" s="39">
        <f t="shared" si="161"/>
        <v>0</v>
      </c>
      <c r="AY209" s="40" t="s">
        <v>1989</v>
      </c>
      <c r="AZ209" s="40" t="s">
        <v>2033</v>
      </c>
      <c r="BA209" s="30" t="s">
        <v>2045</v>
      </c>
      <c r="BC209" s="39">
        <f t="shared" si="162"/>
        <v>0</v>
      </c>
      <c r="BD209" s="39">
        <f t="shared" si="163"/>
        <v>0</v>
      </c>
      <c r="BE209" s="39">
        <v>0</v>
      </c>
      <c r="BF209" s="39">
        <f t="shared" si="164"/>
        <v>24.700190392500001</v>
      </c>
      <c r="BH209" s="21">
        <f t="shared" si="165"/>
        <v>0</v>
      </c>
      <c r="BI209" s="21">
        <f t="shared" si="166"/>
        <v>0</v>
      </c>
      <c r="BJ209" s="21">
        <f t="shared" si="167"/>
        <v>0</v>
      </c>
    </row>
    <row r="210" spans="1:62">
      <c r="C210" s="16" t="s">
        <v>609</v>
      </c>
      <c r="D210" s="919" t="s">
        <v>1403</v>
      </c>
      <c r="E210" s="920"/>
      <c r="F210" s="920"/>
      <c r="G210" s="920"/>
      <c r="H210" s="920"/>
      <c r="I210" s="920"/>
      <c r="J210" s="920"/>
      <c r="K210" s="920"/>
      <c r="L210" s="920"/>
      <c r="M210" s="920"/>
    </row>
    <row r="211" spans="1:62">
      <c r="A211" s="5" t="s">
        <v>156</v>
      </c>
      <c r="B211" s="5"/>
      <c r="C211" s="5" t="s">
        <v>759</v>
      </c>
      <c r="D211" s="5" t="s">
        <v>1404</v>
      </c>
      <c r="E211" s="5" t="s">
        <v>1941</v>
      </c>
      <c r="F211" s="21">
        <v>6.0150000000000002E-2</v>
      </c>
      <c r="G211" s="753">
        <v>0</v>
      </c>
      <c r="H211" s="21">
        <f>F211*AO211</f>
        <v>0</v>
      </c>
      <c r="I211" s="21">
        <f>F211*AP211</f>
        <v>0</v>
      </c>
      <c r="J211" s="21">
        <f>F211*G211</f>
        <v>0</v>
      </c>
      <c r="K211" s="21">
        <v>3.0807500000000001</v>
      </c>
      <c r="L211" s="21">
        <f>F211*K211</f>
        <v>0.18530711250000001</v>
      </c>
      <c r="M211" s="34" t="s">
        <v>1961</v>
      </c>
      <c r="Z211" s="39">
        <f>IF(AQ211="5",BJ211,0)</f>
        <v>0</v>
      </c>
      <c r="AB211" s="39">
        <f>IF(AQ211="1",BH211,0)</f>
        <v>0</v>
      </c>
      <c r="AC211" s="39">
        <f>IF(AQ211="1",BI211,0)</f>
        <v>0</v>
      </c>
      <c r="AD211" s="39">
        <f>IF(AQ211="7",BH211,0)</f>
        <v>0</v>
      </c>
      <c r="AE211" s="39">
        <f>IF(AQ211="7",BI211,0)</f>
        <v>0</v>
      </c>
      <c r="AF211" s="39">
        <f>IF(AQ211="2",BH211,0)</f>
        <v>0</v>
      </c>
      <c r="AG211" s="39">
        <f>IF(AQ211="2",BI211,0)</f>
        <v>0</v>
      </c>
      <c r="AH211" s="39">
        <f>IF(AQ211="0",BJ211,0)</f>
        <v>0</v>
      </c>
      <c r="AI211" s="30"/>
      <c r="AJ211" s="21">
        <f>IF(AN211=0,J211,0)</f>
        <v>0</v>
      </c>
      <c r="AK211" s="21">
        <f>IF(AN211=15,J211,0)</f>
        <v>0</v>
      </c>
      <c r="AL211" s="21">
        <f>IF(AN211=21,J211,0)</f>
        <v>0</v>
      </c>
      <c r="AN211" s="39">
        <v>21</v>
      </c>
      <c r="AO211" s="39">
        <f>G211*0.411697019714776</f>
        <v>0</v>
      </c>
      <c r="AP211" s="39">
        <f>G211*(1-0.411697019714776)</f>
        <v>0</v>
      </c>
      <c r="AQ211" s="34" t="s">
        <v>5</v>
      </c>
      <c r="AV211" s="39">
        <f>AW211+AX211</f>
        <v>0</v>
      </c>
      <c r="AW211" s="39">
        <f>F211*AO211</f>
        <v>0</v>
      </c>
      <c r="AX211" s="39">
        <f>F211*AP211</f>
        <v>0</v>
      </c>
      <c r="AY211" s="40" t="s">
        <v>1989</v>
      </c>
      <c r="AZ211" s="40" t="s">
        <v>2033</v>
      </c>
      <c r="BA211" s="30" t="s">
        <v>2045</v>
      </c>
      <c r="BC211" s="39">
        <f>AW211+AX211</f>
        <v>0</v>
      </c>
      <c r="BD211" s="39">
        <f>G211/(100-BE211)*100</f>
        <v>0</v>
      </c>
      <c r="BE211" s="39">
        <v>0</v>
      </c>
      <c r="BF211" s="39">
        <f>L211</f>
        <v>0.18530711250000001</v>
      </c>
      <c r="BH211" s="21">
        <f>F211*AO211</f>
        <v>0</v>
      </c>
      <c r="BI211" s="21">
        <f>F211*AP211</f>
        <v>0</v>
      </c>
      <c r="BJ211" s="21">
        <f>F211*G211</f>
        <v>0</v>
      </c>
    </row>
    <row r="212" spans="1:62">
      <c r="C212" s="16" t="s">
        <v>609</v>
      </c>
      <c r="D212" s="919" t="s">
        <v>1405</v>
      </c>
      <c r="E212" s="920"/>
      <c r="F212" s="920"/>
      <c r="G212" s="920"/>
      <c r="H212" s="920"/>
      <c r="I212" s="920"/>
      <c r="J212" s="920"/>
      <c r="K212" s="920"/>
      <c r="L212" s="920"/>
      <c r="M212" s="920"/>
    </row>
    <row r="213" spans="1:62">
      <c r="A213" s="4"/>
      <c r="B213" s="14"/>
      <c r="C213" s="14" t="s">
        <v>49</v>
      </c>
      <c r="D213" s="14" t="s">
        <v>1406</v>
      </c>
      <c r="E213" s="4" t="s">
        <v>4</v>
      </c>
      <c r="F213" s="4" t="s">
        <v>4</v>
      </c>
      <c r="G213" s="4" t="s">
        <v>4</v>
      </c>
      <c r="H213" s="42">
        <f>SUM(H214:H214)</f>
        <v>0</v>
      </c>
      <c r="I213" s="42">
        <f>SUM(I214:I214)</f>
        <v>0</v>
      </c>
      <c r="J213" s="42">
        <f>SUM(J214:J214)</f>
        <v>0</v>
      </c>
      <c r="K213" s="30"/>
      <c r="L213" s="42">
        <f>SUM(L214:L214)</f>
        <v>187.38489412500002</v>
      </c>
      <c r="M213" s="30"/>
      <c r="AI213" s="30"/>
      <c r="AS213" s="42">
        <f>SUM(AJ214:AJ214)</f>
        <v>0</v>
      </c>
      <c r="AT213" s="42">
        <f>SUM(AK214:AK214)</f>
        <v>0</v>
      </c>
      <c r="AU213" s="42">
        <f>SUM(AL214:AL214)</f>
        <v>0</v>
      </c>
    </row>
    <row r="214" spans="1:62">
      <c r="A214" s="5" t="s">
        <v>157</v>
      </c>
      <c r="B214" s="5"/>
      <c r="C214" s="5" t="s">
        <v>760</v>
      </c>
      <c r="D214" s="5" t="s">
        <v>1407</v>
      </c>
      <c r="E214" s="5" t="s">
        <v>1941</v>
      </c>
      <c r="F214" s="21">
        <v>104.83071</v>
      </c>
      <c r="G214" s="753">
        <v>0</v>
      </c>
      <c r="H214" s="21">
        <f>F214*AO214</f>
        <v>0</v>
      </c>
      <c r="I214" s="21">
        <f>F214*AP214</f>
        <v>0</v>
      </c>
      <c r="J214" s="21">
        <f>F214*G214</f>
        <v>0</v>
      </c>
      <c r="K214" s="21">
        <v>1.7875000000000001</v>
      </c>
      <c r="L214" s="21">
        <f>F214*K214</f>
        <v>187.38489412500002</v>
      </c>
      <c r="M214" s="34" t="s">
        <v>1961</v>
      </c>
      <c r="Z214" s="39">
        <f>IF(AQ214="5",BJ214,0)</f>
        <v>0</v>
      </c>
      <c r="AB214" s="39">
        <f>IF(AQ214="1",BH214,0)</f>
        <v>0</v>
      </c>
      <c r="AC214" s="39">
        <f>IF(AQ214="1",BI214,0)</f>
        <v>0</v>
      </c>
      <c r="AD214" s="39">
        <f>IF(AQ214="7",BH214,0)</f>
        <v>0</v>
      </c>
      <c r="AE214" s="39">
        <f>IF(AQ214="7",BI214,0)</f>
        <v>0</v>
      </c>
      <c r="AF214" s="39">
        <f>IF(AQ214="2",BH214,0)</f>
        <v>0</v>
      </c>
      <c r="AG214" s="39">
        <f>IF(AQ214="2",BI214,0)</f>
        <v>0</v>
      </c>
      <c r="AH214" s="39">
        <f>IF(AQ214="0",BJ214,0)</f>
        <v>0</v>
      </c>
      <c r="AI214" s="30"/>
      <c r="AJ214" s="21">
        <f>IF(AN214=0,J214,0)</f>
        <v>0</v>
      </c>
      <c r="AK214" s="21">
        <f>IF(AN214=15,J214,0)</f>
        <v>0</v>
      </c>
      <c r="AL214" s="21">
        <f>IF(AN214=21,J214,0)</f>
        <v>0</v>
      </c>
      <c r="AN214" s="39">
        <v>21</v>
      </c>
      <c r="AO214" s="39">
        <f>G214*0.615264751663355</f>
        <v>0</v>
      </c>
      <c r="AP214" s="39">
        <f>G214*(1-0.615264751663355)</f>
        <v>0</v>
      </c>
      <c r="AQ214" s="34" t="s">
        <v>5</v>
      </c>
      <c r="AV214" s="39">
        <f>AW214+AX214</f>
        <v>0</v>
      </c>
      <c r="AW214" s="39">
        <f>F214*AO214</f>
        <v>0</v>
      </c>
      <c r="AX214" s="39">
        <f>F214*AP214</f>
        <v>0</v>
      </c>
      <c r="AY214" s="40" t="s">
        <v>1990</v>
      </c>
      <c r="AZ214" s="40" t="s">
        <v>2033</v>
      </c>
      <c r="BA214" s="30" t="s">
        <v>2045</v>
      </c>
      <c r="BC214" s="39">
        <f>AW214+AX214</f>
        <v>0</v>
      </c>
      <c r="BD214" s="39">
        <f>G214/(100-BE214)*100</f>
        <v>0</v>
      </c>
      <c r="BE214" s="39">
        <v>0</v>
      </c>
      <c r="BF214" s="39">
        <f>L214</f>
        <v>187.38489412500002</v>
      </c>
      <c r="BH214" s="21">
        <f>F214*AO214</f>
        <v>0</v>
      </c>
      <c r="BI214" s="21">
        <f>F214*AP214</f>
        <v>0</v>
      </c>
      <c r="BJ214" s="21">
        <f>F214*G214</f>
        <v>0</v>
      </c>
    </row>
    <row r="215" spans="1:62">
      <c r="A215" s="4"/>
      <c r="B215" s="14"/>
      <c r="C215" s="14" t="s">
        <v>63</v>
      </c>
      <c r="D215" s="14" t="s">
        <v>1408</v>
      </c>
      <c r="E215" s="4" t="s">
        <v>4</v>
      </c>
      <c r="F215" s="4" t="s">
        <v>4</v>
      </c>
      <c r="G215" s="4" t="s">
        <v>4</v>
      </c>
      <c r="H215" s="42">
        <f>SUM(H216:H218)</f>
        <v>0</v>
      </c>
      <c r="I215" s="42">
        <f>SUM(I216:I218)</f>
        <v>0</v>
      </c>
      <c r="J215" s="42">
        <f>SUM(J216:J218)</f>
        <v>0</v>
      </c>
      <c r="K215" s="30"/>
      <c r="L215" s="42">
        <f>SUM(L216:L218)</f>
        <v>6.3279300000000003</v>
      </c>
      <c r="M215" s="30"/>
      <c r="AI215" s="30"/>
      <c r="AS215" s="42">
        <f>SUM(AJ216:AJ218)</f>
        <v>0</v>
      </c>
      <c r="AT215" s="42">
        <f>SUM(AK216:AK218)</f>
        <v>0</v>
      </c>
      <c r="AU215" s="42">
        <f>SUM(AL216:AL218)</f>
        <v>0</v>
      </c>
    </row>
    <row r="216" spans="1:62">
      <c r="A216" s="5" t="s">
        <v>158</v>
      </c>
      <c r="B216" s="5"/>
      <c r="C216" s="5" t="s">
        <v>761</v>
      </c>
      <c r="D216" s="5" t="s">
        <v>1409</v>
      </c>
      <c r="E216" s="5" t="s">
        <v>1940</v>
      </c>
      <c r="F216" s="21">
        <v>17</v>
      </c>
      <c r="G216" s="753">
        <v>0</v>
      </c>
      <c r="H216" s="21">
        <f>F216*AO216</f>
        <v>0</v>
      </c>
      <c r="I216" s="21">
        <f>F216*AP216</f>
        <v>0</v>
      </c>
      <c r="J216" s="21">
        <f>F216*G216</f>
        <v>0</v>
      </c>
      <c r="K216" s="21">
        <v>0.3594</v>
      </c>
      <c r="L216" s="21">
        <f>F216*K216</f>
        <v>6.1097999999999999</v>
      </c>
      <c r="M216" s="34" t="s">
        <v>1961</v>
      </c>
      <c r="Z216" s="39">
        <f>IF(AQ216="5",BJ216,0)</f>
        <v>0</v>
      </c>
      <c r="AB216" s="39">
        <f>IF(AQ216="1",BH216,0)</f>
        <v>0</v>
      </c>
      <c r="AC216" s="39">
        <f>IF(AQ216="1",BI216,0)</f>
        <v>0</v>
      </c>
      <c r="AD216" s="39">
        <f>IF(AQ216="7",BH216,0)</f>
        <v>0</v>
      </c>
      <c r="AE216" s="39">
        <f>IF(AQ216="7",BI216,0)</f>
        <v>0</v>
      </c>
      <c r="AF216" s="39">
        <f>IF(AQ216="2",BH216,0)</f>
        <v>0</v>
      </c>
      <c r="AG216" s="39">
        <f>IF(AQ216="2",BI216,0)</f>
        <v>0</v>
      </c>
      <c r="AH216" s="39">
        <f>IF(AQ216="0",BJ216,0)</f>
        <v>0</v>
      </c>
      <c r="AI216" s="30"/>
      <c r="AJ216" s="21">
        <f>IF(AN216=0,J216,0)</f>
        <v>0</v>
      </c>
      <c r="AK216" s="21">
        <f>IF(AN216=15,J216,0)</f>
        <v>0</v>
      </c>
      <c r="AL216" s="21">
        <f>IF(AN216=21,J216,0)</f>
        <v>0</v>
      </c>
      <c r="AN216" s="39">
        <v>21</v>
      </c>
      <c r="AO216" s="39">
        <f>G216*0.765960559035119</f>
        <v>0</v>
      </c>
      <c r="AP216" s="39">
        <f>G216*(1-0.765960559035119)</f>
        <v>0</v>
      </c>
      <c r="AQ216" s="34" t="s">
        <v>5</v>
      </c>
      <c r="AV216" s="39">
        <f>AW216+AX216</f>
        <v>0</v>
      </c>
      <c r="AW216" s="39">
        <f>F216*AO216</f>
        <v>0</v>
      </c>
      <c r="AX216" s="39">
        <f>F216*AP216</f>
        <v>0</v>
      </c>
      <c r="AY216" s="40" t="s">
        <v>1991</v>
      </c>
      <c r="AZ216" s="40" t="s">
        <v>2034</v>
      </c>
      <c r="BA216" s="30" t="s">
        <v>2045</v>
      </c>
      <c r="BC216" s="39">
        <f>AW216+AX216</f>
        <v>0</v>
      </c>
      <c r="BD216" s="39">
        <f>G216/(100-BE216)*100</f>
        <v>0</v>
      </c>
      <c r="BE216" s="39">
        <v>0</v>
      </c>
      <c r="BF216" s="39">
        <f>L216</f>
        <v>6.1097999999999999</v>
      </c>
      <c r="BH216" s="21">
        <f>F216*AO216</f>
        <v>0</v>
      </c>
      <c r="BI216" s="21">
        <f>F216*AP216</f>
        <v>0</v>
      </c>
      <c r="BJ216" s="21">
        <f>F216*G216</f>
        <v>0</v>
      </c>
    </row>
    <row r="217" spans="1:62">
      <c r="C217" s="16" t="s">
        <v>609</v>
      </c>
      <c r="D217" s="919" t="s">
        <v>1410</v>
      </c>
      <c r="E217" s="920"/>
      <c r="F217" s="920"/>
      <c r="G217" s="920"/>
      <c r="H217" s="920"/>
      <c r="I217" s="920"/>
      <c r="J217" s="920"/>
      <c r="K217" s="920"/>
      <c r="L217" s="920"/>
      <c r="M217" s="920"/>
    </row>
    <row r="218" spans="1:62">
      <c r="A218" s="5" t="s">
        <v>159</v>
      </c>
      <c r="B218" s="5"/>
      <c r="C218" s="5" t="s">
        <v>762</v>
      </c>
      <c r="D218" s="5" t="s">
        <v>1411</v>
      </c>
      <c r="E218" s="5" t="s">
        <v>1943</v>
      </c>
      <c r="F218" s="21">
        <v>1</v>
      </c>
      <c r="G218" s="753">
        <v>0</v>
      </c>
      <c r="H218" s="21">
        <f>F218*AO218</f>
        <v>0</v>
      </c>
      <c r="I218" s="21">
        <f>F218*AP218</f>
        <v>0</v>
      </c>
      <c r="J218" s="21">
        <f>F218*G218</f>
        <v>0</v>
      </c>
      <c r="K218" s="21">
        <v>0.21812999999999999</v>
      </c>
      <c r="L218" s="21">
        <f>F218*K218</f>
        <v>0.21812999999999999</v>
      </c>
      <c r="M218" s="34" t="s">
        <v>1960</v>
      </c>
      <c r="Z218" s="39">
        <f>IF(AQ218="5",BJ218,0)</f>
        <v>0</v>
      </c>
      <c r="AB218" s="39">
        <f>IF(AQ218="1",BH218,0)</f>
        <v>0</v>
      </c>
      <c r="AC218" s="39">
        <f>IF(AQ218="1",BI218,0)</f>
        <v>0</v>
      </c>
      <c r="AD218" s="39">
        <f>IF(AQ218="7",BH218,0)</f>
        <v>0</v>
      </c>
      <c r="AE218" s="39">
        <f>IF(AQ218="7",BI218,0)</f>
        <v>0</v>
      </c>
      <c r="AF218" s="39">
        <f>IF(AQ218="2",BH218,0)</f>
        <v>0</v>
      </c>
      <c r="AG218" s="39">
        <f>IF(AQ218="2",BI218,0)</f>
        <v>0</v>
      </c>
      <c r="AH218" s="39">
        <f>IF(AQ218="0",BJ218,0)</f>
        <v>0</v>
      </c>
      <c r="AI218" s="30"/>
      <c r="AJ218" s="21">
        <f>IF(AN218=0,J218,0)</f>
        <v>0</v>
      </c>
      <c r="AK218" s="21">
        <f>IF(AN218=15,J218,0)</f>
        <v>0</v>
      </c>
      <c r="AL218" s="21">
        <f>IF(AN218=21,J218,0)</f>
        <v>0</v>
      </c>
      <c r="AN218" s="39">
        <v>21</v>
      </c>
      <c r="AO218" s="39">
        <f>G218*0.895850741968016</f>
        <v>0</v>
      </c>
      <c r="AP218" s="39">
        <f>G218*(1-0.895850741968016)</f>
        <v>0</v>
      </c>
      <c r="AQ218" s="34" t="s">
        <v>5</v>
      </c>
      <c r="AV218" s="39">
        <f>AW218+AX218</f>
        <v>0</v>
      </c>
      <c r="AW218" s="39">
        <f>F218*AO218</f>
        <v>0</v>
      </c>
      <c r="AX218" s="39">
        <f>F218*AP218</f>
        <v>0</v>
      </c>
      <c r="AY218" s="40" t="s">
        <v>1991</v>
      </c>
      <c r="AZ218" s="40" t="s">
        <v>2034</v>
      </c>
      <c r="BA218" s="30" t="s">
        <v>2045</v>
      </c>
      <c r="BC218" s="39">
        <f>AW218+AX218</f>
        <v>0</v>
      </c>
      <c r="BD218" s="39">
        <f>G218/(100-BE218)*100</f>
        <v>0</v>
      </c>
      <c r="BE218" s="39">
        <v>0</v>
      </c>
      <c r="BF218" s="39">
        <f>L218</f>
        <v>0.21812999999999999</v>
      </c>
      <c r="BH218" s="21">
        <f>F218*AO218</f>
        <v>0</v>
      </c>
      <c r="BI218" s="21">
        <f>F218*AP218</f>
        <v>0</v>
      </c>
      <c r="BJ218" s="21">
        <f>F218*G218</f>
        <v>0</v>
      </c>
    </row>
    <row r="219" spans="1:62">
      <c r="C219" s="17" t="s">
        <v>605</v>
      </c>
      <c r="D219" s="917" t="s">
        <v>1412</v>
      </c>
      <c r="E219" s="918"/>
      <c r="F219" s="918"/>
      <c r="G219" s="918"/>
      <c r="H219" s="918"/>
      <c r="I219" s="918"/>
      <c r="J219" s="918"/>
      <c r="K219" s="918"/>
      <c r="L219" s="918"/>
      <c r="M219" s="918"/>
    </row>
    <row r="220" spans="1:62">
      <c r="A220" s="4"/>
      <c r="B220" s="14"/>
      <c r="C220" s="14" t="s">
        <v>64</v>
      </c>
      <c r="D220" s="14" t="s">
        <v>1413</v>
      </c>
      <c r="E220" s="4" t="s">
        <v>4</v>
      </c>
      <c r="F220" s="4" t="s">
        <v>4</v>
      </c>
      <c r="G220" s="4" t="s">
        <v>4</v>
      </c>
      <c r="H220" s="42">
        <f>SUM(H221:H224)</f>
        <v>0</v>
      </c>
      <c r="I220" s="42">
        <f>SUM(I221:I224)</f>
        <v>0</v>
      </c>
      <c r="J220" s="42">
        <f>SUM(J221:J224)</f>
        <v>0</v>
      </c>
      <c r="K220" s="30"/>
      <c r="L220" s="42">
        <f>SUM(L221:L224)</f>
        <v>2.6311791344</v>
      </c>
      <c r="M220" s="30"/>
      <c r="AI220" s="30"/>
      <c r="AS220" s="42">
        <f>SUM(AJ221:AJ224)</f>
        <v>0</v>
      </c>
      <c r="AT220" s="42">
        <f>SUM(AK221:AK224)</f>
        <v>0</v>
      </c>
      <c r="AU220" s="42">
        <f>SUM(AL221:AL224)</f>
        <v>0</v>
      </c>
    </row>
    <row r="221" spans="1:62">
      <c r="A221" s="5" t="s">
        <v>160</v>
      </c>
      <c r="B221" s="5"/>
      <c r="C221" s="5" t="s">
        <v>763</v>
      </c>
      <c r="D221" s="5" t="s">
        <v>1414</v>
      </c>
      <c r="E221" s="5" t="s">
        <v>1940</v>
      </c>
      <c r="F221" s="21">
        <v>3820.1991699999999</v>
      </c>
      <c r="G221" s="753">
        <v>0</v>
      </c>
      <c r="H221" s="21">
        <f>F221*AO221</f>
        <v>0</v>
      </c>
      <c r="I221" s="21">
        <f>F221*AP221</f>
        <v>0</v>
      </c>
      <c r="J221" s="21">
        <f>F221*G221</f>
        <v>0</v>
      </c>
      <c r="K221" s="21">
        <v>3.2000000000000003E-4</v>
      </c>
      <c r="L221" s="21">
        <f>F221*K221</f>
        <v>1.2224637344</v>
      </c>
      <c r="M221" s="34" t="s">
        <v>1961</v>
      </c>
      <c r="Z221" s="39">
        <f>IF(AQ221="5",BJ221,0)</f>
        <v>0</v>
      </c>
      <c r="AB221" s="39">
        <f>IF(AQ221="1",BH221,0)</f>
        <v>0</v>
      </c>
      <c r="AC221" s="39">
        <f>IF(AQ221="1",BI221,0)</f>
        <v>0</v>
      </c>
      <c r="AD221" s="39">
        <f>IF(AQ221="7",BH221,0)</f>
        <v>0</v>
      </c>
      <c r="AE221" s="39">
        <f>IF(AQ221="7",BI221,0)</f>
        <v>0</v>
      </c>
      <c r="AF221" s="39">
        <f>IF(AQ221="2",BH221,0)</f>
        <v>0</v>
      </c>
      <c r="AG221" s="39">
        <f>IF(AQ221="2",BI221,0)</f>
        <v>0</v>
      </c>
      <c r="AH221" s="39">
        <f>IF(AQ221="0",BJ221,0)</f>
        <v>0</v>
      </c>
      <c r="AI221" s="30"/>
      <c r="AJ221" s="21">
        <f>IF(AN221=0,J221,0)</f>
        <v>0</v>
      </c>
      <c r="AK221" s="21">
        <f>IF(AN221=15,J221,0)</f>
        <v>0</v>
      </c>
      <c r="AL221" s="21">
        <f>IF(AN221=21,J221,0)</f>
        <v>0</v>
      </c>
      <c r="AN221" s="39">
        <v>21</v>
      </c>
      <c r="AO221" s="39">
        <f>G221*0.536571432383817</f>
        <v>0</v>
      </c>
      <c r="AP221" s="39">
        <f>G221*(1-0.536571432383817)</f>
        <v>0</v>
      </c>
      <c r="AQ221" s="34" t="s">
        <v>5</v>
      </c>
      <c r="AV221" s="39">
        <f>AW221+AX221</f>
        <v>0</v>
      </c>
      <c r="AW221" s="39">
        <f>F221*AO221</f>
        <v>0</v>
      </c>
      <c r="AX221" s="39">
        <f>F221*AP221</f>
        <v>0</v>
      </c>
      <c r="AY221" s="40" t="s">
        <v>1992</v>
      </c>
      <c r="AZ221" s="40" t="s">
        <v>2035</v>
      </c>
      <c r="BA221" s="30" t="s">
        <v>2045</v>
      </c>
      <c r="BC221" s="39">
        <f>AW221+AX221</f>
        <v>0</v>
      </c>
      <c r="BD221" s="39">
        <f>G221/(100-BE221)*100</f>
        <v>0</v>
      </c>
      <c r="BE221" s="39">
        <v>0</v>
      </c>
      <c r="BF221" s="39">
        <f>L221</f>
        <v>1.2224637344</v>
      </c>
      <c r="BH221" s="21">
        <f>F221*AO221</f>
        <v>0</v>
      </c>
      <c r="BI221" s="21">
        <f>F221*AP221</f>
        <v>0</v>
      </c>
      <c r="BJ221" s="21">
        <f>F221*G221</f>
        <v>0</v>
      </c>
    </row>
    <row r="222" spans="1:62">
      <c r="A222" s="5" t="s">
        <v>161</v>
      </c>
      <c r="B222" s="5"/>
      <c r="C222" s="5" t="s">
        <v>764</v>
      </c>
      <c r="D222" s="5" t="s">
        <v>1415</v>
      </c>
      <c r="E222" s="5" t="s">
        <v>1940</v>
      </c>
      <c r="F222" s="21">
        <v>306.36750000000001</v>
      </c>
      <c r="G222" s="753">
        <v>0</v>
      </c>
      <c r="H222" s="21">
        <f>F222*AO222</f>
        <v>0</v>
      </c>
      <c r="I222" s="21">
        <f>F222*AP222</f>
        <v>0</v>
      </c>
      <c r="J222" s="21">
        <f>F222*G222</f>
        <v>0</v>
      </c>
      <c r="K222" s="21">
        <v>4.1000000000000003E-3</v>
      </c>
      <c r="L222" s="21">
        <f>F222*K222</f>
        <v>1.25610675</v>
      </c>
      <c r="M222" s="34" t="s">
        <v>1961</v>
      </c>
      <c r="Z222" s="39">
        <f>IF(AQ222="5",BJ222,0)</f>
        <v>0</v>
      </c>
      <c r="AB222" s="39">
        <f>IF(AQ222="1",BH222,0)</f>
        <v>0</v>
      </c>
      <c r="AC222" s="39">
        <f>IF(AQ222="1",BI222,0)</f>
        <v>0</v>
      </c>
      <c r="AD222" s="39">
        <f>IF(AQ222="7",BH222,0)</f>
        <v>0</v>
      </c>
      <c r="AE222" s="39">
        <f>IF(AQ222="7",BI222,0)</f>
        <v>0</v>
      </c>
      <c r="AF222" s="39">
        <f>IF(AQ222="2",BH222,0)</f>
        <v>0</v>
      </c>
      <c r="AG222" s="39">
        <f>IF(AQ222="2",BI222,0)</f>
        <v>0</v>
      </c>
      <c r="AH222" s="39">
        <f>IF(AQ222="0",BJ222,0)</f>
        <v>0</v>
      </c>
      <c r="AI222" s="30"/>
      <c r="AJ222" s="21">
        <f>IF(AN222=0,J222,0)</f>
        <v>0</v>
      </c>
      <c r="AK222" s="21">
        <f>IF(AN222=15,J222,0)</f>
        <v>0</v>
      </c>
      <c r="AL222" s="21">
        <f>IF(AN222=21,J222,0)</f>
        <v>0</v>
      </c>
      <c r="AN222" s="39">
        <v>21</v>
      </c>
      <c r="AO222" s="39">
        <f>G222*0.702955390708056</f>
        <v>0</v>
      </c>
      <c r="AP222" s="39">
        <f>G222*(1-0.702955390708056)</f>
        <v>0</v>
      </c>
      <c r="AQ222" s="34" t="s">
        <v>5</v>
      </c>
      <c r="AV222" s="39">
        <f>AW222+AX222</f>
        <v>0</v>
      </c>
      <c r="AW222" s="39">
        <f>F222*AO222</f>
        <v>0</v>
      </c>
      <c r="AX222" s="39">
        <f>F222*AP222</f>
        <v>0</v>
      </c>
      <c r="AY222" s="40" t="s">
        <v>1992</v>
      </c>
      <c r="AZ222" s="40" t="s">
        <v>2035</v>
      </c>
      <c r="BA222" s="30" t="s">
        <v>2045</v>
      </c>
      <c r="BC222" s="39">
        <f>AW222+AX222</f>
        <v>0</v>
      </c>
      <c r="BD222" s="39">
        <f>G222/(100-BE222)*100</f>
        <v>0</v>
      </c>
      <c r="BE222" s="39">
        <v>0</v>
      </c>
      <c r="BF222" s="39">
        <f>L222</f>
        <v>1.25610675</v>
      </c>
      <c r="BH222" s="21">
        <f>F222*AO222</f>
        <v>0</v>
      </c>
      <c r="BI222" s="21">
        <f>F222*AP222</f>
        <v>0</v>
      </c>
      <c r="BJ222" s="21">
        <f>F222*G222</f>
        <v>0</v>
      </c>
    </row>
    <row r="223" spans="1:62">
      <c r="A223" s="5" t="s">
        <v>162</v>
      </c>
      <c r="B223" s="5"/>
      <c r="C223" s="5" t="s">
        <v>765</v>
      </c>
      <c r="D223" s="5" t="s">
        <v>1416</v>
      </c>
      <c r="E223" s="5" t="s">
        <v>1940</v>
      </c>
      <c r="F223" s="21">
        <v>306.36750000000001</v>
      </c>
      <c r="G223" s="753">
        <v>0</v>
      </c>
      <c r="H223" s="21">
        <f>F223*AO223</f>
        <v>0</v>
      </c>
      <c r="I223" s="21">
        <f>F223*AP223</f>
        <v>0</v>
      </c>
      <c r="J223" s="21">
        <f>F223*G223</f>
        <v>0</v>
      </c>
      <c r="K223" s="21">
        <v>2.5999999999999998E-4</v>
      </c>
      <c r="L223" s="21">
        <f>F223*K223</f>
        <v>7.9655549999999992E-2</v>
      </c>
      <c r="M223" s="34" t="s">
        <v>1961</v>
      </c>
      <c r="Z223" s="39">
        <f>IF(AQ223="5",BJ223,0)</f>
        <v>0</v>
      </c>
      <c r="AB223" s="39">
        <f>IF(AQ223="1",BH223,0)</f>
        <v>0</v>
      </c>
      <c r="AC223" s="39">
        <f>IF(AQ223="1",BI223,0)</f>
        <v>0</v>
      </c>
      <c r="AD223" s="39">
        <f>IF(AQ223="7",BH223,0)</f>
        <v>0</v>
      </c>
      <c r="AE223" s="39">
        <f>IF(AQ223="7",BI223,0)</f>
        <v>0</v>
      </c>
      <c r="AF223" s="39">
        <f>IF(AQ223="2",BH223,0)</f>
        <v>0</v>
      </c>
      <c r="AG223" s="39">
        <f>IF(AQ223="2",BI223,0)</f>
        <v>0</v>
      </c>
      <c r="AH223" s="39">
        <f>IF(AQ223="0",BJ223,0)</f>
        <v>0</v>
      </c>
      <c r="AI223" s="30"/>
      <c r="AJ223" s="21">
        <f>IF(AN223=0,J223,0)</f>
        <v>0</v>
      </c>
      <c r="AK223" s="21">
        <f>IF(AN223=15,J223,0)</f>
        <v>0</v>
      </c>
      <c r="AL223" s="21">
        <f>IF(AN223=21,J223,0)</f>
        <v>0</v>
      </c>
      <c r="AN223" s="39">
        <v>21</v>
      </c>
      <c r="AO223" s="39">
        <f>G223*0.360157843097491</f>
        <v>0</v>
      </c>
      <c r="AP223" s="39">
        <f>G223*(1-0.360157843097491)</f>
        <v>0</v>
      </c>
      <c r="AQ223" s="34" t="s">
        <v>5</v>
      </c>
      <c r="AV223" s="39">
        <f>AW223+AX223</f>
        <v>0</v>
      </c>
      <c r="AW223" s="39">
        <f>F223*AO223</f>
        <v>0</v>
      </c>
      <c r="AX223" s="39">
        <f>F223*AP223</f>
        <v>0</v>
      </c>
      <c r="AY223" s="40" t="s">
        <v>1992</v>
      </c>
      <c r="AZ223" s="40" t="s">
        <v>2035</v>
      </c>
      <c r="BA223" s="30" t="s">
        <v>2045</v>
      </c>
      <c r="BC223" s="39">
        <f>AW223+AX223</f>
        <v>0</v>
      </c>
      <c r="BD223" s="39">
        <f>G223/(100-BE223)*100</f>
        <v>0</v>
      </c>
      <c r="BE223" s="39">
        <v>0</v>
      </c>
      <c r="BF223" s="39">
        <f>L223</f>
        <v>7.9655549999999992E-2</v>
      </c>
      <c r="BH223" s="21">
        <f>F223*AO223</f>
        <v>0</v>
      </c>
      <c r="BI223" s="21">
        <f>F223*AP223</f>
        <v>0</v>
      </c>
      <c r="BJ223" s="21">
        <f>F223*G223</f>
        <v>0</v>
      </c>
    </row>
    <row r="224" spans="1:62">
      <c r="A224" s="5" t="s">
        <v>163</v>
      </c>
      <c r="B224" s="5"/>
      <c r="C224" s="5" t="s">
        <v>766</v>
      </c>
      <c r="D224" s="5" t="s">
        <v>1417</v>
      </c>
      <c r="E224" s="5" t="s">
        <v>1940</v>
      </c>
      <c r="F224" s="21">
        <v>221.07</v>
      </c>
      <c r="G224" s="753">
        <v>0</v>
      </c>
      <c r="H224" s="21">
        <f>F224*AO224</f>
        <v>0</v>
      </c>
      <c r="I224" s="21">
        <f>F224*AP224</f>
        <v>0</v>
      </c>
      <c r="J224" s="21">
        <f>F224*G224</f>
        <v>0</v>
      </c>
      <c r="K224" s="21">
        <v>3.3E-4</v>
      </c>
      <c r="L224" s="21">
        <f>F224*K224</f>
        <v>7.2953099999999993E-2</v>
      </c>
      <c r="M224" s="34" t="s">
        <v>1961</v>
      </c>
      <c r="Z224" s="39">
        <f>IF(AQ224="5",BJ224,0)</f>
        <v>0</v>
      </c>
      <c r="AB224" s="39">
        <f>IF(AQ224="1",BH224,0)</f>
        <v>0</v>
      </c>
      <c r="AC224" s="39">
        <f>IF(AQ224="1",BI224,0)</f>
        <v>0</v>
      </c>
      <c r="AD224" s="39">
        <f>IF(AQ224="7",BH224,0)</f>
        <v>0</v>
      </c>
      <c r="AE224" s="39">
        <f>IF(AQ224="7",BI224,0)</f>
        <v>0</v>
      </c>
      <c r="AF224" s="39">
        <f>IF(AQ224="2",BH224,0)</f>
        <v>0</v>
      </c>
      <c r="AG224" s="39">
        <f>IF(AQ224="2",BI224,0)</f>
        <v>0</v>
      </c>
      <c r="AH224" s="39">
        <f>IF(AQ224="0",BJ224,0)</f>
        <v>0</v>
      </c>
      <c r="AI224" s="30"/>
      <c r="AJ224" s="21">
        <f>IF(AN224=0,J224,0)</f>
        <v>0</v>
      </c>
      <c r="AK224" s="21">
        <f>IF(AN224=15,J224,0)</f>
        <v>0</v>
      </c>
      <c r="AL224" s="21">
        <f>IF(AN224=21,J224,0)</f>
        <v>0</v>
      </c>
      <c r="AN224" s="39">
        <v>21</v>
      </c>
      <c r="AO224" s="39">
        <f>G224*0.488504408271716</f>
        <v>0</v>
      </c>
      <c r="AP224" s="39">
        <f>G224*(1-0.488504408271716)</f>
        <v>0</v>
      </c>
      <c r="AQ224" s="34" t="s">
        <v>5</v>
      </c>
      <c r="AV224" s="39">
        <f>AW224+AX224</f>
        <v>0</v>
      </c>
      <c r="AW224" s="39">
        <f>F224*AO224</f>
        <v>0</v>
      </c>
      <c r="AX224" s="39">
        <f>F224*AP224</f>
        <v>0</v>
      </c>
      <c r="AY224" s="40" t="s">
        <v>1992</v>
      </c>
      <c r="AZ224" s="40" t="s">
        <v>2035</v>
      </c>
      <c r="BA224" s="30" t="s">
        <v>2045</v>
      </c>
      <c r="BC224" s="39">
        <f>AW224+AX224</f>
        <v>0</v>
      </c>
      <c r="BD224" s="39">
        <f>G224/(100-BE224)*100</f>
        <v>0</v>
      </c>
      <c r="BE224" s="39">
        <v>0</v>
      </c>
      <c r="BF224" s="39">
        <f>L224</f>
        <v>7.2953099999999993E-2</v>
      </c>
      <c r="BH224" s="21">
        <f>F224*AO224</f>
        <v>0</v>
      </c>
      <c r="BI224" s="21">
        <f>F224*AP224</f>
        <v>0</v>
      </c>
      <c r="BJ224" s="21">
        <f>F224*G224</f>
        <v>0</v>
      </c>
    </row>
    <row r="225" spans="1:62">
      <c r="A225" s="4"/>
      <c r="B225" s="14"/>
      <c r="C225" s="14" t="s">
        <v>65</v>
      </c>
      <c r="D225" s="14" t="s">
        <v>1418</v>
      </c>
      <c r="E225" s="4" t="s">
        <v>4</v>
      </c>
      <c r="F225" s="4" t="s">
        <v>4</v>
      </c>
      <c r="G225" s="4"/>
      <c r="H225" s="42">
        <f>SUM(H226:H235)</f>
        <v>0</v>
      </c>
      <c r="I225" s="42">
        <f>SUM(I226:I235)</f>
        <v>0</v>
      </c>
      <c r="J225" s="42">
        <f>SUM(J226:J235)</f>
        <v>0</v>
      </c>
      <c r="K225" s="30"/>
      <c r="L225" s="42">
        <f>SUM(L226:L235)</f>
        <v>39.51272907060001</v>
      </c>
      <c r="M225" s="30"/>
      <c r="AI225" s="30"/>
      <c r="AS225" s="42">
        <f>SUM(AJ226:AJ235)</f>
        <v>0</v>
      </c>
      <c r="AT225" s="42">
        <f>SUM(AK226:AK235)</f>
        <v>0</v>
      </c>
      <c r="AU225" s="42">
        <f>SUM(AL226:AL235)</f>
        <v>0</v>
      </c>
    </row>
    <row r="226" spans="1:62">
      <c r="A226" s="5" t="s">
        <v>164</v>
      </c>
      <c r="B226" s="5"/>
      <c r="C226" s="5" t="s">
        <v>767</v>
      </c>
      <c r="D226" s="5" t="s">
        <v>1419</v>
      </c>
      <c r="E226" s="5" t="s">
        <v>1940</v>
      </c>
      <c r="F226" s="21">
        <v>3833.4803700000002</v>
      </c>
      <c r="G226" s="753">
        <v>0</v>
      </c>
      <c r="H226" s="21">
        <f>F226*AO226</f>
        <v>0</v>
      </c>
      <c r="I226" s="21">
        <f>F226*AP226</f>
        <v>0</v>
      </c>
      <c r="J226" s="21">
        <f>F226*G226</f>
        <v>0</v>
      </c>
      <c r="K226" s="21">
        <v>3.6700000000000001E-3</v>
      </c>
      <c r="L226" s="21">
        <f>F226*K226</f>
        <v>14.068872957900002</v>
      </c>
      <c r="M226" s="34" t="s">
        <v>1961</v>
      </c>
      <c r="Z226" s="39">
        <f>IF(AQ226="5",BJ226,0)</f>
        <v>0</v>
      </c>
      <c r="AB226" s="39">
        <f>IF(AQ226="1",BH226,0)</f>
        <v>0</v>
      </c>
      <c r="AC226" s="39">
        <f>IF(AQ226="1",BI226,0)</f>
        <v>0</v>
      </c>
      <c r="AD226" s="39">
        <f>IF(AQ226="7",BH226,0)</f>
        <v>0</v>
      </c>
      <c r="AE226" s="39">
        <f>IF(AQ226="7",BI226,0)</f>
        <v>0</v>
      </c>
      <c r="AF226" s="39">
        <f>IF(AQ226="2",BH226,0)</f>
        <v>0</v>
      </c>
      <c r="AG226" s="39">
        <f>IF(AQ226="2",BI226,0)</f>
        <v>0</v>
      </c>
      <c r="AH226" s="39">
        <f>IF(AQ226="0",BJ226,0)</f>
        <v>0</v>
      </c>
      <c r="AI226" s="30"/>
      <c r="AJ226" s="21">
        <f>IF(AN226=0,J226,0)</f>
        <v>0</v>
      </c>
      <c r="AK226" s="21">
        <f>IF(AN226=15,J226,0)</f>
        <v>0</v>
      </c>
      <c r="AL226" s="21">
        <f>IF(AN226=21,J226,0)</f>
        <v>0</v>
      </c>
      <c r="AN226" s="39">
        <v>21</v>
      </c>
      <c r="AO226" s="39">
        <f>G226*0.251932435029503</f>
        <v>0</v>
      </c>
      <c r="AP226" s="39">
        <f>G226*(1-0.251932435029503)</f>
        <v>0</v>
      </c>
      <c r="AQ226" s="34" t="s">
        <v>5</v>
      </c>
      <c r="AV226" s="39">
        <f>AW226+AX226</f>
        <v>0</v>
      </c>
      <c r="AW226" s="39">
        <f>F226*AO226</f>
        <v>0</v>
      </c>
      <c r="AX226" s="39">
        <f>F226*AP226</f>
        <v>0</v>
      </c>
      <c r="AY226" s="40" t="s">
        <v>1993</v>
      </c>
      <c r="AZ226" s="40" t="s">
        <v>2035</v>
      </c>
      <c r="BA226" s="30" t="s">
        <v>2045</v>
      </c>
      <c r="BC226" s="39">
        <f>AW226+AX226</f>
        <v>0</v>
      </c>
      <c r="BD226" s="39">
        <f>G226/(100-BE226)*100</f>
        <v>0</v>
      </c>
      <c r="BE226" s="39">
        <v>0</v>
      </c>
      <c r="BF226" s="39">
        <f>L226</f>
        <v>14.068872957900002</v>
      </c>
      <c r="BH226" s="21">
        <f>F226*AO226</f>
        <v>0</v>
      </c>
      <c r="BI226" s="21">
        <f>F226*AP226</f>
        <v>0</v>
      </c>
      <c r="BJ226" s="21">
        <f>F226*G226</f>
        <v>0</v>
      </c>
    </row>
    <row r="227" spans="1:62">
      <c r="C227" s="16" t="s">
        <v>609</v>
      </c>
      <c r="D227" s="919" t="s">
        <v>1420</v>
      </c>
      <c r="E227" s="920"/>
      <c r="F227" s="920"/>
      <c r="G227" s="920"/>
      <c r="H227" s="920"/>
      <c r="I227" s="920"/>
      <c r="J227" s="920"/>
      <c r="K227" s="920"/>
      <c r="L227" s="920"/>
      <c r="M227" s="920"/>
    </row>
    <row r="228" spans="1:62">
      <c r="A228" s="5" t="s">
        <v>165</v>
      </c>
      <c r="B228" s="5"/>
      <c r="C228" s="5" t="s">
        <v>768</v>
      </c>
      <c r="D228" s="5" t="s">
        <v>1421</v>
      </c>
      <c r="E228" s="5" t="s">
        <v>1940</v>
      </c>
      <c r="F228" s="21">
        <v>156.57079999999999</v>
      </c>
      <c r="G228" s="753">
        <v>0</v>
      </c>
      <c r="H228" s="21">
        <f>F228*AO228</f>
        <v>0</v>
      </c>
      <c r="I228" s="21">
        <f>F228*AP228</f>
        <v>0</v>
      </c>
      <c r="J228" s="21">
        <f>F228*G228</f>
        <v>0</v>
      </c>
      <c r="K228" s="21">
        <v>3.2030000000000003E-2</v>
      </c>
      <c r="L228" s="21">
        <f>F228*K228</f>
        <v>5.0149627240000001</v>
      </c>
      <c r="M228" s="34" t="s">
        <v>1961</v>
      </c>
      <c r="Z228" s="39">
        <f>IF(AQ228="5",BJ228,0)</f>
        <v>0</v>
      </c>
      <c r="AB228" s="39">
        <f>IF(AQ228="1",BH228,0)</f>
        <v>0</v>
      </c>
      <c r="AC228" s="39">
        <f>IF(AQ228="1",BI228,0)</f>
        <v>0</v>
      </c>
      <c r="AD228" s="39">
        <f>IF(AQ228="7",BH228,0)</f>
        <v>0</v>
      </c>
      <c r="AE228" s="39">
        <f>IF(AQ228="7",BI228,0)</f>
        <v>0</v>
      </c>
      <c r="AF228" s="39">
        <f>IF(AQ228="2",BH228,0)</f>
        <v>0</v>
      </c>
      <c r="AG228" s="39">
        <f>IF(AQ228="2",BI228,0)</f>
        <v>0</v>
      </c>
      <c r="AH228" s="39">
        <f>IF(AQ228="0",BJ228,0)</f>
        <v>0</v>
      </c>
      <c r="AI228" s="30"/>
      <c r="AJ228" s="21">
        <f>IF(AN228=0,J228,0)</f>
        <v>0</v>
      </c>
      <c r="AK228" s="21">
        <f>IF(AN228=15,J228,0)</f>
        <v>0</v>
      </c>
      <c r="AL228" s="21">
        <f>IF(AN228=21,J228,0)</f>
        <v>0</v>
      </c>
      <c r="AN228" s="39">
        <v>21</v>
      </c>
      <c r="AO228" s="39">
        <f>G228*0.257037038317089</f>
        <v>0</v>
      </c>
      <c r="AP228" s="39">
        <f>G228*(1-0.257037038317089)</f>
        <v>0</v>
      </c>
      <c r="AQ228" s="34" t="s">
        <v>5</v>
      </c>
      <c r="AV228" s="39">
        <f>AW228+AX228</f>
        <v>0</v>
      </c>
      <c r="AW228" s="39">
        <f>F228*AO228</f>
        <v>0</v>
      </c>
      <c r="AX228" s="39">
        <f>F228*AP228</f>
        <v>0</v>
      </c>
      <c r="AY228" s="40" t="s">
        <v>1993</v>
      </c>
      <c r="AZ228" s="40" t="s">
        <v>2035</v>
      </c>
      <c r="BA228" s="30" t="s">
        <v>2045</v>
      </c>
      <c r="BC228" s="39">
        <f>AW228+AX228</f>
        <v>0</v>
      </c>
      <c r="BD228" s="39">
        <f>G228/(100-BE228)*100</f>
        <v>0</v>
      </c>
      <c r="BE228" s="39">
        <v>0</v>
      </c>
      <c r="BF228" s="39">
        <f>L228</f>
        <v>5.0149627240000001</v>
      </c>
      <c r="BH228" s="21">
        <f>F228*AO228</f>
        <v>0</v>
      </c>
      <c r="BI228" s="21">
        <f>F228*AP228</f>
        <v>0</v>
      </c>
      <c r="BJ228" s="21">
        <f>F228*G228</f>
        <v>0</v>
      </c>
    </row>
    <row r="229" spans="1:62" ht="38.4" customHeight="1">
      <c r="C229" s="17" t="s">
        <v>605</v>
      </c>
      <c r="D229" s="917" t="s">
        <v>1422</v>
      </c>
      <c r="E229" s="918"/>
      <c r="F229" s="918"/>
      <c r="G229" s="918"/>
      <c r="H229" s="918"/>
      <c r="I229" s="918"/>
      <c r="J229" s="918"/>
      <c r="K229" s="918"/>
      <c r="L229" s="918"/>
      <c r="M229" s="918"/>
    </row>
    <row r="230" spans="1:62">
      <c r="A230" s="5" t="s">
        <v>166</v>
      </c>
      <c r="B230" s="5"/>
      <c r="C230" s="5" t="s">
        <v>769</v>
      </c>
      <c r="D230" s="5" t="s">
        <v>1423</v>
      </c>
      <c r="E230" s="5" t="s">
        <v>1940</v>
      </c>
      <c r="F230" s="21">
        <v>12.548</v>
      </c>
      <c r="G230" s="753">
        <v>0</v>
      </c>
      <c r="H230" s="21">
        <f>F230*AO230</f>
        <v>0</v>
      </c>
      <c r="I230" s="21">
        <f>F230*AP230</f>
        <v>0</v>
      </c>
      <c r="J230" s="21">
        <f>F230*G230</f>
        <v>0</v>
      </c>
      <c r="K230" s="21">
        <v>4.4139999999999999E-2</v>
      </c>
      <c r="L230" s="21">
        <f>F230*K230</f>
        <v>0.55386871999999998</v>
      </c>
      <c r="M230" s="34" t="s">
        <v>1961</v>
      </c>
      <c r="Z230" s="39">
        <f>IF(AQ230="5",BJ230,0)</f>
        <v>0</v>
      </c>
      <c r="AB230" s="39">
        <f>IF(AQ230="1",BH230,0)</f>
        <v>0</v>
      </c>
      <c r="AC230" s="39">
        <f>IF(AQ230="1",BI230,0)</f>
        <v>0</v>
      </c>
      <c r="AD230" s="39">
        <f>IF(AQ230="7",BH230,0)</f>
        <v>0</v>
      </c>
      <c r="AE230" s="39">
        <f>IF(AQ230="7",BI230,0)</f>
        <v>0</v>
      </c>
      <c r="AF230" s="39">
        <f>IF(AQ230="2",BH230,0)</f>
        <v>0</v>
      </c>
      <c r="AG230" s="39">
        <f>IF(AQ230="2",BI230,0)</f>
        <v>0</v>
      </c>
      <c r="AH230" s="39">
        <f>IF(AQ230="0",BJ230,0)</f>
        <v>0</v>
      </c>
      <c r="AI230" s="30"/>
      <c r="AJ230" s="21">
        <f>IF(AN230=0,J230,0)</f>
        <v>0</v>
      </c>
      <c r="AK230" s="21">
        <f>IF(AN230=15,J230,0)</f>
        <v>0</v>
      </c>
      <c r="AL230" s="21">
        <f>IF(AN230=21,J230,0)</f>
        <v>0</v>
      </c>
      <c r="AN230" s="39">
        <v>21</v>
      </c>
      <c r="AO230" s="39">
        <f>G230*0.127511529138172</f>
        <v>0</v>
      </c>
      <c r="AP230" s="39">
        <f>G230*(1-0.127511529138172)</f>
        <v>0</v>
      </c>
      <c r="AQ230" s="34" t="s">
        <v>5</v>
      </c>
      <c r="AV230" s="39">
        <f>AW230+AX230</f>
        <v>0</v>
      </c>
      <c r="AW230" s="39">
        <f>F230*AO230</f>
        <v>0</v>
      </c>
      <c r="AX230" s="39">
        <f>F230*AP230</f>
        <v>0</v>
      </c>
      <c r="AY230" s="40" t="s">
        <v>1993</v>
      </c>
      <c r="AZ230" s="40" t="s">
        <v>2035</v>
      </c>
      <c r="BA230" s="30" t="s">
        <v>2045</v>
      </c>
      <c r="BC230" s="39">
        <f>AW230+AX230</f>
        <v>0</v>
      </c>
      <c r="BD230" s="39">
        <f>G230/(100-BE230)*100</f>
        <v>0</v>
      </c>
      <c r="BE230" s="39">
        <v>0</v>
      </c>
      <c r="BF230" s="39">
        <f>L230</f>
        <v>0.55386871999999998</v>
      </c>
      <c r="BH230" s="21">
        <f>F230*AO230</f>
        <v>0</v>
      </c>
      <c r="BI230" s="21">
        <f>F230*AP230</f>
        <v>0</v>
      </c>
      <c r="BJ230" s="21">
        <f>F230*G230</f>
        <v>0</v>
      </c>
    </row>
    <row r="231" spans="1:62" ht="25.65" customHeight="1">
      <c r="C231" s="17" t="s">
        <v>605</v>
      </c>
      <c r="D231" s="917" t="s">
        <v>1424</v>
      </c>
      <c r="E231" s="918"/>
      <c r="F231" s="918"/>
      <c r="G231" s="918"/>
      <c r="H231" s="918"/>
      <c r="I231" s="918"/>
      <c r="J231" s="918"/>
      <c r="K231" s="918"/>
      <c r="L231" s="918"/>
      <c r="M231" s="918"/>
    </row>
    <row r="232" spans="1:62">
      <c r="A232" s="5" t="s">
        <v>167</v>
      </c>
      <c r="B232" s="5"/>
      <c r="C232" s="5" t="s">
        <v>770</v>
      </c>
      <c r="D232" s="5" t="s">
        <v>1425</v>
      </c>
      <c r="E232" s="5" t="s">
        <v>1940</v>
      </c>
      <c r="F232" s="21">
        <v>1995.96237</v>
      </c>
      <c r="G232" s="753">
        <v>0</v>
      </c>
      <c r="H232" s="21">
        <f>F232*AO232</f>
        <v>0</v>
      </c>
      <c r="I232" s="21">
        <f>F232*AP232</f>
        <v>0</v>
      </c>
      <c r="J232" s="21">
        <f>F232*G232</f>
        <v>0</v>
      </c>
      <c r="K232" s="21">
        <v>8.5100000000000002E-3</v>
      </c>
      <c r="L232" s="21">
        <f>F232*K232</f>
        <v>16.9856397687</v>
      </c>
      <c r="M232" s="34" t="s">
        <v>1961</v>
      </c>
      <c r="Z232" s="39">
        <f>IF(AQ232="5",BJ232,0)</f>
        <v>0</v>
      </c>
      <c r="AB232" s="39">
        <f>IF(AQ232="1",BH232,0)</f>
        <v>0</v>
      </c>
      <c r="AC232" s="39">
        <f>IF(AQ232="1",BI232,0)</f>
        <v>0</v>
      </c>
      <c r="AD232" s="39">
        <f>IF(AQ232="7",BH232,0)</f>
        <v>0</v>
      </c>
      <c r="AE232" s="39">
        <f>IF(AQ232="7",BI232,0)</f>
        <v>0</v>
      </c>
      <c r="AF232" s="39">
        <f>IF(AQ232="2",BH232,0)</f>
        <v>0</v>
      </c>
      <c r="AG232" s="39">
        <f>IF(AQ232="2",BI232,0)</f>
        <v>0</v>
      </c>
      <c r="AH232" s="39">
        <f>IF(AQ232="0",BJ232,0)</f>
        <v>0</v>
      </c>
      <c r="AI232" s="30"/>
      <c r="AJ232" s="21">
        <f>IF(AN232=0,J232,0)</f>
        <v>0</v>
      </c>
      <c r="AK232" s="21">
        <f>IF(AN232=15,J232,0)</f>
        <v>0</v>
      </c>
      <c r="AL232" s="21">
        <f>IF(AN232=21,J232,0)</f>
        <v>0</v>
      </c>
      <c r="AN232" s="39">
        <v>21</v>
      </c>
      <c r="AO232" s="39">
        <f>G232*0.300413789972133</f>
        <v>0</v>
      </c>
      <c r="AP232" s="39">
        <f>G232*(1-0.300413789972133)</f>
        <v>0</v>
      </c>
      <c r="AQ232" s="34" t="s">
        <v>5</v>
      </c>
      <c r="AV232" s="39">
        <f>AW232+AX232</f>
        <v>0</v>
      </c>
      <c r="AW232" s="39">
        <f>F232*AO232</f>
        <v>0</v>
      </c>
      <c r="AX232" s="39">
        <f>F232*AP232</f>
        <v>0</v>
      </c>
      <c r="AY232" s="40" t="s">
        <v>1993</v>
      </c>
      <c r="AZ232" s="40" t="s">
        <v>2035</v>
      </c>
      <c r="BA232" s="30" t="s">
        <v>2045</v>
      </c>
      <c r="BC232" s="39">
        <f>AW232+AX232</f>
        <v>0</v>
      </c>
      <c r="BD232" s="39">
        <f>G232/(100-BE232)*100</f>
        <v>0</v>
      </c>
      <c r="BE232" s="39">
        <v>0</v>
      </c>
      <c r="BF232" s="39">
        <f>L232</f>
        <v>16.9856397687</v>
      </c>
      <c r="BH232" s="21">
        <f>F232*AO232</f>
        <v>0</v>
      </c>
      <c r="BI232" s="21">
        <f>F232*AP232</f>
        <v>0</v>
      </c>
      <c r="BJ232" s="21">
        <f>F232*G232</f>
        <v>0</v>
      </c>
    </row>
    <row r="233" spans="1:62">
      <c r="A233" s="5" t="s">
        <v>168</v>
      </c>
      <c r="B233" s="5"/>
      <c r="C233" s="5" t="s">
        <v>771</v>
      </c>
      <c r="D233" s="5" t="s">
        <v>1426</v>
      </c>
      <c r="E233" s="5" t="s">
        <v>1940</v>
      </c>
      <c r="F233" s="21">
        <v>221.07</v>
      </c>
      <c r="G233" s="753">
        <v>0</v>
      </c>
      <c r="H233" s="21">
        <f>F233*AO233</f>
        <v>0</v>
      </c>
      <c r="I233" s="21">
        <f>F233*AP233</f>
        <v>0</v>
      </c>
      <c r="J233" s="21">
        <f>F233*G233</f>
        <v>0</v>
      </c>
      <c r="K233" s="21">
        <v>4.1099999999999999E-3</v>
      </c>
      <c r="L233" s="21">
        <f>F233*K233</f>
        <v>0.90859769999999995</v>
      </c>
      <c r="M233" s="34" t="s">
        <v>1961</v>
      </c>
      <c r="Z233" s="39">
        <f>IF(AQ233="5",BJ233,0)</f>
        <v>0</v>
      </c>
      <c r="AB233" s="39">
        <f>IF(AQ233="1",BH233,0)</f>
        <v>0</v>
      </c>
      <c r="AC233" s="39">
        <f>IF(AQ233="1",BI233,0)</f>
        <v>0</v>
      </c>
      <c r="AD233" s="39">
        <f>IF(AQ233="7",BH233,0)</f>
        <v>0</v>
      </c>
      <c r="AE233" s="39">
        <f>IF(AQ233="7",BI233,0)</f>
        <v>0</v>
      </c>
      <c r="AF233" s="39">
        <f>IF(AQ233="2",BH233,0)</f>
        <v>0</v>
      </c>
      <c r="AG233" s="39">
        <f>IF(AQ233="2",BI233,0)</f>
        <v>0</v>
      </c>
      <c r="AH233" s="39">
        <f>IF(AQ233="0",BJ233,0)</f>
        <v>0</v>
      </c>
      <c r="AI233" s="30"/>
      <c r="AJ233" s="21">
        <f>IF(AN233=0,J233,0)</f>
        <v>0</v>
      </c>
      <c r="AK233" s="21">
        <f>IF(AN233=15,J233,0)</f>
        <v>0</v>
      </c>
      <c r="AL233" s="21">
        <f>IF(AN233=21,J233,0)</f>
        <v>0</v>
      </c>
      <c r="AN233" s="39">
        <v>21</v>
      </c>
      <c r="AO233" s="39">
        <f>G233*0.228521446204988</f>
        <v>0</v>
      </c>
      <c r="AP233" s="39">
        <f>G233*(1-0.228521446204988)</f>
        <v>0</v>
      </c>
      <c r="AQ233" s="34" t="s">
        <v>5</v>
      </c>
      <c r="AV233" s="39">
        <f>AW233+AX233</f>
        <v>0</v>
      </c>
      <c r="AW233" s="39">
        <f>F233*AO233</f>
        <v>0</v>
      </c>
      <c r="AX233" s="39">
        <f>F233*AP233</f>
        <v>0</v>
      </c>
      <c r="AY233" s="40" t="s">
        <v>1993</v>
      </c>
      <c r="AZ233" s="40" t="s">
        <v>2035</v>
      </c>
      <c r="BA233" s="30" t="s">
        <v>2045</v>
      </c>
      <c r="BC233" s="39">
        <f>AW233+AX233</f>
        <v>0</v>
      </c>
      <c r="BD233" s="39">
        <f>G233/(100-BE233)*100</f>
        <v>0</v>
      </c>
      <c r="BE233" s="39">
        <v>0</v>
      </c>
      <c r="BF233" s="39">
        <f>L233</f>
        <v>0.90859769999999995</v>
      </c>
      <c r="BH233" s="21">
        <f>F233*AO233</f>
        <v>0</v>
      </c>
      <c r="BI233" s="21">
        <f>F233*AP233</f>
        <v>0</v>
      </c>
      <c r="BJ233" s="21">
        <f>F233*G233</f>
        <v>0</v>
      </c>
    </row>
    <row r="234" spans="1:62">
      <c r="C234" s="16" t="s">
        <v>609</v>
      </c>
      <c r="D234" s="919" t="s">
        <v>5827</v>
      </c>
      <c r="E234" s="920"/>
      <c r="F234" s="920"/>
      <c r="G234" s="920"/>
      <c r="H234" s="920"/>
      <c r="I234" s="920"/>
      <c r="J234" s="920"/>
      <c r="K234" s="920"/>
      <c r="L234" s="920"/>
      <c r="M234" s="920"/>
    </row>
    <row r="235" spans="1:62">
      <c r="A235" s="5" t="s">
        <v>169</v>
      </c>
      <c r="B235" s="5"/>
      <c r="C235" s="5" t="s">
        <v>772</v>
      </c>
      <c r="D235" s="5" t="s">
        <v>1427</v>
      </c>
      <c r="E235" s="5" t="s">
        <v>1940</v>
      </c>
      <c r="F235" s="21">
        <v>221.07</v>
      </c>
      <c r="G235" s="753">
        <v>0</v>
      </c>
      <c r="H235" s="21">
        <f>F235*AO235</f>
        <v>0</v>
      </c>
      <c r="I235" s="21">
        <f>F235*AP235</f>
        <v>0</v>
      </c>
      <c r="J235" s="21">
        <f>F235*G235</f>
        <v>0</v>
      </c>
      <c r="K235" s="21">
        <v>8.9599999999999992E-3</v>
      </c>
      <c r="L235" s="21">
        <f>F235*K235</f>
        <v>1.9807871999999997</v>
      </c>
      <c r="M235" s="34" t="s">
        <v>1961</v>
      </c>
      <c r="Z235" s="39">
        <f>IF(AQ235="5",BJ235,0)</f>
        <v>0</v>
      </c>
      <c r="AB235" s="39">
        <f>IF(AQ235="1",BH235,0)</f>
        <v>0</v>
      </c>
      <c r="AC235" s="39">
        <f>IF(AQ235="1",BI235,0)</f>
        <v>0</v>
      </c>
      <c r="AD235" s="39">
        <f>IF(AQ235="7",BH235,0)</f>
        <v>0</v>
      </c>
      <c r="AE235" s="39">
        <f>IF(AQ235="7",BI235,0)</f>
        <v>0</v>
      </c>
      <c r="AF235" s="39">
        <f>IF(AQ235="2",BH235,0)</f>
        <v>0</v>
      </c>
      <c r="AG235" s="39">
        <f>IF(AQ235="2",BI235,0)</f>
        <v>0</v>
      </c>
      <c r="AH235" s="39">
        <f>IF(AQ235="0",BJ235,0)</f>
        <v>0</v>
      </c>
      <c r="AI235" s="30"/>
      <c r="AJ235" s="21">
        <f>IF(AN235=0,J235,0)</f>
        <v>0</v>
      </c>
      <c r="AK235" s="21">
        <f>IF(AN235=15,J235,0)</f>
        <v>0</v>
      </c>
      <c r="AL235" s="21">
        <f>IF(AN235=21,J235,0)</f>
        <v>0</v>
      </c>
      <c r="AN235" s="39">
        <v>21</v>
      </c>
      <c r="AO235" s="39">
        <f>G235*0.287490494296578</f>
        <v>0</v>
      </c>
      <c r="AP235" s="39">
        <f>G235*(1-0.287490494296578)</f>
        <v>0</v>
      </c>
      <c r="AQ235" s="34" t="s">
        <v>5</v>
      </c>
      <c r="AV235" s="39">
        <f>AW235+AX235</f>
        <v>0</v>
      </c>
      <c r="AW235" s="39">
        <f>F235*AO235</f>
        <v>0</v>
      </c>
      <c r="AX235" s="39">
        <f>F235*AP235</f>
        <v>0</v>
      </c>
      <c r="AY235" s="40" t="s">
        <v>1993</v>
      </c>
      <c r="AZ235" s="40" t="s">
        <v>2035</v>
      </c>
      <c r="BA235" s="30" t="s">
        <v>2045</v>
      </c>
      <c r="BC235" s="39">
        <f>AW235+AX235</f>
        <v>0</v>
      </c>
      <c r="BD235" s="39">
        <f>G235/(100-BE235)*100</f>
        <v>0</v>
      </c>
      <c r="BE235" s="39">
        <v>0</v>
      </c>
      <c r="BF235" s="39">
        <f>L235</f>
        <v>1.9807871999999997</v>
      </c>
      <c r="BH235" s="21">
        <f>F235*AO235</f>
        <v>0</v>
      </c>
      <c r="BI235" s="21">
        <f>F235*AP235</f>
        <v>0</v>
      </c>
      <c r="BJ235" s="21">
        <f>F235*G235</f>
        <v>0</v>
      </c>
    </row>
    <row r="236" spans="1:62">
      <c r="A236" s="4"/>
      <c r="B236" s="14"/>
      <c r="C236" s="14" t="s">
        <v>66</v>
      </c>
      <c r="D236" s="14" t="s">
        <v>1428</v>
      </c>
      <c r="E236" s="4" t="s">
        <v>4</v>
      </c>
      <c r="F236" s="4" t="s">
        <v>4</v>
      </c>
      <c r="G236" s="4" t="s">
        <v>4</v>
      </c>
      <c r="H236" s="42">
        <f>SUM(H237:H258)</f>
        <v>0</v>
      </c>
      <c r="I236" s="42">
        <f>SUM(I237:I258)</f>
        <v>0</v>
      </c>
      <c r="J236" s="42">
        <f>SUM(J237:J258)</f>
        <v>0</v>
      </c>
      <c r="K236" s="30"/>
      <c r="L236" s="42">
        <f>SUM(L237:L258)</f>
        <v>7.8193894740000012</v>
      </c>
      <c r="M236" s="30"/>
      <c r="AI236" s="30"/>
      <c r="AS236" s="42">
        <f>SUM(AJ237:AJ258)</f>
        <v>0</v>
      </c>
      <c r="AT236" s="42">
        <f>SUM(AK237:AK258)</f>
        <v>0</v>
      </c>
      <c r="AU236" s="42">
        <f>SUM(AL237:AL258)</f>
        <v>0</v>
      </c>
    </row>
    <row r="237" spans="1:62">
      <c r="A237" s="5" t="s">
        <v>170</v>
      </c>
      <c r="B237" s="5"/>
      <c r="C237" s="5" t="s">
        <v>773</v>
      </c>
      <c r="D237" s="5" t="s">
        <v>1429</v>
      </c>
      <c r="E237" s="5" t="s">
        <v>1940</v>
      </c>
      <c r="F237" s="21">
        <v>355.6</v>
      </c>
      <c r="G237" s="753">
        <v>0</v>
      </c>
      <c r="H237" s="21">
        <f>F237*AO237</f>
        <v>0</v>
      </c>
      <c r="I237" s="21">
        <f>F237*AP237</f>
        <v>0</v>
      </c>
      <c r="J237" s="21">
        <f>F237*G237</f>
        <v>0</v>
      </c>
      <c r="K237" s="21">
        <v>1.132E-2</v>
      </c>
      <c r="L237" s="21">
        <f>F237*K237</f>
        <v>4.0253920000000001</v>
      </c>
      <c r="M237" s="34" t="s">
        <v>1961</v>
      </c>
      <c r="Z237" s="39">
        <f>IF(AQ237="5",BJ237,0)</f>
        <v>0</v>
      </c>
      <c r="AB237" s="39">
        <f>IF(AQ237="1",BH237,0)</f>
        <v>0</v>
      </c>
      <c r="AC237" s="39">
        <f>IF(AQ237="1",BI237,0)</f>
        <v>0</v>
      </c>
      <c r="AD237" s="39">
        <f>IF(AQ237="7",BH237,0)</f>
        <v>0</v>
      </c>
      <c r="AE237" s="39">
        <f>IF(AQ237="7",BI237,0)</f>
        <v>0</v>
      </c>
      <c r="AF237" s="39">
        <f>IF(AQ237="2",BH237,0)</f>
        <v>0</v>
      </c>
      <c r="AG237" s="39">
        <f>IF(AQ237="2",BI237,0)</f>
        <v>0</v>
      </c>
      <c r="AH237" s="39">
        <f>IF(AQ237="0",BJ237,0)</f>
        <v>0</v>
      </c>
      <c r="AI237" s="30"/>
      <c r="AJ237" s="21">
        <f>IF(AN237=0,J237,0)</f>
        <v>0</v>
      </c>
      <c r="AK237" s="21">
        <f>IF(AN237=15,J237,0)</f>
        <v>0</v>
      </c>
      <c r="AL237" s="21">
        <f>IF(AN237=21,J237,0)</f>
        <v>0</v>
      </c>
      <c r="AN237" s="39">
        <v>21</v>
      </c>
      <c r="AO237" s="39">
        <f>G237*0.510428274619312</f>
        <v>0</v>
      </c>
      <c r="AP237" s="39">
        <f>G237*(1-0.510428274619312)</f>
        <v>0</v>
      </c>
      <c r="AQ237" s="34" t="s">
        <v>5</v>
      </c>
      <c r="AV237" s="39">
        <f>AW237+AX237</f>
        <v>0</v>
      </c>
      <c r="AW237" s="39">
        <f>F237*AO237</f>
        <v>0</v>
      </c>
      <c r="AX237" s="39">
        <f>F237*AP237</f>
        <v>0</v>
      </c>
      <c r="AY237" s="40" t="s">
        <v>1994</v>
      </c>
      <c r="AZ237" s="40" t="s">
        <v>2035</v>
      </c>
      <c r="BA237" s="30" t="s">
        <v>2045</v>
      </c>
      <c r="BC237" s="39">
        <f>AW237+AX237</f>
        <v>0</v>
      </c>
      <c r="BD237" s="39">
        <f>G237/(100-BE237)*100</f>
        <v>0</v>
      </c>
      <c r="BE237" s="39">
        <v>0</v>
      </c>
      <c r="BF237" s="39">
        <f>L237</f>
        <v>4.0253920000000001</v>
      </c>
      <c r="BH237" s="21">
        <f>F237*AO237</f>
        <v>0</v>
      </c>
      <c r="BI237" s="21">
        <f>F237*AP237</f>
        <v>0</v>
      </c>
      <c r="BJ237" s="21">
        <f>F237*G237</f>
        <v>0</v>
      </c>
    </row>
    <row r="238" spans="1:62">
      <c r="C238" s="16" t="s">
        <v>609</v>
      </c>
      <c r="D238" s="919" t="s">
        <v>1430</v>
      </c>
      <c r="E238" s="920"/>
      <c r="F238" s="920"/>
      <c r="G238" s="920"/>
      <c r="H238" s="920"/>
      <c r="I238" s="920"/>
      <c r="J238" s="920"/>
      <c r="K238" s="920"/>
      <c r="L238" s="920"/>
      <c r="M238" s="920"/>
    </row>
    <row r="239" spans="1:62">
      <c r="C239" s="17" t="s">
        <v>605</v>
      </c>
      <c r="D239" s="917" t="s">
        <v>1431</v>
      </c>
      <c r="E239" s="918"/>
      <c r="F239" s="918"/>
      <c r="G239" s="918"/>
      <c r="H239" s="918"/>
      <c r="I239" s="918"/>
      <c r="J239" s="918"/>
      <c r="K239" s="918"/>
      <c r="L239" s="918"/>
      <c r="M239" s="918"/>
    </row>
    <row r="240" spans="1:62">
      <c r="A240" s="5" t="s">
        <v>171</v>
      </c>
      <c r="B240" s="5"/>
      <c r="C240" s="5" t="s">
        <v>774</v>
      </c>
      <c r="D240" s="5" t="s">
        <v>1432</v>
      </c>
      <c r="E240" s="5" t="s">
        <v>1940</v>
      </c>
      <c r="F240" s="21">
        <v>25.428000000000001</v>
      </c>
      <c r="G240" s="753">
        <v>0</v>
      </c>
      <c r="H240" s="21">
        <f>F240*AO240</f>
        <v>0</v>
      </c>
      <c r="I240" s="21">
        <f>F240*AP240</f>
        <v>0</v>
      </c>
      <c r="J240" s="21">
        <f>F240*G240</f>
        <v>0</v>
      </c>
      <c r="K240" s="21">
        <v>1.32E-2</v>
      </c>
      <c r="L240" s="21">
        <f>F240*K240</f>
        <v>0.33564959999999999</v>
      </c>
      <c r="M240" s="34" t="s">
        <v>1960</v>
      </c>
      <c r="Z240" s="39">
        <f>IF(AQ240="5",BJ240,0)</f>
        <v>0</v>
      </c>
      <c r="AB240" s="39">
        <f>IF(AQ240="1",BH240,0)</f>
        <v>0</v>
      </c>
      <c r="AC240" s="39">
        <f>IF(AQ240="1",BI240,0)</f>
        <v>0</v>
      </c>
      <c r="AD240" s="39">
        <f>IF(AQ240="7",BH240,0)</f>
        <v>0</v>
      </c>
      <c r="AE240" s="39">
        <f>IF(AQ240="7",BI240,0)</f>
        <v>0</v>
      </c>
      <c r="AF240" s="39">
        <f>IF(AQ240="2",BH240,0)</f>
        <v>0</v>
      </c>
      <c r="AG240" s="39">
        <f>IF(AQ240="2",BI240,0)</f>
        <v>0</v>
      </c>
      <c r="AH240" s="39">
        <f>IF(AQ240="0",BJ240,0)</f>
        <v>0</v>
      </c>
      <c r="AI240" s="30"/>
      <c r="AJ240" s="21">
        <f>IF(AN240=0,J240,0)</f>
        <v>0</v>
      </c>
      <c r="AK240" s="21">
        <f>IF(AN240=15,J240,0)</f>
        <v>0</v>
      </c>
      <c r="AL240" s="21">
        <f>IF(AN240=21,J240,0)</f>
        <v>0</v>
      </c>
      <c r="AN240" s="39">
        <v>21</v>
      </c>
      <c r="AO240" s="39">
        <f>G240*0.32842654028436</f>
        <v>0</v>
      </c>
      <c r="AP240" s="39">
        <f>G240*(1-0.32842654028436)</f>
        <v>0</v>
      </c>
      <c r="AQ240" s="34" t="s">
        <v>5</v>
      </c>
      <c r="AV240" s="39">
        <f>AW240+AX240</f>
        <v>0</v>
      </c>
      <c r="AW240" s="39">
        <f>F240*AO240</f>
        <v>0</v>
      </c>
      <c r="AX240" s="39">
        <f>F240*AP240</f>
        <v>0</v>
      </c>
      <c r="AY240" s="40" t="s">
        <v>1994</v>
      </c>
      <c r="AZ240" s="40" t="s">
        <v>2035</v>
      </c>
      <c r="BA240" s="30" t="s">
        <v>2045</v>
      </c>
      <c r="BC240" s="39">
        <f>AW240+AX240</f>
        <v>0</v>
      </c>
      <c r="BD240" s="39">
        <f>G240/(100-BE240)*100</f>
        <v>0</v>
      </c>
      <c r="BE240" s="39">
        <v>0</v>
      </c>
      <c r="BF240" s="39">
        <f>L240</f>
        <v>0.33564959999999999</v>
      </c>
      <c r="BH240" s="21">
        <f>F240*AO240</f>
        <v>0</v>
      </c>
      <c r="BI240" s="21">
        <f>F240*AP240</f>
        <v>0</v>
      </c>
      <c r="BJ240" s="21">
        <f>F240*G240</f>
        <v>0</v>
      </c>
    </row>
    <row r="241" spans="1:62">
      <c r="C241" s="17" t="s">
        <v>605</v>
      </c>
      <c r="D241" s="917" t="s">
        <v>1433</v>
      </c>
      <c r="E241" s="918"/>
      <c r="F241" s="918"/>
      <c r="G241" s="918"/>
      <c r="H241" s="918"/>
      <c r="I241" s="918"/>
      <c r="J241" s="918"/>
      <c r="K241" s="918"/>
      <c r="L241" s="918"/>
      <c r="M241" s="918"/>
    </row>
    <row r="242" spans="1:62">
      <c r="A242" s="5" t="s">
        <v>172</v>
      </c>
      <c r="B242" s="5"/>
      <c r="C242" s="5" t="s">
        <v>775</v>
      </c>
      <c r="D242" s="5" t="s">
        <v>1434</v>
      </c>
      <c r="E242" s="5" t="s">
        <v>1940</v>
      </c>
      <c r="F242" s="21">
        <v>82.91</v>
      </c>
      <c r="G242" s="753">
        <v>0</v>
      </c>
      <c r="H242" s="21">
        <f>F242*AO242</f>
        <v>0</v>
      </c>
      <c r="I242" s="21">
        <f>F242*AP242</f>
        <v>0</v>
      </c>
      <c r="J242" s="21">
        <f>F242*G242</f>
        <v>0</v>
      </c>
      <c r="K242" s="21">
        <v>1.495E-2</v>
      </c>
      <c r="L242" s="21">
        <f>F242*K242</f>
        <v>1.2395045</v>
      </c>
      <c r="M242" s="34" t="s">
        <v>1960</v>
      </c>
      <c r="Z242" s="39">
        <f>IF(AQ242="5",BJ242,0)</f>
        <v>0</v>
      </c>
      <c r="AB242" s="39">
        <f>IF(AQ242="1",BH242,0)</f>
        <v>0</v>
      </c>
      <c r="AC242" s="39">
        <f>IF(AQ242="1",BI242,0)</f>
        <v>0</v>
      </c>
      <c r="AD242" s="39">
        <f>IF(AQ242="7",BH242,0)</f>
        <v>0</v>
      </c>
      <c r="AE242" s="39">
        <f>IF(AQ242="7",BI242,0)</f>
        <v>0</v>
      </c>
      <c r="AF242" s="39">
        <f>IF(AQ242="2",BH242,0)</f>
        <v>0</v>
      </c>
      <c r="AG242" s="39">
        <f>IF(AQ242="2",BI242,0)</f>
        <v>0</v>
      </c>
      <c r="AH242" s="39">
        <f>IF(AQ242="0",BJ242,0)</f>
        <v>0</v>
      </c>
      <c r="AI242" s="30"/>
      <c r="AJ242" s="21">
        <f>IF(AN242=0,J242,0)</f>
        <v>0</v>
      </c>
      <c r="AK242" s="21">
        <f>IF(AN242=15,J242,0)</f>
        <v>0</v>
      </c>
      <c r="AL242" s="21">
        <f>IF(AN242=21,J242,0)</f>
        <v>0</v>
      </c>
      <c r="AN242" s="39">
        <v>21</v>
      </c>
      <c r="AO242" s="39">
        <f>G242*0.328426213072126</f>
        <v>0</v>
      </c>
      <c r="AP242" s="39">
        <f>G242*(1-0.328426213072126)</f>
        <v>0</v>
      </c>
      <c r="AQ242" s="34" t="s">
        <v>5</v>
      </c>
      <c r="AV242" s="39">
        <f>AW242+AX242</f>
        <v>0</v>
      </c>
      <c r="AW242" s="39">
        <f>F242*AO242</f>
        <v>0</v>
      </c>
      <c r="AX242" s="39">
        <f>F242*AP242</f>
        <v>0</v>
      </c>
      <c r="AY242" s="40" t="s">
        <v>1994</v>
      </c>
      <c r="AZ242" s="40" t="s">
        <v>2035</v>
      </c>
      <c r="BA242" s="30" t="s">
        <v>2045</v>
      </c>
      <c r="BC242" s="39">
        <f>AW242+AX242</f>
        <v>0</v>
      </c>
      <c r="BD242" s="39">
        <f>G242/(100-BE242)*100</f>
        <v>0</v>
      </c>
      <c r="BE242" s="39">
        <v>0</v>
      </c>
      <c r="BF242" s="39">
        <f>L242</f>
        <v>1.2395045</v>
      </c>
      <c r="BH242" s="21">
        <f>F242*AO242</f>
        <v>0</v>
      </c>
      <c r="BI242" s="21">
        <f>F242*AP242</f>
        <v>0</v>
      </c>
      <c r="BJ242" s="21">
        <f>F242*G242</f>
        <v>0</v>
      </c>
    </row>
    <row r="243" spans="1:62">
      <c r="C243" s="17" t="s">
        <v>605</v>
      </c>
      <c r="D243" s="917" t="s">
        <v>1433</v>
      </c>
      <c r="E243" s="918"/>
      <c r="F243" s="918"/>
      <c r="G243" s="918"/>
      <c r="H243" s="918"/>
      <c r="I243" s="918"/>
      <c r="J243" s="918"/>
      <c r="K243" s="918"/>
      <c r="L243" s="918"/>
      <c r="M243" s="918"/>
    </row>
    <row r="244" spans="1:62">
      <c r="A244" s="5" t="s">
        <v>173</v>
      </c>
      <c r="B244" s="5"/>
      <c r="C244" s="5" t="s">
        <v>776</v>
      </c>
      <c r="D244" s="5" t="s">
        <v>1435</v>
      </c>
      <c r="E244" s="5" t="s">
        <v>1940</v>
      </c>
      <c r="F244" s="21">
        <v>6.1619999999999999</v>
      </c>
      <c r="G244" s="753">
        <v>0</v>
      </c>
      <c r="H244" s="21">
        <f>F244*AO244</f>
        <v>0</v>
      </c>
      <c r="I244" s="21">
        <f>F244*AP244</f>
        <v>0</v>
      </c>
      <c r="J244" s="21">
        <f>F244*G244</f>
        <v>0</v>
      </c>
      <c r="K244" s="21">
        <v>1.5650000000000001E-2</v>
      </c>
      <c r="L244" s="21">
        <f>F244*K244</f>
        <v>9.6435300000000002E-2</v>
      </c>
      <c r="M244" s="34" t="s">
        <v>1960</v>
      </c>
      <c r="Z244" s="39">
        <f>IF(AQ244="5",BJ244,0)</f>
        <v>0</v>
      </c>
      <c r="AB244" s="39">
        <f>IF(AQ244="1",BH244,0)</f>
        <v>0</v>
      </c>
      <c r="AC244" s="39">
        <f>IF(AQ244="1",BI244,0)</f>
        <v>0</v>
      </c>
      <c r="AD244" s="39">
        <f>IF(AQ244="7",BH244,0)</f>
        <v>0</v>
      </c>
      <c r="AE244" s="39">
        <f>IF(AQ244="7",BI244,0)</f>
        <v>0</v>
      </c>
      <c r="AF244" s="39">
        <f>IF(AQ244="2",BH244,0)</f>
        <v>0</v>
      </c>
      <c r="AG244" s="39">
        <f>IF(AQ244="2",BI244,0)</f>
        <v>0</v>
      </c>
      <c r="AH244" s="39">
        <f>IF(AQ244="0",BJ244,0)</f>
        <v>0</v>
      </c>
      <c r="AI244" s="30"/>
      <c r="AJ244" s="21">
        <f>IF(AN244=0,J244,0)</f>
        <v>0</v>
      </c>
      <c r="AK244" s="21">
        <f>IF(AN244=15,J244,0)</f>
        <v>0</v>
      </c>
      <c r="AL244" s="21">
        <f>IF(AN244=21,J244,0)</f>
        <v>0</v>
      </c>
      <c r="AN244" s="39">
        <v>21</v>
      </c>
      <c r="AO244" s="39">
        <f>G244*0.328428459778109</f>
        <v>0</v>
      </c>
      <c r="AP244" s="39">
        <f>G244*(1-0.328428459778109)</f>
        <v>0</v>
      </c>
      <c r="AQ244" s="34" t="s">
        <v>5</v>
      </c>
      <c r="AV244" s="39">
        <f>AW244+AX244</f>
        <v>0</v>
      </c>
      <c r="AW244" s="39">
        <f>F244*AO244</f>
        <v>0</v>
      </c>
      <c r="AX244" s="39">
        <f>F244*AP244</f>
        <v>0</v>
      </c>
      <c r="AY244" s="40" t="s">
        <v>1994</v>
      </c>
      <c r="AZ244" s="40" t="s">
        <v>2035</v>
      </c>
      <c r="BA244" s="30" t="s">
        <v>2045</v>
      </c>
      <c r="BC244" s="39">
        <f>AW244+AX244</f>
        <v>0</v>
      </c>
      <c r="BD244" s="39">
        <f>G244/(100-BE244)*100</f>
        <v>0</v>
      </c>
      <c r="BE244" s="39">
        <v>0</v>
      </c>
      <c r="BF244" s="39">
        <f>L244</f>
        <v>9.6435300000000002E-2</v>
      </c>
      <c r="BH244" s="21">
        <f>F244*AO244</f>
        <v>0</v>
      </c>
      <c r="BI244" s="21">
        <f>F244*AP244</f>
        <v>0</v>
      </c>
      <c r="BJ244" s="21">
        <f>F244*G244</f>
        <v>0</v>
      </c>
    </row>
    <row r="245" spans="1:62">
      <c r="C245" s="17" t="s">
        <v>605</v>
      </c>
      <c r="D245" s="917" t="s">
        <v>1433</v>
      </c>
      <c r="E245" s="918"/>
      <c r="F245" s="918"/>
      <c r="G245" s="918"/>
      <c r="H245" s="918"/>
      <c r="I245" s="918"/>
      <c r="J245" s="918"/>
      <c r="K245" s="918"/>
      <c r="L245" s="918"/>
      <c r="M245" s="918"/>
    </row>
    <row r="246" spans="1:62">
      <c r="A246" s="5" t="s">
        <v>174</v>
      </c>
      <c r="B246" s="5"/>
      <c r="C246" s="5" t="s">
        <v>777</v>
      </c>
      <c r="D246" s="5" t="s">
        <v>1436</v>
      </c>
      <c r="E246" s="5" t="s">
        <v>1940</v>
      </c>
      <c r="F246" s="21">
        <v>36.24</v>
      </c>
      <c r="G246" s="753">
        <v>0</v>
      </c>
      <c r="H246" s="21">
        <f>F246*AO246</f>
        <v>0</v>
      </c>
      <c r="I246" s="21">
        <f>F246*AP246</f>
        <v>0</v>
      </c>
      <c r="J246" s="21">
        <f>F246*G246</f>
        <v>0</v>
      </c>
      <c r="K246" s="21">
        <v>2.07E-2</v>
      </c>
      <c r="L246" s="21">
        <f>F246*K246</f>
        <v>0.75016800000000006</v>
      </c>
      <c r="M246" s="34" t="s">
        <v>1961</v>
      </c>
      <c r="Z246" s="39">
        <f>IF(AQ246="5",BJ246,0)</f>
        <v>0</v>
      </c>
      <c r="AB246" s="39">
        <f>IF(AQ246="1",BH246,0)</f>
        <v>0</v>
      </c>
      <c r="AC246" s="39">
        <f>IF(AQ246="1",BI246,0)</f>
        <v>0</v>
      </c>
      <c r="AD246" s="39">
        <f>IF(AQ246="7",BH246,0)</f>
        <v>0</v>
      </c>
      <c r="AE246" s="39">
        <f>IF(AQ246="7",BI246,0)</f>
        <v>0</v>
      </c>
      <c r="AF246" s="39">
        <f>IF(AQ246="2",BH246,0)</f>
        <v>0</v>
      </c>
      <c r="AG246" s="39">
        <f>IF(AQ246="2",BI246,0)</f>
        <v>0</v>
      </c>
      <c r="AH246" s="39">
        <f>IF(AQ246="0",BJ246,0)</f>
        <v>0</v>
      </c>
      <c r="AI246" s="30"/>
      <c r="AJ246" s="21">
        <f>IF(AN246=0,J246,0)</f>
        <v>0</v>
      </c>
      <c r="AK246" s="21">
        <f>IF(AN246=15,J246,0)</f>
        <v>0</v>
      </c>
      <c r="AL246" s="21">
        <f>IF(AN246=21,J246,0)</f>
        <v>0</v>
      </c>
      <c r="AN246" s="39">
        <v>21</v>
      </c>
      <c r="AO246" s="39">
        <f>G246*0.670779014308426</f>
        <v>0</v>
      </c>
      <c r="AP246" s="39">
        <f>G246*(1-0.670779014308426)</f>
        <v>0</v>
      </c>
      <c r="AQ246" s="34" t="s">
        <v>5</v>
      </c>
      <c r="AV246" s="39">
        <f>AW246+AX246</f>
        <v>0</v>
      </c>
      <c r="AW246" s="39">
        <f>F246*AO246</f>
        <v>0</v>
      </c>
      <c r="AX246" s="39">
        <f>F246*AP246</f>
        <v>0</v>
      </c>
      <c r="AY246" s="40" t="s">
        <v>1994</v>
      </c>
      <c r="AZ246" s="40" t="s">
        <v>2035</v>
      </c>
      <c r="BA246" s="30" t="s">
        <v>2045</v>
      </c>
      <c r="BC246" s="39">
        <f>AW246+AX246</f>
        <v>0</v>
      </c>
      <c r="BD246" s="39">
        <f>G246/(100-BE246)*100</f>
        <v>0</v>
      </c>
      <c r="BE246" s="39">
        <v>0</v>
      </c>
      <c r="BF246" s="39">
        <f>L246</f>
        <v>0.75016800000000006</v>
      </c>
      <c r="BH246" s="21">
        <f>F246*AO246</f>
        <v>0</v>
      </c>
      <c r="BI246" s="21">
        <f>F246*AP246</f>
        <v>0</v>
      </c>
      <c r="BJ246" s="21">
        <f>F246*G246</f>
        <v>0</v>
      </c>
    </row>
    <row r="247" spans="1:62">
      <c r="C247" s="16" t="s">
        <v>609</v>
      </c>
      <c r="D247" s="919" t="s">
        <v>1437</v>
      </c>
      <c r="E247" s="920"/>
      <c r="F247" s="920"/>
      <c r="G247" s="920"/>
      <c r="H247" s="920"/>
      <c r="I247" s="920"/>
      <c r="J247" s="920"/>
      <c r="K247" s="920"/>
      <c r="L247" s="920"/>
      <c r="M247" s="920"/>
    </row>
    <row r="248" spans="1:62">
      <c r="C248" s="17" t="s">
        <v>605</v>
      </c>
      <c r="D248" s="917" t="s">
        <v>1438</v>
      </c>
      <c r="E248" s="918"/>
      <c r="F248" s="918"/>
      <c r="G248" s="918"/>
      <c r="H248" s="918"/>
      <c r="I248" s="918"/>
      <c r="J248" s="918"/>
      <c r="K248" s="918"/>
      <c r="L248" s="918"/>
      <c r="M248" s="918"/>
    </row>
    <row r="249" spans="1:62">
      <c r="A249" s="5" t="s">
        <v>175</v>
      </c>
      <c r="B249" s="5"/>
      <c r="C249" s="5" t="s">
        <v>778</v>
      </c>
      <c r="D249" s="5" t="s">
        <v>1439</v>
      </c>
      <c r="E249" s="5" t="s">
        <v>1940</v>
      </c>
      <c r="F249" s="21">
        <v>23.815999999999999</v>
      </c>
      <c r="G249" s="753">
        <v>0</v>
      </c>
      <c r="H249" s="21">
        <f>F249*AO249</f>
        <v>0</v>
      </c>
      <c r="I249" s="21">
        <f>F249*AP249</f>
        <v>0</v>
      </c>
      <c r="J249" s="21">
        <f>F249*G249</f>
        <v>0</v>
      </c>
      <c r="K249" s="21">
        <v>3.8210000000000001E-2</v>
      </c>
      <c r="L249" s="21">
        <f>F249*K249</f>
        <v>0.91000935999999999</v>
      </c>
      <c r="M249" s="34" t="s">
        <v>1961</v>
      </c>
      <c r="Z249" s="39">
        <f>IF(AQ249="5",BJ249,0)</f>
        <v>0</v>
      </c>
      <c r="AB249" s="39">
        <f>IF(AQ249="1",BH249,0)</f>
        <v>0</v>
      </c>
      <c r="AC249" s="39">
        <f>IF(AQ249="1",BI249,0)</f>
        <v>0</v>
      </c>
      <c r="AD249" s="39">
        <f>IF(AQ249="7",BH249,0)</f>
        <v>0</v>
      </c>
      <c r="AE249" s="39">
        <f>IF(AQ249="7",BI249,0)</f>
        <v>0</v>
      </c>
      <c r="AF249" s="39">
        <f>IF(AQ249="2",BH249,0)</f>
        <v>0</v>
      </c>
      <c r="AG249" s="39">
        <f>IF(AQ249="2",BI249,0)</f>
        <v>0</v>
      </c>
      <c r="AH249" s="39">
        <f>IF(AQ249="0",BJ249,0)</f>
        <v>0</v>
      </c>
      <c r="AI249" s="30"/>
      <c r="AJ249" s="21">
        <f>IF(AN249=0,J249,0)</f>
        <v>0</v>
      </c>
      <c r="AK249" s="21">
        <f>IF(AN249=15,J249,0)</f>
        <v>0</v>
      </c>
      <c r="AL249" s="21">
        <f>IF(AN249=21,J249,0)</f>
        <v>0</v>
      </c>
      <c r="AN249" s="39">
        <v>21</v>
      </c>
      <c r="AO249" s="39">
        <f>G249*0.71027027027027</f>
        <v>0</v>
      </c>
      <c r="AP249" s="39">
        <f>G249*(1-0.71027027027027)</f>
        <v>0</v>
      </c>
      <c r="AQ249" s="34" t="s">
        <v>5</v>
      </c>
      <c r="AV249" s="39">
        <f>AW249+AX249</f>
        <v>0</v>
      </c>
      <c r="AW249" s="39">
        <f>F249*AO249</f>
        <v>0</v>
      </c>
      <c r="AX249" s="39">
        <f>F249*AP249</f>
        <v>0</v>
      </c>
      <c r="AY249" s="40" t="s">
        <v>1994</v>
      </c>
      <c r="AZ249" s="40" t="s">
        <v>2035</v>
      </c>
      <c r="BA249" s="30" t="s">
        <v>2045</v>
      </c>
      <c r="BC249" s="39">
        <f>AW249+AX249</f>
        <v>0</v>
      </c>
      <c r="BD249" s="39">
        <f>G249/(100-BE249)*100</f>
        <v>0</v>
      </c>
      <c r="BE249" s="39">
        <v>0</v>
      </c>
      <c r="BF249" s="39">
        <f>L249</f>
        <v>0.91000935999999999</v>
      </c>
      <c r="BH249" s="21">
        <f>F249*AO249</f>
        <v>0</v>
      </c>
      <c r="BI249" s="21">
        <f>F249*AP249</f>
        <v>0</v>
      </c>
      <c r="BJ249" s="21">
        <f>F249*G249</f>
        <v>0</v>
      </c>
    </row>
    <row r="250" spans="1:62">
      <c r="C250" s="16" t="s">
        <v>609</v>
      </c>
      <c r="D250" s="919" t="s">
        <v>1440</v>
      </c>
      <c r="E250" s="920"/>
      <c r="F250" s="920"/>
      <c r="G250" s="920"/>
      <c r="H250" s="920"/>
      <c r="I250" s="920"/>
      <c r="J250" s="920"/>
      <c r="K250" s="920"/>
      <c r="L250" s="920"/>
      <c r="M250" s="920"/>
    </row>
    <row r="251" spans="1:62">
      <c r="C251" s="17" t="s">
        <v>605</v>
      </c>
      <c r="D251" s="917" t="s">
        <v>1441</v>
      </c>
      <c r="E251" s="918"/>
      <c r="F251" s="918"/>
      <c r="G251" s="918"/>
      <c r="H251" s="918"/>
      <c r="I251" s="918"/>
      <c r="J251" s="918"/>
      <c r="K251" s="918"/>
      <c r="L251" s="918"/>
      <c r="M251" s="918"/>
    </row>
    <row r="252" spans="1:62">
      <c r="A252" s="5" t="s">
        <v>176</v>
      </c>
      <c r="B252" s="5"/>
      <c r="C252" s="5" t="s">
        <v>779</v>
      </c>
      <c r="D252" s="5" t="s">
        <v>1439</v>
      </c>
      <c r="E252" s="5" t="s">
        <v>1940</v>
      </c>
      <c r="F252" s="21">
        <v>7.95</v>
      </c>
      <c r="G252" s="753">
        <v>0</v>
      </c>
      <c r="H252" s="21">
        <f>F252*AO252</f>
        <v>0</v>
      </c>
      <c r="I252" s="21">
        <f>F252*AP252</f>
        <v>0</v>
      </c>
      <c r="J252" s="21">
        <f>F252*G252</f>
        <v>0</v>
      </c>
      <c r="K252" s="21">
        <v>3.4909999999999997E-2</v>
      </c>
      <c r="L252" s="21">
        <f>F252*K252</f>
        <v>0.27753449999999996</v>
      </c>
      <c r="M252" s="34" t="s">
        <v>1961</v>
      </c>
      <c r="Z252" s="39">
        <f>IF(AQ252="5",BJ252,0)</f>
        <v>0</v>
      </c>
      <c r="AB252" s="39">
        <f>IF(AQ252="1",BH252,0)</f>
        <v>0</v>
      </c>
      <c r="AC252" s="39">
        <f>IF(AQ252="1",BI252,0)</f>
        <v>0</v>
      </c>
      <c r="AD252" s="39">
        <f>IF(AQ252="7",BH252,0)</f>
        <v>0</v>
      </c>
      <c r="AE252" s="39">
        <f>IF(AQ252="7",BI252,0)</f>
        <v>0</v>
      </c>
      <c r="AF252" s="39">
        <f>IF(AQ252="2",BH252,0)</f>
        <v>0</v>
      </c>
      <c r="AG252" s="39">
        <f>IF(AQ252="2",BI252,0)</f>
        <v>0</v>
      </c>
      <c r="AH252" s="39">
        <f>IF(AQ252="0",BJ252,0)</f>
        <v>0</v>
      </c>
      <c r="AI252" s="30"/>
      <c r="AJ252" s="21">
        <f>IF(AN252=0,J252,0)</f>
        <v>0</v>
      </c>
      <c r="AK252" s="21">
        <f>IF(AN252=15,J252,0)</f>
        <v>0</v>
      </c>
      <c r="AL252" s="21">
        <f>IF(AN252=21,J252,0)</f>
        <v>0</v>
      </c>
      <c r="AN252" s="39">
        <v>21</v>
      </c>
      <c r="AO252" s="39">
        <f>G252*0.75079536915856</f>
        <v>0</v>
      </c>
      <c r="AP252" s="39">
        <f>G252*(1-0.75079536915856)</f>
        <v>0</v>
      </c>
      <c r="AQ252" s="34" t="s">
        <v>5</v>
      </c>
      <c r="AV252" s="39">
        <f>AW252+AX252</f>
        <v>0</v>
      </c>
      <c r="AW252" s="39">
        <f>F252*AO252</f>
        <v>0</v>
      </c>
      <c r="AX252" s="39">
        <f>F252*AP252</f>
        <v>0</v>
      </c>
      <c r="AY252" s="40" t="s">
        <v>1994</v>
      </c>
      <c r="AZ252" s="40" t="s">
        <v>2035</v>
      </c>
      <c r="BA252" s="30" t="s">
        <v>2045</v>
      </c>
      <c r="BC252" s="39">
        <f>AW252+AX252</f>
        <v>0</v>
      </c>
      <c r="BD252" s="39">
        <f>G252/(100-BE252)*100</f>
        <v>0</v>
      </c>
      <c r="BE252" s="39">
        <v>0</v>
      </c>
      <c r="BF252" s="39">
        <f>L252</f>
        <v>0.27753449999999996</v>
      </c>
      <c r="BH252" s="21">
        <f>F252*AO252</f>
        <v>0</v>
      </c>
      <c r="BI252" s="21">
        <f>F252*AP252</f>
        <v>0</v>
      </c>
      <c r="BJ252" s="21">
        <f>F252*G252</f>
        <v>0</v>
      </c>
    </row>
    <row r="253" spans="1:62">
      <c r="C253" s="16" t="s">
        <v>609</v>
      </c>
      <c r="D253" s="919" t="s">
        <v>1442</v>
      </c>
      <c r="E253" s="920"/>
      <c r="F253" s="920"/>
      <c r="G253" s="920"/>
      <c r="H253" s="920"/>
      <c r="I253" s="920"/>
      <c r="J253" s="920"/>
      <c r="K253" s="920"/>
      <c r="L253" s="920"/>
      <c r="M253" s="920"/>
    </row>
    <row r="254" spans="1:62">
      <c r="A254" s="5" t="s">
        <v>177</v>
      </c>
      <c r="B254" s="5"/>
      <c r="C254" s="5" t="s">
        <v>780</v>
      </c>
      <c r="D254" s="5" t="s">
        <v>1443</v>
      </c>
      <c r="E254" s="5" t="s">
        <v>1939</v>
      </c>
      <c r="F254" s="21">
        <v>141.20599999999999</v>
      </c>
      <c r="G254" s="753">
        <v>0</v>
      </c>
      <c r="H254" s="21">
        <f>F254*AO254</f>
        <v>0</v>
      </c>
      <c r="I254" s="21">
        <f>F254*AP254</f>
        <v>0</v>
      </c>
      <c r="J254" s="21">
        <f>F254*G254</f>
        <v>0</v>
      </c>
      <c r="K254" s="21">
        <v>3.0000000000000001E-5</v>
      </c>
      <c r="L254" s="21">
        <f>F254*K254</f>
        <v>4.23618E-3</v>
      </c>
      <c r="M254" s="34" t="s">
        <v>1961</v>
      </c>
      <c r="Z254" s="39">
        <f>IF(AQ254="5",BJ254,0)</f>
        <v>0</v>
      </c>
      <c r="AB254" s="39">
        <f>IF(AQ254="1",BH254,0)</f>
        <v>0</v>
      </c>
      <c r="AC254" s="39">
        <f>IF(AQ254="1",BI254,0)</f>
        <v>0</v>
      </c>
      <c r="AD254" s="39">
        <f>IF(AQ254="7",BH254,0)</f>
        <v>0</v>
      </c>
      <c r="AE254" s="39">
        <f>IF(AQ254="7",BI254,0)</f>
        <v>0</v>
      </c>
      <c r="AF254" s="39">
        <f>IF(AQ254="2",BH254,0)</f>
        <v>0</v>
      </c>
      <c r="AG254" s="39">
        <f>IF(AQ254="2",BI254,0)</f>
        <v>0</v>
      </c>
      <c r="AH254" s="39">
        <f>IF(AQ254="0",BJ254,0)</f>
        <v>0</v>
      </c>
      <c r="AI254" s="30"/>
      <c r="AJ254" s="21">
        <f>IF(AN254=0,J254,0)</f>
        <v>0</v>
      </c>
      <c r="AK254" s="21">
        <f>IF(AN254=15,J254,0)</f>
        <v>0</v>
      </c>
      <c r="AL254" s="21">
        <f>IF(AN254=21,J254,0)</f>
        <v>0</v>
      </c>
      <c r="AN254" s="39">
        <v>21</v>
      </c>
      <c r="AO254" s="39">
        <f>G254*0.095786354174153</f>
        <v>0</v>
      </c>
      <c r="AP254" s="39">
        <f>G254*(1-0.095786354174153)</f>
        <v>0</v>
      </c>
      <c r="AQ254" s="34" t="s">
        <v>5</v>
      </c>
      <c r="AV254" s="39">
        <f>AW254+AX254</f>
        <v>0</v>
      </c>
      <c r="AW254" s="39">
        <f>F254*AO254</f>
        <v>0</v>
      </c>
      <c r="AX254" s="39">
        <f>F254*AP254</f>
        <v>0</v>
      </c>
      <c r="AY254" s="40" t="s">
        <v>1994</v>
      </c>
      <c r="AZ254" s="40" t="s">
        <v>2035</v>
      </c>
      <c r="BA254" s="30" t="s">
        <v>2045</v>
      </c>
      <c r="BC254" s="39">
        <f>AW254+AX254</f>
        <v>0</v>
      </c>
      <c r="BD254" s="39">
        <f>G254/(100-BE254)*100</f>
        <v>0</v>
      </c>
      <c r="BE254" s="39">
        <v>0</v>
      </c>
      <c r="BF254" s="39">
        <f>L254</f>
        <v>4.23618E-3</v>
      </c>
      <c r="BH254" s="21">
        <f>F254*AO254</f>
        <v>0</v>
      </c>
      <c r="BI254" s="21">
        <f>F254*AP254</f>
        <v>0</v>
      </c>
      <c r="BJ254" s="21">
        <f>F254*G254</f>
        <v>0</v>
      </c>
    </row>
    <row r="255" spans="1:62">
      <c r="A255" s="6" t="s">
        <v>178</v>
      </c>
      <c r="B255" s="6"/>
      <c r="C255" s="6" t="s">
        <v>781</v>
      </c>
      <c r="D255" s="6" t="s">
        <v>1444</v>
      </c>
      <c r="E255" s="6" t="s">
        <v>1943</v>
      </c>
      <c r="F255" s="22">
        <v>77.663300000000007</v>
      </c>
      <c r="G255" s="754">
        <v>0</v>
      </c>
      <c r="H255" s="22">
        <f>F255*AO255</f>
        <v>0</v>
      </c>
      <c r="I255" s="22">
        <f>F255*AP255</f>
        <v>0</v>
      </c>
      <c r="J255" s="22">
        <f>F255*G255</f>
        <v>0</v>
      </c>
      <c r="K255" s="22">
        <v>9.7999999999999997E-4</v>
      </c>
      <c r="L255" s="22">
        <f>F255*K255</f>
        <v>7.6110034000000007E-2</v>
      </c>
      <c r="M255" s="35" t="s">
        <v>1961</v>
      </c>
      <c r="Z255" s="39">
        <f>IF(AQ255="5",BJ255,0)</f>
        <v>0</v>
      </c>
      <c r="AB255" s="39">
        <f>IF(AQ255="1",BH255,0)</f>
        <v>0</v>
      </c>
      <c r="AC255" s="39">
        <f>IF(AQ255="1",BI255,0)</f>
        <v>0</v>
      </c>
      <c r="AD255" s="39">
        <f>IF(AQ255="7",BH255,0)</f>
        <v>0</v>
      </c>
      <c r="AE255" s="39">
        <f>IF(AQ255="7",BI255,0)</f>
        <v>0</v>
      </c>
      <c r="AF255" s="39">
        <f>IF(AQ255="2",BH255,0)</f>
        <v>0</v>
      </c>
      <c r="AG255" s="39">
        <f>IF(AQ255="2",BI255,0)</f>
        <v>0</v>
      </c>
      <c r="AH255" s="39">
        <f>IF(AQ255="0",BJ255,0)</f>
        <v>0</v>
      </c>
      <c r="AI255" s="30"/>
      <c r="AJ255" s="22">
        <f>IF(AN255=0,J255,0)</f>
        <v>0</v>
      </c>
      <c r="AK255" s="22">
        <f>IF(AN255=15,J255,0)</f>
        <v>0</v>
      </c>
      <c r="AL255" s="22">
        <f>IF(AN255=21,J255,0)</f>
        <v>0</v>
      </c>
      <c r="AN255" s="39">
        <v>21</v>
      </c>
      <c r="AO255" s="39">
        <f>G255*1</f>
        <v>0</v>
      </c>
      <c r="AP255" s="39">
        <f>G255*(1-1)</f>
        <v>0</v>
      </c>
      <c r="AQ255" s="35" t="s">
        <v>5</v>
      </c>
      <c r="AV255" s="39">
        <f>AW255+AX255</f>
        <v>0</v>
      </c>
      <c r="AW255" s="39">
        <f>F255*AO255</f>
        <v>0</v>
      </c>
      <c r="AX255" s="39">
        <f>F255*AP255</f>
        <v>0</v>
      </c>
      <c r="AY255" s="40" t="s">
        <v>1994</v>
      </c>
      <c r="AZ255" s="40" t="s">
        <v>2035</v>
      </c>
      <c r="BA255" s="30" t="s">
        <v>2045</v>
      </c>
      <c r="BC255" s="39">
        <f>AW255+AX255</f>
        <v>0</v>
      </c>
      <c r="BD255" s="39">
        <f>G255/(100-BE255)*100</f>
        <v>0</v>
      </c>
      <c r="BE255" s="39">
        <v>0</v>
      </c>
      <c r="BF255" s="39">
        <f>L255</f>
        <v>7.6110034000000007E-2</v>
      </c>
      <c r="BH255" s="22">
        <f>F255*AO255</f>
        <v>0</v>
      </c>
      <c r="BI255" s="22">
        <f>F255*AP255</f>
        <v>0</v>
      </c>
      <c r="BJ255" s="22">
        <f>F255*G255</f>
        <v>0</v>
      </c>
    </row>
    <row r="256" spans="1:62">
      <c r="A256" s="5" t="s">
        <v>179</v>
      </c>
      <c r="B256" s="5"/>
      <c r="C256" s="5" t="s">
        <v>782</v>
      </c>
      <c r="D256" s="5" t="s">
        <v>1445</v>
      </c>
      <c r="E256" s="5" t="s">
        <v>1940</v>
      </c>
      <c r="F256" s="21">
        <v>127.45</v>
      </c>
      <c r="G256" s="753">
        <v>0</v>
      </c>
      <c r="H256" s="21">
        <f>F256*AO256</f>
        <v>0</v>
      </c>
      <c r="I256" s="21">
        <f>F256*AP256</f>
        <v>0</v>
      </c>
      <c r="J256" s="21">
        <f>F256*G256</f>
        <v>0</v>
      </c>
      <c r="K256" s="21">
        <v>0</v>
      </c>
      <c r="L256" s="21">
        <f>F256*K256</f>
        <v>0</v>
      </c>
      <c r="M256" s="34" t="s">
        <v>1961</v>
      </c>
      <c r="Z256" s="39">
        <f>IF(AQ256="5",BJ256,0)</f>
        <v>0</v>
      </c>
      <c r="AB256" s="39">
        <f>IF(AQ256="1",BH256,0)</f>
        <v>0</v>
      </c>
      <c r="AC256" s="39">
        <f>IF(AQ256="1",BI256,0)</f>
        <v>0</v>
      </c>
      <c r="AD256" s="39">
        <f>IF(AQ256="7",BH256,0)</f>
        <v>0</v>
      </c>
      <c r="AE256" s="39">
        <f>IF(AQ256="7",BI256,0)</f>
        <v>0</v>
      </c>
      <c r="AF256" s="39">
        <f>IF(AQ256="2",BH256,0)</f>
        <v>0</v>
      </c>
      <c r="AG256" s="39">
        <f>IF(AQ256="2",BI256,0)</f>
        <v>0</v>
      </c>
      <c r="AH256" s="39">
        <f>IF(AQ256="0",BJ256,0)</f>
        <v>0</v>
      </c>
      <c r="AI256" s="30"/>
      <c r="AJ256" s="21">
        <f>IF(AN256=0,J256,0)</f>
        <v>0</v>
      </c>
      <c r="AK256" s="21">
        <f>IF(AN256=15,J256,0)</f>
        <v>0</v>
      </c>
      <c r="AL256" s="21">
        <f>IF(AN256=21,J256,0)</f>
        <v>0</v>
      </c>
      <c r="AN256" s="39">
        <v>21</v>
      </c>
      <c r="AO256" s="39">
        <f>G256*0.195967741935484</f>
        <v>0</v>
      </c>
      <c r="AP256" s="39">
        <f>G256*(1-0.195967741935484)</f>
        <v>0</v>
      </c>
      <c r="AQ256" s="34" t="s">
        <v>5</v>
      </c>
      <c r="AV256" s="39">
        <f>AW256+AX256</f>
        <v>0</v>
      </c>
      <c r="AW256" s="39">
        <f>F256*AO256</f>
        <v>0</v>
      </c>
      <c r="AX256" s="39">
        <f>F256*AP256</f>
        <v>0</v>
      </c>
      <c r="AY256" s="40" t="s">
        <v>1994</v>
      </c>
      <c r="AZ256" s="40" t="s">
        <v>2035</v>
      </c>
      <c r="BA256" s="30" t="s">
        <v>2045</v>
      </c>
      <c r="BC256" s="39">
        <f>AW256+AX256</f>
        <v>0</v>
      </c>
      <c r="BD256" s="39">
        <f>G256/(100-BE256)*100</f>
        <v>0</v>
      </c>
      <c r="BE256" s="39">
        <v>0</v>
      </c>
      <c r="BF256" s="39">
        <f>L256</f>
        <v>0</v>
      </c>
      <c r="BH256" s="21">
        <f>F256*AO256</f>
        <v>0</v>
      </c>
      <c r="BI256" s="21">
        <f>F256*AP256</f>
        <v>0</v>
      </c>
      <c r="BJ256" s="21">
        <f>F256*G256</f>
        <v>0</v>
      </c>
    </row>
    <row r="257" spans="1:62">
      <c r="A257" s="5" t="s">
        <v>180</v>
      </c>
      <c r="B257" s="5"/>
      <c r="C257" s="5" t="s">
        <v>783</v>
      </c>
      <c r="D257" s="5" t="s">
        <v>1446</v>
      </c>
      <c r="E257" s="5" t="s">
        <v>1939</v>
      </c>
      <c r="F257" s="21">
        <v>50</v>
      </c>
      <c r="G257" s="753">
        <v>0</v>
      </c>
      <c r="H257" s="21">
        <f>F257*AO257</f>
        <v>0</v>
      </c>
      <c r="I257" s="21">
        <f>F257*AP257</f>
        <v>0</v>
      </c>
      <c r="J257" s="21">
        <f>F257*G257</f>
        <v>0</v>
      </c>
      <c r="K257" s="21">
        <v>5.1000000000000004E-4</v>
      </c>
      <c r="L257" s="21">
        <f>F257*K257</f>
        <v>2.5500000000000002E-2</v>
      </c>
      <c r="M257" s="34" t="s">
        <v>1961</v>
      </c>
      <c r="Z257" s="39">
        <f>IF(AQ257="5",BJ257,0)</f>
        <v>0</v>
      </c>
      <c r="AB257" s="39">
        <f>IF(AQ257="1",BH257,0)</f>
        <v>0</v>
      </c>
      <c r="AC257" s="39">
        <f>IF(AQ257="1",BI257,0)</f>
        <v>0</v>
      </c>
      <c r="AD257" s="39">
        <f>IF(AQ257="7",BH257,0)</f>
        <v>0</v>
      </c>
      <c r="AE257" s="39">
        <f>IF(AQ257="7",BI257,0)</f>
        <v>0</v>
      </c>
      <c r="AF257" s="39">
        <f>IF(AQ257="2",BH257,0)</f>
        <v>0</v>
      </c>
      <c r="AG257" s="39">
        <f>IF(AQ257="2",BI257,0)</f>
        <v>0</v>
      </c>
      <c r="AH257" s="39">
        <f>IF(AQ257="0",BJ257,0)</f>
        <v>0</v>
      </c>
      <c r="AI257" s="30"/>
      <c r="AJ257" s="21">
        <f>IF(AN257=0,J257,0)</f>
        <v>0</v>
      </c>
      <c r="AK257" s="21">
        <f>IF(AN257=15,J257,0)</f>
        <v>0</v>
      </c>
      <c r="AL257" s="21">
        <f>IF(AN257=21,J257,0)</f>
        <v>0</v>
      </c>
      <c r="AN257" s="39">
        <v>21</v>
      </c>
      <c r="AO257" s="39">
        <f>G257*0.72318414461505</f>
        <v>0</v>
      </c>
      <c r="AP257" s="39">
        <f>G257*(1-0.72318414461505)</f>
        <v>0</v>
      </c>
      <c r="AQ257" s="34" t="s">
        <v>5</v>
      </c>
      <c r="AV257" s="39">
        <f>AW257+AX257</f>
        <v>0</v>
      </c>
      <c r="AW257" s="39">
        <f>F257*AO257</f>
        <v>0</v>
      </c>
      <c r="AX257" s="39">
        <f>F257*AP257</f>
        <v>0</v>
      </c>
      <c r="AY257" s="40" t="s">
        <v>1994</v>
      </c>
      <c r="AZ257" s="40" t="s">
        <v>2035</v>
      </c>
      <c r="BA257" s="30" t="s">
        <v>2045</v>
      </c>
      <c r="BC257" s="39">
        <f>AW257+AX257</f>
        <v>0</v>
      </c>
      <c r="BD257" s="39">
        <f>G257/(100-BE257)*100</f>
        <v>0</v>
      </c>
      <c r="BE257" s="39">
        <v>0</v>
      </c>
      <c r="BF257" s="39">
        <f>L257</f>
        <v>2.5500000000000002E-2</v>
      </c>
      <c r="BH257" s="21">
        <f>F257*AO257</f>
        <v>0</v>
      </c>
      <c r="BI257" s="21">
        <f>F257*AP257</f>
        <v>0</v>
      </c>
      <c r="BJ257" s="21">
        <f>F257*G257</f>
        <v>0</v>
      </c>
    </row>
    <row r="258" spans="1:62">
      <c r="A258" s="5" t="s">
        <v>181</v>
      </c>
      <c r="B258" s="5"/>
      <c r="C258" s="5" t="s">
        <v>784</v>
      </c>
      <c r="D258" s="5" t="s">
        <v>1447</v>
      </c>
      <c r="E258" s="5" t="s">
        <v>1940</v>
      </c>
      <c r="F258" s="21">
        <v>95</v>
      </c>
      <c r="G258" s="753">
        <v>0</v>
      </c>
      <c r="H258" s="21">
        <f>F258*AO258</f>
        <v>0</v>
      </c>
      <c r="I258" s="21">
        <f>F258*AP258</f>
        <v>0</v>
      </c>
      <c r="J258" s="21">
        <f>F258*G258</f>
        <v>0</v>
      </c>
      <c r="K258" s="21">
        <v>8.3000000000000001E-4</v>
      </c>
      <c r="L258" s="21">
        <f>F258*K258</f>
        <v>7.8850000000000003E-2</v>
      </c>
      <c r="M258" s="34" t="s">
        <v>1961</v>
      </c>
      <c r="Z258" s="39">
        <f>IF(AQ258="5",BJ258,0)</f>
        <v>0</v>
      </c>
      <c r="AB258" s="39">
        <f>IF(AQ258="1",BH258,0)</f>
        <v>0</v>
      </c>
      <c r="AC258" s="39">
        <f>IF(AQ258="1",BI258,0)</f>
        <v>0</v>
      </c>
      <c r="AD258" s="39">
        <f>IF(AQ258="7",BH258,0)</f>
        <v>0</v>
      </c>
      <c r="AE258" s="39">
        <f>IF(AQ258="7",BI258,0)</f>
        <v>0</v>
      </c>
      <c r="AF258" s="39">
        <f>IF(AQ258="2",BH258,0)</f>
        <v>0</v>
      </c>
      <c r="AG258" s="39">
        <f>IF(AQ258="2",BI258,0)</f>
        <v>0</v>
      </c>
      <c r="AH258" s="39">
        <f>IF(AQ258="0",BJ258,0)</f>
        <v>0</v>
      </c>
      <c r="AI258" s="30"/>
      <c r="AJ258" s="21">
        <f>IF(AN258=0,J258,0)</f>
        <v>0</v>
      </c>
      <c r="AK258" s="21">
        <f>IF(AN258=15,J258,0)</f>
        <v>0</v>
      </c>
      <c r="AL258" s="21">
        <f>IF(AN258=21,J258,0)</f>
        <v>0</v>
      </c>
      <c r="AN258" s="39">
        <v>21</v>
      </c>
      <c r="AO258" s="39">
        <f>G258*0.560725623582766</f>
        <v>0</v>
      </c>
      <c r="AP258" s="39">
        <f>G258*(1-0.560725623582766)</f>
        <v>0</v>
      </c>
      <c r="AQ258" s="34" t="s">
        <v>5</v>
      </c>
      <c r="AV258" s="39">
        <f>AW258+AX258</f>
        <v>0</v>
      </c>
      <c r="AW258" s="39">
        <f>F258*AO258</f>
        <v>0</v>
      </c>
      <c r="AX258" s="39">
        <f>F258*AP258</f>
        <v>0</v>
      </c>
      <c r="AY258" s="40" t="s">
        <v>1994</v>
      </c>
      <c r="AZ258" s="40" t="s">
        <v>2035</v>
      </c>
      <c r="BA258" s="30" t="s">
        <v>2045</v>
      </c>
      <c r="BC258" s="39">
        <f>AW258+AX258</f>
        <v>0</v>
      </c>
      <c r="BD258" s="39">
        <f>G258/(100-BE258)*100</f>
        <v>0</v>
      </c>
      <c r="BE258" s="39">
        <v>0</v>
      </c>
      <c r="BF258" s="39">
        <f>L258</f>
        <v>7.8850000000000003E-2</v>
      </c>
      <c r="BH258" s="21">
        <f>F258*AO258</f>
        <v>0</v>
      </c>
      <c r="BI258" s="21">
        <f>F258*AP258</f>
        <v>0</v>
      </c>
      <c r="BJ258" s="21">
        <f>F258*G258</f>
        <v>0</v>
      </c>
    </row>
    <row r="259" spans="1:62">
      <c r="A259" s="4"/>
      <c r="B259" s="14"/>
      <c r="C259" s="14" t="s">
        <v>67</v>
      </c>
      <c r="D259" s="14" t="s">
        <v>1448</v>
      </c>
      <c r="E259" s="4" t="s">
        <v>4</v>
      </c>
      <c r="F259" s="4" t="s">
        <v>4</v>
      </c>
      <c r="G259" s="4" t="s">
        <v>4</v>
      </c>
      <c r="H259" s="42">
        <f>SUM(H260:H285)</f>
        <v>0</v>
      </c>
      <c r="I259" s="42">
        <f>SUM(I260:I285)</f>
        <v>0</v>
      </c>
      <c r="J259" s="42">
        <f>SUM(J260:J285)</f>
        <v>0</v>
      </c>
      <c r="K259" s="30"/>
      <c r="L259" s="42">
        <f>SUM(L260:L285)</f>
        <v>670.39696997999988</v>
      </c>
      <c r="M259" s="30"/>
      <c r="AI259" s="30"/>
      <c r="AS259" s="42">
        <f>SUM(AJ260:AJ285)</f>
        <v>0</v>
      </c>
      <c r="AT259" s="42">
        <f>SUM(AK260:AK285)</f>
        <v>0</v>
      </c>
      <c r="AU259" s="42">
        <f>SUM(AL260:AL285)</f>
        <v>0</v>
      </c>
    </row>
    <row r="260" spans="1:62">
      <c r="A260" s="5" t="s">
        <v>182</v>
      </c>
      <c r="B260" s="5"/>
      <c r="C260" s="5" t="s">
        <v>785</v>
      </c>
      <c r="D260" s="5" t="s">
        <v>1449</v>
      </c>
      <c r="E260" s="5" t="s">
        <v>1941</v>
      </c>
      <c r="F260" s="21">
        <v>48.195920000000001</v>
      </c>
      <c r="G260" s="753">
        <v>0</v>
      </c>
      <c r="H260" s="21">
        <f>F260*AO260</f>
        <v>0</v>
      </c>
      <c r="I260" s="21">
        <f>F260*AP260</f>
        <v>0</v>
      </c>
      <c r="J260" s="21">
        <f>F260*G260</f>
        <v>0</v>
      </c>
      <c r="K260" s="21">
        <v>2.5249999999999999</v>
      </c>
      <c r="L260" s="21">
        <f>F260*K260</f>
        <v>121.694698</v>
      </c>
      <c r="M260" s="34" t="s">
        <v>1961</v>
      </c>
      <c r="Z260" s="39">
        <f>IF(AQ260="5",BJ260,0)</f>
        <v>0</v>
      </c>
      <c r="AB260" s="39">
        <f>IF(AQ260="1",BH260,0)</f>
        <v>0</v>
      </c>
      <c r="AC260" s="39">
        <f>IF(AQ260="1",BI260,0)</f>
        <v>0</v>
      </c>
      <c r="AD260" s="39">
        <f>IF(AQ260="7",BH260,0)</f>
        <v>0</v>
      </c>
      <c r="AE260" s="39">
        <f>IF(AQ260="7",BI260,0)</f>
        <v>0</v>
      </c>
      <c r="AF260" s="39">
        <f>IF(AQ260="2",BH260,0)</f>
        <v>0</v>
      </c>
      <c r="AG260" s="39">
        <f>IF(AQ260="2",BI260,0)</f>
        <v>0</v>
      </c>
      <c r="AH260" s="39">
        <f>IF(AQ260="0",BJ260,0)</f>
        <v>0</v>
      </c>
      <c r="AI260" s="30"/>
      <c r="AJ260" s="21">
        <f>IF(AN260=0,J260,0)</f>
        <v>0</v>
      </c>
      <c r="AK260" s="21">
        <f>IF(AN260=15,J260,0)</f>
        <v>0</v>
      </c>
      <c r="AL260" s="21">
        <f>IF(AN260=21,J260,0)</f>
        <v>0</v>
      </c>
      <c r="AN260" s="39">
        <v>21</v>
      </c>
      <c r="AO260" s="39">
        <f>G260*0.667692486277554</f>
        <v>0</v>
      </c>
      <c r="AP260" s="39">
        <f>G260*(1-0.667692486277554)</f>
        <v>0</v>
      </c>
      <c r="AQ260" s="34" t="s">
        <v>5</v>
      </c>
      <c r="AV260" s="39">
        <f>AW260+AX260</f>
        <v>0</v>
      </c>
      <c r="AW260" s="39">
        <f>F260*AO260</f>
        <v>0</v>
      </c>
      <c r="AX260" s="39">
        <f>F260*AP260</f>
        <v>0</v>
      </c>
      <c r="AY260" s="40" t="s">
        <v>1995</v>
      </c>
      <c r="AZ260" s="40" t="s">
        <v>2035</v>
      </c>
      <c r="BA260" s="30" t="s">
        <v>2045</v>
      </c>
      <c r="BC260" s="39">
        <f>AW260+AX260</f>
        <v>0</v>
      </c>
      <c r="BD260" s="39">
        <f>G260/(100-BE260)*100</f>
        <v>0</v>
      </c>
      <c r="BE260" s="39">
        <v>0</v>
      </c>
      <c r="BF260" s="39">
        <f>L260</f>
        <v>121.694698</v>
      </c>
      <c r="BH260" s="21">
        <f>F260*AO260</f>
        <v>0</v>
      </c>
      <c r="BI260" s="21">
        <f>F260*AP260</f>
        <v>0</v>
      </c>
      <c r="BJ260" s="21">
        <f>F260*G260</f>
        <v>0</v>
      </c>
    </row>
    <row r="261" spans="1:62">
      <c r="C261" s="16" t="s">
        <v>609</v>
      </c>
      <c r="D261" s="919" t="s">
        <v>1450</v>
      </c>
      <c r="E261" s="920"/>
      <c r="F261" s="920"/>
      <c r="G261" s="920"/>
      <c r="H261" s="920"/>
      <c r="I261" s="920"/>
      <c r="J261" s="920"/>
      <c r="K261" s="920"/>
      <c r="L261" s="920"/>
      <c r="M261" s="920"/>
    </row>
    <row r="262" spans="1:62">
      <c r="A262" s="5" t="s">
        <v>183</v>
      </c>
      <c r="B262" s="5"/>
      <c r="C262" s="5" t="s">
        <v>786</v>
      </c>
      <c r="D262" s="5" t="s">
        <v>1451</v>
      </c>
      <c r="E262" s="5" t="s">
        <v>1941</v>
      </c>
      <c r="F262" s="21">
        <v>41.232660000000003</v>
      </c>
      <c r="G262" s="753">
        <v>0</v>
      </c>
      <c r="H262" s="21">
        <f>F262*AO262</f>
        <v>0</v>
      </c>
      <c r="I262" s="21">
        <f>F262*AP262</f>
        <v>0</v>
      </c>
      <c r="J262" s="21">
        <f>F262*G262</f>
        <v>0</v>
      </c>
      <c r="K262" s="21">
        <v>2.5249999999999999</v>
      </c>
      <c r="L262" s="21">
        <f>F262*K262</f>
        <v>104.1124665</v>
      </c>
      <c r="M262" s="34" t="s">
        <v>1961</v>
      </c>
      <c r="Z262" s="39">
        <f>IF(AQ262="5",BJ262,0)</f>
        <v>0</v>
      </c>
      <c r="AB262" s="39">
        <f>IF(AQ262="1",BH262,0)</f>
        <v>0</v>
      </c>
      <c r="AC262" s="39">
        <f>IF(AQ262="1",BI262,0)</f>
        <v>0</v>
      </c>
      <c r="AD262" s="39">
        <f>IF(AQ262="7",BH262,0)</f>
        <v>0</v>
      </c>
      <c r="AE262" s="39">
        <f>IF(AQ262="7",BI262,0)</f>
        <v>0</v>
      </c>
      <c r="AF262" s="39">
        <f>IF(AQ262="2",BH262,0)</f>
        <v>0</v>
      </c>
      <c r="AG262" s="39">
        <f>IF(AQ262="2",BI262,0)</f>
        <v>0</v>
      </c>
      <c r="AH262" s="39">
        <f>IF(AQ262="0",BJ262,0)</f>
        <v>0</v>
      </c>
      <c r="AI262" s="30"/>
      <c r="AJ262" s="21">
        <f>IF(AN262=0,J262,0)</f>
        <v>0</v>
      </c>
      <c r="AK262" s="21">
        <f>IF(AN262=15,J262,0)</f>
        <v>0</v>
      </c>
      <c r="AL262" s="21">
        <f>IF(AN262=21,J262,0)</f>
        <v>0</v>
      </c>
      <c r="AN262" s="39">
        <v>21</v>
      </c>
      <c r="AO262" s="39">
        <f>G262*0.715542244735232</f>
        <v>0</v>
      </c>
      <c r="AP262" s="39">
        <f>G262*(1-0.715542244735232)</f>
        <v>0</v>
      </c>
      <c r="AQ262" s="34" t="s">
        <v>5</v>
      </c>
      <c r="AV262" s="39">
        <f>AW262+AX262</f>
        <v>0</v>
      </c>
      <c r="AW262" s="39">
        <f>F262*AO262</f>
        <v>0</v>
      </c>
      <c r="AX262" s="39">
        <f>F262*AP262</f>
        <v>0</v>
      </c>
      <c r="AY262" s="40" t="s">
        <v>1995</v>
      </c>
      <c r="AZ262" s="40" t="s">
        <v>2035</v>
      </c>
      <c r="BA262" s="30" t="s">
        <v>2045</v>
      </c>
      <c r="BC262" s="39">
        <f>AW262+AX262</f>
        <v>0</v>
      </c>
      <c r="BD262" s="39">
        <f>G262/(100-BE262)*100</f>
        <v>0</v>
      </c>
      <c r="BE262" s="39">
        <v>0</v>
      </c>
      <c r="BF262" s="39">
        <f>L262</f>
        <v>104.1124665</v>
      </c>
      <c r="BH262" s="21">
        <f>F262*AO262</f>
        <v>0</v>
      </c>
      <c r="BI262" s="21">
        <f>F262*AP262</f>
        <v>0</v>
      </c>
      <c r="BJ262" s="21">
        <f>F262*G262</f>
        <v>0</v>
      </c>
    </row>
    <row r="263" spans="1:62">
      <c r="C263" s="16" t="s">
        <v>609</v>
      </c>
      <c r="D263" s="919" t="s">
        <v>1450</v>
      </c>
      <c r="E263" s="920"/>
      <c r="F263" s="920"/>
      <c r="G263" s="920"/>
      <c r="H263" s="920"/>
      <c r="I263" s="920"/>
      <c r="J263" s="920"/>
      <c r="K263" s="920"/>
      <c r="L263" s="920"/>
      <c r="M263" s="920"/>
    </row>
    <row r="264" spans="1:62">
      <c r="A264" s="5" t="s">
        <v>184</v>
      </c>
      <c r="B264" s="5"/>
      <c r="C264" s="5" t="s">
        <v>787</v>
      </c>
      <c r="D264" s="5" t="s">
        <v>1452</v>
      </c>
      <c r="E264" s="5" t="s">
        <v>1941</v>
      </c>
      <c r="F264" s="21">
        <v>54.99</v>
      </c>
      <c r="G264" s="753">
        <v>0</v>
      </c>
      <c r="H264" s="21">
        <f t="shared" ref="H264:H275" si="168">F264*AO264</f>
        <v>0</v>
      </c>
      <c r="I264" s="21">
        <f t="shared" ref="I264:I275" si="169">F264*AP264</f>
        <v>0</v>
      </c>
      <c r="J264" s="21">
        <f t="shared" ref="J264:J275" si="170">F264*G264</f>
        <v>0</v>
      </c>
      <c r="K264" s="21">
        <v>2.5249999999999999</v>
      </c>
      <c r="L264" s="21">
        <f t="shared" ref="L264:L275" si="171">F264*K264</f>
        <v>138.84975</v>
      </c>
      <c r="M264" s="34" t="s">
        <v>1961</v>
      </c>
      <c r="Z264" s="39">
        <f t="shared" ref="Z264:Z275" si="172">IF(AQ264="5",BJ264,0)</f>
        <v>0</v>
      </c>
      <c r="AB264" s="39">
        <f t="shared" ref="AB264:AB275" si="173">IF(AQ264="1",BH264,0)</f>
        <v>0</v>
      </c>
      <c r="AC264" s="39">
        <f t="shared" ref="AC264:AC275" si="174">IF(AQ264="1",BI264,0)</f>
        <v>0</v>
      </c>
      <c r="AD264" s="39">
        <f t="shared" ref="AD264:AD275" si="175">IF(AQ264="7",BH264,0)</f>
        <v>0</v>
      </c>
      <c r="AE264" s="39">
        <f t="shared" ref="AE264:AE275" si="176">IF(AQ264="7",BI264,0)</f>
        <v>0</v>
      </c>
      <c r="AF264" s="39">
        <f t="shared" ref="AF264:AF275" si="177">IF(AQ264="2",BH264,0)</f>
        <v>0</v>
      </c>
      <c r="AG264" s="39">
        <f t="shared" ref="AG264:AG275" si="178">IF(AQ264="2",BI264,0)</f>
        <v>0</v>
      </c>
      <c r="AH264" s="39">
        <f t="shared" ref="AH264:AH275" si="179">IF(AQ264="0",BJ264,0)</f>
        <v>0</v>
      </c>
      <c r="AI264" s="30"/>
      <c r="AJ264" s="21">
        <f t="shared" ref="AJ264:AJ275" si="180">IF(AN264=0,J264,0)</f>
        <v>0</v>
      </c>
      <c r="AK264" s="21">
        <f t="shared" ref="AK264:AK275" si="181">IF(AN264=15,J264,0)</f>
        <v>0</v>
      </c>
      <c r="AL264" s="21">
        <f t="shared" ref="AL264:AL275" si="182">IF(AN264=21,J264,0)</f>
        <v>0</v>
      </c>
      <c r="AN264" s="39">
        <v>21</v>
      </c>
      <c r="AO264" s="39">
        <f>G264*0.737718364754269</f>
        <v>0</v>
      </c>
      <c r="AP264" s="39">
        <f>G264*(1-0.737718364754269)</f>
        <v>0</v>
      </c>
      <c r="AQ264" s="34" t="s">
        <v>5</v>
      </c>
      <c r="AV264" s="39">
        <f t="shared" ref="AV264:AV275" si="183">AW264+AX264</f>
        <v>0</v>
      </c>
      <c r="AW264" s="39">
        <f t="shared" ref="AW264:AW275" si="184">F264*AO264</f>
        <v>0</v>
      </c>
      <c r="AX264" s="39">
        <f t="shared" ref="AX264:AX275" si="185">F264*AP264</f>
        <v>0</v>
      </c>
      <c r="AY264" s="40" t="s">
        <v>1995</v>
      </c>
      <c r="AZ264" s="40" t="s">
        <v>2035</v>
      </c>
      <c r="BA264" s="30" t="s">
        <v>2045</v>
      </c>
      <c r="BC264" s="39">
        <f t="shared" ref="BC264:BC275" si="186">AW264+AX264</f>
        <v>0</v>
      </c>
      <c r="BD264" s="39">
        <f t="shared" ref="BD264:BD275" si="187">G264/(100-BE264)*100</f>
        <v>0</v>
      </c>
      <c r="BE264" s="39">
        <v>0</v>
      </c>
      <c r="BF264" s="39">
        <f t="shared" ref="BF264:BF275" si="188">L264</f>
        <v>138.84975</v>
      </c>
      <c r="BH264" s="21">
        <f t="shared" ref="BH264:BH275" si="189">F264*AO264</f>
        <v>0</v>
      </c>
      <c r="BI264" s="21">
        <f t="shared" ref="BI264:BI275" si="190">F264*AP264</f>
        <v>0</v>
      </c>
      <c r="BJ264" s="21">
        <f t="shared" ref="BJ264:BJ275" si="191">F264*G264</f>
        <v>0</v>
      </c>
    </row>
    <row r="265" spans="1:62">
      <c r="A265" s="5" t="s">
        <v>185</v>
      </c>
      <c r="B265" s="5"/>
      <c r="C265" s="5" t="s">
        <v>788</v>
      </c>
      <c r="D265" s="5" t="s">
        <v>1453</v>
      </c>
      <c r="E265" s="5" t="s">
        <v>1941</v>
      </c>
      <c r="F265" s="21">
        <v>56.55592</v>
      </c>
      <c r="G265" s="753">
        <v>0</v>
      </c>
      <c r="H265" s="21">
        <f t="shared" si="168"/>
        <v>0</v>
      </c>
      <c r="I265" s="21">
        <f t="shared" si="169"/>
        <v>0</v>
      </c>
      <c r="J265" s="21">
        <f t="shared" si="170"/>
        <v>0</v>
      </c>
      <c r="K265" s="21">
        <v>0</v>
      </c>
      <c r="L265" s="21">
        <f t="shared" si="171"/>
        <v>0</v>
      </c>
      <c r="M265" s="34" t="s">
        <v>1961</v>
      </c>
      <c r="Z265" s="39">
        <f t="shared" si="172"/>
        <v>0</v>
      </c>
      <c r="AB265" s="39">
        <f t="shared" si="173"/>
        <v>0</v>
      </c>
      <c r="AC265" s="39">
        <f t="shared" si="174"/>
        <v>0</v>
      </c>
      <c r="AD265" s="39">
        <f t="shared" si="175"/>
        <v>0</v>
      </c>
      <c r="AE265" s="39">
        <f t="shared" si="176"/>
        <v>0</v>
      </c>
      <c r="AF265" s="39">
        <f t="shared" si="177"/>
        <v>0</v>
      </c>
      <c r="AG265" s="39">
        <f t="shared" si="178"/>
        <v>0</v>
      </c>
      <c r="AH265" s="39">
        <f t="shared" si="179"/>
        <v>0</v>
      </c>
      <c r="AI265" s="30"/>
      <c r="AJ265" s="21">
        <f t="shared" si="180"/>
        <v>0</v>
      </c>
      <c r="AK265" s="21">
        <f t="shared" si="181"/>
        <v>0</v>
      </c>
      <c r="AL265" s="21">
        <f t="shared" si="182"/>
        <v>0</v>
      </c>
      <c r="AN265" s="39">
        <v>21</v>
      </c>
      <c r="AO265" s="39">
        <f>G265*0</f>
        <v>0</v>
      </c>
      <c r="AP265" s="39">
        <f>G265*(1-0)</f>
        <v>0</v>
      </c>
      <c r="AQ265" s="34" t="s">
        <v>5</v>
      </c>
      <c r="AV265" s="39">
        <f t="shared" si="183"/>
        <v>0</v>
      </c>
      <c r="AW265" s="39">
        <f t="shared" si="184"/>
        <v>0</v>
      </c>
      <c r="AX265" s="39">
        <f t="shared" si="185"/>
        <v>0</v>
      </c>
      <c r="AY265" s="40" t="s">
        <v>1995</v>
      </c>
      <c r="AZ265" s="40" t="s">
        <v>2035</v>
      </c>
      <c r="BA265" s="30" t="s">
        <v>2045</v>
      </c>
      <c r="BC265" s="39">
        <f t="shared" si="186"/>
        <v>0</v>
      </c>
      <c r="BD265" s="39">
        <f t="shared" si="187"/>
        <v>0</v>
      </c>
      <c r="BE265" s="39">
        <v>0</v>
      </c>
      <c r="BF265" s="39">
        <f t="shared" si="188"/>
        <v>0</v>
      </c>
      <c r="BH265" s="21">
        <f t="shared" si="189"/>
        <v>0</v>
      </c>
      <c r="BI265" s="21">
        <f t="shared" si="190"/>
        <v>0</v>
      </c>
      <c r="BJ265" s="21">
        <f t="shared" si="191"/>
        <v>0</v>
      </c>
    </row>
    <row r="266" spans="1:62">
      <c r="A266" s="5" t="s">
        <v>186</v>
      </c>
      <c r="B266" s="5"/>
      <c r="C266" s="5" t="s">
        <v>789</v>
      </c>
      <c r="D266" s="5" t="s">
        <v>1454</v>
      </c>
      <c r="E266" s="5" t="s">
        <v>1941</v>
      </c>
      <c r="F266" s="21">
        <v>114.09766</v>
      </c>
      <c r="G266" s="753">
        <v>0</v>
      </c>
      <c r="H266" s="21">
        <f t="shared" si="168"/>
        <v>0</v>
      </c>
      <c r="I266" s="21">
        <f t="shared" si="169"/>
        <v>0</v>
      </c>
      <c r="J266" s="21">
        <f t="shared" si="170"/>
        <v>0</v>
      </c>
      <c r="K266" s="21">
        <v>0</v>
      </c>
      <c r="L266" s="21">
        <f t="shared" si="171"/>
        <v>0</v>
      </c>
      <c r="M266" s="34" t="s">
        <v>1961</v>
      </c>
      <c r="Z266" s="39">
        <f t="shared" si="172"/>
        <v>0</v>
      </c>
      <c r="AB266" s="39">
        <f t="shared" si="173"/>
        <v>0</v>
      </c>
      <c r="AC266" s="39">
        <f t="shared" si="174"/>
        <v>0</v>
      </c>
      <c r="AD266" s="39">
        <f t="shared" si="175"/>
        <v>0</v>
      </c>
      <c r="AE266" s="39">
        <f t="shared" si="176"/>
        <v>0</v>
      </c>
      <c r="AF266" s="39">
        <f t="shared" si="177"/>
        <v>0</v>
      </c>
      <c r="AG266" s="39">
        <f t="shared" si="178"/>
        <v>0</v>
      </c>
      <c r="AH266" s="39">
        <f t="shared" si="179"/>
        <v>0</v>
      </c>
      <c r="AI266" s="30"/>
      <c r="AJ266" s="21">
        <f t="shared" si="180"/>
        <v>0</v>
      </c>
      <c r="AK266" s="21">
        <f t="shared" si="181"/>
        <v>0</v>
      </c>
      <c r="AL266" s="21">
        <f t="shared" si="182"/>
        <v>0</v>
      </c>
      <c r="AN266" s="39">
        <v>21</v>
      </c>
      <c r="AO266" s="39">
        <f>G266*0</f>
        <v>0</v>
      </c>
      <c r="AP266" s="39">
        <f>G266*(1-0)</f>
        <v>0</v>
      </c>
      <c r="AQ266" s="34" t="s">
        <v>5</v>
      </c>
      <c r="AV266" s="39">
        <f t="shared" si="183"/>
        <v>0</v>
      </c>
      <c r="AW266" s="39">
        <f t="shared" si="184"/>
        <v>0</v>
      </c>
      <c r="AX266" s="39">
        <f t="shared" si="185"/>
        <v>0</v>
      </c>
      <c r="AY266" s="40" t="s">
        <v>1995</v>
      </c>
      <c r="AZ266" s="40" t="s">
        <v>2035</v>
      </c>
      <c r="BA266" s="30" t="s">
        <v>2045</v>
      </c>
      <c r="BC266" s="39">
        <f t="shared" si="186"/>
        <v>0</v>
      </c>
      <c r="BD266" s="39">
        <f t="shared" si="187"/>
        <v>0</v>
      </c>
      <c r="BE266" s="39">
        <v>0</v>
      </c>
      <c r="BF266" s="39">
        <f t="shared" si="188"/>
        <v>0</v>
      </c>
      <c r="BH266" s="21">
        <f t="shared" si="189"/>
        <v>0</v>
      </c>
      <c r="BI266" s="21">
        <f t="shared" si="190"/>
        <v>0</v>
      </c>
      <c r="BJ266" s="21">
        <f t="shared" si="191"/>
        <v>0</v>
      </c>
    </row>
    <row r="267" spans="1:62">
      <c r="A267" s="5" t="s">
        <v>187</v>
      </c>
      <c r="B267" s="5"/>
      <c r="C267" s="5" t="s">
        <v>790</v>
      </c>
      <c r="D267" s="5" t="s">
        <v>1455</v>
      </c>
      <c r="E267" s="5" t="s">
        <v>1941</v>
      </c>
      <c r="F267" s="21">
        <v>109.98</v>
      </c>
      <c r="G267" s="753">
        <v>0</v>
      </c>
      <c r="H267" s="21">
        <f t="shared" si="168"/>
        <v>0</v>
      </c>
      <c r="I267" s="21">
        <f t="shared" si="169"/>
        <v>0</v>
      </c>
      <c r="J267" s="21">
        <f t="shared" si="170"/>
        <v>0</v>
      </c>
      <c r="K267" s="21">
        <v>0</v>
      </c>
      <c r="L267" s="21">
        <f t="shared" si="171"/>
        <v>0</v>
      </c>
      <c r="M267" s="34" t="s">
        <v>1961</v>
      </c>
      <c r="Z267" s="39">
        <f t="shared" si="172"/>
        <v>0</v>
      </c>
      <c r="AB267" s="39">
        <f t="shared" si="173"/>
        <v>0</v>
      </c>
      <c r="AC267" s="39">
        <f t="shared" si="174"/>
        <v>0</v>
      </c>
      <c r="AD267" s="39">
        <f t="shared" si="175"/>
        <v>0</v>
      </c>
      <c r="AE267" s="39">
        <f t="shared" si="176"/>
        <v>0</v>
      </c>
      <c r="AF267" s="39">
        <f t="shared" si="177"/>
        <v>0</v>
      </c>
      <c r="AG267" s="39">
        <f t="shared" si="178"/>
        <v>0</v>
      </c>
      <c r="AH267" s="39">
        <f t="shared" si="179"/>
        <v>0</v>
      </c>
      <c r="AI267" s="30"/>
      <c r="AJ267" s="21">
        <f t="shared" si="180"/>
        <v>0</v>
      </c>
      <c r="AK267" s="21">
        <f t="shared" si="181"/>
        <v>0</v>
      </c>
      <c r="AL267" s="21">
        <f t="shared" si="182"/>
        <v>0</v>
      </c>
      <c r="AN267" s="39">
        <v>21</v>
      </c>
      <c r="AO267" s="39">
        <f>G267*0</f>
        <v>0</v>
      </c>
      <c r="AP267" s="39">
        <f>G267*(1-0)</f>
        <v>0</v>
      </c>
      <c r="AQ267" s="34" t="s">
        <v>5</v>
      </c>
      <c r="AV267" s="39">
        <f t="shared" si="183"/>
        <v>0</v>
      </c>
      <c r="AW267" s="39">
        <f t="shared" si="184"/>
        <v>0</v>
      </c>
      <c r="AX267" s="39">
        <f t="shared" si="185"/>
        <v>0</v>
      </c>
      <c r="AY267" s="40" t="s">
        <v>1995</v>
      </c>
      <c r="AZ267" s="40" t="s">
        <v>2035</v>
      </c>
      <c r="BA267" s="30" t="s">
        <v>2045</v>
      </c>
      <c r="BC267" s="39">
        <f t="shared" si="186"/>
        <v>0</v>
      </c>
      <c r="BD267" s="39">
        <f t="shared" si="187"/>
        <v>0</v>
      </c>
      <c r="BE267" s="39">
        <v>0</v>
      </c>
      <c r="BF267" s="39">
        <f t="shared" si="188"/>
        <v>0</v>
      </c>
      <c r="BH267" s="21">
        <f t="shared" si="189"/>
        <v>0</v>
      </c>
      <c r="BI267" s="21">
        <f t="shared" si="190"/>
        <v>0</v>
      </c>
      <c r="BJ267" s="21">
        <f t="shared" si="191"/>
        <v>0</v>
      </c>
    </row>
    <row r="268" spans="1:62">
      <c r="A268" s="5" t="s">
        <v>188</v>
      </c>
      <c r="B268" s="5"/>
      <c r="C268" s="5" t="s">
        <v>791</v>
      </c>
      <c r="D268" s="5" t="s">
        <v>1456</v>
      </c>
      <c r="E268" s="5" t="s">
        <v>1941</v>
      </c>
      <c r="F268" s="21">
        <v>30.294</v>
      </c>
      <c r="G268" s="753">
        <v>0</v>
      </c>
      <c r="H268" s="21">
        <f t="shared" si="168"/>
        <v>0</v>
      </c>
      <c r="I268" s="21">
        <f t="shared" si="169"/>
        <v>0</v>
      </c>
      <c r="J268" s="21">
        <f t="shared" si="170"/>
        <v>0</v>
      </c>
      <c r="K268" s="21">
        <v>0.20702000000000001</v>
      </c>
      <c r="L268" s="21">
        <f t="shared" si="171"/>
        <v>6.2714638800000007</v>
      </c>
      <c r="M268" s="34" t="s">
        <v>1961</v>
      </c>
      <c r="Z268" s="39">
        <f t="shared" si="172"/>
        <v>0</v>
      </c>
      <c r="AB268" s="39">
        <f t="shared" si="173"/>
        <v>0</v>
      </c>
      <c r="AC268" s="39">
        <f t="shared" si="174"/>
        <v>0</v>
      </c>
      <c r="AD268" s="39">
        <f t="shared" si="175"/>
        <v>0</v>
      </c>
      <c r="AE268" s="39">
        <f t="shared" si="176"/>
        <v>0</v>
      </c>
      <c r="AF268" s="39">
        <f t="shared" si="177"/>
        <v>0</v>
      </c>
      <c r="AG268" s="39">
        <f t="shared" si="178"/>
        <v>0</v>
      </c>
      <c r="AH268" s="39">
        <f t="shared" si="179"/>
        <v>0</v>
      </c>
      <c r="AI268" s="30"/>
      <c r="AJ268" s="21">
        <f t="shared" si="180"/>
        <v>0</v>
      </c>
      <c r="AK268" s="21">
        <f t="shared" si="181"/>
        <v>0</v>
      </c>
      <c r="AL268" s="21">
        <f t="shared" si="182"/>
        <v>0</v>
      </c>
      <c r="AN268" s="39">
        <v>21</v>
      </c>
      <c r="AO268" s="39">
        <f>G268*0.56642085772084</f>
        <v>0</v>
      </c>
      <c r="AP268" s="39">
        <f>G268*(1-0.56642085772084)</f>
        <v>0</v>
      </c>
      <c r="AQ268" s="34" t="s">
        <v>5</v>
      </c>
      <c r="AV268" s="39">
        <f t="shared" si="183"/>
        <v>0</v>
      </c>
      <c r="AW268" s="39">
        <f t="shared" si="184"/>
        <v>0</v>
      </c>
      <c r="AX268" s="39">
        <f t="shared" si="185"/>
        <v>0</v>
      </c>
      <c r="AY268" s="40" t="s">
        <v>1995</v>
      </c>
      <c r="AZ268" s="40" t="s">
        <v>2035</v>
      </c>
      <c r="BA268" s="30" t="s">
        <v>2045</v>
      </c>
      <c r="BC268" s="39">
        <f t="shared" si="186"/>
        <v>0</v>
      </c>
      <c r="BD268" s="39">
        <f t="shared" si="187"/>
        <v>0</v>
      </c>
      <c r="BE268" s="39">
        <v>0</v>
      </c>
      <c r="BF268" s="39">
        <f t="shared" si="188"/>
        <v>6.2714638800000007</v>
      </c>
      <c r="BH268" s="21">
        <f t="shared" si="189"/>
        <v>0</v>
      </c>
      <c r="BI268" s="21">
        <f t="shared" si="190"/>
        <v>0</v>
      </c>
      <c r="BJ268" s="21">
        <f t="shared" si="191"/>
        <v>0</v>
      </c>
    </row>
    <row r="269" spans="1:62">
      <c r="A269" s="5" t="s">
        <v>189</v>
      </c>
      <c r="B269" s="5"/>
      <c r="C269" s="5" t="s">
        <v>792</v>
      </c>
      <c r="D269" s="5" t="s">
        <v>1457</v>
      </c>
      <c r="E269" s="5" t="s">
        <v>1940</v>
      </c>
      <c r="F269" s="21">
        <v>12.6945</v>
      </c>
      <c r="G269" s="753">
        <v>0</v>
      </c>
      <c r="H269" s="21">
        <f t="shared" si="168"/>
        <v>0</v>
      </c>
      <c r="I269" s="21">
        <f t="shared" si="169"/>
        <v>0</v>
      </c>
      <c r="J269" s="21">
        <f t="shared" si="170"/>
        <v>0</v>
      </c>
      <c r="K269" s="21">
        <v>1.41E-2</v>
      </c>
      <c r="L269" s="21">
        <f t="shared" si="171"/>
        <v>0.17899245</v>
      </c>
      <c r="M269" s="34" t="s">
        <v>1961</v>
      </c>
      <c r="Z269" s="39">
        <f t="shared" si="172"/>
        <v>0</v>
      </c>
      <c r="AB269" s="39">
        <f t="shared" si="173"/>
        <v>0</v>
      </c>
      <c r="AC269" s="39">
        <f t="shared" si="174"/>
        <v>0</v>
      </c>
      <c r="AD269" s="39">
        <f t="shared" si="175"/>
        <v>0</v>
      </c>
      <c r="AE269" s="39">
        <f t="shared" si="176"/>
        <v>0</v>
      </c>
      <c r="AF269" s="39">
        <f t="shared" si="177"/>
        <v>0</v>
      </c>
      <c r="AG269" s="39">
        <f t="shared" si="178"/>
        <v>0</v>
      </c>
      <c r="AH269" s="39">
        <f t="shared" si="179"/>
        <v>0</v>
      </c>
      <c r="AI269" s="30"/>
      <c r="AJ269" s="21">
        <f t="shared" si="180"/>
        <v>0</v>
      </c>
      <c r="AK269" s="21">
        <f t="shared" si="181"/>
        <v>0</v>
      </c>
      <c r="AL269" s="21">
        <f t="shared" si="182"/>
        <v>0</v>
      </c>
      <c r="AN269" s="39">
        <v>21</v>
      </c>
      <c r="AO269" s="39">
        <f>G269*0.417376340256065</f>
        <v>0</v>
      </c>
      <c r="AP269" s="39">
        <f>G269*(1-0.417376340256065)</f>
        <v>0</v>
      </c>
      <c r="AQ269" s="34" t="s">
        <v>5</v>
      </c>
      <c r="AV269" s="39">
        <f t="shared" si="183"/>
        <v>0</v>
      </c>
      <c r="AW269" s="39">
        <f t="shared" si="184"/>
        <v>0</v>
      </c>
      <c r="AX269" s="39">
        <f t="shared" si="185"/>
        <v>0</v>
      </c>
      <c r="AY269" s="40" t="s">
        <v>1995</v>
      </c>
      <c r="AZ269" s="40" t="s">
        <v>2035</v>
      </c>
      <c r="BA269" s="30" t="s">
        <v>2045</v>
      </c>
      <c r="BC269" s="39">
        <f t="shared" si="186"/>
        <v>0</v>
      </c>
      <c r="BD269" s="39">
        <f t="shared" si="187"/>
        <v>0</v>
      </c>
      <c r="BE269" s="39">
        <v>0</v>
      </c>
      <c r="BF269" s="39">
        <f t="shared" si="188"/>
        <v>0.17899245</v>
      </c>
      <c r="BH269" s="21">
        <f t="shared" si="189"/>
        <v>0</v>
      </c>
      <c r="BI269" s="21">
        <f t="shared" si="190"/>
        <v>0</v>
      </c>
      <c r="BJ269" s="21">
        <f t="shared" si="191"/>
        <v>0</v>
      </c>
    </row>
    <row r="270" spans="1:62">
      <c r="A270" s="5" t="s">
        <v>190</v>
      </c>
      <c r="B270" s="5"/>
      <c r="C270" s="5" t="s">
        <v>793</v>
      </c>
      <c r="D270" s="5" t="s">
        <v>1458</v>
      </c>
      <c r="E270" s="5" t="s">
        <v>1940</v>
      </c>
      <c r="F270" s="21">
        <v>12.6945</v>
      </c>
      <c r="G270" s="753">
        <v>0</v>
      </c>
      <c r="H270" s="21">
        <f t="shared" si="168"/>
        <v>0</v>
      </c>
      <c r="I270" s="21">
        <f t="shared" si="169"/>
        <v>0</v>
      </c>
      <c r="J270" s="21">
        <f t="shared" si="170"/>
        <v>0</v>
      </c>
      <c r="K270" s="21">
        <v>0</v>
      </c>
      <c r="L270" s="21">
        <f t="shared" si="171"/>
        <v>0</v>
      </c>
      <c r="M270" s="34" t="s">
        <v>1961</v>
      </c>
      <c r="Z270" s="39">
        <f t="shared" si="172"/>
        <v>0</v>
      </c>
      <c r="AB270" s="39">
        <f t="shared" si="173"/>
        <v>0</v>
      </c>
      <c r="AC270" s="39">
        <f t="shared" si="174"/>
        <v>0</v>
      </c>
      <c r="AD270" s="39">
        <f t="shared" si="175"/>
        <v>0</v>
      </c>
      <c r="AE270" s="39">
        <f t="shared" si="176"/>
        <v>0</v>
      </c>
      <c r="AF270" s="39">
        <f t="shared" si="177"/>
        <v>0</v>
      </c>
      <c r="AG270" s="39">
        <f t="shared" si="178"/>
        <v>0</v>
      </c>
      <c r="AH270" s="39">
        <f t="shared" si="179"/>
        <v>0</v>
      </c>
      <c r="AI270" s="30"/>
      <c r="AJ270" s="21">
        <f t="shared" si="180"/>
        <v>0</v>
      </c>
      <c r="AK270" s="21">
        <f t="shared" si="181"/>
        <v>0</v>
      </c>
      <c r="AL270" s="21">
        <f t="shared" si="182"/>
        <v>0</v>
      </c>
      <c r="AN270" s="39">
        <v>21</v>
      </c>
      <c r="AO270" s="39">
        <f>G270*0</f>
        <v>0</v>
      </c>
      <c r="AP270" s="39">
        <f>G270*(1-0)</f>
        <v>0</v>
      </c>
      <c r="AQ270" s="34" t="s">
        <v>5</v>
      </c>
      <c r="AV270" s="39">
        <f t="shared" si="183"/>
        <v>0</v>
      </c>
      <c r="AW270" s="39">
        <f t="shared" si="184"/>
        <v>0</v>
      </c>
      <c r="AX270" s="39">
        <f t="shared" si="185"/>
        <v>0</v>
      </c>
      <c r="AY270" s="40" t="s">
        <v>1995</v>
      </c>
      <c r="AZ270" s="40" t="s">
        <v>2035</v>
      </c>
      <c r="BA270" s="30" t="s">
        <v>2045</v>
      </c>
      <c r="BC270" s="39">
        <f t="shared" si="186"/>
        <v>0</v>
      </c>
      <c r="BD270" s="39">
        <f t="shared" si="187"/>
        <v>0</v>
      </c>
      <c r="BE270" s="39">
        <v>0</v>
      </c>
      <c r="BF270" s="39">
        <f t="shared" si="188"/>
        <v>0</v>
      </c>
      <c r="BH270" s="21">
        <f t="shared" si="189"/>
        <v>0</v>
      </c>
      <c r="BI270" s="21">
        <f t="shared" si="190"/>
        <v>0</v>
      </c>
      <c r="BJ270" s="21">
        <f t="shared" si="191"/>
        <v>0</v>
      </c>
    </row>
    <row r="271" spans="1:62">
      <c r="A271" s="5" t="s">
        <v>191</v>
      </c>
      <c r="B271" s="5"/>
      <c r="C271" s="5" t="s">
        <v>794</v>
      </c>
      <c r="D271" s="5" t="s">
        <v>1459</v>
      </c>
      <c r="E271" s="5" t="s">
        <v>1942</v>
      </c>
      <c r="F271" s="21">
        <v>18.258520000000001</v>
      </c>
      <c r="G271" s="753">
        <v>0</v>
      </c>
      <c r="H271" s="21">
        <f t="shared" si="168"/>
        <v>0</v>
      </c>
      <c r="I271" s="21">
        <f t="shared" si="169"/>
        <v>0</v>
      </c>
      <c r="J271" s="21">
        <f t="shared" si="170"/>
        <v>0</v>
      </c>
      <c r="K271" s="21">
        <v>1.0662499999999999</v>
      </c>
      <c r="L271" s="21">
        <f t="shared" si="171"/>
        <v>19.468146949999998</v>
      </c>
      <c r="M271" s="34" t="s">
        <v>1961</v>
      </c>
      <c r="Z271" s="39">
        <f t="shared" si="172"/>
        <v>0</v>
      </c>
      <c r="AB271" s="39">
        <f t="shared" si="173"/>
        <v>0</v>
      </c>
      <c r="AC271" s="39">
        <f t="shared" si="174"/>
        <v>0</v>
      </c>
      <c r="AD271" s="39">
        <f t="shared" si="175"/>
        <v>0</v>
      </c>
      <c r="AE271" s="39">
        <f t="shared" si="176"/>
        <v>0</v>
      </c>
      <c r="AF271" s="39">
        <f t="shared" si="177"/>
        <v>0</v>
      </c>
      <c r="AG271" s="39">
        <f t="shared" si="178"/>
        <v>0</v>
      </c>
      <c r="AH271" s="39">
        <f t="shared" si="179"/>
        <v>0</v>
      </c>
      <c r="AI271" s="30"/>
      <c r="AJ271" s="21">
        <f t="shared" si="180"/>
        <v>0</v>
      </c>
      <c r="AK271" s="21">
        <f t="shared" si="181"/>
        <v>0</v>
      </c>
      <c r="AL271" s="21">
        <f t="shared" si="182"/>
        <v>0</v>
      </c>
      <c r="AN271" s="39">
        <v>21</v>
      </c>
      <c r="AO271" s="39">
        <f>G271*0.800495695551477</f>
        <v>0</v>
      </c>
      <c r="AP271" s="39">
        <f>G271*(1-0.800495695551477)</f>
        <v>0</v>
      </c>
      <c r="AQ271" s="34" t="s">
        <v>5</v>
      </c>
      <c r="AV271" s="39">
        <f t="shared" si="183"/>
        <v>0</v>
      </c>
      <c r="AW271" s="39">
        <f t="shared" si="184"/>
        <v>0</v>
      </c>
      <c r="AX271" s="39">
        <f t="shared" si="185"/>
        <v>0</v>
      </c>
      <c r="AY271" s="40" t="s">
        <v>1995</v>
      </c>
      <c r="AZ271" s="40" t="s">
        <v>2035</v>
      </c>
      <c r="BA271" s="30" t="s">
        <v>2045</v>
      </c>
      <c r="BC271" s="39">
        <f t="shared" si="186"/>
        <v>0</v>
      </c>
      <c r="BD271" s="39">
        <f t="shared" si="187"/>
        <v>0</v>
      </c>
      <c r="BE271" s="39">
        <v>0</v>
      </c>
      <c r="BF271" s="39">
        <f t="shared" si="188"/>
        <v>19.468146949999998</v>
      </c>
      <c r="BH271" s="21">
        <f t="shared" si="189"/>
        <v>0</v>
      </c>
      <c r="BI271" s="21">
        <f t="shared" si="190"/>
        <v>0</v>
      </c>
      <c r="BJ271" s="21">
        <f t="shared" si="191"/>
        <v>0</v>
      </c>
    </row>
    <row r="272" spans="1:62">
      <c r="A272" s="5" t="s">
        <v>192</v>
      </c>
      <c r="B272" s="5"/>
      <c r="C272" s="5" t="s">
        <v>795</v>
      </c>
      <c r="D272" s="5" t="s">
        <v>1460</v>
      </c>
      <c r="E272" s="5" t="s">
        <v>1940</v>
      </c>
      <c r="F272" s="21">
        <v>29.67</v>
      </c>
      <c r="G272" s="753">
        <v>0</v>
      </c>
      <c r="H272" s="21">
        <f t="shared" si="168"/>
        <v>0</v>
      </c>
      <c r="I272" s="21">
        <f t="shared" si="169"/>
        <v>0</v>
      </c>
      <c r="J272" s="21">
        <f t="shared" si="170"/>
        <v>0</v>
      </c>
      <c r="K272" s="21">
        <v>4.9840000000000002E-2</v>
      </c>
      <c r="L272" s="21">
        <f t="shared" si="171"/>
        <v>1.4787528000000001</v>
      </c>
      <c r="M272" s="34" t="s">
        <v>1961</v>
      </c>
      <c r="Z272" s="39">
        <f t="shared" si="172"/>
        <v>0</v>
      </c>
      <c r="AB272" s="39">
        <f t="shared" si="173"/>
        <v>0</v>
      </c>
      <c r="AC272" s="39">
        <f t="shared" si="174"/>
        <v>0</v>
      </c>
      <c r="AD272" s="39">
        <f t="shared" si="175"/>
        <v>0</v>
      </c>
      <c r="AE272" s="39">
        <f t="shared" si="176"/>
        <v>0</v>
      </c>
      <c r="AF272" s="39">
        <f t="shared" si="177"/>
        <v>0</v>
      </c>
      <c r="AG272" s="39">
        <f t="shared" si="178"/>
        <v>0</v>
      </c>
      <c r="AH272" s="39">
        <f t="shared" si="179"/>
        <v>0</v>
      </c>
      <c r="AI272" s="30"/>
      <c r="AJ272" s="21">
        <f t="shared" si="180"/>
        <v>0</v>
      </c>
      <c r="AK272" s="21">
        <f t="shared" si="181"/>
        <v>0</v>
      </c>
      <c r="AL272" s="21">
        <f t="shared" si="182"/>
        <v>0</v>
      </c>
      <c r="AN272" s="39">
        <v>21</v>
      </c>
      <c r="AO272" s="39">
        <f>G272*0.270200242609129</f>
        <v>0</v>
      </c>
      <c r="AP272" s="39">
        <f>G272*(1-0.270200242609129)</f>
        <v>0</v>
      </c>
      <c r="AQ272" s="34" t="s">
        <v>5</v>
      </c>
      <c r="AV272" s="39">
        <f t="shared" si="183"/>
        <v>0</v>
      </c>
      <c r="AW272" s="39">
        <f t="shared" si="184"/>
        <v>0</v>
      </c>
      <c r="AX272" s="39">
        <f t="shared" si="185"/>
        <v>0</v>
      </c>
      <c r="AY272" s="40" t="s">
        <v>1995</v>
      </c>
      <c r="AZ272" s="40" t="s">
        <v>2035</v>
      </c>
      <c r="BA272" s="30" t="s">
        <v>2045</v>
      </c>
      <c r="BC272" s="39">
        <f t="shared" si="186"/>
        <v>0</v>
      </c>
      <c r="BD272" s="39">
        <f t="shared" si="187"/>
        <v>0</v>
      </c>
      <c r="BE272" s="39">
        <v>0</v>
      </c>
      <c r="BF272" s="39">
        <f t="shared" si="188"/>
        <v>1.4787528000000001</v>
      </c>
      <c r="BH272" s="21">
        <f t="shared" si="189"/>
        <v>0</v>
      </c>
      <c r="BI272" s="21">
        <f t="shared" si="190"/>
        <v>0</v>
      </c>
      <c r="BJ272" s="21">
        <f t="shared" si="191"/>
        <v>0</v>
      </c>
    </row>
    <row r="273" spans="1:62">
      <c r="A273" s="5" t="s">
        <v>193</v>
      </c>
      <c r="B273" s="5"/>
      <c r="C273" s="5" t="s">
        <v>796</v>
      </c>
      <c r="D273" s="5" t="s">
        <v>1461</v>
      </c>
      <c r="E273" s="5" t="s">
        <v>1941</v>
      </c>
      <c r="F273" s="21">
        <v>13.651</v>
      </c>
      <c r="G273" s="753">
        <v>0</v>
      </c>
      <c r="H273" s="21">
        <f t="shared" si="168"/>
        <v>0</v>
      </c>
      <c r="I273" s="21">
        <f t="shared" si="169"/>
        <v>0</v>
      </c>
      <c r="J273" s="21">
        <f t="shared" si="170"/>
        <v>0</v>
      </c>
      <c r="K273" s="21">
        <v>1.6</v>
      </c>
      <c r="L273" s="21">
        <f t="shared" si="171"/>
        <v>21.8416</v>
      </c>
      <c r="M273" s="34" t="s">
        <v>1961</v>
      </c>
      <c r="Z273" s="39">
        <f t="shared" si="172"/>
        <v>0</v>
      </c>
      <c r="AB273" s="39">
        <f t="shared" si="173"/>
        <v>0</v>
      </c>
      <c r="AC273" s="39">
        <f t="shared" si="174"/>
        <v>0</v>
      </c>
      <c r="AD273" s="39">
        <f t="shared" si="175"/>
        <v>0</v>
      </c>
      <c r="AE273" s="39">
        <f t="shared" si="176"/>
        <v>0</v>
      </c>
      <c r="AF273" s="39">
        <f t="shared" si="177"/>
        <v>0</v>
      </c>
      <c r="AG273" s="39">
        <f t="shared" si="178"/>
        <v>0</v>
      </c>
      <c r="AH273" s="39">
        <f t="shared" si="179"/>
        <v>0</v>
      </c>
      <c r="AI273" s="30"/>
      <c r="AJ273" s="21">
        <f t="shared" si="180"/>
        <v>0</v>
      </c>
      <c r="AK273" s="21">
        <f t="shared" si="181"/>
        <v>0</v>
      </c>
      <c r="AL273" s="21">
        <f t="shared" si="182"/>
        <v>0</v>
      </c>
      <c r="AN273" s="39">
        <v>21</v>
      </c>
      <c r="AO273" s="39">
        <f>G273*0.755992534631405</f>
        <v>0</v>
      </c>
      <c r="AP273" s="39">
        <f>G273*(1-0.755992534631405)</f>
        <v>0</v>
      </c>
      <c r="AQ273" s="34" t="s">
        <v>5</v>
      </c>
      <c r="AV273" s="39">
        <f t="shared" si="183"/>
        <v>0</v>
      </c>
      <c r="AW273" s="39">
        <f t="shared" si="184"/>
        <v>0</v>
      </c>
      <c r="AX273" s="39">
        <f t="shared" si="185"/>
        <v>0</v>
      </c>
      <c r="AY273" s="40" t="s">
        <v>1995</v>
      </c>
      <c r="AZ273" s="40" t="s">
        <v>2035</v>
      </c>
      <c r="BA273" s="30" t="s">
        <v>2045</v>
      </c>
      <c r="BC273" s="39">
        <f t="shared" si="186"/>
        <v>0</v>
      </c>
      <c r="BD273" s="39">
        <f t="shared" si="187"/>
        <v>0</v>
      </c>
      <c r="BE273" s="39">
        <v>0</v>
      </c>
      <c r="BF273" s="39">
        <f t="shared" si="188"/>
        <v>21.8416</v>
      </c>
      <c r="BH273" s="21">
        <f t="shared" si="189"/>
        <v>0</v>
      </c>
      <c r="BI273" s="21">
        <f t="shared" si="190"/>
        <v>0</v>
      </c>
      <c r="BJ273" s="21">
        <f t="shared" si="191"/>
        <v>0</v>
      </c>
    </row>
    <row r="274" spans="1:62">
      <c r="A274" s="5" t="s">
        <v>194</v>
      </c>
      <c r="B274" s="5"/>
      <c r="C274" s="5" t="s">
        <v>797</v>
      </c>
      <c r="D274" s="5" t="s">
        <v>1462</v>
      </c>
      <c r="E274" s="5" t="s">
        <v>1940</v>
      </c>
      <c r="F274" s="21">
        <v>27.341999999999999</v>
      </c>
      <c r="G274" s="753">
        <v>0</v>
      </c>
      <c r="H274" s="21">
        <f t="shared" si="168"/>
        <v>0</v>
      </c>
      <c r="I274" s="21">
        <f t="shared" si="169"/>
        <v>0</v>
      </c>
      <c r="J274" s="21">
        <f t="shared" si="170"/>
        <v>0</v>
      </c>
      <c r="K274" s="21">
        <v>0.3382</v>
      </c>
      <c r="L274" s="21">
        <f t="shared" si="171"/>
        <v>9.2470643999999993</v>
      </c>
      <c r="M274" s="34" t="s">
        <v>1961</v>
      </c>
      <c r="Z274" s="39">
        <f t="shared" si="172"/>
        <v>0</v>
      </c>
      <c r="AB274" s="39">
        <f t="shared" si="173"/>
        <v>0</v>
      </c>
      <c r="AC274" s="39">
        <f t="shared" si="174"/>
        <v>0</v>
      </c>
      <c r="AD274" s="39">
        <f t="shared" si="175"/>
        <v>0</v>
      </c>
      <c r="AE274" s="39">
        <f t="shared" si="176"/>
        <v>0</v>
      </c>
      <c r="AF274" s="39">
        <f t="shared" si="177"/>
        <v>0</v>
      </c>
      <c r="AG274" s="39">
        <f t="shared" si="178"/>
        <v>0</v>
      </c>
      <c r="AH274" s="39">
        <f t="shared" si="179"/>
        <v>0</v>
      </c>
      <c r="AI274" s="30"/>
      <c r="AJ274" s="21">
        <f t="shared" si="180"/>
        <v>0</v>
      </c>
      <c r="AK274" s="21">
        <f t="shared" si="181"/>
        <v>0</v>
      </c>
      <c r="AL274" s="21">
        <f t="shared" si="182"/>
        <v>0</v>
      </c>
      <c r="AN274" s="39">
        <v>21</v>
      </c>
      <c r="AO274" s="39">
        <f>G274*0.743267338082092</f>
        <v>0</v>
      </c>
      <c r="AP274" s="39">
        <f>G274*(1-0.743267338082092)</f>
        <v>0</v>
      </c>
      <c r="AQ274" s="34" t="s">
        <v>5</v>
      </c>
      <c r="AV274" s="39">
        <f t="shared" si="183"/>
        <v>0</v>
      </c>
      <c r="AW274" s="39">
        <f t="shared" si="184"/>
        <v>0</v>
      </c>
      <c r="AX274" s="39">
        <f t="shared" si="185"/>
        <v>0</v>
      </c>
      <c r="AY274" s="40" t="s">
        <v>1995</v>
      </c>
      <c r="AZ274" s="40" t="s">
        <v>2035</v>
      </c>
      <c r="BA274" s="30" t="s">
        <v>2045</v>
      </c>
      <c r="BC274" s="39">
        <f t="shared" si="186"/>
        <v>0</v>
      </c>
      <c r="BD274" s="39">
        <f t="shared" si="187"/>
        <v>0</v>
      </c>
      <c r="BE274" s="39">
        <v>0</v>
      </c>
      <c r="BF274" s="39">
        <f t="shared" si="188"/>
        <v>9.2470643999999993</v>
      </c>
      <c r="BH274" s="21">
        <f t="shared" si="189"/>
        <v>0</v>
      </c>
      <c r="BI274" s="21">
        <f t="shared" si="190"/>
        <v>0</v>
      </c>
      <c r="BJ274" s="21">
        <f t="shared" si="191"/>
        <v>0</v>
      </c>
    </row>
    <row r="275" spans="1:62">
      <c r="A275" s="5" t="s">
        <v>195</v>
      </c>
      <c r="B275" s="5"/>
      <c r="C275" s="5" t="s">
        <v>798</v>
      </c>
      <c r="D275" s="5" t="s">
        <v>1463</v>
      </c>
      <c r="E275" s="5" t="s">
        <v>1941</v>
      </c>
      <c r="F275" s="21">
        <v>0.52500000000000002</v>
      </c>
      <c r="G275" s="753">
        <v>0</v>
      </c>
      <c r="H275" s="21">
        <f t="shared" si="168"/>
        <v>0</v>
      </c>
      <c r="I275" s="21">
        <f t="shared" si="169"/>
        <v>0</v>
      </c>
      <c r="J275" s="21">
        <f t="shared" si="170"/>
        <v>0</v>
      </c>
      <c r="K275" s="21">
        <v>2.5249999999999999</v>
      </c>
      <c r="L275" s="21">
        <f t="shared" si="171"/>
        <v>1.3256250000000001</v>
      </c>
      <c r="M275" s="34" t="s">
        <v>1961</v>
      </c>
      <c r="Z275" s="39">
        <f t="shared" si="172"/>
        <v>0</v>
      </c>
      <c r="AB275" s="39">
        <f t="shared" si="173"/>
        <v>0</v>
      </c>
      <c r="AC275" s="39">
        <f t="shared" si="174"/>
        <v>0</v>
      </c>
      <c r="AD275" s="39">
        <f t="shared" si="175"/>
        <v>0</v>
      </c>
      <c r="AE275" s="39">
        <f t="shared" si="176"/>
        <v>0</v>
      </c>
      <c r="AF275" s="39">
        <f t="shared" si="177"/>
        <v>0</v>
      </c>
      <c r="AG275" s="39">
        <f t="shared" si="178"/>
        <v>0</v>
      </c>
      <c r="AH275" s="39">
        <f t="shared" si="179"/>
        <v>0</v>
      </c>
      <c r="AI275" s="30"/>
      <c r="AJ275" s="21">
        <f t="shared" si="180"/>
        <v>0</v>
      </c>
      <c r="AK275" s="21">
        <f t="shared" si="181"/>
        <v>0</v>
      </c>
      <c r="AL275" s="21">
        <f t="shared" si="182"/>
        <v>0</v>
      </c>
      <c r="AN275" s="39">
        <v>21</v>
      </c>
      <c r="AO275" s="39">
        <f>G275*0.646586486486486</f>
        <v>0</v>
      </c>
      <c r="AP275" s="39">
        <f>G275*(1-0.646586486486486)</f>
        <v>0</v>
      </c>
      <c r="AQ275" s="34" t="s">
        <v>5</v>
      </c>
      <c r="AV275" s="39">
        <f t="shared" si="183"/>
        <v>0</v>
      </c>
      <c r="AW275" s="39">
        <f t="shared" si="184"/>
        <v>0</v>
      </c>
      <c r="AX275" s="39">
        <f t="shared" si="185"/>
        <v>0</v>
      </c>
      <c r="AY275" s="40" t="s">
        <v>1995</v>
      </c>
      <c r="AZ275" s="40" t="s">
        <v>2035</v>
      </c>
      <c r="BA275" s="30" t="s">
        <v>2045</v>
      </c>
      <c r="BC275" s="39">
        <f t="shared" si="186"/>
        <v>0</v>
      </c>
      <c r="BD275" s="39">
        <f t="shared" si="187"/>
        <v>0</v>
      </c>
      <c r="BE275" s="39">
        <v>0</v>
      </c>
      <c r="BF275" s="39">
        <f t="shared" si="188"/>
        <v>1.3256250000000001</v>
      </c>
      <c r="BH275" s="21">
        <f t="shared" si="189"/>
        <v>0</v>
      </c>
      <c r="BI275" s="21">
        <f t="shared" si="190"/>
        <v>0</v>
      </c>
      <c r="BJ275" s="21">
        <f t="shared" si="191"/>
        <v>0</v>
      </c>
    </row>
    <row r="276" spans="1:62">
      <c r="C276" s="16" t="s">
        <v>609</v>
      </c>
      <c r="D276" s="919" t="s">
        <v>1464</v>
      </c>
      <c r="E276" s="920"/>
      <c r="F276" s="920"/>
      <c r="G276" s="920"/>
      <c r="H276" s="920"/>
      <c r="I276" s="920"/>
      <c r="J276" s="920"/>
      <c r="K276" s="920"/>
      <c r="L276" s="920"/>
      <c r="M276" s="920"/>
    </row>
    <row r="277" spans="1:62">
      <c r="A277" s="5" t="s">
        <v>196</v>
      </c>
      <c r="B277" s="5"/>
      <c r="C277" s="5" t="s">
        <v>799</v>
      </c>
      <c r="D277" s="5" t="s">
        <v>1465</v>
      </c>
      <c r="E277" s="5" t="s">
        <v>1941</v>
      </c>
      <c r="F277" s="21">
        <v>3.1</v>
      </c>
      <c r="G277" s="753">
        <v>0</v>
      </c>
      <c r="H277" s="21">
        <f>F277*AO277</f>
        <v>0</v>
      </c>
      <c r="I277" s="21">
        <f>F277*AP277</f>
        <v>0</v>
      </c>
      <c r="J277" s="21">
        <f>F277*G277</f>
        <v>0</v>
      </c>
      <c r="K277" s="21">
        <v>2.5249999999999999</v>
      </c>
      <c r="L277" s="21">
        <f>F277*K277</f>
        <v>7.8274999999999997</v>
      </c>
      <c r="M277" s="34" t="s">
        <v>1961</v>
      </c>
      <c r="Z277" s="39">
        <f>IF(AQ277="5",BJ277,0)</f>
        <v>0</v>
      </c>
      <c r="AB277" s="39">
        <f>IF(AQ277="1",BH277,0)</f>
        <v>0</v>
      </c>
      <c r="AC277" s="39">
        <f>IF(AQ277="1",BI277,0)</f>
        <v>0</v>
      </c>
      <c r="AD277" s="39">
        <f>IF(AQ277="7",BH277,0)</f>
        <v>0</v>
      </c>
      <c r="AE277" s="39">
        <f>IF(AQ277="7",BI277,0)</f>
        <v>0</v>
      </c>
      <c r="AF277" s="39">
        <f>IF(AQ277="2",BH277,0)</f>
        <v>0</v>
      </c>
      <c r="AG277" s="39">
        <f>IF(AQ277="2",BI277,0)</f>
        <v>0</v>
      </c>
      <c r="AH277" s="39">
        <f>IF(AQ277="0",BJ277,0)</f>
        <v>0</v>
      </c>
      <c r="AI277" s="30"/>
      <c r="AJ277" s="21">
        <f>IF(AN277=0,J277,0)</f>
        <v>0</v>
      </c>
      <c r="AK277" s="21">
        <f>IF(AN277=15,J277,0)</f>
        <v>0</v>
      </c>
      <c r="AL277" s="21">
        <f>IF(AN277=21,J277,0)</f>
        <v>0</v>
      </c>
      <c r="AN277" s="39">
        <v>21</v>
      </c>
      <c r="AO277" s="39">
        <f>G277*0.698712842712843</f>
        <v>0</v>
      </c>
      <c r="AP277" s="39">
        <f>G277*(1-0.698712842712843)</f>
        <v>0</v>
      </c>
      <c r="AQ277" s="34" t="s">
        <v>5</v>
      </c>
      <c r="AV277" s="39">
        <f>AW277+AX277</f>
        <v>0</v>
      </c>
      <c r="AW277" s="39">
        <f>F277*AO277</f>
        <v>0</v>
      </c>
      <c r="AX277" s="39">
        <f>F277*AP277</f>
        <v>0</v>
      </c>
      <c r="AY277" s="40" t="s">
        <v>1995</v>
      </c>
      <c r="AZ277" s="40" t="s">
        <v>2035</v>
      </c>
      <c r="BA277" s="30" t="s">
        <v>2045</v>
      </c>
      <c r="BC277" s="39">
        <f>AW277+AX277</f>
        <v>0</v>
      </c>
      <c r="BD277" s="39">
        <f>G277/(100-BE277)*100</f>
        <v>0</v>
      </c>
      <c r="BE277" s="39">
        <v>0</v>
      </c>
      <c r="BF277" s="39">
        <f>L277</f>
        <v>7.8274999999999997</v>
      </c>
      <c r="BH277" s="21">
        <f>F277*AO277</f>
        <v>0</v>
      </c>
      <c r="BI277" s="21">
        <f>F277*AP277</f>
        <v>0</v>
      </c>
      <c r="BJ277" s="21">
        <f>F277*G277</f>
        <v>0</v>
      </c>
    </row>
    <row r="278" spans="1:62">
      <c r="A278" s="5" t="s">
        <v>197</v>
      </c>
      <c r="B278" s="5"/>
      <c r="C278" s="5" t="s">
        <v>800</v>
      </c>
      <c r="D278" s="5" t="s">
        <v>1466</v>
      </c>
      <c r="E278" s="5" t="s">
        <v>1941</v>
      </c>
      <c r="F278" s="21">
        <v>1.575</v>
      </c>
      <c r="G278" s="753">
        <v>0</v>
      </c>
      <c r="H278" s="21">
        <f>F278*AO278</f>
        <v>0</v>
      </c>
      <c r="I278" s="21">
        <f>F278*AP278</f>
        <v>0</v>
      </c>
      <c r="J278" s="21">
        <f>F278*G278</f>
        <v>0</v>
      </c>
      <c r="K278" s="21">
        <v>2.5249999999999999</v>
      </c>
      <c r="L278" s="21">
        <f>F278*K278</f>
        <v>3.9768749999999997</v>
      </c>
      <c r="M278" s="34" t="s">
        <v>1961</v>
      </c>
      <c r="Z278" s="39">
        <f>IF(AQ278="5",BJ278,0)</f>
        <v>0</v>
      </c>
      <c r="AB278" s="39">
        <f>IF(AQ278="1",BH278,0)</f>
        <v>0</v>
      </c>
      <c r="AC278" s="39">
        <f>IF(AQ278="1",BI278,0)</f>
        <v>0</v>
      </c>
      <c r="AD278" s="39">
        <f>IF(AQ278="7",BH278,0)</f>
        <v>0</v>
      </c>
      <c r="AE278" s="39">
        <f>IF(AQ278="7",BI278,0)</f>
        <v>0</v>
      </c>
      <c r="AF278" s="39">
        <f>IF(AQ278="2",BH278,0)</f>
        <v>0</v>
      </c>
      <c r="AG278" s="39">
        <f>IF(AQ278="2",BI278,0)</f>
        <v>0</v>
      </c>
      <c r="AH278" s="39">
        <f>IF(AQ278="0",BJ278,0)</f>
        <v>0</v>
      </c>
      <c r="AI278" s="30"/>
      <c r="AJ278" s="21">
        <f>IF(AN278=0,J278,0)</f>
        <v>0</v>
      </c>
      <c r="AK278" s="21">
        <f>IF(AN278=15,J278,0)</f>
        <v>0</v>
      </c>
      <c r="AL278" s="21">
        <f>IF(AN278=21,J278,0)</f>
        <v>0</v>
      </c>
      <c r="AN278" s="39">
        <v>21</v>
      </c>
      <c r="AO278" s="39">
        <f>G278*0.721692063564157</f>
        <v>0</v>
      </c>
      <c r="AP278" s="39">
        <f>G278*(1-0.721692063564157)</f>
        <v>0</v>
      </c>
      <c r="AQ278" s="34" t="s">
        <v>5</v>
      </c>
      <c r="AV278" s="39">
        <f>AW278+AX278</f>
        <v>0</v>
      </c>
      <c r="AW278" s="39">
        <f>F278*AO278</f>
        <v>0</v>
      </c>
      <c r="AX278" s="39">
        <f>F278*AP278</f>
        <v>0</v>
      </c>
      <c r="AY278" s="40" t="s">
        <v>1995</v>
      </c>
      <c r="AZ278" s="40" t="s">
        <v>2035</v>
      </c>
      <c r="BA278" s="30" t="s">
        <v>2045</v>
      </c>
      <c r="BC278" s="39">
        <f>AW278+AX278</f>
        <v>0</v>
      </c>
      <c r="BD278" s="39">
        <f>G278/(100-BE278)*100</f>
        <v>0</v>
      </c>
      <c r="BE278" s="39">
        <v>0</v>
      </c>
      <c r="BF278" s="39">
        <f>L278</f>
        <v>3.9768749999999997</v>
      </c>
      <c r="BH278" s="21">
        <f>F278*AO278</f>
        <v>0</v>
      </c>
      <c r="BI278" s="21">
        <f>F278*AP278</f>
        <v>0</v>
      </c>
      <c r="BJ278" s="21">
        <f>F278*G278</f>
        <v>0</v>
      </c>
    </row>
    <row r="279" spans="1:62">
      <c r="A279" s="5" t="s">
        <v>198</v>
      </c>
      <c r="B279" s="5"/>
      <c r="C279" s="5" t="s">
        <v>801</v>
      </c>
      <c r="D279" s="5" t="s">
        <v>1467</v>
      </c>
      <c r="E279" s="5" t="s">
        <v>1941</v>
      </c>
      <c r="F279" s="21">
        <v>8.36</v>
      </c>
      <c r="G279" s="753">
        <v>0</v>
      </c>
      <c r="H279" s="21">
        <f>F279*AO279</f>
        <v>0</v>
      </c>
      <c r="I279" s="21">
        <f>F279*AP279</f>
        <v>0</v>
      </c>
      <c r="J279" s="21">
        <f>F279*G279</f>
        <v>0</v>
      </c>
      <c r="K279" s="21">
        <v>2.5249999999999999</v>
      </c>
      <c r="L279" s="21">
        <f>F279*K279</f>
        <v>21.108999999999998</v>
      </c>
      <c r="M279" s="34" t="s">
        <v>1961</v>
      </c>
      <c r="Z279" s="39">
        <f>IF(AQ279="5",BJ279,0)</f>
        <v>0</v>
      </c>
      <c r="AB279" s="39">
        <f>IF(AQ279="1",BH279,0)</f>
        <v>0</v>
      </c>
      <c r="AC279" s="39">
        <f>IF(AQ279="1",BI279,0)</f>
        <v>0</v>
      </c>
      <c r="AD279" s="39">
        <f>IF(AQ279="7",BH279,0)</f>
        <v>0</v>
      </c>
      <c r="AE279" s="39">
        <f>IF(AQ279="7",BI279,0)</f>
        <v>0</v>
      </c>
      <c r="AF279" s="39">
        <f>IF(AQ279="2",BH279,0)</f>
        <v>0</v>
      </c>
      <c r="AG279" s="39">
        <f>IF(AQ279="2",BI279,0)</f>
        <v>0</v>
      </c>
      <c r="AH279" s="39">
        <f>IF(AQ279="0",BJ279,0)</f>
        <v>0</v>
      </c>
      <c r="AI279" s="30"/>
      <c r="AJ279" s="21">
        <f>IF(AN279=0,J279,0)</f>
        <v>0</v>
      </c>
      <c r="AK279" s="21">
        <f>IF(AN279=15,J279,0)</f>
        <v>0</v>
      </c>
      <c r="AL279" s="21">
        <f>IF(AN279=21,J279,0)</f>
        <v>0</v>
      </c>
      <c r="AN279" s="39">
        <v>21</v>
      </c>
      <c r="AO279" s="39">
        <f>G279*0.660355844155844</f>
        <v>0</v>
      </c>
      <c r="AP279" s="39">
        <f>G279*(1-0.660355844155844)</f>
        <v>0</v>
      </c>
      <c r="AQ279" s="34" t="s">
        <v>5</v>
      </c>
      <c r="AV279" s="39">
        <f>AW279+AX279</f>
        <v>0</v>
      </c>
      <c r="AW279" s="39">
        <f>F279*AO279</f>
        <v>0</v>
      </c>
      <c r="AX279" s="39">
        <f>F279*AP279</f>
        <v>0</v>
      </c>
      <c r="AY279" s="40" t="s">
        <v>1995</v>
      </c>
      <c r="AZ279" s="40" t="s">
        <v>2035</v>
      </c>
      <c r="BA279" s="30" t="s">
        <v>2045</v>
      </c>
      <c r="BC279" s="39">
        <f>AW279+AX279</f>
        <v>0</v>
      </c>
      <c r="BD279" s="39">
        <f>G279/(100-BE279)*100</f>
        <v>0</v>
      </c>
      <c r="BE279" s="39">
        <v>0</v>
      </c>
      <c r="BF279" s="39">
        <f>L279</f>
        <v>21.108999999999998</v>
      </c>
      <c r="BH279" s="21">
        <f>F279*AO279</f>
        <v>0</v>
      </c>
      <c r="BI279" s="21">
        <f>F279*AP279</f>
        <v>0</v>
      </c>
      <c r="BJ279" s="21">
        <f>F279*G279</f>
        <v>0</v>
      </c>
    </row>
    <row r="280" spans="1:62">
      <c r="C280" s="16" t="s">
        <v>609</v>
      </c>
      <c r="D280" s="919" t="s">
        <v>1464</v>
      </c>
      <c r="E280" s="920"/>
      <c r="F280" s="920"/>
      <c r="G280" s="920"/>
      <c r="H280" s="920"/>
      <c r="I280" s="920"/>
      <c r="J280" s="920"/>
      <c r="K280" s="920"/>
      <c r="L280" s="920"/>
      <c r="M280" s="920"/>
    </row>
    <row r="281" spans="1:62">
      <c r="A281" s="5" t="s">
        <v>199</v>
      </c>
      <c r="B281" s="5"/>
      <c r="C281" s="5" t="s">
        <v>802</v>
      </c>
      <c r="D281" s="5" t="s">
        <v>1468</v>
      </c>
      <c r="E281" s="5" t="s">
        <v>1941</v>
      </c>
      <c r="F281" s="21">
        <v>72.864999999999995</v>
      </c>
      <c r="G281" s="753">
        <v>0</v>
      </c>
      <c r="H281" s="21">
        <f>F281*AO281</f>
        <v>0</v>
      </c>
      <c r="I281" s="21">
        <f>F281*AP281</f>
        <v>0</v>
      </c>
      <c r="J281" s="21">
        <f>F281*G281</f>
        <v>0</v>
      </c>
      <c r="K281" s="21">
        <v>2.5249999999999999</v>
      </c>
      <c r="L281" s="21">
        <f>F281*K281</f>
        <v>183.98412499999998</v>
      </c>
      <c r="M281" s="34" t="s">
        <v>1961</v>
      </c>
      <c r="Z281" s="39">
        <f>IF(AQ281="5",BJ281,0)</f>
        <v>0</v>
      </c>
      <c r="AB281" s="39">
        <f>IF(AQ281="1",BH281,0)</f>
        <v>0</v>
      </c>
      <c r="AC281" s="39">
        <f>IF(AQ281="1",BI281,0)</f>
        <v>0</v>
      </c>
      <c r="AD281" s="39">
        <f>IF(AQ281="7",BH281,0)</f>
        <v>0</v>
      </c>
      <c r="AE281" s="39">
        <f>IF(AQ281="7",BI281,0)</f>
        <v>0</v>
      </c>
      <c r="AF281" s="39">
        <f>IF(AQ281="2",BH281,0)</f>
        <v>0</v>
      </c>
      <c r="AG281" s="39">
        <f>IF(AQ281="2",BI281,0)</f>
        <v>0</v>
      </c>
      <c r="AH281" s="39">
        <f>IF(AQ281="0",BJ281,0)</f>
        <v>0</v>
      </c>
      <c r="AI281" s="30"/>
      <c r="AJ281" s="21">
        <f>IF(AN281=0,J281,0)</f>
        <v>0</v>
      </c>
      <c r="AK281" s="21">
        <f>IF(AN281=15,J281,0)</f>
        <v>0</v>
      </c>
      <c r="AL281" s="21">
        <f>IF(AN281=21,J281,0)</f>
        <v>0</v>
      </c>
      <c r="AN281" s="39">
        <v>21</v>
      </c>
      <c r="AO281" s="39">
        <f>G281*0.708797754912765</f>
        <v>0</v>
      </c>
      <c r="AP281" s="39">
        <f>G281*(1-0.708797754912765)</f>
        <v>0</v>
      </c>
      <c r="AQ281" s="34" t="s">
        <v>5</v>
      </c>
      <c r="AV281" s="39">
        <f>AW281+AX281</f>
        <v>0</v>
      </c>
      <c r="AW281" s="39">
        <f>F281*AO281</f>
        <v>0</v>
      </c>
      <c r="AX281" s="39">
        <f>F281*AP281</f>
        <v>0</v>
      </c>
      <c r="AY281" s="40" t="s">
        <v>1995</v>
      </c>
      <c r="AZ281" s="40" t="s">
        <v>2035</v>
      </c>
      <c r="BA281" s="30" t="s">
        <v>2045</v>
      </c>
      <c r="BC281" s="39">
        <f>AW281+AX281</f>
        <v>0</v>
      </c>
      <c r="BD281" s="39">
        <f>G281/(100-BE281)*100</f>
        <v>0</v>
      </c>
      <c r="BE281" s="39">
        <v>0</v>
      </c>
      <c r="BF281" s="39">
        <f>L281</f>
        <v>183.98412499999998</v>
      </c>
      <c r="BH281" s="21">
        <f>F281*AO281</f>
        <v>0</v>
      </c>
      <c r="BI281" s="21">
        <f>F281*AP281</f>
        <v>0</v>
      </c>
      <c r="BJ281" s="21">
        <f>F281*G281</f>
        <v>0</v>
      </c>
    </row>
    <row r="282" spans="1:62">
      <c r="A282" s="5" t="s">
        <v>200</v>
      </c>
      <c r="B282" s="5"/>
      <c r="C282" s="5" t="s">
        <v>803</v>
      </c>
      <c r="D282" s="5" t="s">
        <v>1469</v>
      </c>
      <c r="E282" s="5" t="s">
        <v>1941</v>
      </c>
      <c r="F282" s="21">
        <v>57.080919999999999</v>
      </c>
      <c r="G282" s="753">
        <v>0</v>
      </c>
      <c r="H282" s="21">
        <f>F282*AO282</f>
        <v>0</v>
      </c>
      <c r="I282" s="21">
        <f>F282*AP282</f>
        <v>0</v>
      </c>
      <c r="J282" s="21">
        <f>F282*G282</f>
        <v>0</v>
      </c>
      <c r="K282" s="21">
        <v>0</v>
      </c>
      <c r="L282" s="21">
        <f>F282*K282</f>
        <v>0</v>
      </c>
      <c r="M282" s="34" t="s">
        <v>1961</v>
      </c>
      <c r="Z282" s="39">
        <f>IF(AQ282="5",BJ282,0)</f>
        <v>0</v>
      </c>
      <c r="AB282" s="39">
        <f>IF(AQ282="1",BH282,0)</f>
        <v>0</v>
      </c>
      <c r="AC282" s="39">
        <f>IF(AQ282="1",BI282,0)</f>
        <v>0</v>
      </c>
      <c r="AD282" s="39">
        <f>IF(AQ282="7",BH282,0)</f>
        <v>0</v>
      </c>
      <c r="AE282" s="39">
        <f>IF(AQ282="7",BI282,0)</f>
        <v>0</v>
      </c>
      <c r="AF282" s="39">
        <f>IF(AQ282="2",BH282,0)</f>
        <v>0</v>
      </c>
      <c r="AG282" s="39">
        <f>IF(AQ282="2",BI282,0)</f>
        <v>0</v>
      </c>
      <c r="AH282" s="39">
        <f>IF(AQ282="0",BJ282,0)</f>
        <v>0</v>
      </c>
      <c r="AI282" s="30"/>
      <c r="AJ282" s="21">
        <f>IF(AN282=0,J282,0)</f>
        <v>0</v>
      </c>
      <c r="AK282" s="21">
        <f>IF(AN282=15,J282,0)</f>
        <v>0</v>
      </c>
      <c r="AL282" s="21">
        <f>IF(AN282=21,J282,0)</f>
        <v>0</v>
      </c>
      <c r="AN282" s="39">
        <v>21</v>
      </c>
      <c r="AO282" s="39">
        <f>G282*0</f>
        <v>0</v>
      </c>
      <c r="AP282" s="39">
        <f>G282*(1-0)</f>
        <v>0</v>
      </c>
      <c r="AQ282" s="34" t="s">
        <v>5</v>
      </c>
      <c r="AV282" s="39">
        <f>AW282+AX282</f>
        <v>0</v>
      </c>
      <c r="AW282" s="39">
        <f>F282*AO282</f>
        <v>0</v>
      </c>
      <c r="AX282" s="39">
        <f>F282*AP282</f>
        <v>0</v>
      </c>
      <c r="AY282" s="40" t="s">
        <v>1995</v>
      </c>
      <c r="AZ282" s="40" t="s">
        <v>2035</v>
      </c>
      <c r="BA282" s="30" t="s">
        <v>2045</v>
      </c>
      <c r="BC282" s="39">
        <f>AW282+AX282</f>
        <v>0</v>
      </c>
      <c r="BD282" s="39">
        <f>G282/(100-BE282)*100</f>
        <v>0</v>
      </c>
      <c r="BE282" s="39">
        <v>0</v>
      </c>
      <c r="BF282" s="39">
        <f>L282</f>
        <v>0</v>
      </c>
      <c r="BH282" s="21">
        <f>F282*AO282</f>
        <v>0</v>
      </c>
      <c r="BI282" s="21">
        <f>F282*AP282</f>
        <v>0</v>
      </c>
      <c r="BJ282" s="21">
        <f>F282*G282</f>
        <v>0</v>
      </c>
    </row>
    <row r="283" spans="1:62">
      <c r="A283" s="5" t="s">
        <v>201</v>
      </c>
      <c r="B283" s="5"/>
      <c r="C283" s="5" t="s">
        <v>804</v>
      </c>
      <c r="D283" s="5" t="s">
        <v>1470</v>
      </c>
      <c r="E283" s="5" t="s">
        <v>1941</v>
      </c>
      <c r="F283" s="21">
        <v>117.19766</v>
      </c>
      <c r="G283" s="753">
        <v>0</v>
      </c>
      <c r="H283" s="21">
        <f>F283*AO283</f>
        <v>0</v>
      </c>
      <c r="I283" s="21">
        <f>F283*AP283</f>
        <v>0</v>
      </c>
      <c r="J283" s="21">
        <f>F283*G283</f>
        <v>0</v>
      </c>
      <c r="K283" s="21">
        <v>0</v>
      </c>
      <c r="L283" s="21">
        <f>F283*K283</f>
        <v>0</v>
      </c>
      <c r="M283" s="34" t="s">
        <v>1961</v>
      </c>
      <c r="Z283" s="39">
        <f>IF(AQ283="5",BJ283,0)</f>
        <v>0</v>
      </c>
      <c r="AB283" s="39">
        <f>IF(AQ283="1",BH283,0)</f>
        <v>0</v>
      </c>
      <c r="AC283" s="39">
        <f>IF(AQ283="1",BI283,0)</f>
        <v>0</v>
      </c>
      <c r="AD283" s="39">
        <f>IF(AQ283="7",BH283,0)</f>
        <v>0</v>
      </c>
      <c r="AE283" s="39">
        <f>IF(AQ283="7",BI283,0)</f>
        <v>0</v>
      </c>
      <c r="AF283" s="39">
        <f>IF(AQ283="2",BH283,0)</f>
        <v>0</v>
      </c>
      <c r="AG283" s="39">
        <f>IF(AQ283="2",BI283,0)</f>
        <v>0</v>
      </c>
      <c r="AH283" s="39">
        <f>IF(AQ283="0",BJ283,0)</f>
        <v>0</v>
      </c>
      <c r="AI283" s="30"/>
      <c r="AJ283" s="21">
        <f>IF(AN283=0,J283,0)</f>
        <v>0</v>
      </c>
      <c r="AK283" s="21">
        <f>IF(AN283=15,J283,0)</f>
        <v>0</v>
      </c>
      <c r="AL283" s="21">
        <f>IF(AN283=21,J283,0)</f>
        <v>0</v>
      </c>
      <c r="AN283" s="39">
        <v>21</v>
      </c>
      <c r="AO283" s="39">
        <f>G283*0</f>
        <v>0</v>
      </c>
      <c r="AP283" s="39">
        <f>G283*(1-0)</f>
        <v>0</v>
      </c>
      <c r="AQ283" s="34" t="s">
        <v>5</v>
      </c>
      <c r="AV283" s="39">
        <f>AW283+AX283</f>
        <v>0</v>
      </c>
      <c r="AW283" s="39">
        <f>F283*AO283</f>
        <v>0</v>
      </c>
      <c r="AX283" s="39">
        <f>F283*AP283</f>
        <v>0</v>
      </c>
      <c r="AY283" s="40" t="s">
        <v>1995</v>
      </c>
      <c r="AZ283" s="40" t="s">
        <v>2035</v>
      </c>
      <c r="BA283" s="30" t="s">
        <v>2045</v>
      </c>
      <c r="BC283" s="39">
        <f>AW283+AX283</f>
        <v>0</v>
      </c>
      <c r="BD283" s="39">
        <f>G283/(100-BE283)*100</f>
        <v>0</v>
      </c>
      <c r="BE283" s="39">
        <v>0</v>
      </c>
      <c r="BF283" s="39">
        <f>L283</f>
        <v>0</v>
      </c>
      <c r="BH283" s="21">
        <f>F283*AO283</f>
        <v>0</v>
      </c>
      <c r="BI283" s="21">
        <f>F283*AP283</f>
        <v>0</v>
      </c>
      <c r="BJ283" s="21">
        <f>F283*G283</f>
        <v>0</v>
      </c>
    </row>
    <row r="284" spans="1:62">
      <c r="A284" s="5" t="s">
        <v>202</v>
      </c>
      <c r="B284" s="5"/>
      <c r="C284" s="5" t="s">
        <v>805</v>
      </c>
      <c r="D284" s="5" t="s">
        <v>1471</v>
      </c>
      <c r="E284" s="5" t="s">
        <v>1941</v>
      </c>
      <c r="F284" s="21">
        <v>56.564999999999998</v>
      </c>
      <c r="G284" s="753">
        <v>0</v>
      </c>
      <c r="H284" s="21">
        <f>F284*AO284</f>
        <v>0</v>
      </c>
      <c r="I284" s="21">
        <f>F284*AP284</f>
        <v>0</v>
      </c>
      <c r="J284" s="21">
        <f>F284*G284</f>
        <v>0</v>
      </c>
      <c r="K284" s="21">
        <v>0</v>
      </c>
      <c r="L284" s="21">
        <f>F284*K284</f>
        <v>0</v>
      </c>
      <c r="M284" s="34" t="s">
        <v>1961</v>
      </c>
      <c r="Z284" s="39">
        <f>IF(AQ284="5",BJ284,0)</f>
        <v>0</v>
      </c>
      <c r="AB284" s="39">
        <f>IF(AQ284="1",BH284,0)</f>
        <v>0</v>
      </c>
      <c r="AC284" s="39">
        <f>IF(AQ284="1",BI284,0)</f>
        <v>0</v>
      </c>
      <c r="AD284" s="39">
        <f>IF(AQ284="7",BH284,0)</f>
        <v>0</v>
      </c>
      <c r="AE284" s="39">
        <f>IF(AQ284="7",BI284,0)</f>
        <v>0</v>
      </c>
      <c r="AF284" s="39">
        <f>IF(AQ284="2",BH284,0)</f>
        <v>0</v>
      </c>
      <c r="AG284" s="39">
        <f>IF(AQ284="2",BI284,0)</f>
        <v>0</v>
      </c>
      <c r="AH284" s="39">
        <f>IF(AQ284="0",BJ284,0)</f>
        <v>0</v>
      </c>
      <c r="AI284" s="30"/>
      <c r="AJ284" s="21">
        <f>IF(AN284=0,J284,0)</f>
        <v>0</v>
      </c>
      <c r="AK284" s="21">
        <f>IF(AN284=15,J284,0)</f>
        <v>0</v>
      </c>
      <c r="AL284" s="21">
        <f>IF(AN284=21,J284,0)</f>
        <v>0</v>
      </c>
      <c r="AN284" s="39">
        <v>21</v>
      </c>
      <c r="AO284" s="39">
        <f>G284*0</f>
        <v>0</v>
      </c>
      <c r="AP284" s="39">
        <f>G284*(1-0)</f>
        <v>0</v>
      </c>
      <c r="AQ284" s="34" t="s">
        <v>5</v>
      </c>
      <c r="AV284" s="39">
        <f>AW284+AX284</f>
        <v>0</v>
      </c>
      <c r="AW284" s="39">
        <f>F284*AO284</f>
        <v>0</v>
      </c>
      <c r="AX284" s="39">
        <f>F284*AP284</f>
        <v>0</v>
      </c>
      <c r="AY284" s="40" t="s">
        <v>1995</v>
      </c>
      <c r="AZ284" s="40" t="s">
        <v>2035</v>
      </c>
      <c r="BA284" s="30" t="s">
        <v>2045</v>
      </c>
      <c r="BC284" s="39">
        <f>AW284+AX284</f>
        <v>0</v>
      </c>
      <c r="BD284" s="39">
        <f>G284/(100-BE284)*100</f>
        <v>0</v>
      </c>
      <c r="BE284" s="39">
        <v>0</v>
      </c>
      <c r="BF284" s="39">
        <f>L284</f>
        <v>0</v>
      </c>
      <c r="BH284" s="21">
        <f>F284*AO284</f>
        <v>0</v>
      </c>
      <c r="BI284" s="21">
        <f>F284*AP284</f>
        <v>0</v>
      </c>
      <c r="BJ284" s="21">
        <f>F284*G284</f>
        <v>0</v>
      </c>
    </row>
    <row r="285" spans="1:62">
      <c r="A285" s="5" t="s">
        <v>203</v>
      </c>
      <c r="B285" s="5"/>
      <c r="C285" s="5" t="s">
        <v>806</v>
      </c>
      <c r="D285" s="5" t="s">
        <v>1472</v>
      </c>
      <c r="E285" s="5" t="s">
        <v>1939</v>
      </c>
      <c r="F285" s="21">
        <v>83</v>
      </c>
      <c r="G285" s="753">
        <v>0</v>
      </c>
      <c r="H285" s="21">
        <f>F285*AO285</f>
        <v>0</v>
      </c>
      <c r="I285" s="21">
        <f>F285*AP285</f>
        <v>0</v>
      </c>
      <c r="J285" s="21">
        <f>F285*G285</f>
        <v>0</v>
      </c>
      <c r="K285" s="21">
        <v>0.34977000000000003</v>
      </c>
      <c r="L285" s="21">
        <f>F285*K285</f>
        <v>29.030910000000002</v>
      </c>
      <c r="M285" s="34" t="s">
        <v>1961</v>
      </c>
      <c r="Z285" s="39">
        <f>IF(AQ285="5",BJ285,0)</f>
        <v>0</v>
      </c>
      <c r="AB285" s="39">
        <f>IF(AQ285="1",BH285,0)</f>
        <v>0</v>
      </c>
      <c r="AC285" s="39">
        <f>IF(AQ285="1",BI285,0)</f>
        <v>0</v>
      </c>
      <c r="AD285" s="39">
        <f>IF(AQ285="7",BH285,0)</f>
        <v>0</v>
      </c>
      <c r="AE285" s="39">
        <f>IF(AQ285="7",BI285,0)</f>
        <v>0</v>
      </c>
      <c r="AF285" s="39">
        <f>IF(AQ285="2",BH285,0)</f>
        <v>0</v>
      </c>
      <c r="AG285" s="39">
        <f>IF(AQ285="2",BI285,0)</f>
        <v>0</v>
      </c>
      <c r="AH285" s="39">
        <f>IF(AQ285="0",BJ285,0)</f>
        <v>0</v>
      </c>
      <c r="AI285" s="30"/>
      <c r="AJ285" s="21">
        <f>IF(AN285=0,J285,0)</f>
        <v>0</v>
      </c>
      <c r="AK285" s="21">
        <f>IF(AN285=15,J285,0)</f>
        <v>0</v>
      </c>
      <c r="AL285" s="21">
        <f>IF(AN285=21,J285,0)</f>
        <v>0</v>
      </c>
      <c r="AN285" s="39">
        <v>21</v>
      </c>
      <c r="AO285" s="39">
        <f>G285*0.543664344230916</f>
        <v>0</v>
      </c>
      <c r="AP285" s="39">
        <f>G285*(1-0.543664344230916)</f>
        <v>0</v>
      </c>
      <c r="AQ285" s="34" t="s">
        <v>5</v>
      </c>
      <c r="AV285" s="39">
        <f>AW285+AX285</f>
        <v>0</v>
      </c>
      <c r="AW285" s="39">
        <f>F285*AO285</f>
        <v>0</v>
      </c>
      <c r="AX285" s="39">
        <f>F285*AP285</f>
        <v>0</v>
      </c>
      <c r="AY285" s="40" t="s">
        <v>1995</v>
      </c>
      <c r="AZ285" s="40" t="s">
        <v>2035</v>
      </c>
      <c r="BA285" s="30" t="s">
        <v>2045</v>
      </c>
      <c r="BC285" s="39">
        <f>AW285+AX285</f>
        <v>0</v>
      </c>
      <c r="BD285" s="39">
        <f>G285/(100-BE285)*100</f>
        <v>0</v>
      </c>
      <c r="BE285" s="39">
        <v>0</v>
      </c>
      <c r="BF285" s="39">
        <f>L285</f>
        <v>29.030910000000002</v>
      </c>
      <c r="BH285" s="21">
        <f>F285*AO285</f>
        <v>0</v>
      </c>
      <c r="BI285" s="21">
        <f>F285*AP285</f>
        <v>0</v>
      </c>
      <c r="BJ285" s="21">
        <f>F285*G285</f>
        <v>0</v>
      </c>
    </row>
    <row r="286" spans="1:62">
      <c r="C286" s="16" t="s">
        <v>609</v>
      </c>
      <c r="D286" s="919" t="s">
        <v>1473</v>
      </c>
      <c r="E286" s="920"/>
      <c r="F286" s="920"/>
      <c r="G286" s="920"/>
      <c r="H286" s="920"/>
      <c r="I286" s="920"/>
      <c r="J286" s="920"/>
      <c r="K286" s="920"/>
      <c r="L286" s="920"/>
      <c r="M286" s="920"/>
    </row>
    <row r="287" spans="1:62" ht="51.45" customHeight="1">
      <c r="C287" s="17" t="s">
        <v>605</v>
      </c>
      <c r="D287" s="917" t="s">
        <v>1474</v>
      </c>
      <c r="E287" s="918"/>
      <c r="F287" s="918"/>
      <c r="G287" s="918"/>
      <c r="H287" s="918"/>
      <c r="I287" s="918"/>
      <c r="J287" s="918"/>
      <c r="K287" s="918"/>
      <c r="L287" s="918"/>
      <c r="M287" s="918"/>
    </row>
    <row r="288" spans="1:62">
      <c r="A288" s="4"/>
      <c r="B288" s="14"/>
      <c r="C288" s="14" t="s">
        <v>91</v>
      </c>
      <c r="D288" s="14" t="s">
        <v>1475</v>
      </c>
      <c r="E288" s="4" t="s">
        <v>4</v>
      </c>
      <c r="F288" s="4" t="s">
        <v>4</v>
      </c>
      <c r="G288" s="4" t="s">
        <v>4</v>
      </c>
      <c r="H288" s="42">
        <f>SUM(H289:H297)</f>
        <v>0</v>
      </c>
      <c r="I288" s="42">
        <f>SUM(I289:I297)</f>
        <v>0</v>
      </c>
      <c r="J288" s="42">
        <f>SUM(J289:J297)</f>
        <v>0</v>
      </c>
      <c r="K288" s="30"/>
      <c r="L288" s="42">
        <f>SUM(L289:L297)</f>
        <v>62.906030309999998</v>
      </c>
      <c r="M288" s="30"/>
      <c r="AI288" s="30"/>
      <c r="AS288" s="42">
        <f>SUM(AJ289:AJ297)</f>
        <v>0</v>
      </c>
      <c r="AT288" s="42">
        <f>SUM(AK289:AK297)</f>
        <v>0</v>
      </c>
      <c r="AU288" s="42">
        <f>SUM(AL289:AL297)</f>
        <v>0</v>
      </c>
    </row>
    <row r="289" spans="1:62">
      <c r="A289" s="5" t="s">
        <v>204</v>
      </c>
      <c r="B289" s="5"/>
      <c r="C289" s="5" t="s">
        <v>807</v>
      </c>
      <c r="D289" s="5" t="s">
        <v>1476</v>
      </c>
      <c r="E289" s="5" t="s">
        <v>1939</v>
      </c>
      <c r="F289" s="21">
        <v>13.824999999999999</v>
      </c>
      <c r="G289" s="753">
        <v>0</v>
      </c>
      <c r="H289" s="21">
        <f>F289*AO289</f>
        <v>0</v>
      </c>
      <c r="I289" s="21">
        <f>F289*AP289</f>
        <v>0</v>
      </c>
      <c r="J289" s="21">
        <f>F289*G289</f>
        <v>0</v>
      </c>
      <c r="K289" s="21">
        <v>0.46866000000000002</v>
      </c>
      <c r="L289" s="21">
        <f>F289*K289</f>
        <v>6.4792244999999999</v>
      </c>
      <c r="M289" s="34" t="s">
        <v>1960</v>
      </c>
      <c r="Z289" s="39">
        <f>IF(AQ289="5",BJ289,0)</f>
        <v>0</v>
      </c>
      <c r="AB289" s="39">
        <f>IF(AQ289="1",BH289,0)</f>
        <v>0</v>
      </c>
      <c r="AC289" s="39">
        <f>IF(AQ289="1",BI289,0)</f>
        <v>0</v>
      </c>
      <c r="AD289" s="39">
        <f>IF(AQ289="7",BH289,0)</f>
        <v>0</v>
      </c>
      <c r="AE289" s="39">
        <f>IF(AQ289="7",BI289,0)</f>
        <v>0</v>
      </c>
      <c r="AF289" s="39">
        <f>IF(AQ289="2",BH289,0)</f>
        <v>0</v>
      </c>
      <c r="AG289" s="39">
        <f>IF(AQ289="2",BI289,0)</f>
        <v>0</v>
      </c>
      <c r="AH289" s="39">
        <f>IF(AQ289="0",BJ289,0)</f>
        <v>0</v>
      </c>
      <c r="AI289" s="30"/>
      <c r="AJ289" s="21">
        <f>IF(AN289=0,J289,0)</f>
        <v>0</v>
      </c>
      <c r="AK289" s="21">
        <f>IF(AN289=15,J289,0)</f>
        <v>0</v>
      </c>
      <c r="AL289" s="21">
        <f>IF(AN289=21,J289,0)</f>
        <v>0</v>
      </c>
      <c r="AN289" s="39">
        <v>21</v>
      </c>
      <c r="AO289" s="39">
        <f>G289*0.277104953041546</f>
        <v>0</v>
      </c>
      <c r="AP289" s="39">
        <f>G289*(1-0.277104953041546)</f>
        <v>0</v>
      </c>
      <c r="AQ289" s="34" t="s">
        <v>5</v>
      </c>
      <c r="AV289" s="39">
        <f>AW289+AX289</f>
        <v>0</v>
      </c>
      <c r="AW289" s="39">
        <f>F289*AO289</f>
        <v>0</v>
      </c>
      <c r="AX289" s="39">
        <f>F289*AP289</f>
        <v>0</v>
      </c>
      <c r="AY289" s="40" t="s">
        <v>1996</v>
      </c>
      <c r="AZ289" s="40" t="s">
        <v>2036</v>
      </c>
      <c r="BA289" s="30" t="s">
        <v>2045</v>
      </c>
      <c r="BC289" s="39">
        <f>AW289+AX289</f>
        <v>0</v>
      </c>
      <c r="BD289" s="39">
        <f>G289/(100-BE289)*100</f>
        <v>0</v>
      </c>
      <c r="BE289" s="39">
        <v>0</v>
      </c>
      <c r="BF289" s="39">
        <f>L289</f>
        <v>6.4792244999999999</v>
      </c>
      <c r="BH289" s="21">
        <f>F289*AO289</f>
        <v>0</v>
      </c>
      <c r="BI289" s="21">
        <f>F289*AP289</f>
        <v>0</v>
      </c>
      <c r="BJ289" s="21">
        <f>F289*G289</f>
        <v>0</v>
      </c>
    </row>
    <row r="290" spans="1:62">
      <c r="C290" s="16" t="s">
        <v>609</v>
      </c>
      <c r="D290" s="919" t="s">
        <v>1477</v>
      </c>
      <c r="E290" s="920"/>
      <c r="F290" s="920"/>
      <c r="G290" s="920"/>
      <c r="H290" s="920"/>
      <c r="I290" s="920"/>
      <c r="J290" s="920"/>
      <c r="K290" s="920"/>
      <c r="L290" s="920"/>
      <c r="M290" s="920"/>
    </row>
    <row r="291" spans="1:62">
      <c r="C291" s="17" t="s">
        <v>605</v>
      </c>
      <c r="D291" s="917" t="s">
        <v>1478</v>
      </c>
      <c r="E291" s="918"/>
      <c r="F291" s="918"/>
      <c r="G291" s="918"/>
      <c r="H291" s="918"/>
      <c r="I291" s="918"/>
      <c r="J291" s="918"/>
      <c r="K291" s="918"/>
      <c r="L291" s="918"/>
      <c r="M291" s="918"/>
    </row>
    <row r="292" spans="1:62">
      <c r="A292" s="5" t="s">
        <v>205</v>
      </c>
      <c r="B292" s="5"/>
      <c r="C292" s="5" t="s">
        <v>808</v>
      </c>
      <c r="D292" s="5" t="s">
        <v>1479</v>
      </c>
      <c r="E292" s="5" t="s">
        <v>1943</v>
      </c>
      <c r="F292" s="21">
        <v>2</v>
      </c>
      <c r="G292" s="753">
        <v>0</v>
      </c>
      <c r="H292" s="21">
        <f>F292*AO292</f>
        <v>0</v>
      </c>
      <c r="I292" s="21">
        <f>F292*AP292</f>
        <v>0</v>
      </c>
      <c r="J292" s="21">
        <f>F292*G292</f>
        <v>0</v>
      </c>
      <c r="K292" s="21">
        <v>6.9999999999999994E-5</v>
      </c>
      <c r="L292" s="21">
        <f>F292*K292</f>
        <v>1.3999999999999999E-4</v>
      </c>
      <c r="M292" s="34" t="s">
        <v>1961</v>
      </c>
      <c r="Z292" s="39">
        <f>IF(AQ292="5",BJ292,0)</f>
        <v>0</v>
      </c>
      <c r="AB292" s="39">
        <f>IF(AQ292="1",BH292,0)</f>
        <v>0</v>
      </c>
      <c r="AC292" s="39">
        <f>IF(AQ292="1",BI292,0)</f>
        <v>0</v>
      </c>
      <c r="AD292" s="39">
        <f>IF(AQ292="7",BH292,0)</f>
        <v>0</v>
      </c>
      <c r="AE292" s="39">
        <f>IF(AQ292="7",BI292,0)</f>
        <v>0</v>
      </c>
      <c r="AF292" s="39">
        <f>IF(AQ292="2",BH292,0)</f>
        <v>0</v>
      </c>
      <c r="AG292" s="39">
        <f>IF(AQ292="2",BI292,0)</f>
        <v>0</v>
      </c>
      <c r="AH292" s="39">
        <f>IF(AQ292="0",BJ292,0)</f>
        <v>0</v>
      </c>
      <c r="AI292" s="30"/>
      <c r="AJ292" s="21">
        <f>IF(AN292=0,J292,0)</f>
        <v>0</v>
      </c>
      <c r="AK292" s="21">
        <f>IF(AN292=15,J292,0)</f>
        <v>0</v>
      </c>
      <c r="AL292" s="21">
        <f>IF(AN292=21,J292,0)</f>
        <v>0</v>
      </c>
      <c r="AN292" s="39">
        <v>21</v>
      </c>
      <c r="AO292" s="39">
        <f>G292*0.00420033687981067</f>
        <v>0</v>
      </c>
      <c r="AP292" s="39">
        <f>G292*(1-0.00420033687981067)</f>
        <v>0</v>
      </c>
      <c r="AQ292" s="34" t="s">
        <v>5</v>
      </c>
      <c r="AV292" s="39">
        <f>AW292+AX292</f>
        <v>0</v>
      </c>
      <c r="AW292" s="39">
        <f>F292*AO292</f>
        <v>0</v>
      </c>
      <c r="AX292" s="39">
        <f>F292*AP292</f>
        <v>0</v>
      </c>
      <c r="AY292" s="40" t="s">
        <v>1996</v>
      </c>
      <c r="AZ292" s="40" t="s">
        <v>2036</v>
      </c>
      <c r="BA292" s="30" t="s">
        <v>2045</v>
      </c>
      <c r="BC292" s="39">
        <f>AW292+AX292</f>
        <v>0</v>
      </c>
      <c r="BD292" s="39">
        <f>G292/(100-BE292)*100</f>
        <v>0</v>
      </c>
      <c r="BE292" s="39">
        <v>0</v>
      </c>
      <c r="BF292" s="39">
        <f>L292</f>
        <v>1.3999999999999999E-4</v>
      </c>
      <c r="BH292" s="21">
        <f>F292*AO292</f>
        <v>0</v>
      </c>
      <c r="BI292" s="21">
        <f>F292*AP292</f>
        <v>0</v>
      </c>
      <c r="BJ292" s="21">
        <f>F292*G292</f>
        <v>0</v>
      </c>
    </row>
    <row r="293" spans="1:62">
      <c r="A293" s="5" t="s">
        <v>206</v>
      </c>
      <c r="B293" s="5"/>
      <c r="C293" s="5" t="s">
        <v>809</v>
      </c>
      <c r="D293" s="5" t="s">
        <v>1480</v>
      </c>
      <c r="E293" s="5" t="s">
        <v>1939</v>
      </c>
      <c r="F293" s="21">
        <v>129.17699999999999</v>
      </c>
      <c r="G293" s="753">
        <v>0</v>
      </c>
      <c r="H293" s="21">
        <f>F293*AO293</f>
        <v>0</v>
      </c>
      <c r="I293" s="21">
        <f>F293*AP293</f>
        <v>0</v>
      </c>
      <c r="J293" s="21">
        <f>F293*G293</f>
        <v>0</v>
      </c>
      <c r="K293" s="21">
        <v>0.43652999999999997</v>
      </c>
      <c r="L293" s="21">
        <f>F293*K293</f>
        <v>56.389635809999994</v>
      </c>
      <c r="M293" s="34" t="s">
        <v>1960</v>
      </c>
      <c r="Z293" s="39">
        <f>IF(AQ293="5",BJ293,0)</f>
        <v>0</v>
      </c>
      <c r="AB293" s="39">
        <f>IF(AQ293="1",BH293,0)</f>
        <v>0</v>
      </c>
      <c r="AC293" s="39">
        <f>IF(AQ293="1",BI293,0)</f>
        <v>0</v>
      </c>
      <c r="AD293" s="39">
        <f>IF(AQ293="7",BH293,0)</f>
        <v>0</v>
      </c>
      <c r="AE293" s="39">
        <f>IF(AQ293="7",BI293,0)</f>
        <v>0</v>
      </c>
      <c r="AF293" s="39">
        <f>IF(AQ293="2",BH293,0)</f>
        <v>0</v>
      </c>
      <c r="AG293" s="39">
        <f>IF(AQ293="2",BI293,0)</f>
        <v>0</v>
      </c>
      <c r="AH293" s="39">
        <f>IF(AQ293="0",BJ293,0)</f>
        <v>0</v>
      </c>
      <c r="AI293" s="30"/>
      <c r="AJ293" s="21">
        <f>IF(AN293=0,J293,0)</f>
        <v>0</v>
      </c>
      <c r="AK293" s="21">
        <f>IF(AN293=15,J293,0)</f>
        <v>0</v>
      </c>
      <c r="AL293" s="21">
        <f>IF(AN293=21,J293,0)</f>
        <v>0</v>
      </c>
      <c r="AN293" s="39">
        <v>21</v>
      </c>
      <c r="AO293" s="39">
        <f>G293*0.408624043268558</f>
        <v>0</v>
      </c>
      <c r="AP293" s="39">
        <f>G293*(1-0.408624043268558)</f>
        <v>0</v>
      </c>
      <c r="AQ293" s="34" t="s">
        <v>5</v>
      </c>
      <c r="AV293" s="39">
        <f>AW293+AX293</f>
        <v>0</v>
      </c>
      <c r="AW293" s="39">
        <f>F293*AO293</f>
        <v>0</v>
      </c>
      <c r="AX293" s="39">
        <f>F293*AP293</f>
        <v>0</v>
      </c>
      <c r="AY293" s="40" t="s">
        <v>1996</v>
      </c>
      <c r="AZ293" s="40" t="s">
        <v>2036</v>
      </c>
      <c r="BA293" s="30" t="s">
        <v>2045</v>
      </c>
      <c r="BC293" s="39">
        <f>AW293+AX293</f>
        <v>0</v>
      </c>
      <c r="BD293" s="39">
        <f>G293/(100-BE293)*100</f>
        <v>0</v>
      </c>
      <c r="BE293" s="39">
        <v>0</v>
      </c>
      <c r="BF293" s="39">
        <f>L293</f>
        <v>56.389635809999994</v>
      </c>
      <c r="BH293" s="21">
        <f>F293*AO293</f>
        <v>0</v>
      </c>
      <c r="BI293" s="21">
        <f>F293*AP293</f>
        <v>0</v>
      </c>
      <c r="BJ293" s="21">
        <f>F293*G293</f>
        <v>0</v>
      </c>
    </row>
    <row r="294" spans="1:62">
      <c r="C294" s="16" t="s">
        <v>609</v>
      </c>
      <c r="D294" s="919" t="s">
        <v>1481</v>
      </c>
      <c r="E294" s="920"/>
      <c r="F294" s="920"/>
      <c r="G294" s="920"/>
      <c r="H294" s="920"/>
      <c r="I294" s="920"/>
      <c r="J294" s="920"/>
      <c r="K294" s="920"/>
      <c r="L294" s="920"/>
      <c r="M294" s="920"/>
    </row>
    <row r="295" spans="1:62">
      <c r="C295" s="17" t="s">
        <v>605</v>
      </c>
      <c r="D295" s="917" t="s">
        <v>1482</v>
      </c>
      <c r="E295" s="918"/>
      <c r="F295" s="918"/>
      <c r="G295" s="918"/>
      <c r="H295" s="918"/>
      <c r="I295" s="918"/>
      <c r="J295" s="918"/>
      <c r="K295" s="918"/>
      <c r="L295" s="918"/>
      <c r="M295" s="918"/>
    </row>
    <row r="296" spans="1:62">
      <c r="A296" s="5" t="s">
        <v>207</v>
      </c>
      <c r="B296" s="5"/>
      <c r="C296" s="5" t="s">
        <v>810</v>
      </c>
      <c r="D296" s="5" t="s">
        <v>1483</v>
      </c>
      <c r="E296" s="5" t="s">
        <v>1939</v>
      </c>
      <c r="F296" s="21">
        <v>23</v>
      </c>
      <c r="G296" s="753">
        <v>0</v>
      </c>
      <c r="H296" s="21">
        <f>F296*AO296</f>
        <v>0</v>
      </c>
      <c r="I296" s="21">
        <f>F296*AP296</f>
        <v>0</v>
      </c>
      <c r="J296" s="21">
        <f>F296*G296</f>
        <v>0</v>
      </c>
      <c r="K296" s="21">
        <v>1.0000000000000001E-5</v>
      </c>
      <c r="L296" s="21">
        <f>F296*K296</f>
        <v>2.3000000000000001E-4</v>
      </c>
      <c r="M296" s="34" t="s">
        <v>1961</v>
      </c>
      <c r="Z296" s="39">
        <f>IF(AQ296="5",BJ296,0)</f>
        <v>0</v>
      </c>
      <c r="AB296" s="39">
        <f>IF(AQ296="1",BH296,0)</f>
        <v>0</v>
      </c>
      <c r="AC296" s="39">
        <f>IF(AQ296="1",BI296,0)</f>
        <v>0</v>
      </c>
      <c r="AD296" s="39">
        <f>IF(AQ296="7",BH296,0)</f>
        <v>0</v>
      </c>
      <c r="AE296" s="39">
        <f>IF(AQ296="7",BI296,0)</f>
        <v>0</v>
      </c>
      <c r="AF296" s="39">
        <f>IF(AQ296="2",BH296,0)</f>
        <v>0</v>
      </c>
      <c r="AG296" s="39">
        <f>IF(AQ296="2",BI296,0)</f>
        <v>0</v>
      </c>
      <c r="AH296" s="39">
        <f>IF(AQ296="0",BJ296,0)</f>
        <v>0</v>
      </c>
      <c r="AI296" s="30"/>
      <c r="AJ296" s="21">
        <f>IF(AN296=0,J296,0)</f>
        <v>0</v>
      </c>
      <c r="AK296" s="21">
        <f>IF(AN296=15,J296,0)</f>
        <v>0</v>
      </c>
      <c r="AL296" s="21">
        <f>IF(AN296=21,J296,0)</f>
        <v>0</v>
      </c>
      <c r="AN296" s="39">
        <v>21</v>
      </c>
      <c r="AO296" s="39">
        <f>G296*0.00448933782267116</f>
        <v>0</v>
      </c>
      <c r="AP296" s="39">
        <f>G296*(1-0.00448933782267116)</f>
        <v>0</v>
      </c>
      <c r="AQ296" s="34" t="s">
        <v>5</v>
      </c>
      <c r="AV296" s="39">
        <f>AW296+AX296</f>
        <v>0</v>
      </c>
      <c r="AW296" s="39">
        <f>F296*AO296</f>
        <v>0</v>
      </c>
      <c r="AX296" s="39">
        <f>F296*AP296</f>
        <v>0</v>
      </c>
      <c r="AY296" s="40" t="s">
        <v>1996</v>
      </c>
      <c r="AZ296" s="40" t="s">
        <v>2036</v>
      </c>
      <c r="BA296" s="30" t="s">
        <v>2045</v>
      </c>
      <c r="BC296" s="39">
        <f>AW296+AX296</f>
        <v>0</v>
      </c>
      <c r="BD296" s="39">
        <f>G296/(100-BE296)*100</f>
        <v>0</v>
      </c>
      <c r="BE296" s="39">
        <v>0</v>
      </c>
      <c r="BF296" s="39">
        <f>L296</f>
        <v>2.3000000000000001E-4</v>
      </c>
      <c r="BH296" s="21">
        <f>F296*AO296</f>
        <v>0</v>
      </c>
      <c r="BI296" s="21">
        <f>F296*AP296</f>
        <v>0</v>
      </c>
      <c r="BJ296" s="21">
        <f>F296*G296</f>
        <v>0</v>
      </c>
    </row>
    <row r="297" spans="1:62">
      <c r="A297" s="6" t="s">
        <v>208</v>
      </c>
      <c r="B297" s="6"/>
      <c r="C297" s="6" t="s">
        <v>811</v>
      </c>
      <c r="D297" s="6" t="s">
        <v>1484</v>
      </c>
      <c r="E297" s="6" t="s">
        <v>1939</v>
      </c>
      <c r="F297" s="22">
        <v>23</v>
      </c>
      <c r="G297" s="754">
        <v>0</v>
      </c>
      <c r="H297" s="22">
        <f>F297*AO297</f>
        <v>0</v>
      </c>
      <c r="I297" s="22">
        <f>F297*AP297</f>
        <v>0</v>
      </c>
      <c r="J297" s="22">
        <f>F297*G297</f>
        <v>0</v>
      </c>
      <c r="K297" s="22">
        <v>1.6000000000000001E-3</v>
      </c>
      <c r="L297" s="22">
        <f>F297*K297</f>
        <v>3.6799999999999999E-2</v>
      </c>
      <c r="M297" s="35" t="s">
        <v>1960</v>
      </c>
      <c r="Z297" s="39">
        <f>IF(AQ297="5",BJ297,0)</f>
        <v>0</v>
      </c>
      <c r="AB297" s="39">
        <f>IF(AQ297="1",BH297,0)</f>
        <v>0</v>
      </c>
      <c r="AC297" s="39">
        <f>IF(AQ297="1",BI297,0)</f>
        <v>0</v>
      </c>
      <c r="AD297" s="39">
        <f>IF(AQ297="7",BH297,0)</f>
        <v>0</v>
      </c>
      <c r="AE297" s="39">
        <f>IF(AQ297="7",BI297,0)</f>
        <v>0</v>
      </c>
      <c r="AF297" s="39">
        <f>IF(AQ297="2",BH297,0)</f>
        <v>0</v>
      </c>
      <c r="AG297" s="39">
        <f>IF(AQ297="2",BI297,0)</f>
        <v>0</v>
      </c>
      <c r="AH297" s="39">
        <f>IF(AQ297="0",BJ297,0)</f>
        <v>0</v>
      </c>
      <c r="AI297" s="30"/>
      <c r="AJ297" s="22">
        <f>IF(AN297=0,J297,0)</f>
        <v>0</v>
      </c>
      <c r="AK297" s="22">
        <f>IF(AN297=15,J297,0)</f>
        <v>0</v>
      </c>
      <c r="AL297" s="22">
        <f>IF(AN297=21,J297,0)</f>
        <v>0</v>
      </c>
      <c r="AN297" s="39">
        <v>21</v>
      </c>
      <c r="AO297" s="39">
        <f>G297*1</f>
        <v>0</v>
      </c>
      <c r="AP297" s="39">
        <f>G297*(1-1)</f>
        <v>0</v>
      </c>
      <c r="AQ297" s="35" t="s">
        <v>5</v>
      </c>
      <c r="AV297" s="39">
        <f>AW297+AX297</f>
        <v>0</v>
      </c>
      <c r="AW297" s="39">
        <f>F297*AO297</f>
        <v>0</v>
      </c>
      <c r="AX297" s="39">
        <f>F297*AP297</f>
        <v>0</v>
      </c>
      <c r="AY297" s="40" t="s">
        <v>1996</v>
      </c>
      <c r="AZ297" s="40" t="s">
        <v>2036</v>
      </c>
      <c r="BA297" s="30" t="s">
        <v>2045</v>
      </c>
      <c r="BC297" s="39">
        <f>AW297+AX297</f>
        <v>0</v>
      </c>
      <c r="BD297" s="39">
        <f>G297/(100-BE297)*100</f>
        <v>0</v>
      </c>
      <c r="BE297" s="39">
        <v>0</v>
      </c>
      <c r="BF297" s="39">
        <f>L297</f>
        <v>3.6799999999999999E-2</v>
      </c>
      <c r="BH297" s="22">
        <f>F297*AO297</f>
        <v>0</v>
      </c>
      <c r="BI297" s="22">
        <f>F297*AP297</f>
        <v>0</v>
      </c>
      <c r="BJ297" s="22">
        <f>F297*G297</f>
        <v>0</v>
      </c>
    </row>
    <row r="298" spans="1:62">
      <c r="A298" s="4"/>
      <c r="B298" s="14"/>
      <c r="C298" s="14" t="s">
        <v>97</v>
      </c>
      <c r="D298" s="14" t="s">
        <v>1485</v>
      </c>
      <c r="E298" s="4" t="s">
        <v>4</v>
      </c>
      <c r="F298" s="4" t="s">
        <v>4</v>
      </c>
      <c r="G298" s="4" t="s">
        <v>4</v>
      </c>
      <c r="H298" s="42">
        <f>SUM(H299:H299)</f>
        <v>0</v>
      </c>
      <c r="I298" s="42">
        <f>SUM(I299:I299)</f>
        <v>0</v>
      </c>
      <c r="J298" s="42">
        <f>SUM(J299:J299)</f>
        <v>0</v>
      </c>
      <c r="K298" s="30"/>
      <c r="L298" s="42">
        <f>SUM(L299:L299)</f>
        <v>4.0510679999999997E-3</v>
      </c>
      <c r="M298" s="30"/>
      <c r="AI298" s="30"/>
      <c r="AS298" s="42">
        <f>SUM(AJ299:AJ299)</f>
        <v>0</v>
      </c>
      <c r="AT298" s="42">
        <f>SUM(AK299:AK299)</f>
        <v>0</v>
      </c>
      <c r="AU298" s="42">
        <f>SUM(AL299:AL299)</f>
        <v>0</v>
      </c>
    </row>
    <row r="299" spans="1:62">
      <c r="A299" s="5" t="s">
        <v>209</v>
      </c>
      <c r="B299" s="5"/>
      <c r="C299" s="5" t="s">
        <v>812</v>
      </c>
      <c r="D299" s="5" t="s">
        <v>1486</v>
      </c>
      <c r="E299" s="5" t="s">
        <v>1940</v>
      </c>
      <c r="F299" s="21">
        <v>5.7872399999999997</v>
      </c>
      <c r="G299" s="753">
        <v>0</v>
      </c>
      <c r="H299" s="21">
        <f>F299*AO299</f>
        <v>0</v>
      </c>
      <c r="I299" s="21">
        <f>F299*AP299</f>
        <v>0</v>
      </c>
      <c r="J299" s="21">
        <f>F299*G299</f>
        <v>0</v>
      </c>
      <c r="K299" s="21">
        <v>6.9999999999999999E-4</v>
      </c>
      <c r="L299" s="21">
        <f>F299*K299</f>
        <v>4.0510679999999997E-3</v>
      </c>
      <c r="M299" s="34" t="s">
        <v>1961</v>
      </c>
      <c r="Z299" s="39">
        <f>IF(AQ299="5",BJ299,0)</f>
        <v>0</v>
      </c>
      <c r="AB299" s="39">
        <f>IF(AQ299="1",BH299,0)</f>
        <v>0</v>
      </c>
      <c r="AC299" s="39">
        <f>IF(AQ299="1",BI299,0)</f>
        <v>0</v>
      </c>
      <c r="AD299" s="39">
        <f>IF(AQ299="7",BH299,0)</f>
        <v>0</v>
      </c>
      <c r="AE299" s="39">
        <f>IF(AQ299="7",BI299,0)</f>
        <v>0</v>
      </c>
      <c r="AF299" s="39">
        <f>IF(AQ299="2",BH299,0)</f>
        <v>0</v>
      </c>
      <c r="AG299" s="39">
        <f>IF(AQ299="2",BI299,0)</f>
        <v>0</v>
      </c>
      <c r="AH299" s="39">
        <f>IF(AQ299="0",BJ299,0)</f>
        <v>0</v>
      </c>
      <c r="AI299" s="30"/>
      <c r="AJ299" s="21">
        <f>IF(AN299=0,J299,0)</f>
        <v>0</v>
      </c>
      <c r="AK299" s="21">
        <f>IF(AN299=15,J299,0)</f>
        <v>0</v>
      </c>
      <c r="AL299" s="21">
        <f>IF(AN299=21,J299,0)</f>
        <v>0</v>
      </c>
      <c r="AN299" s="39">
        <v>21</v>
      </c>
      <c r="AO299" s="39">
        <f>G299*0.606623951790574</f>
        <v>0</v>
      </c>
      <c r="AP299" s="39">
        <f>G299*(1-0.606623951790574)</f>
        <v>0</v>
      </c>
      <c r="AQ299" s="34" t="s">
        <v>5</v>
      </c>
      <c r="AV299" s="39">
        <f>AW299+AX299</f>
        <v>0</v>
      </c>
      <c r="AW299" s="39">
        <f>F299*AO299</f>
        <v>0</v>
      </c>
      <c r="AX299" s="39">
        <f>F299*AP299</f>
        <v>0</v>
      </c>
      <c r="AY299" s="40" t="s">
        <v>1997</v>
      </c>
      <c r="AZ299" s="40" t="s">
        <v>2037</v>
      </c>
      <c r="BA299" s="30" t="s">
        <v>2045</v>
      </c>
      <c r="BC299" s="39">
        <f>AW299+AX299</f>
        <v>0</v>
      </c>
      <c r="BD299" s="39">
        <f>G299/(100-BE299)*100</f>
        <v>0</v>
      </c>
      <c r="BE299" s="39">
        <v>0</v>
      </c>
      <c r="BF299" s="39">
        <f>L299</f>
        <v>4.0510679999999997E-3</v>
      </c>
      <c r="BH299" s="21">
        <f>F299*AO299</f>
        <v>0</v>
      </c>
      <c r="BI299" s="21">
        <f>F299*AP299</f>
        <v>0</v>
      </c>
      <c r="BJ299" s="21">
        <f>F299*G299</f>
        <v>0</v>
      </c>
    </row>
    <row r="300" spans="1:62">
      <c r="A300" s="4"/>
      <c r="B300" s="14"/>
      <c r="C300" s="14" t="s">
        <v>98</v>
      </c>
      <c r="D300" s="14" t="s">
        <v>1487</v>
      </c>
      <c r="E300" s="4" t="s">
        <v>4</v>
      </c>
      <c r="F300" s="4" t="s">
        <v>4</v>
      </c>
      <c r="G300" s="4" t="s">
        <v>4</v>
      </c>
      <c r="H300" s="42">
        <f>SUM(H301:H308)</f>
        <v>0</v>
      </c>
      <c r="I300" s="42">
        <f>SUM(I301:I308)</f>
        <v>0</v>
      </c>
      <c r="J300" s="42">
        <f>SUM(J301:J308)</f>
        <v>0</v>
      </c>
      <c r="K300" s="30"/>
      <c r="L300" s="42">
        <f>SUM(L301:L308)</f>
        <v>30.660017</v>
      </c>
      <c r="M300" s="30"/>
      <c r="AI300" s="30"/>
      <c r="AS300" s="42">
        <f>SUM(AJ301:AJ308)</f>
        <v>0</v>
      </c>
      <c r="AT300" s="42">
        <f>SUM(AK301:AK308)</f>
        <v>0</v>
      </c>
      <c r="AU300" s="42">
        <f>SUM(AL301:AL308)</f>
        <v>0</v>
      </c>
    </row>
    <row r="301" spans="1:62">
      <c r="A301" s="5" t="s">
        <v>210</v>
      </c>
      <c r="B301" s="5"/>
      <c r="C301" s="5" t="s">
        <v>813</v>
      </c>
      <c r="D301" s="5" t="s">
        <v>1488</v>
      </c>
      <c r="E301" s="5" t="s">
        <v>1940</v>
      </c>
      <c r="F301" s="21">
        <v>561.75</v>
      </c>
      <c r="G301" s="753">
        <v>0</v>
      </c>
      <c r="H301" s="21">
        <f t="shared" ref="H301:H308" si="192">F301*AO301</f>
        <v>0</v>
      </c>
      <c r="I301" s="21">
        <f t="shared" ref="I301:I308" si="193">F301*AP301</f>
        <v>0</v>
      </c>
      <c r="J301" s="21">
        <f t="shared" ref="J301:J308" si="194">F301*G301</f>
        <v>0</v>
      </c>
      <c r="K301" s="21">
        <v>5.9199999999999999E-3</v>
      </c>
      <c r="L301" s="21">
        <f t="shared" ref="L301:L308" si="195">F301*K301</f>
        <v>3.3255599999999998</v>
      </c>
      <c r="M301" s="34" t="s">
        <v>1961</v>
      </c>
      <c r="Z301" s="39">
        <f t="shared" ref="Z301:Z308" si="196">IF(AQ301="5",BJ301,0)</f>
        <v>0</v>
      </c>
      <c r="AB301" s="39">
        <f t="shared" ref="AB301:AB308" si="197">IF(AQ301="1",BH301,0)</f>
        <v>0</v>
      </c>
      <c r="AC301" s="39">
        <f t="shared" ref="AC301:AC308" si="198">IF(AQ301="1",BI301,0)</f>
        <v>0</v>
      </c>
      <c r="AD301" s="39">
        <f t="shared" ref="AD301:AD308" si="199">IF(AQ301="7",BH301,0)</f>
        <v>0</v>
      </c>
      <c r="AE301" s="39">
        <f t="shared" ref="AE301:AE308" si="200">IF(AQ301="7",BI301,0)</f>
        <v>0</v>
      </c>
      <c r="AF301" s="39">
        <f t="shared" ref="AF301:AF308" si="201">IF(AQ301="2",BH301,0)</f>
        <v>0</v>
      </c>
      <c r="AG301" s="39">
        <f t="shared" ref="AG301:AG308" si="202">IF(AQ301="2",BI301,0)</f>
        <v>0</v>
      </c>
      <c r="AH301" s="39">
        <f t="shared" ref="AH301:AH308" si="203">IF(AQ301="0",BJ301,0)</f>
        <v>0</v>
      </c>
      <c r="AI301" s="30"/>
      <c r="AJ301" s="21">
        <f t="shared" ref="AJ301:AJ308" si="204">IF(AN301=0,J301,0)</f>
        <v>0</v>
      </c>
      <c r="AK301" s="21">
        <f t="shared" ref="AK301:AK308" si="205">IF(AN301=15,J301,0)</f>
        <v>0</v>
      </c>
      <c r="AL301" s="21">
        <f t="shared" ref="AL301:AL308" si="206">IF(AN301=21,J301,0)</f>
        <v>0</v>
      </c>
      <c r="AN301" s="39">
        <v>21</v>
      </c>
      <c r="AO301" s="39">
        <f>G301*0.414582321644859</f>
        <v>0</v>
      </c>
      <c r="AP301" s="39">
        <f>G301*(1-0.414582321644859)</f>
        <v>0</v>
      </c>
      <c r="AQ301" s="34" t="s">
        <v>5</v>
      </c>
      <c r="AV301" s="39">
        <f t="shared" ref="AV301:AV308" si="207">AW301+AX301</f>
        <v>0</v>
      </c>
      <c r="AW301" s="39">
        <f t="shared" ref="AW301:AW308" si="208">F301*AO301</f>
        <v>0</v>
      </c>
      <c r="AX301" s="39">
        <f t="shared" ref="AX301:AX308" si="209">F301*AP301</f>
        <v>0</v>
      </c>
      <c r="AY301" s="40" t="s">
        <v>1998</v>
      </c>
      <c r="AZ301" s="40" t="s">
        <v>2037</v>
      </c>
      <c r="BA301" s="30" t="s">
        <v>2045</v>
      </c>
      <c r="BC301" s="39">
        <f t="shared" ref="BC301:BC308" si="210">AW301+AX301</f>
        <v>0</v>
      </c>
      <c r="BD301" s="39">
        <f t="shared" ref="BD301:BD308" si="211">G301/(100-BE301)*100</f>
        <v>0</v>
      </c>
      <c r="BE301" s="39">
        <v>0</v>
      </c>
      <c r="BF301" s="39">
        <f t="shared" ref="BF301:BF308" si="212">L301</f>
        <v>3.3255599999999998</v>
      </c>
      <c r="BH301" s="21">
        <f t="shared" ref="BH301:BH308" si="213">F301*AO301</f>
        <v>0</v>
      </c>
      <c r="BI301" s="21">
        <f t="shared" ref="BI301:BI308" si="214">F301*AP301</f>
        <v>0</v>
      </c>
      <c r="BJ301" s="21">
        <f t="shared" ref="BJ301:BJ308" si="215">F301*G301</f>
        <v>0</v>
      </c>
    </row>
    <row r="302" spans="1:62">
      <c r="A302" s="5" t="s">
        <v>211</v>
      </c>
      <c r="B302" s="5"/>
      <c r="C302" s="5" t="s">
        <v>814</v>
      </c>
      <c r="D302" s="5" t="s">
        <v>1489</v>
      </c>
      <c r="E302" s="5" t="s">
        <v>1940</v>
      </c>
      <c r="F302" s="21">
        <v>618.05999999999995</v>
      </c>
      <c r="G302" s="753">
        <v>0</v>
      </c>
      <c r="H302" s="21">
        <f t="shared" si="192"/>
        <v>0</v>
      </c>
      <c r="I302" s="21">
        <f t="shared" si="193"/>
        <v>0</v>
      </c>
      <c r="J302" s="21">
        <f t="shared" si="194"/>
        <v>0</v>
      </c>
      <c r="K302" s="21">
        <v>6.3499999999999997E-3</v>
      </c>
      <c r="L302" s="21">
        <f t="shared" si="195"/>
        <v>3.9246809999999996</v>
      </c>
      <c r="M302" s="34" t="s">
        <v>1961</v>
      </c>
      <c r="Z302" s="39">
        <f t="shared" si="196"/>
        <v>0</v>
      </c>
      <c r="AB302" s="39">
        <f t="shared" si="197"/>
        <v>0</v>
      </c>
      <c r="AC302" s="39">
        <f t="shared" si="198"/>
        <v>0</v>
      </c>
      <c r="AD302" s="39">
        <f t="shared" si="199"/>
        <v>0</v>
      </c>
      <c r="AE302" s="39">
        <f t="shared" si="200"/>
        <v>0</v>
      </c>
      <c r="AF302" s="39">
        <f t="shared" si="201"/>
        <v>0</v>
      </c>
      <c r="AG302" s="39">
        <f t="shared" si="202"/>
        <v>0</v>
      </c>
      <c r="AH302" s="39">
        <f t="shared" si="203"/>
        <v>0</v>
      </c>
      <c r="AI302" s="30"/>
      <c r="AJ302" s="21">
        <f t="shared" si="204"/>
        <v>0</v>
      </c>
      <c r="AK302" s="21">
        <f t="shared" si="205"/>
        <v>0</v>
      </c>
      <c r="AL302" s="21">
        <f t="shared" si="206"/>
        <v>0</v>
      </c>
      <c r="AN302" s="39">
        <v>21</v>
      </c>
      <c r="AO302" s="39">
        <f>G302*0.431617376958919</f>
        <v>0</v>
      </c>
      <c r="AP302" s="39">
        <f>G302*(1-0.431617376958919)</f>
        <v>0</v>
      </c>
      <c r="AQ302" s="34" t="s">
        <v>5</v>
      </c>
      <c r="AV302" s="39">
        <f t="shared" si="207"/>
        <v>0</v>
      </c>
      <c r="AW302" s="39">
        <f t="shared" si="208"/>
        <v>0</v>
      </c>
      <c r="AX302" s="39">
        <f t="shared" si="209"/>
        <v>0</v>
      </c>
      <c r="AY302" s="40" t="s">
        <v>1998</v>
      </c>
      <c r="AZ302" s="40" t="s">
        <v>2037</v>
      </c>
      <c r="BA302" s="30" t="s">
        <v>2045</v>
      </c>
      <c r="BC302" s="39">
        <f t="shared" si="210"/>
        <v>0</v>
      </c>
      <c r="BD302" s="39">
        <f t="shared" si="211"/>
        <v>0</v>
      </c>
      <c r="BE302" s="39">
        <v>0</v>
      </c>
      <c r="BF302" s="39">
        <f t="shared" si="212"/>
        <v>3.9246809999999996</v>
      </c>
      <c r="BH302" s="21">
        <f t="shared" si="213"/>
        <v>0</v>
      </c>
      <c r="BI302" s="21">
        <f t="shared" si="214"/>
        <v>0</v>
      </c>
      <c r="BJ302" s="21">
        <f t="shared" si="215"/>
        <v>0</v>
      </c>
    </row>
    <row r="303" spans="1:62">
      <c r="A303" s="5" t="s">
        <v>212</v>
      </c>
      <c r="B303" s="5"/>
      <c r="C303" s="5" t="s">
        <v>815</v>
      </c>
      <c r="D303" s="5" t="s">
        <v>1490</v>
      </c>
      <c r="E303" s="5" t="s">
        <v>1940</v>
      </c>
      <c r="F303" s="21">
        <v>7519.2</v>
      </c>
      <c r="G303" s="753">
        <v>0</v>
      </c>
      <c r="H303" s="21">
        <f t="shared" si="192"/>
        <v>0</v>
      </c>
      <c r="I303" s="21">
        <f t="shared" si="193"/>
        <v>0</v>
      </c>
      <c r="J303" s="21">
        <f t="shared" si="194"/>
        <v>0</v>
      </c>
      <c r="K303" s="21">
        <v>5.0000000000000002E-5</v>
      </c>
      <c r="L303" s="21">
        <f t="shared" si="195"/>
        <v>0.37596000000000002</v>
      </c>
      <c r="M303" s="34" t="s">
        <v>1961</v>
      </c>
      <c r="Z303" s="39">
        <f t="shared" si="196"/>
        <v>0</v>
      </c>
      <c r="AB303" s="39">
        <f t="shared" si="197"/>
        <v>0</v>
      </c>
      <c r="AC303" s="39">
        <f t="shared" si="198"/>
        <v>0</v>
      </c>
      <c r="AD303" s="39">
        <f t="shared" si="199"/>
        <v>0</v>
      </c>
      <c r="AE303" s="39">
        <f t="shared" si="200"/>
        <v>0</v>
      </c>
      <c r="AF303" s="39">
        <f t="shared" si="201"/>
        <v>0</v>
      </c>
      <c r="AG303" s="39">
        <f t="shared" si="202"/>
        <v>0</v>
      </c>
      <c r="AH303" s="39">
        <f t="shared" si="203"/>
        <v>0</v>
      </c>
      <c r="AI303" s="30"/>
      <c r="AJ303" s="21">
        <f t="shared" si="204"/>
        <v>0</v>
      </c>
      <c r="AK303" s="21">
        <f t="shared" si="205"/>
        <v>0</v>
      </c>
      <c r="AL303" s="21">
        <f t="shared" si="206"/>
        <v>0</v>
      </c>
      <c r="AN303" s="39">
        <v>21</v>
      </c>
      <c r="AO303" s="39">
        <f>G303*1</f>
        <v>0</v>
      </c>
      <c r="AP303" s="39">
        <f>G303*(1-1)</f>
        <v>0</v>
      </c>
      <c r="AQ303" s="34" t="s">
        <v>5</v>
      </c>
      <c r="AV303" s="39">
        <f t="shared" si="207"/>
        <v>0</v>
      </c>
      <c r="AW303" s="39">
        <f t="shared" si="208"/>
        <v>0</v>
      </c>
      <c r="AX303" s="39">
        <f t="shared" si="209"/>
        <v>0</v>
      </c>
      <c r="AY303" s="40" t="s">
        <v>1998</v>
      </c>
      <c r="AZ303" s="40" t="s">
        <v>2037</v>
      </c>
      <c r="BA303" s="30" t="s">
        <v>2045</v>
      </c>
      <c r="BC303" s="39">
        <f t="shared" si="210"/>
        <v>0</v>
      </c>
      <c r="BD303" s="39">
        <f t="shared" si="211"/>
        <v>0</v>
      </c>
      <c r="BE303" s="39">
        <v>0</v>
      </c>
      <c r="BF303" s="39">
        <f t="shared" si="212"/>
        <v>0.37596000000000002</v>
      </c>
      <c r="BH303" s="21">
        <f t="shared" si="213"/>
        <v>0</v>
      </c>
      <c r="BI303" s="21">
        <f t="shared" si="214"/>
        <v>0</v>
      </c>
      <c r="BJ303" s="21">
        <f t="shared" si="215"/>
        <v>0</v>
      </c>
    </row>
    <row r="304" spans="1:62">
      <c r="A304" s="5" t="s">
        <v>213</v>
      </c>
      <c r="B304" s="5"/>
      <c r="C304" s="5" t="s">
        <v>816</v>
      </c>
      <c r="D304" s="5" t="s">
        <v>1491</v>
      </c>
      <c r="E304" s="5" t="s">
        <v>1940</v>
      </c>
      <c r="F304" s="21">
        <v>1253.2</v>
      </c>
      <c r="G304" s="753">
        <v>0</v>
      </c>
      <c r="H304" s="21">
        <f t="shared" si="192"/>
        <v>0</v>
      </c>
      <c r="I304" s="21">
        <f t="shared" si="193"/>
        <v>0</v>
      </c>
      <c r="J304" s="21">
        <f t="shared" si="194"/>
        <v>0</v>
      </c>
      <c r="K304" s="21">
        <v>1.8380000000000001E-2</v>
      </c>
      <c r="L304" s="21">
        <f t="shared" si="195"/>
        <v>23.033816000000002</v>
      </c>
      <c r="M304" s="34" t="s">
        <v>1961</v>
      </c>
      <c r="Z304" s="39">
        <f t="shared" si="196"/>
        <v>0</v>
      </c>
      <c r="AB304" s="39">
        <f t="shared" si="197"/>
        <v>0</v>
      </c>
      <c r="AC304" s="39">
        <f t="shared" si="198"/>
        <v>0</v>
      </c>
      <c r="AD304" s="39">
        <f t="shared" si="199"/>
        <v>0</v>
      </c>
      <c r="AE304" s="39">
        <f t="shared" si="200"/>
        <v>0</v>
      </c>
      <c r="AF304" s="39">
        <f t="shared" si="201"/>
        <v>0</v>
      </c>
      <c r="AG304" s="39">
        <f t="shared" si="202"/>
        <v>0</v>
      </c>
      <c r="AH304" s="39">
        <f t="shared" si="203"/>
        <v>0</v>
      </c>
      <c r="AI304" s="30"/>
      <c r="AJ304" s="21">
        <f t="shared" si="204"/>
        <v>0</v>
      </c>
      <c r="AK304" s="21">
        <f t="shared" si="205"/>
        <v>0</v>
      </c>
      <c r="AL304" s="21">
        <f t="shared" si="206"/>
        <v>0</v>
      </c>
      <c r="AN304" s="39">
        <v>21</v>
      </c>
      <c r="AO304" s="39">
        <f>G304*0.000315955766192733</f>
        <v>0</v>
      </c>
      <c r="AP304" s="39">
        <f>G304*(1-0.000315955766192733)</f>
        <v>0</v>
      </c>
      <c r="AQ304" s="34" t="s">
        <v>5</v>
      </c>
      <c r="AV304" s="39">
        <f t="shared" si="207"/>
        <v>0</v>
      </c>
      <c r="AW304" s="39">
        <f t="shared" si="208"/>
        <v>0</v>
      </c>
      <c r="AX304" s="39">
        <f t="shared" si="209"/>
        <v>0</v>
      </c>
      <c r="AY304" s="40" t="s">
        <v>1998</v>
      </c>
      <c r="AZ304" s="40" t="s">
        <v>2037</v>
      </c>
      <c r="BA304" s="30" t="s">
        <v>2045</v>
      </c>
      <c r="BC304" s="39">
        <f t="shared" si="210"/>
        <v>0</v>
      </c>
      <c r="BD304" s="39">
        <f t="shared" si="211"/>
        <v>0</v>
      </c>
      <c r="BE304" s="39">
        <v>0</v>
      </c>
      <c r="BF304" s="39">
        <f t="shared" si="212"/>
        <v>23.033816000000002</v>
      </c>
      <c r="BH304" s="21">
        <f t="shared" si="213"/>
        <v>0</v>
      </c>
      <c r="BI304" s="21">
        <f t="shared" si="214"/>
        <v>0</v>
      </c>
      <c r="BJ304" s="21">
        <f t="shared" si="215"/>
        <v>0</v>
      </c>
    </row>
    <row r="305" spans="1:62">
      <c r="A305" s="5" t="s">
        <v>214</v>
      </c>
      <c r="B305" s="5"/>
      <c r="C305" s="5" t="s">
        <v>817</v>
      </c>
      <c r="D305" s="5" t="s">
        <v>1492</v>
      </c>
      <c r="E305" s="5" t="s">
        <v>1940</v>
      </c>
      <c r="F305" s="21">
        <v>225576</v>
      </c>
      <c r="G305" s="753">
        <v>0</v>
      </c>
      <c r="H305" s="21">
        <f t="shared" si="192"/>
        <v>0</v>
      </c>
      <c r="I305" s="21">
        <f t="shared" si="193"/>
        <v>0</v>
      </c>
      <c r="J305" s="21">
        <f t="shared" si="194"/>
        <v>0</v>
      </c>
      <c r="K305" s="21">
        <v>0</v>
      </c>
      <c r="L305" s="21">
        <f t="shared" si="195"/>
        <v>0</v>
      </c>
      <c r="M305" s="34" t="s">
        <v>1961</v>
      </c>
      <c r="Z305" s="39">
        <f t="shared" si="196"/>
        <v>0</v>
      </c>
      <c r="AB305" s="39">
        <f t="shared" si="197"/>
        <v>0</v>
      </c>
      <c r="AC305" s="39">
        <f t="shared" si="198"/>
        <v>0</v>
      </c>
      <c r="AD305" s="39">
        <f t="shared" si="199"/>
        <v>0</v>
      </c>
      <c r="AE305" s="39">
        <f t="shared" si="200"/>
        <v>0</v>
      </c>
      <c r="AF305" s="39">
        <f t="shared" si="201"/>
        <v>0</v>
      </c>
      <c r="AG305" s="39">
        <f t="shared" si="202"/>
        <v>0</v>
      </c>
      <c r="AH305" s="39">
        <f t="shared" si="203"/>
        <v>0</v>
      </c>
      <c r="AI305" s="30"/>
      <c r="AJ305" s="21">
        <f t="shared" si="204"/>
        <v>0</v>
      </c>
      <c r="AK305" s="21">
        <f t="shared" si="205"/>
        <v>0</v>
      </c>
      <c r="AL305" s="21">
        <f t="shared" si="206"/>
        <v>0</v>
      </c>
      <c r="AN305" s="39">
        <v>21</v>
      </c>
      <c r="AO305" s="39">
        <f>G305*0</f>
        <v>0</v>
      </c>
      <c r="AP305" s="39">
        <f>G305*(1-0)</f>
        <v>0</v>
      </c>
      <c r="AQ305" s="34" t="s">
        <v>5</v>
      </c>
      <c r="AV305" s="39">
        <f t="shared" si="207"/>
        <v>0</v>
      </c>
      <c r="AW305" s="39">
        <f t="shared" si="208"/>
        <v>0</v>
      </c>
      <c r="AX305" s="39">
        <f t="shared" si="209"/>
        <v>0</v>
      </c>
      <c r="AY305" s="40" t="s">
        <v>1998</v>
      </c>
      <c r="AZ305" s="40" t="s">
        <v>2037</v>
      </c>
      <c r="BA305" s="30" t="s">
        <v>2045</v>
      </c>
      <c r="BC305" s="39">
        <f t="shared" si="210"/>
        <v>0</v>
      </c>
      <c r="BD305" s="39">
        <f t="shared" si="211"/>
        <v>0</v>
      </c>
      <c r="BE305" s="39">
        <v>0</v>
      </c>
      <c r="BF305" s="39">
        <f t="shared" si="212"/>
        <v>0</v>
      </c>
      <c r="BH305" s="21">
        <f t="shared" si="213"/>
        <v>0</v>
      </c>
      <c r="BI305" s="21">
        <f t="shared" si="214"/>
        <v>0</v>
      </c>
      <c r="BJ305" s="21">
        <f t="shared" si="215"/>
        <v>0</v>
      </c>
    </row>
    <row r="306" spans="1:62">
      <c r="A306" s="5" t="s">
        <v>215</v>
      </c>
      <c r="B306" s="5"/>
      <c r="C306" s="5" t="s">
        <v>818</v>
      </c>
      <c r="D306" s="5" t="s">
        <v>1493</v>
      </c>
      <c r="E306" s="5" t="s">
        <v>1940</v>
      </c>
      <c r="F306" s="21">
        <v>1253.2</v>
      </c>
      <c r="G306" s="753">
        <v>0</v>
      </c>
      <c r="H306" s="21">
        <f t="shared" si="192"/>
        <v>0</v>
      </c>
      <c r="I306" s="21">
        <f t="shared" si="193"/>
        <v>0</v>
      </c>
      <c r="J306" s="21">
        <f t="shared" si="194"/>
        <v>0</v>
      </c>
      <c r="K306" s="21">
        <v>0</v>
      </c>
      <c r="L306" s="21">
        <f t="shared" si="195"/>
        <v>0</v>
      </c>
      <c r="M306" s="34" t="s">
        <v>1961</v>
      </c>
      <c r="Z306" s="39">
        <f t="shared" si="196"/>
        <v>0</v>
      </c>
      <c r="AB306" s="39">
        <f t="shared" si="197"/>
        <v>0</v>
      </c>
      <c r="AC306" s="39">
        <f t="shared" si="198"/>
        <v>0</v>
      </c>
      <c r="AD306" s="39">
        <f t="shared" si="199"/>
        <v>0</v>
      </c>
      <c r="AE306" s="39">
        <f t="shared" si="200"/>
        <v>0</v>
      </c>
      <c r="AF306" s="39">
        <f t="shared" si="201"/>
        <v>0</v>
      </c>
      <c r="AG306" s="39">
        <f t="shared" si="202"/>
        <v>0</v>
      </c>
      <c r="AH306" s="39">
        <f t="shared" si="203"/>
        <v>0</v>
      </c>
      <c r="AI306" s="30"/>
      <c r="AJ306" s="21">
        <f t="shared" si="204"/>
        <v>0</v>
      </c>
      <c r="AK306" s="21">
        <f t="shared" si="205"/>
        <v>0</v>
      </c>
      <c r="AL306" s="21">
        <f t="shared" si="206"/>
        <v>0</v>
      </c>
      <c r="AN306" s="39">
        <v>21</v>
      </c>
      <c r="AO306" s="39">
        <f>G306*0</f>
        <v>0</v>
      </c>
      <c r="AP306" s="39">
        <f>G306*(1-0)</f>
        <v>0</v>
      </c>
      <c r="AQ306" s="34" t="s">
        <v>5</v>
      </c>
      <c r="AV306" s="39">
        <f t="shared" si="207"/>
        <v>0</v>
      </c>
      <c r="AW306" s="39">
        <f t="shared" si="208"/>
        <v>0</v>
      </c>
      <c r="AX306" s="39">
        <f t="shared" si="209"/>
        <v>0</v>
      </c>
      <c r="AY306" s="40" t="s">
        <v>1998</v>
      </c>
      <c r="AZ306" s="40" t="s">
        <v>2037</v>
      </c>
      <c r="BA306" s="30" t="s">
        <v>2045</v>
      </c>
      <c r="BC306" s="39">
        <f t="shared" si="210"/>
        <v>0</v>
      </c>
      <c r="BD306" s="39">
        <f t="shared" si="211"/>
        <v>0</v>
      </c>
      <c r="BE306" s="39">
        <v>0</v>
      </c>
      <c r="BF306" s="39">
        <f t="shared" si="212"/>
        <v>0</v>
      </c>
      <c r="BH306" s="21">
        <f t="shared" si="213"/>
        <v>0</v>
      </c>
      <c r="BI306" s="21">
        <f t="shared" si="214"/>
        <v>0</v>
      </c>
      <c r="BJ306" s="21">
        <f t="shared" si="215"/>
        <v>0</v>
      </c>
    </row>
    <row r="307" spans="1:62">
      <c r="A307" s="5" t="s">
        <v>216</v>
      </c>
      <c r="B307" s="5"/>
      <c r="C307" s="5" t="s">
        <v>819</v>
      </c>
      <c r="D307" s="5" t="s">
        <v>1494</v>
      </c>
      <c r="E307" s="5" t="s">
        <v>1940</v>
      </c>
      <c r="F307" s="21">
        <v>1253.2</v>
      </c>
      <c r="G307" s="753">
        <v>0</v>
      </c>
      <c r="H307" s="21">
        <f t="shared" si="192"/>
        <v>0</v>
      </c>
      <c r="I307" s="21">
        <f t="shared" si="193"/>
        <v>0</v>
      </c>
      <c r="J307" s="21">
        <f t="shared" si="194"/>
        <v>0</v>
      </c>
      <c r="K307" s="21">
        <v>0</v>
      </c>
      <c r="L307" s="21">
        <f t="shared" si="195"/>
        <v>0</v>
      </c>
      <c r="M307" s="34" t="s">
        <v>1961</v>
      </c>
      <c r="Z307" s="39">
        <f t="shared" si="196"/>
        <v>0</v>
      </c>
      <c r="AB307" s="39">
        <f t="shared" si="197"/>
        <v>0</v>
      </c>
      <c r="AC307" s="39">
        <f t="shared" si="198"/>
        <v>0</v>
      </c>
      <c r="AD307" s="39">
        <f t="shared" si="199"/>
        <v>0</v>
      </c>
      <c r="AE307" s="39">
        <f t="shared" si="200"/>
        <v>0</v>
      </c>
      <c r="AF307" s="39">
        <f t="shared" si="201"/>
        <v>0</v>
      </c>
      <c r="AG307" s="39">
        <f t="shared" si="202"/>
        <v>0</v>
      </c>
      <c r="AH307" s="39">
        <f t="shared" si="203"/>
        <v>0</v>
      </c>
      <c r="AI307" s="30"/>
      <c r="AJ307" s="21">
        <f t="shared" si="204"/>
        <v>0</v>
      </c>
      <c r="AK307" s="21">
        <f t="shared" si="205"/>
        <v>0</v>
      </c>
      <c r="AL307" s="21">
        <f t="shared" si="206"/>
        <v>0</v>
      </c>
      <c r="AN307" s="39">
        <v>21</v>
      </c>
      <c r="AO307" s="39">
        <f>G307*0</f>
        <v>0</v>
      </c>
      <c r="AP307" s="39">
        <f>G307*(1-0)</f>
        <v>0</v>
      </c>
      <c r="AQ307" s="34" t="s">
        <v>5</v>
      </c>
      <c r="AV307" s="39">
        <f t="shared" si="207"/>
        <v>0</v>
      </c>
      <c r="AW307" s="39">
        <f t="shared" si="208"/>
        <v>0</v>
      </c>
      <c r="AX307" s="39">
        <f t="shared" si="209"/>
        <v>0</v>
      </c>
      <c r="AY307" s="40" t="s">
        <v>1998</v>
      </c>
      <c r="AZ307" s="40" t="s">
        <v>2037</v>
      </c>
      <c r="BA307" s="30" t="s">
        <v>2045</v>
      </c>
      <c r="BC307" s="39">
        <f t="shared" si="210"/>
        <v>0</v>
      </c>
      <c r="BD307" s="39">
        <f t="shared" si="211"/>
        <v>0</v>
      </c>
      <c r="BE307" s="39">
        <v>0</v>
      </c>
      <c r="BF307" s="39">
        <f t="shared" si="212"/>
        <v>0</v>
      </c>
      <c r="BH307" s="21">
        <f t="shared" si="213"/>
        <v>0</v>
      </c>
      <c r="BI307" s="21">
        <f t="shared" si="214"/>
        <v>0</v>
      </c>
      <c r="BJ307" s="21">
        <f t="shared" si="215"/>
        <v>0</v>
      </c>
    </row>
    <row r="308" spans="1:62">
      <c r="A308" s="5" t="s">
        <v>217</v>
      </c>
      <c r="B308" s="5"/>
      <c r="C308" s="5" t="s">
        <v>820</v>
      </c>
      <c r="D308" s="5" t="s">
        <v>1495</v>
      </c>
      <c r="E308" s="5" t="s">
        <v>1940</v>
      </c>
      <c r="F308" s="21">
        <v>1253.2</v>
      </c>
      <c r="G308" s="753">
        <v>0</v>
      </c>
      <c r="H308" s="21">
        <f t="shared" si="192"/>
        <v>0</v>
      </c>
      <c r="I308" s="21">
        <f t="shared" si="193"/>
        <v>0</v>
      </c>
      <c r="J308" s="21">
        <f t="shared" si="194"/>
        <v>0</v>
      </c>
      <c r="K308" s="21">
        <v>0</v>
      </c>
      <c r="L308" s="21">
        <f t="shared" si="195"/>
        <v>0</v>
      </c>
      <c r="M308" s="34" t="s">
        <v>1961</v>
      </c>
      <c r="Z308" s="39">
        <f t="shared" si="196"/>
        <v>0</v>
      </c>
      <c r="AB308" s="39">
        <f t="shared" si="197"/>
        <v>0</v>
      </c>
      <c r="AC308" s="39">
        <f t="shared" si="198"/>
        <v>0</v>
      </c>
      <c r="AD308" s="39">
        <f t="shared" si="199"/>
        <v>0</v>
      </c>
      <c r="AE308" s="39">
        <f t="shared" si="200"/>
        <v>0</v>
      </c>
      <c r="AF308" s="39">
        <f t="shared" si="201"/>
        <v>0</v>
      </c>
      <c r="AG308" s="39">
        <f t="shared" si="202"/>
        <v>0</v>
      </c>
      <c r="AH308" s="39">
        <f t="shared" si="203"/>
        <v>0</v>
      </c>
      <c r="AI308" s="30"/>
      <c r="AJ308" s="21">
        <f t="shared" si="204"/>
        <v>0</v>
      </c>
      <c r="AK308" s="21">
        <f t="shared" si="205"/>
        <v>0</v>
      </c>
      <c r="AL308" s="21">
        <f t="shared" si="206"/>
        <v>0</v>
      </c>
      <c r="AN308" s="39">
        <v>21</v>
      </c>
      <c r="AO308" s="39">
        <f>G308*0</f>
        <v>0</v>
      </c>
      <c r="AP308" s="39">
        <f>G308*(1-0)</f>
        <v>0</v>
      </c>
      <c r="AQ308" s="34" t="s">
        <v>5</v>
      </c>
      <c r="AV308" s="39">
        <f t="shared" si="207"/>
        <v>0</v>
      </c>
      <c r="AW308" s="39">
        <f t="shared" si="208"/>
        <v>0</v>
      </c>
      <c r="AX308" s="39">
        <f t="shared" si="209"/>
        <v>0</v>
      </c>
      <c r="AY308" s="40" t="s">
        <v>1998</v>
      </c>
      <c r="AZ308" s="40" t="s">
        <v>2037</v>
      </c>
      <c r="BA308" s="30" t="s">
        <v>2045</v>
      </c>
      <c r="BC308" s="39">
        <f t="shared" si="210"/>
        <v>0</v>
      </c>
      <c r="BD308" s="39">
        <f t="shared" si="211"/>
        <v>0</v>
      </c>
      <c r="BE308" s="39">
        <v>0</v>
      </c>
      <c r="BF308" s="39">
        <f t="shared" si="212"/>
        <v>0</v>
      </c>
      <c r="BH308" s="21">
        <f t="shared" si="213"/>
        <v>0</v>
      </c>
      <c r="BI308" s="21">
        <f t="shared" si="214"/>
        <v>0</v>
      </c>
      <c r="BJ308" s="21">
        <f t="shared" si="215"/>
        <v>0</v>
      </c>
    </row>
    <row r="309" spans="1:62">
      <c r="A309" s="4"/>
      <c r="B309" s="14"/>
      <c r="C309" s="14" t="s">
        <v>99</v>
      </c>
      <c r="D309" s="14" t="s">
        <v>1496</v>
      </c>
      <c r="E309" s="4" t="s">
        <v>4</v>
      </c>
      <c r="F309" s="4" t="s">
        <v>4</v>
      </c>
      <c r="G309" s="4"/>
      <c r="H309" s="42">
        <f>SUM(H310:H318)</f>
        <v>0</v>
      </c>
      <c r="I309" s="42">
        <f>SUM(I310:I318)</f>
        <v>0</v>
      </c>
      <c r="J309" s="42">
        <f>SUM(J310:J318)</f>
        <v>0</v>
      </c>
      <c r="K309" s="30"/>
      <c r="L309" s="42">
        <f>SUM(L310:L318)</f>
        <v>10.412748839999999</v>
      </c>
      <c r="M309" s="30"/>
      <c r="AI309" s="30"/>
      <c r="AS309" s="42">
        <f>SUM(AJ310:AJ318)</f>
        <v>0</v>
      </c>
      <c r="AT309" s="42">
        <f>SUM(AK310:AK318)</f>
        <v>0</v>
      </c>
      <c r="AU309" s="42">
        <f>SUM(AL310:AL318)</f>
        <v>0</v>
      </c>
    </row>
    <row r="310" spans="1:62">
      <c r="A310" s="5" t="s">
        <v>218</v>
      </c>
      <c r="B310" s="5"/>
      <c r="C310" s="5" t="s">
        <v>821</v>
      </c>
      <c r="D310" s="5" t="s">
        <v>1497</v>
      </c>
      <c r="E310" s="5" t="s">
        <v>1940</v>
      </c>
      <c r="F310" s="21">
        <v>1455.221</v>
      </c>
      <c r="G310" s="753">
        <v>0</v>
      </c>
      <c r="H310" s="21">
        <f t="shared" ref="H310:H318" si="216">F310*AO310</f>
        <v>0</v>
      </c>
      <c r="I310" s="21">
        <f t="shared" ref="I310:I318" si="217">F310*AP310</f>
        <v>0</v>
      </c>
      <c r="J310" s="21">
        <f t="shared" ref="J310:J318" si="218">F310*G310</f>
        <v>0</v>
      </c>
      <c r="K310" s="21">
        <v>4.0000000000000003E-5</v>
      </c>
      <c r="L310" s="21">
        <f t="shared" ref="L310:L318" si="219">F310*K310</f>
        <v>5.8208840000000005E-2</v>
      </c>
      <c r="M310" s="34" t="s">
        <v>1961</v>
      </c>
      <c r="Z310" s="39">
        <f t="shared" ref="Z310:Z318" si="220">IF(AQ310="5",BJ310,0)</f>
        <v>0</v>
      </c>
      <c r="AB310" s="39">
        <f t="shared" ref="AB310:AB318" si="221">IF(AQ310="1",BH310,0)</f>
        <v>0</v>
      </c>
      <c r="AC310" s="39">
        <f t="shared" ref="AC310:AC318" si="222">IF(AQ310="1",BI310,0)</f>
        <v>0</v>
      </c>
      <c r="AD310" s="39">
        <f t="shared" ref="AD310:AD318" si="223">IF(AQ310="7",BH310,0)</f>
        <v>0</v>
      </c>
      <c r="AE310" s="39">
        <f t="shared" ref="AE310:AE318" si="224">IF(AQ310="7",BI310,0)</f>
        <v>0</v>
      </c>
      <c r="AF310" s="39">
        <f t="shared" ref="AF310:AF318" si="225">IF(AQ310="2",BH310,0)</f>
        <v>0</v>
      </c>
      <c r="AG310" s="39">
        <f t="shared" ref="AG310:AG318" si="226">IF(AQ310="2",BI310,0)</f>
        <v>0</v>
      </c>
      <c r="AH310" s="39">
        <f t="shared" ref="AH310:AH318" si="227">IF(AQ310="0",BJ310,0)</f>
        <v>0</v>
      </c>
      <c r="AI310" s="30"/>
      <c r="AJ310" s="21">
        <f t="shared" ref="AJ310:AJ318" si="228">IF(AN310=0,J310,0)</f>
        <v>0</v>
      </c>
      <c r="AK310" s="21">
        <f t="shared" ref="AK310:AK318" si="229">IF(AN310=15,J310,0)</f>
        <v>0</v>
      </c>
      <c r="AL310" s="21">
        <f t="shared" ref="AL310:AL318" si="230">IF(AN310=21,J310,0)</f>
        <v>0</v>
      </c>
      <c r="AN310" s="39">
        <v>21</v>
      </c>
      <c r="AO310" s="39">
        <f>G310*0.0118672199508503</f>
        <v>0</v>
      </c>
      <c r="AP310" s="39">
        <f>G310*(1-0.0118672199508503)</f>
        <v>0</v>
      </c>
      <c r="AQ310" s="34" t="s">
        <v>5</v>
      </c>
      <c r="AV310" s="39">
        <f t="shared" ref="AV310:AV318" si="231">AW310+AX310</f>
        <v>0</v>
      </c>
      <c r="AW310" s="39">
        <f t="shared" ref="AW310:AW318" si="232">F310*AO310</f>
        <v>0</v>
      </c>
      <c r="AX310" s="39">
        <f t="shared" ref="AX310:AX318" si="233">F310*AP310</f>
        <v>0</v>
      </c>
      <c r="AY310" s="40" t="s">
        <v>1999</v>
      </c>
      <c r="AZ310" s="40" t="s">
        <v>2037</v>
      </c>
      <c r="BA310" s="30" t="s">
        <v>2045</v>
      </c>
      <c r="BC310" s="39">
        <f t="shared" ref="BC310:BC318" si="234">AW310+AX310</f>
        <v>0</v>
      </c>
      <c r="BD310" s="39">
        <f t="shared" ref="BD310:BD318" si="235">G310/(100-BE310)*100</f>
        <v>0</v>
      </c>
      <c r="BE310" s="39">
        <v>0</v>
      </c>
      <c r="BF310" s="39">
        <f t="shared" ref="BF310:BF318" si="236">L310</f>
        <v>5.8208840000000005E-2</v>
      </c>
      <c r="BH310" s="21">
        <f t="shared" ref="BH310:BH318" si="237">F310*AO310</f>
        <v>0</v>
      </c>
      <c r="BI310" s="21">
        <f t="shared" ref="BI310:BI318" si="238">F310*AP310</f>
        <v>0</v>
      </c>
      <c r="BJ310" s="21">
        <f t="shared" ref="BJ310:BJ318" si="239">F310*G310</f>
        <v>0</v>
      </c>
    </row>
    <row r="311" spans="1:62">
      <c r="A311" s="5" t="s">
        <v>219</v>
      </c>
      <c r="B311" s="5"/>
      <c r="C311" s="5" t="s">
        <v>822</v>
      </c>
      <c r="D311" s="5" t="s">
        <v>1498</v>
      </c>
      <c r="E311" s="5" t="s">
        <v>1943</v>
      </c>
      <c r="F311" s="21">
        <v>14</v>
      </c>
      <c r="G311" s="753">
        <v>0</v>
      </c>
      <c r="H311" s="21">
        <f t="shared" si="216"/>
        <v>0</v>
      </c>
      <c r="I311" s="21">
        <f t="shared" si="217"/>
        <v>0</v>
      </c>
      <c r="J311" s="21">
        <f t="shared" si="218"/>
        <v>0</v>
      </c>
      <c r="K311" s="21">
        <v>1.0000000000000001E-5</v>
      </c>
      <c r="L311" s="21">
        <f t="shared" si="219"/>
        <v>1.4000000000000001E-4</v>
      </c>
      <c r="M311" s="34" t="s">
        <v>1961</v>
      </c>
      <c r="Z311" s="39">
        <f t="shared" si="220"/>
        <v>0</v>
      </c>
      <c r="AB311" s="39">
        <f t="shared" si="221"/>
        <v>0</v>
      </c>
      <c r="AC311" s="39">
        <f t="shared" si="222"/>
        <v>0</v>
      </c>
      <c r="AD311" s="39">
        <f t="shared" si="223"/>
        <v>0</v>
      </c>
      <c r="AE311" s="39">
        <f t="shared" si="224"/>
        <v>0</v>
      </c>
      <c r="AF311" s="39">
        <f t="shared" si="225"/>
        <v>0</v>
      </c>
      <c r="AG311" s="39">
        <f t="shared" si="226"/>
        <v>0</v>
      </c>
      <c r="AH311" s="39">
        <f t="shared" si="227"/>
        <v>0</v>
      </c>
      <c r="AI311" s="30"/>
      <c r="AJ311" s="21">
        <f t="shared" si="228"/>
        <v>0</v>
      </c>
      <c r="AK311" s="21">
        <f t="shared" si="229"/>
        <v>0</v>
      </c>
      <c r="AL311" s="21">
        <f t="shared" si="230"/>
        <v>0</v>
      </c>
      <c r="AN311" s="39">
        <v>21</v>
      </c>
      <c r="AO311" s="39">
        <f>G311*0.136028936829867</f>
        <v>0</v>
      </c>
      <c r="AP311" s="39">
        <f>G311*(1-0.136028936829867)</f>
        <v>0</v>
      </c>
      <c r="AQ311" s="34" t="s">
        <v>5</v>
      </c>
      <c r="AV311" s="39">
        <f t="shared" si="231"/>
        <v>0</v>
      </c>
      <c r="AW311" s="39">
        <f t="shared" si="232"/>
        <v>0</v>
      </c>
      <c r="AX311" s="39">
        <f t="shared" si="233"/>
        <v>0</v>
      </c>
      <c r="AY311" s="40" t="s">
        <v>1999</v>
      </c>
      <c r="AZ311" s="40" t="s">
        <v>2037</v>
      </c>
      <c r="BA311" s="30" t="s">
        <v>2045</v>
      </c>
      <c r="BC311" s="39">
        <f t="shared" si="234"/>
        <v>0</v>
      </c>
      <c r="BD311" s="39">
        <f t="shared" si="235"/>
        <v>0</v>
      </c>
      <c r="BE311" s="39">
        <v>0</v>
      </c>
      <c r="BF311" s="39">
        <f t="shared" si="236"/>
        <v>1.4000000000000001E-4</v>
      </c>
      <c r="BH311" s="21">
        <f t="shared" si="237"/>
        <v>0</v>
      </c>
      <c r="BI311" s="21">
        <f t="shared" si="238"/>
        <v>0</v>
      </c>
      <c r="BJ311" s="21">
        <f t="shared" si="239"/>
        <v>0</v>
      </c>
    </row>
    <row r="312" spans="1:62">
      <c r="A312" s="6" t="s">
        <v>220</v>
      </c>
      <c r="B312" s="6"/>
      <c r="C312" s="6" t="s">
        <v>823</v>
      </c>
      <c r="D312" s="6" t="s">
        <v>1499</v>
      </c>
      <c r="E312" s="6" t="s">
        <v>1943</v>
      </c>
      <c r="F312" s="22">
        <v>11</v>
      </c>
      <c r="G312" s="754">
        <v>0</v>
      </c>
      <c r="H312" s="22">
        <f t="shared" si="216"/>
        <v>0</v>
      </c>
      <c r="I312" s="22">
        <f t="shared" si="217"/>
        <v>0</v>
      </c>
      <c r="J312" s="22">
        <f t="shared" si="218"/>
        <v>0</v>
      </c>
      <c r="K312" s="22">
        <v>1.55E-2</v>
      </c>
      <c r="L312" s="22">
        <f t="shared" si="219"/>
        <v>0.17049999999999998</v>
      </c>
      <c r="M312" s="35" t="s">
        <v>1961</v>
      </c>
      <c r="Z312" s="39">
        <f t="shared" si="220"/>
        <v>0</v>
      </c>
      <c r="AB312" s="39">
        <f t="shared" si="221"/>
        <v>0</v>
      </c>
      <c r="AC312" s="39">
        <f t="shared" si="222"/>
        <v>0</v>
      </c>
      <c r="AD312" s="39">
        <f t="shared" si="223"/>
        <v>0</v>
      </c>
      <c r="AE312" s="39">
        <f t="shared" si="224"/>
        <v>0</v>
      </c>
      <c r="AF312" s="39">
        <f t="shared" si="225"/>
        <v>0</v>
      </c>
      <c r="AG312" s="39">
        <f t="shared" si="226"/>
        <v>0</v>
      </c>
      <c r="AH312" s="39">
        <f t="shared" si="227"/>
        <v>0</v>
      </c>
      <c r="AI312" s="30"/>
      <c r="AJ312" s="22">
        <f t="shared" si="228"/>
        <v>0</v>
      </c>
      <c r="AK312" s="22">
        <f t="shared" si="229"/>
        <v>0</v>
      </c>
      <c r="AL312" s="22">
        <f t="shared" si="230"/>
        <v>0</v>
      </c>
      <c r="AN312" s="39">
        <v>21</v>
      </c>
      <c r="AO312" s="39">
        <f>G312*1</f>
        <v>0</v>
      </c>
      <c r="AP312" s="39">
        <f>G312*(1-1)</f>
        <v>0</v>
      </c>
      <c r="AQ312" s="35" t="s">
        <v>5</v>
      </c>
      <c r="AV312" s="39">
        <f t="shared" si="231"/>
        <v>0</v>
      </c>
      <c r="AW312" s="39">
        <f t="shared" si="232"/>
        <v>0</v>
      </c>
      <c r="AX312" s="39">
        <f t="shared" si="233"/>
        <v>0</v>
      </c>
      <c r="AY312" s="40" t="s">
        <v>1999</v>
      </c>
      <c r="AZ312" s="40" t="s">
        <v>2037</v>
      </c>
      <c r="BA312" s="30" t="s">
        <v>2045</v>
      </c>
      <c r="BC312" s="39">
        <f t="shared" si="234"/>
        <v>0</v>
      </c>
      <c r="BD312" s="39">
        <f t="shared" si="235"/>
        <v>0</v>
      </c>
      <c r="BE312" s="39">
        <v>0</v>
      </c>
      <c r="BF312" s="39">
        <f t="shared" si="236"/>
        <v>0.17049999999999998</v>
      </c>
      <c r="BH312" s="22">
        <f t="shared" si="237"/>
        <v>0</v>
      </c>
      <c r="BI312" s="22">
        <f t="shared" si="238"/>
        <v>0</v>
      </c>
      <c r="BJ312" s="22">
        <f t="shared" si="239"/>
        <v>0</v>
      </c>
    </row>
    <row r="313" spans="1:62">
      <c r="A313" s="6" t="s">
        <v>221</v>
      </c>
      <c r="B313" s="6"/>
      <c r="C313" s="6" t="s">
        <v>824</v>
      </c>
      <c r="D313" s="6" t="s">
        <v>1500</v>
      </c>
      <c r="E313" s="6" t="s">
        <v>1943</v>
      </c>
      <c r="F313" s="22">
        <v>3</v>
      </c>
      <c r="G313" s="754">
        <v>0</v>
      </c>
      <c r="H313" s="22">
        <f t="shared" si="216"/>
        <v>0</v>
      </c>
      <c r="I313" s="22">
        <f t="shared" si="217"/>
        <v>0</v>
      </c>
      <c r="J313" s="22">
        <f t="shared" si="218"/>
        <v>0</v>
      </c>
      <c r="K313" s="22">
        <v>2.1000000000000001E-2</v>
      </c>
      <c r="L313" s="22">
        <f t="shared" si="219"/>
        <v>6.3E-2</v>
      </c>
      <c r="M313" s="35" t="s">
        <v>1961</v>
      </c>
      <c r="Z313" s="39">
        <f t="shared" si="220"/>
        <v>0</v>
      </c>
      <c r="AB313" s="39">
        <f t="shared" si="221"/>
        <v>0</v>
      </c>
      <c r="AC313" s="39">
        <f t="shared" si="222"/>
        <v>0</v>
      </c>
      <c r="AD313" s="39">
        <f t="shared" si="223"/>
        <v>0</v>
      </c>
      <c r="AE313" s="39">
        <f t="shared" si="224"/>
        <v>0</v>
      </c>
      <c r="AF313" s="39">
        <f t="shared" si="225"/>
        <v>0</v>
      </c>
      <c r="AG313" s="39">
        <f t="shared" si="226"/>
        <v>0</v>
      </c>
      <c r="AH313" s="39">
        <f t="shared" si="227"/>
        <v>0</v>
      </c>
      <c r="AI313" s="30"/>
      <c r="AJ313" s="22">
        <f t="shared" si="228"/>
        <v>0</v>
      </c>
      <c r="AK313" s="22">
        <f t="shared" si="229"/>
        <v>0</v>
      </c>
      <c r="AL313" s="22">
        <f t="shared" si="230"/>
        <v>0</v>
      </c>
      <c r="AN313" s="39">
        <v>21</v>
      </c>
      <c r="AO313" s="39">
        <f>G313*1</f>
        <v>0</v>
      </c>
      <c r="AP313" s="39">
        <f>G313*(1-1)</f>
        <v>0</v>
      </c>
      <c r="AQ313" s="35" t="s">
        <v>5</v>
      </c>
      <c r="AV313" s="39">
        <f t="shared" si="231"/>
        <v>0</v>
      </c>
      <c r="AW313" s="39">
        <f t="shared" si="232"/>
        <v>0</v>
      </c>
      <c r="AX313" s="39">
        <f t="shared" si="233"/>
        <v>0</v>
      </c>
      <c r="AY313" s="40" t="s">
        <v>1999</v>
      </c>
      <c r="AZ313" s="40" t="s">
        <v>2037</v>
      </c>
      <c r="BA313" s="30" t="s">
        <v>2045</v>
      </c>
      <c r="BC313" s="39">
        <f t="shared" si="234"/>
        <v>0</v>
      </c>
      <c r="BD313" s="39">
        <f t="shared" si="235"/>
        <v>0</v>
      </c>
      <c r="BE313" s="39">
        <v>0</v>
      </c>
      <c r="BF313" s="39">
        <f t="shared" si="236"/>
        <v>6.3E-2</v>
      </c>
      <c r="BH313" s="22">
        <f t="shared" si="237"/>
        <v>0</v>
      </c>
      <c r="BI313" s="22">
        <f t="shared" si="238"/>
        <v>0</v>
      </c>
      <c r="BJ313" s="22">
        <f t="shared" si="239"/>
        <v>0</v>
      </c>
    </row>
    <row r="314" spans="1:62">
      <c r="A314" s="5" t="s">
        <v>222</v>
      </c>
      <c r="B314" s="5"/>
      <c r="C314" s="5" t="s">
        <v>825</v>
      </c>
      <c r="D314" s="5" t="s">
        <v>1501</v>
      </c>
      <c r="E314" s="5" t="s">
        <v>1943</v>
      </c>
      <c r="F314" s="21">
        <v>40</v>
      </c>
      <c r="G314" s="753">
        <v>0</v>
      </c>
      <c r="H314" s="21">
        <f t="shared" si="216"/>
        <v>0</v>
      </c>
      <c r="I314" s="21">
        <f t="shared" si="217"/>
        <v>0</v>
      </c>
      <c r="J314" s="21">
        <f t="shared" si="218"/>
        <v>0</v>
      </c>
      <c r="K314" s="21">
        <v>2.1000000000000001E-4</v>
      </c>
      <c r="L314" s="21">
        <f t="shared" si="219"/>
        <v>8.4000000000000012E-3</v>
      </c>
      <c r="M314" s="34" t="s">
        <v>1961</v>
      </c>
      <c r="Z314" s="39">
        <f t="shared" si="220"/>
        <v>0</v>
      </c>
      <c r="AB314" s="39">
        <f t="shared" si="221"/>
        <v>0</v>
      </c>
      <c r="AC314" s="39">
        <f t="shared" si="222"/>
        <v>0</v>
      </c>
      <c r="AD314" s="39">
        <f t="shared" si="223"/>
        <v>0</v>
      </c>
      <c r="AE314" s="39">
        <f t="shared" si="224"/>
        <v>0</v>
      </c>
      <c r="AF314" s="39">
        <f t="shared" si="225"/>
        <v>0</v>
      </c>
      <c r="AG314" s="39">
        <f t="shared" si="226"/>
        <v>0</v>
      </c>
      <c r="AH314" s="39">
        <f t="shared" si="227"/>
        <v>0</v>
      </c>
      <c r="AI314" s="30"/>
      <c r="AJ314" s="21">
        <f t="shared" si="228"/>
        <v>0</v>
      </c>
      <c r="AK314" s="21">
        <f t="shared" si="229"/>
        <v>0</v>
      </c>
      <c r="AL314" s="21">
        <f t="shared" si="230"/>
        <v>0</v>
      </c>
      <c r="AN314" s="39">
        <v>21</v>
      </c>
      <c r="AO314" s="39">
        <f>G314*0.342833333333333</f>
        <v>0</v>
      </c>
      <c r="AP314" s="39">
        <f>G314*(1-0.342833333333333)</f>
        <v>0</v>
      </c>
      <c r="AQ314" s="34" t="s">
        <v>5</v>
      </c>
      <c r="AV314" s="39">
        <f t="shared" si="231"/>
        <v>0</v>
      </c>
      <c r="AW314" s="39">
        <f t="shared" si="232"/>
        <v>0</v>
      </c>
      <c r="AX314" s="39">
        <f t="shared" si="233"/>
        <v>0</v>
      </c>
      <c r="AY314" s="40" t="s">
        <v>1999</v>
      </c>
      <c r="AZ314" s="40" t="s">
        <v>2037</v>
      </c>
      <c r="BA314" s="30" t="s">
        <v>2045</v>
      </c>
      <c r="BC314" s="39">
        <f t="shared" si="234"/>
        <v>0</v>
      </c>
      <c r="BD314" s="39">
        <f t="shared" si="235"/>
        <v>0</v>
      </c>
      <c r="BE314" s="39">
        <v>0</v>
      </c>
      <c r="BF314" s="39">
        <f t="shared" si="236"/>
        <v>8.4000000000000012E-3</v>
      </c>
      <c r="BH314" s="21">
        <f t="shared" si="237"/>
        <v>0</v>
      </c>
      <c r="BI314" s="21">
        <f t="shared" si="238"/>
        <v>0</v>
      </c>
      <c r="BJ314" s="21">
        <f t="shared" si="239"/>
        <v>0</v>
      </c>
    </row>
    <row r="315" spans="1:62">
      <c r="A315" s="5" t="s">
        <v>223</v>
      </c>
      <c r="B315" s="5"/>
      <c r="C315" s="5" t="s">
        <v>826</v>
      </c>
      <c r="D315" s="5" t="s">
        <v>1502</v>
      </c>
      <c r="E315" s="5" t="s">
        <v>1941</v>
      </c>
      <c r="F315" s="21">
        <v>4</v>
      </c>
      <c r="G315" s="753">
        <v>0</v>
      </c>
      <c r="H315" s="21">
        <f t="shared" si="216"/>
        <v>0</v>
      </c>
      <c r="I315" s="21">
        <f t="shared" si="217"/>
        <v>0</v>
      </c>
      <c r="J315" s="21">
        <f t="shared" si="218"/>
        <v>0</v>
      </c>
      <c r="K315" s="21">
        <v>2.5249999999999999</v>
      </c>
      <c r="L315" s="21">
        <f t="shared" si="219"/>
        <v>10.1</v>
      </c>
      <c r="M315" s="34" t="s">
        <v>1961</v>
      </c>
      <c r="Z315" s="39">
        <f t="shared" si="220"/>
        <v>0</v>
      </c>
      <c r="AB315" s="39">
        <f t="shared" si="221"/>
        <v>0</v>
      </c>
      <c r="AC315" s="39">
        <f t="shared" si="222"/>
        <v>0</v>
      </c>
      <c r="AD315" s="39">
        <f t="shared" si="223"/>
        <v>0</v>
      </c>
      <c r="AE315" s="39">
        <f t="shared" si="224"/>
        <v>0</v>
      </c>
      <c r="AF315" s="39">
        <f t="shared" si="225"/>
        <v>0</v>
      </c>
      <c r="AG315" s="39">
        <f t="shared" si="226"/>
        <v>0</v>
      </c>
      <c r="AH315" s="39">
        <f t="shared" si="227"/>
        <v>0</v>
      </c>
      <c r="AI315" s="30"/>
      <c r="AJ315" s="21">
        <f t="shared" si="228"/>
        <v>0</v>
      </c>
      <c r="AK315" s="21">
        <f t="shared" si="229"/>
        <v>0</v>
      </c>
      <c r="AL315" s="21">
        <f t="shared" si="230"/>
        <v>0</v>
      </c>
      <c r="AN315" s="39">
        <v>21</v>
      </c>
      <c r="AO315" s="39">
        <f>G315*0.51588</f>
        <v>0</v>
      </c>
      <c r="AP315" s="39">
        <f>G315*(1-0.51588)</f>
        <v>0</v>
      </c>
      <c r="AQ315" s="34" t="s">
        <v>5</v>
      </c>
      <c r="AV315" s="39">
        <f t="shared" si="231"/>
        <v>0</v>
      </c>
      <c r="AW315" s="39">
        <f t="shared" si="232"/>
        <v>0</v>
      </c>
      <c r="AX315" s="39">
        <f t="shared" si="233"/>
        <v>0</v>
      </c>
      <c r="AY315" s="40" t="s">
        <v>1999</v>
      </c>
      <c r="AZ315" s="40" t="s">
        <v>2037</v>
      </c>
      <c r="BA315" s="30" t="s">
        <v>2045</v>
      </c>
      <c r="BC315" s="39">
        <f t="shared" si="234"/>
        <v>0</v>
      </c>
      <c r="BD315" s="39">
        <f t="shared" si="235"/>
        <v>0</v>
      </c>
      <c r="BE315" s="39">
        <v>0</v>
      </c>
      <c r="BF315" s="39">
        <f t="shared" si="236"/>
        <v>10.1</v>
      </c>
      <c r="BH315" s="21">
        <f t="shared" si="237"/>
        <v>0</v>
      </c>
      <c r="BI315" s="21">
        <f t="shared" si="238"/>
        <v>0</v>
      </c>
      <c r="BJ315" s="21">
        <f t="shared" si="239"/>
        <v>0</v>
      </c>
    </row>
    <row r="316" spans="1:62">
      <c r="A316" s="5" t="s">
        <v>224</v>
      </c>
      <c r="B316" s="5"/>
      <c r="C316" s="5" t="s">
        <v>827</v>
      </c>
      <c r="D316" s="5" t="s">
        <v>1503</v>
      </c>
      <c r="E316" s="5" t="s">
        <v>1943</v>
      </c>
      <c r="F316" s="21">
        <v>25</v>
      </c>
      <c r="G316" s="753">
        <v>0</v>
      </c>
      <c r="H316" s="21">
        <f t="shared" si="216"/>
        <v>0</v>
      </c>
      <c r="I316" s="21">
        <f t="shared" si="217"/>
        <v>0</v>
      </c>
      <c r="J316" s="21">
        <f t="shared" si="218"/>
        <v>0</v>
      </c>
      <c r="K316" s="21">
        <v>5.0000000000000001E-4</v>
      </c>
      <c r="L316" s="21">
        <f t="shared" si="219"/>
        <v>1.2500000000000001E-2</v>
      </c>
      <c r="M316" s="34" t="s">
        <v>1960</v>
      </c>
      <c r="Z316" s="39">
        <f t="shared" si="220"/>
        <v>0</v>
      </c>
      <c r="AB316" s="39">
        <f t="shared" si="221"/>
        <v>0</v>
      </c>
      <c r="AC316" s="39">
        <f t="shared" si="222"/>
        <v>0</v>
      </c>
      <c r="AD316" s="39">
        <f t="shared" si="223"/>
        <v>0</v>
      </c>
      <c r="AE316" s="39">
        <f t="shared" si="224"/>
        <v>0</v>
      </c>
      <c r="AF316" s="39">
        <f t="shared" si="225"/>
        <v>0</v>
      </c>
      <c r="AG316" s="39">
        <f t="shared" si="226"/>
        <v>0</v>
      </c>
      <c r="AH316" s="39">
        <f t="shared" si="227"/>
        <v>0</v>
      </c>
      <c r="AI316" s="30"/>
      <c r="AJ316" s="21">
        <f t="shared" si="228"/>
        <v>0</v>
      </c>
      <c r="AK316" s="21">
        <f t="shared" si="229"/>
        <v>0</v>
      </c>
      <c r="AL316" s="21">
        <f t="shared" si="230"/>
        <v>0</v>
      </c>
      <c r="AN316" s="39">
        <v>21</v>
      </c>
      <c r="AO316" s="39">
        <f>G316*0.515909090909091</f>
        <v>0</v>
      </c>
      <c r="AP316" s="39">
        <f>G316*(1-0.515909090909091)</f>
        <v>0</v>
      </c>
      <c r="AQ316" s="34" t="s">
        <v>5</v>
      </c>
      <c r="AV316" s="39">
        <f t="shared" si="231"/>
        <v>0</v>
      </c>
      <c r="AW316" s="39">
        <f t="shared" si="232"/>
        <v>0</v>
      </c>
      <c r="AX316" s="39">
        <f t="shared" si="233"/>
        <v>0</v>
      </c>
      <c r="AY316" s="40" t="s">
        <v>1999</v>
      </c>
      <c r="AZ316" s="40" t="s">
        <v>2037</v>
      </c>
      <c r="BA316" s="30" t="s">
        <v>2045</v>
      </c>
      <c r="BC316" s="39">
        <f t="shared" si="234"/>
        <v>0</v>
      </c>
      <c r="BD316" s="39">
        <f t="shared" si="235"/>
        <v>0</v>
      </c>
      <c r="BE316" s="39">
        <v>0</v>
      </c>
      <c r="BF316" s="39">
        <f t="shared" si="236"/>
        <v>1.2500000000000001E-2</v>
      </c>
      <c r="BH316" s="21">
        <f t="shared" si="237"/>
        <v>0</v>
      </c>
      <c r="BI316" s="21">
        <f t="shared" si="238"/>
        <v>0</v>
      </c>
      <c r="BJ316" s="21">
        <f t="shared" si="239"/>
        <v>0</v>
      </c>
    </row>
    <row r="317" spans="1:62">
      <c r="A317" s="5" t="s">
        <v>225</v>
      </c>
      <c r="B317" s="5"/>
      <c r="C317" s="5" t="s">
        <v>828</v>
      </c>
      <c r="D317" s="5" t="s">
        <v>1504</v>
      </c>
      <c r="E317" s="5" t="s">
        <v>1943</v>
      </c>
      <c r="F317" s="21">
        <v>40</v>
      </c>
      <c r="G317" s="753">
        <v>0</v>
      </c>
      <c r="H317" s="21">
        <f t="shared" si="216"/>
        <v>0</v>
      </c>
      <c r="I317" s="21">
        <f t="shared" si="217"/>
        <v>0</v>
      </c>
      <c r="J317" s="21">
        <f t="shared" si="218"/>
        <v>0</v>
      </c>
      <c r="K317" s="21">
        <v>0</v>
      </c>
      <c r="L317" s="21">
        <f t="shared" si="219"/>
        <v>0</v>
      </c>
      <c r="M317" s="34" t="s">
        <v>1960</v>
      </c>
      <c r="Z317" s="39">
        <f t="shared" si="220"/>
        <v>0</v>
      </c>
      <c r="AB317" s="39">
        <f t="shared" si="221"/>
        <v>0</v>
      </c>
      <c r="AC317" s="39">
        <f t="shared" si="222"/>
        <v>0</v>
      </c>
      <c r="AD317" s="39">
        <f t="shared" si="223"/>
        <v>0</v>
      </c>
      <c r="AE317" s="39">
        <f t="shared" si="224"/>
        <v>0</v>
      </c>
      <c r="AF317" s="39">
        <f t="shared" si="225"/>
        <v>0</v>
      </c>
      <c r="AG317" s="39">
        <f t="shared" si="226"/>
        <v>0</v>
      </c>
      <c r="AH317" s="39">
        <f t="shared" si="227"/>
        <v>0</v>
      </c>
      <c r="AI317" s="30"/>
      <c r="AJ317" s="21">
        <f t="shared" si="228"/>
        <v>0</v>
      </c>
      <c r="AK317" s="21">
        <f t="shared" si="229"/>
        <v>0</v>
      </c>
      <c r="AL317" s="21">
        <f t="shared" si="230"/>
        <v>0</v>
      </c>
      <c r="AN317" s="39">
        <v>21</v>
      </c>
      <c r="AO317" s="39">
        <f>G317*0.342830769230769</f>
        <v>0</v>
      </c>
      <c r="AP317" s="39">
        <f>G317*(1-0.342830769230769)</f>
        <v>0</v>
      </c>
      <c r="AQ317" s="34" t="s">
        <v>5</v>
      </c>
      <c r="AV317" s="39">
        <f t="shared" si="231"/>
        <v>0</v>
      </c>
      <c r="AW317" s="39">
        <f t="shared" si="232"/>
        <v>0</v>
      </c>
      <c r="AX317" s="39">
        <f t="shared" si="233"/>
        <v>0</v>
      </c>
      <c r="AY317" s="40" t="s">
        <v>1999</v>
      </c>
      <c r="AZ317" s="40" t="s">
        <v>2037</v>
      </c>
      <c r="BA317" s="30" t="s">
        <v>2045</v>
      </c>
      <c r="BC317" s="39">
        <f t="shared" si="234"/>
        <v>0</v>
      </c>
      <c r="BD317" s="39">
        <f t="shared" si="235"/>
        <v>0</v>
      </c>
      <c r="BE317" s="39">
        <v>0</v>
      </c>
      <c r="BF317" s="39">
        <f t="shared" si="236"/>
        <v>0</v>
      </c>
      <c r="BH317" s="21">
        <f t="shared" si="237"/>
        <v>0</v>
      </c>
      <c r="BI317" s="21">
        <f t="shared" si="238"/>
        <v>0</v>
      </c>
      <c r="BJ317" s="21">
        <f t="shared" si="239"/>
        <v>0</v>
      </c>
    </row>
    <row r="318" spans="1:62">
      <c r="A318" s="5" t="s">
        <v>226</v>
      </c>
      <c r="B318" s="5"/>
      <c r="C318" s="5" t="s">
        <v>829</v>
      </c>
      <c r="D318" s="5" t="s">
        <v>1505</v>
      </c>
      <c r="E318" s="5" t="s">
        <v>1938</v>
      </c>
      <c r="F318" s="21">
        <v>1</v>
      </c>
      <c r="G318" s="753">
        <v>0</v>
      </c>
      <c r="H318" s="21">
        <f t="shared" si="216"/>
        <v>0</v>
      </c>
      <c r="I318" s="21">
        <f t="shared" si="217"/>
        <v>0</v>
      </c>
      <c r="J318" s="21">
        <f t="shared" si="218"/>
        <v>0</v>
      </c>
      <c r="K318" s="21">
        <v>0</v>
      </c>
      <c r="L318" s="21">
        <f t="shared" si="219"/>
        <v>0</v>
      </c>
      <c r="M318" s="34" t="s">
        <v>1960</v>
      </c>
      <c r="Z318" s="39">
        <f t="shared" si="220"/>
        <v>0</v>
      </c>
      <c r="AB318" s="39">
        <f t="shared" si="221"/>
        <v>0</v>
      </c>
      <c r="AC318" s="39">
        <f t="shared" si="222"/>
        <v>0</v>
      </c>
      <c r="AD318" s="39">
        <f t="shared" si="223"/>
        <v>0</v>
      </c>
      <c r="AE318" s="39">
        <f t="shared" si="224"/>
        <v>0</v>
      </c>
      <c r="AF318" s="39">
        <f t="shared" si="225"/>
        <v>0</v>
      </c>
      <c r="AG318" s="39">
        <f t="shared" si="226"/>
        <v>0</v>
      </c>
      <c r="AH318" s="39">
        <f t="shared" si="227"/>
        <v>0</v>
      </c>
      <c r="AI318" s="30"/>
      <c r="AJ318" s="21">
        <f t="shared" si="228"/>
        <v>0</v>
      </c>
      <c r="AK318" s="21">
        <f t="shared" si="229"/>
        <v>0</v>
      </c>
      <c r="AL318" s="21">
        <f t="shared" si="230"/>
        <v>0</v>
      </c>
      <c r="AN318" s="39">
        <v>21</v>
      </c>
      <c r="AO318" s="39">
        <f>G318*0.5159091</f>
        <v>0</v>
      </c>
      <c r="AP318" s="39">
        <f>G318*(1-0.5159091)</f>
        <v>0</v>
      </c>
      <c r="AQ318" s="34" t="s">
        <v>5</v>
      </c>
      <c r="AV318" s="39">
        <f t="shared" si="231"/>
        <v>0</v>
      </c>
      <c r="AW318" s="39">
        <f t="shared" si="232"/>
        <v>0</v>
      </c>
      <c r="AX318" s="39">
        <f t="shared" si="233"/>
        <v>0</v>
      </c>
      <c r="AY318" s="40" t="s">
        <v>1999</v>
      </c>
      <c r="AZ318" s="40" t="s">
        <v>2037</v>
      </c>
      <c r="BA318" s="30" t="s">
        <v>2045</v>
      </c>
      <c r="BC318" s="39">
        <f t="shared" si="234"/>
        <v>0</v>
      </c>
      <c r="BD318" s="39">
        <f t="shared" si="235"/>
        <v>0</v>
      </c>
      <c r="BE318" s="39">
        <v>0</v>
      </c>
      <c r="BF318" s="39">
        <f t="shared" si="236"/>
        <v>0</v>
      </c>
      <c r="BH318" s="21">
        <f t="shared" si="237"/>
        <v>0</v>
      </c>
      <c r="BI318" s="21">
        <f t="shared" si="238"/>
        <v>0</v>
      </c>
      <c r="BJ318" s="21">
        <f t="shared" si="239"/>
        <v>0</v>
      </c>
    </row>
    <row r="319" spans="1:62" ht="179.7" customHeight="1">
      <c r="C319" s="17" t="s">
        <v>605</v>
      </c>
      <c r="D319" s="917" t="s">
        <v>1506</v>
      </c>
      <c r="E319" s="918"/>
      <c r="F319" s="918"/>
      <c r="G319" s="918"/>
      <c r="H319" s="918"/>
      <c r="I319" s="918"/>
      <c r="J319" s="918"/>
      <c r="K319" s="918"/>
      <c r="L319" s="918"/>
      <c r="M319" s="918"/>
    </row>
    <row r="320" spans="1:62">
      <c r="A320" s="4"/>
      <c r="B320" s="14"/>
      <c r="C320" s="14" t="s">
        <v>100</v>
      </c>
      <c r="D320" s="14" t="s">
        <v>1507</v>
      </c>
      <c r="E320" s="4" t="s">
        <v>4</v>
      </c>
      <c r="F320" s="4" t="s">
        <v>4</v>
      </c>
      <c r="G320" s="4" t="s">
        <v>4</v>
      </c>
      <c r="H320" s="42">
        <f>SUM(H321:H338)</f>
        <v>0</v>
      </c>
      <c r="I320" s="42">
        <f>SUM(I321:I338)</f>
        <v>0</v>
      </c>
      <c r="J320" s="42">
        <f>SUM(J321:J338)</f>
        <v>0</v>
      </c>
      <c r="K320" s="30"/>
      <c r="L320" s="42">
        <f>SUM(L321:L338)</f>
        <v>552.43693658619998</v>
      </c>
      <c r="M320" s="30"/>
      <c r="AI320" s="30"/>
      <c r="AS320" s="42">
        <f>SUM(AJ321:AJ338)</f>
        <v>0</v>
      </c>
      <c r="AT320" s="42">
        <f>SUM(AK321:AK338)</f>
        <v>0</v>
      </c>
      <c r="AU320" s="42">
        <f>SUM(AL321:AL338)</f>
        <v>0</v>
      </c>
    </row>
    <row r="321" spans="1:62">
      <c r="A321" s="5" t="s">
        <v>227</v>
      </c>
      <c r="B321" s="5"/>
      <c r="C321" s="5" t="s">
        <v>830</v>
      </c>
      <c r="D321" s="5" t="s">
        <v>1508</v>
      </c>
      <c r="E321" s="5" t="s">
        <v>1941</v>
      </c>
      <c r="F321" s="21">
        <v>1.1134999999999999</v>
      </c>
      <c r="G321" s="753">
        <v>0</v>
      </c>
      <c r="H321" s="21">
        <f t="shared" ref="H321:H338" si="240">F321*AO321</f>
        <v>0</v>
      </c>
      <c r="I321" s="21">
        <f t="shared" ref="I321:I338" si="241">F321*AP321</f>
        <v>0</v>
      </c>
      <c r="J321" s="21">
        <f t="shared" ref="J321:J338" si="242">F321*G321</f>
        <v>0</v>
      </c>
      <c r="K321" s="21">
        <v>2.2000000000000002</v>
      </c>
      <c r="L321" s="21">
        <f t="shared" ref="L321:L338" si="243">F321*K321</f>
        <v>2.4497</v>
      </c>
      <c r="M321" s="34" t="s">
        <v>1961</v>
      </c>
      <c r="Z321" s="39">
        <f t="shared" ref="Z321:Z338" si="244">IF(AQ321="5",BJ321,0)</f>
        <v>0</v>
      </c>
      <c r="AB321" s="39">
        <f t="shared" ref="AB321:AB338" si="245">IF(AQ321="1",BH321,0)</f>
        <v>0</v>
      </c>
      <c r="AC321" s="39">
        <f t="shared" ref="AC321:AC338" si="246">IF(AQ321="1",BI321,0)</f>
        <v>0</v>
      </c>
      <c r="AD321" s="39">
        <f t="shared" ref="AD321:AD338" si="247">IF(AQ321="7",BH321,0)</f>
        <v>0</v>
      </c>
      <c r="AE321" s="39">
        <f t="shared" ref="AE321:AE338" si="248">IF(AQ321="7",BI321,0)</f>
        <v>0</v>
      </c>
      <c r="AF321" s="39">
        <f t="shared" ref="AF321:AF338" si="249">IF(AQ321="2",BH321,0)</f>
        <v>0</v>
      </c>
      <c r="AG321" s="39">
        <f t="shared" ref="AG321:AG338" si="250">IF(AQ321="2",BI321,0)</f>
        <v>0</v>
      </c>
      <c r="AH321" s="39">
        <f t="shared" ref="AH321:AH338" si="251">IF(AQ321="0",BJ321,0)</f>
        <v>0</v>
      </c>
      <c r="AI321" s="30"/>
      <c r="AJ321" s="21">
        <f t="shared" ref="AJ321:AJ338" si="252">IF(AN321=0,J321,0)</f>
        <v>0</v>
      </c>
      <c r="AK321" s="21">
        <f t="shared" ref="AK321:AK338" si="253">IF(AN321=15,J321,0)</f>
        <v>0</v>
      </c>
      <c r="AL321" s="21">
        <f t="shared" ref="AL321:AL338" si="254">IF(AN321=21,J321,0)</f>
        <v>0</v>
      </c>
      <c r="AN321" s="39">
        <v>21</v>
      </c>
      <c r="AO321" s="39">
        <f>G321*0</f>
        <v>0</v>
      </c>
      <c r="AP321" s="39">
        <f>G321*(1-0)</f>
        <v>0</v>
      </c>
      <c r="AQ321" s="34" t="s">
        <v>5</v>
      </c>
      <c r="AV321" s="39">
        <f t="shared" ref="AV321:AV338" si="255">AW321+AX321</f>
        <v>0</v>
      </c>
      <c r="AW321" s="39">
        <f t="shared" ref="AW321:AW338" si="256">F321*AO321</f>
        <v>0</v>
      </c>
      <c r="AX321" s="39">
        <f t="shared" ref="AX321:AX338" si="257">F321*AP321</f>
        <v>0</v>
      </c>
      <c r="AY321" s="40" t="s">
        <v>2000</v>
      </c>
      <c r="AZ321" s="40" t="s">
        <v>2037</v>
      </c>
      <c r="BA321" s="30" t="s">
        <v>2045</v>
      </c>
      <c r="BC321" s="39">
        <f t="shared" ref="BC321:BC338" si="258">AW321+AX321</f>
        <v>0</v>
      </c>
      <c r="BD321" s="39">
        <f t="shared" ref="BD321:BD338" si="259">G321/(100-BE321)*100</f>
        <v>0</v>
      </c>
      <c r="BE321" s="39">
        <v>0</v>
      </c>
      <c r="BF321" s="39">
        <f t="shared" ref="BF321:BF338" si="260">L321</f>
        <v>2.4497</v>
      </c>
      <c r="BH321" s="21">
        <f t="shared" ref="BH321:BH338" si="261">F321*AO321</f>
        <v>0</v>
      </c>
      <c r="BI321" s="21">
        <f t="shared" ref="BI321:BI338" si="262">F321*AP321</f>
        <v>0</v>
      </c>
      <c r="BJ321" s="21">
        <f t="shared" ref="BJ321:BJ338" si="263">F321*G321</f>
        <v>0</v>
      </c>
    </row>
    <row r="322" spans="1:62">
      <c r="A322" s="5" t="s">
        <v>228</v>
      </c>
      <c r="B322" s="5"/>
      <c r="C322" s="5" t="s">
        <v>831</v>
      </c>
      <c r="D322" s="5" t="s">
        <v>1509</v>
      </c>
      <c r="E322" s="5" t="s">
        <v>1941</v>
      </c>
      <c r="F322" s="21">
        <v>1.1134999999999999</v>
      </c>
      <c r="G322" s="753">
        <v>0</v>
      </c>
      <c r="H322" s="21">
        <f t="shared" si="240"/>
        <v>0</v>
      </c>
      <c r="I322" s="21">
        <f t="shared" si="241"/>
        <v>0</v>
      </c>
      <c r="J322" s="21">
        <f t="shared" si="242"/>
        <v>0</v>
      </c>
      <c r="K322" s="21">
        <v>0</v>
      </c>
      <c r="L322" s="21">
        <f t="shared" si="243"/>
        <v>0</v>
      </c>
      <c r="M322" s="34" t="s">
        <v>1961</v>
      </c>
      <c r="Z322" s="39">
        <f t="shared" si="244"/>
        <v>0</v>
      </c>
      <c r="AB322" s="39">
        <f t="shared" si="245"/>
        <v>0</v>
      </c>
      <c r="AC322" s="39">
        <f t="shared" si="246"/>
        <v>0</v>
      </c>
      <c r="AD322" s="39">
        <f t="shared" si="247"/>
        <v>0</v>
      </c>
      <c r="AE322" s="39">
        <f t="shared" si="248"/>
        <v>0</v>
      </c>
      <c r="AF322" s="39">
        <f t="shared" si="249"/>
        <v>0</v>
      </c>
      <c r="AG322" s="39">
        <f t="shared" si="250"/>
        <v>0</v>
      </c>
      <c r="AH322" s="39">
        <f t="shared" si="251"/>
        <v>0</v>
      </c>
      <c r="AI322" s="30"/>
      <c r="AJ322" s="21">
        <f t="shared" si="252"/>
        <v>0</v>
      </c>
      <c r="AK322" s="21">
        <f t="shared" si="253"/>
        <v>0</v>
      </c>
      <c r="AL322" s="21">
        <f t="shared" si="254"/>
        <v>0</v>
      </c>
      <c r="AN322" s="39">
        <v>21</v>
      </c>
      <c r="AO322" s="39">
        <f>G322*0</f>
        <v>0</v>
      </c>
      <c r="AP322" s="39">
        <f>G322*(1-0)</f>
        <v>0</v>
      </c>
      <c r="AQ322" s="34" t="s">
        <v>5</v>
      </c>
      <c r="AV322" s="39">
        <f t="shared" si="255"/>
        <v>0</v>
      </c>
      <c r="AW322" s="39">
        <f t="shared" si="256"/>
        <v>0</v>
      </c>
      <c r="AX322" s="39">
        <f t="shared" si="257"/>
        <v>0</v>
      </c>
      <c r="AY322" s="40" t="s">
        <v>2000</v>
      </c>
      <c r="AZ322" s="40" t="s">
        <v>2037</v>
      </c>
      <c r="BA322" s="30" t="s">
        <v>2045</v>
      </c>
      <c r="BC322" s="39">
        <f t="shared" si="258"/>
        <v>0</v>
      </c>
      <c r="BD322" s="39">
        <f t="shared" si="259"/>
        <v>0</v>
      </c>
      <c r="BE322" s="39">
        <v>0</v>
      </c>
      <c r="BF322" s="39">
        <f t="shared" si="260"/>
        <v>0</v>
      </c>
      <c r="BH322" s="21">
        <f t="shared" si="261"/>
        <v>0</v>
      </c>
      <c r="BI322" s="21">
        <f t="shared" si="262"/>
        <v>0</v>
      </c>
      <c r="BJ322" s="21">
        <f t="shared" si="263"/>
        <v>0</v>
      </c>
    </row>
    <row r="323" spans="1:62">
      <c r="A323" s="5" t="s">
        <v>229</v>
      </c>
      <c r="B323" s="5"/>
      <c r="C323" s="5" t="s">
        <v>832</v>
      </c>
      <c r="D323" s="5" t="s">
        <v>1510</v>
      </c>
      <c r="E323" s="5" t="s">
        <v>1940</v>
      </c>
      <c r="F323" s="21">
        <v>13.1</v>
      </c>
      <c r="G323" s="753">
        <v>0</v>
      </c>
      <c r="H323" s="21">
        <f t="shared" si="240"/>
        <v>0</v>
      </c>
      <c r="I323" s="21">
        <f t="shared" si="241"/>
        <v>0</v>
      </c>
      <c r="J323" s="21">
        <f t="shared" si="242"/>
        <v>0</v>
      </c>
      <c r="K323" s="21">
        <v>0.02</v>
      </c>
      <c r="L323" s="21">
        <f t="shared" si="243"/>
        <v>0.26200000000000001</v>
      </c>
      <c r="M323" s="34" t="s">
        <v>1961</v>
      </c>
      <c r="Z323" s="39">
        <f t="shared" si="244"/>
        <v>0</v>
      </c>
      <c r="AB323" s="39">
        <f t="shared" si="245"/>
        <v>0</v>
      </c>
      <c r="AC323" s="39">
        <f t="shared" si="246"/>
        <v>0</v>
      </c>
      <c r="AD323" s="39">
        <f t="shared" si="247"/>
        <v>0</v>
      </c>
      <c r="AE323" s="39">
        <f t="shared" si="248"/>
        <v>0</v>
      </c>
      <c r="AF323" s="39">
        <f t="shared" si="249"/>
        <v>0</v>
      </c>
      <c r="AG323" s="39">
        <f t="shared" si="250"/>
        <v>0</v>
      </c>
      <c r="AH323" s="39">
        <f t="shared" si="251"/>
        <v>0</v>
      </c>
      <c r="AI323" s="30"/>
      <c r="AJ323" s="21">
        <f t="shared" si="252"/>
        <v>0</v>
      </c>
      <c r="AK323" s="21">
        <f t="shared" si="253"/>
        <v>0</v>
      </c>
      <c r="AL323" s="21">
        <f t="shared" si="254"/>
        <v>0</v>
      </c>
      <c r="AN323" s="39">
        <v>21</v>
      </c>
      <c r="AO323" s="39">
        <f>G323*0</f>
        <v>0</v>
      </c>
      <c r="AP323" s="39">
        <f>G323*(1-0)</f>
        <v>0</v>
      </c>
      <c r="AQ323" s="34" t="s">
        <v>5</v>
      </c>
      <c r="AV323" s="39">
        <f t="shared" si="255"/>
        <v>0</v>
      </c>
      <c r="AW323" s="39">
        <f t="shared" si="256"/>
        <v>0</v>
      </c>
      <c r="AX323" s="39">
        <f t="shared" si="257"/>
        <v>0</v>
      </c>
      <c r="AY323" s="40" t="s">
        <v>2000</v>
      </c>
      <c r="AZ323" s="40" t="s">
        <v>2037</v>
      </c>
      <c r="BA323" s="30" t="s">
        <v>2045</v>
      </c>
      <c r="BC323" s="39">
        <f t="shared" si="258"/>
        <v>0</v>
      </c>
      <c r="BD323" s="39">
        <f t="shared" si="259"/>
        <v>0</v>
      </c>
      <c r="BE323" s="39">
        <v>0</v>
      </c>
      <c r="BF323" s="39">
        <f t="shared" si="260"/>
        <v>0.26200000000000001</v>
      </c>
      <c r="BH323" s="21">
        <f t="shared" si="261"/>
        <v>0</v>
      </c>
      <c r="BI323" s="21">
        <f t="shared" si="262"/>
        <v>0</v>
      </c>
      <c r="BJ323" s="21">
        <f t="shared" si="263"/>
        <v>0</v>
      </c>
    </row>
    <row r="324" spans="1:62">
      <c r="A324" s="5" t="s">
        <v>230</v>
      </c>
      <c r="B324" s="5"/>
      <c r="C324" s="5" t="s">
        <v>833</v>
      </c>
      <c r="D324" s="5" t="s">
        <v>1511</v>
      </c>
      <c r="E324" s="5" t="s">
        <v>1940</v>
      </c>
      <c r="F324" s="21">
        <v>14.56</v>
      </c>
      <c r="G324" s="753">
        <v>0</v>
      </c>
      <c r="H324" s="21">
        <f t="shared" si="240"/>
        <v>0</v>
      </c>
      <c r="I324" s="21">
        <f t="shared" si="241"/>
        <v>0</v>
      </c>
      <c r="J324" s="21">
        <f t="shared" si="242"/>
        <v>0</v>
      </c>
      <c r="K324" s="21">
        <v>1.72E-2</v>
      </c>
      <c r="L324" s="21">
        <f t="shared" si="243"/>
        <v>0.25043199999999999</v>
      </c>
      <c r="M324" s="34" t="s">
        <v>1961</v>
      </c>
      <c r="Z324" s="39">
        <f t="shared" si="244"/>
        <v>0</v>
      </c>
      <c r="AB324" s="39">
        <f t="shared" si="245"/>
        <v>0</v>
      </c>
      <c r="AC324" s="39">
        <f t="shared" si="246"/>
        <v>0</v>
      </c>
      <c r="AD324" s="39">
        <f t="shared" si="247"/>
        <v>0</v>
      </c>
      <c r="AE324" s="39">
        <f t="shared" si="248"/>
        <v>0</v>
      </c>
      <c r="AF324" s="39">
        <f t="shared" si="249"/>
        <v>0</v>
      </c>
      <c r="AG324" s="39">
        <f t="shared" si="250"/>
        <v>0</v>
      </c>
      <c r="AH324" s="39">
        <f t="shared" si="251"/>
        <v>0</v>
      </c>
      <c r="AI324" s="30"/>
      <c r="AJ324" s="21">
        <f t="shared" si="252"/>
        <v>0</v>
      </c>
      <c r="AK324" s="21">
        <f t="shared" si="253"/>
        <v>0</v>
      </c>
      <c r="AL324" s="21">
        <f t="shared" si="254"/>
        <v>0</v>
      </c>
      <c r="AN324" s="39">
        <v>21</v>
      </c>
      <c r="AO324" s="39">
        <f>G324*0.0527777777777778</f>
        <v>0</v>
      </c>
      <c r="AP324" s="39">
        <f>G324*(1-0.0527777777777778)</f>
        <v>0</v>
      </c>
      <c r="AQ324" s="34" t="s">
        <v>5</v>
      </c>
      <c r="AV324" s="39">
        <f t="shared" si="255"/>
        <v>0</v>
      </c>
      <c r="AW324" s="39">
        <f t="shared" si="256"/>
        <v>0</v>
      </c>
      <c r="AX324" s="39">
        <f t="shared" si="257"/>
        <v>0</v>
      </c>
      <c r="AY324" s="40" t="s">
        <v>2000</v>
      </c>
      <c r="AZ324" s="40" t="s">
        <v>2037</v>
      </c>
      <c r="BA324" s="30" t="s">
        <v>2045</v>
      </c>
      <c r="BC324" s="39">
        <f t="shared" si="258"/>
        <v>0</v>
      </c>
      <c r="BD324" s="39">
        <f t="shared" si="259"/>
        <v>0</v>
      </c>
      <c r="BE324" s="39">
        <v>0</v>
      </c>
      <c r="BF324" s="39">
        <f t="shared" si="260"/>
        <v>0.25043199999999999</v>
      </c>
      <c r="BH324" s="21">
        <f t="shared" si="261"/>
        <v>0</v>
      </c>
      <c r="BI324" s="21">
        <f t="shared" si="262"/>
        <v>0</v>
      </c>
      <c r="BJ324" s="21">
        <f t="shared" si="263"/>
        <v>0</v>
      </c>
    </row>
    <row r="325" spans="1:62">
      <c r="A325" s="5" t="s">
        <v>231</v>
      </c>
      <c r="B325" s="5"/>
      <c r="C325" s="5" t="s">
        <v>834</v>
      </c>
      <c r="D325" s="5" t="s">
        <v>1512</v>
      </c>
      <c r="E325" s="5" t="s">
        <v>1940</v>
      </c>
      <c r="F325" s="21">
        <v>4.7249999999999996</v>
      </c>
      <c r="G325" s="753">
        <v>0</v>
      </c>
      <c r="H325" s="21">
        <f t="shared" si="240"/>
        <v>0</v>
      </c>
      <c r="I325" s="21">
        <f t="shared" si="241"/>
        <v>0</v>
      </c>
      <c r="J325" s="21">
        <f t="shared" si="242"/>
        <v>0</v>
      </c>
      <c r="K325" s="21">
        <v>0.14566999999999999</v>
      </c>
      <c r="L325" s="21">
        <f t="shared" si="243"/>
        <v>0.68829074999999995</v>
      </c>
      <c r="M325" s="34" t="s">
        <v>1961</v>
      </c>
      <c r="Z325" s="39">
        <f t="shared" si="244"/>
        <v>0</v>
      </c>
      <c r="AB325" s="39">
        <f t="shared" si="245"/>
        <v>0</v>
      </c>
      <c r="AC325" s="39">
        <f t="shared" si="246"/>
        <v>0</v>
      </c>
      <c r="AD325" s="39">
        <f t="shared" si="247"/>
        <v>0</v>
      </c>
      <c r="AE325" s="39">
        <f t="shared" si="248"/>
        <v>0</v>
      </c>
      <c r="AF325" s="39">
        <f t="shared" si="249"/>
        <v>0</v>
      </c>
      <c r="AG325" s="39">
        <f t="shared" si="250"/>
        <v>0</v>
      </c>
      <c r="AH325" s="39">
        <f t="shared" si="251"/>
        <v>0</v>
      </c>
      <c r="AI325" s="30"/>
      <c r="AJ325" s="21">
        <f t="shared" si="252"/>
        <v>0</v>
      </c>
      <c r="AK325" s="21">
        <f t="shared" si="253"/>
        <v>0</v>
      </c>
      <c r="AL325" s="21">
        <f t="shared" si="254"/>
        <v>0</v>
      </c>
      <c r="AN325" s="39">
        <v>21</v>
      </c>
      <c r="AO325" s="39">
        <f>G325*0.12911450054473</f>
        <v>0</v>
      </c>
      <c r="AP325" s="39">
        <f>G325*(1-0.12911450054473)</f>
        <v>0</v>
      </c>
      <c r="AQ325" s="34" t="s">
        <v>5</v>
      </c>
      <c r="AV325" s="39">
        <f t="shared" si="255"/>
        <v>0</v>
      </c>
      <c r="AW325" s="39">
        <f t="shared" si="256"/>
        <v>0</v>
      </c>
      <c r="AX325" s="39">
        <f t="shared" si="257"/>
        <v>0</v>
      </c>
      <c r="AY325" s="40" t="s">
        <v>2000</v>
      </c>
      <c r="AZ325" s="40" t="s">
        <v>2037</v>
      </c>
      <c r="BA325" s="30" t="s">
        <v>2045</v>
      </c>
      <c r="BC325" s="39">
        <f t="shared" si="258"/>
        <v>0</v>
      </c>
      <c r="BD325" s="39">
        <f t="shared" si="259"/>
        <v>0</v>
      </c>
      <c r="BE325" s="39">
        <v>0</v>
      </c>
      <c r="BF325" s="39">
        <f t="shared" si="260"/>
        <v>0.68829074999999995</v>
      </c>
      <c r="BH325" s="21">
        <f t="shared" si="261"/>
        <v>0</v>
      </c>
      <c r="BI325" s="21">
        <f t="shared" si="262"/>
        <v>0</v>
      </c>
      <c r="BJ325" s="21">
        <f t="shared" si="263"/>
        <v>0</v>
      </c>
    </row>
    <row r="326" spans="1:62">
      <c r="A326" s="5" t="s">
        <v>232</v>
      </c>
      <c r="B326" s="5"/>
      <c r="C326" s="5" t="s">
        <v>835</v>
      </c>
      <c r="D326" s="5" t="s">
        <v>1513</v>
      </c>
      <c r="E326" s="5" t="s">
        <v>1940</v>
      </c>
      <c r="F326" s="21">
        <v>5.85</v>
      </c>
      <c r="G326" s="753">
        <v>0</v>
      </c>
      <c r="H326" s="21">
        <f t="shared" si="240"/>
        <v>0</v>
      </c>
      <c r="I326" s="21">
        <f t="shared" si="241"/>
        <v>0</v>
      </c>
      <c r="J326" s="21">
        <f t="shared" si="242"/>
        <v>0</v>
      </c>
      <c r="K326" s="21">
        <v>0.17322000000000001</v>
      </c>
      <c r="L326" s="21">
        <f t="shared" si="243"/>
        <v>1.0133369999999999</v>
      </c>
      <c r="M326" s="34" t="s">
        <v>1961</v>
      </c>
      <c r="Z326" s="39">
        <f t="shared" si="244"/>
        <v>0</v>
      </c>
      <c r="AB326" s="39">
        <f t="shared" si="245"/>
        <v>0</v>
      </c>
      <c r="AC326" s="39">
        <f t="shared" si="246"/>
        <v>0</v>
      </c>
      <c r="AD326" s="39">
        <f t="shared" si="247"/>
        <v>0</v>
      </c>
      <c r="AE326" s="39">
        <f t="shared" si="248"/>
        <v>0</v>
      </c>
      <c r="AF326" s="39">
        <f t="shared" si="249"/>
        <v>0</v>
      </c>
      <c r="AG326" s="39">
        <f t="shared" si="250"/>
        <v>0</v>
      </c>
      <c r="AH326" s="39">
        <f t="shared" si="251"/>
        <v>0</v>
      </c>
      <c r="AI326" s="30"/>
      <c r="AJ326" s="21">
        <f t="shared" si="252"/>
        <v>0</v>
      </c>
      <c r="AK326" s="21">
        <f t="shared" si="253"/>
        <v>0</v>
      </c>
      <c r="AL326" s="21">
        <f t="shared" si="254"/>
        <v>0</v>
      </c>
      <c r="AN326" s="39">
        <v>21</v>
      </c>
      <c r="AO326" s="39">
        <f>G326*0.147192168603272</f>
        <v>0</v>
      </c>
      <c r="AP326" s="39">
        <f>G326*(1-0.147192168603272)</f>
        <v>0</v>
      </c>
      <c r="AQ326" s="34" t="s">
        <v>5</v>
      </c>
      <c r="AV326" s="39">
        <f t="shared" si="255"/>
        <v>0</v>
      </c>
      <c r="AW326" s="39">
        <f t="shared" si="256"/>
        <v>0</v>
      </c>
      <c r="AX326" s="39">
        <f t="shared" si="257"/>
        <v>0</v>
      </c>
      <c r="AY326" s="40" t="s">
        <v>2000</v>
      </c>
      <c r="AZ326" s="40" t="s">
        <v>2037</v>
      </c>
      <c r="BA326" s="30" t="s">
        <v>2045</v>
      </c>
      <c r="BC326" s="39">
        <f t="shared" si="258"/>
        <v>0</v>
      </c>
      <c r="BD326" s="39">
        <f t="shared" si="259"/>
        <v>0</v>
      </c>
      <c r="BE326" s="39">
        <v>0</v>
      </c>
      <c r="BF326" s="39">
        <f t="shared" si="260"/>
        <v>1.0133369999999999</v>
      </c>
      <c r="BH326" s="21">
        <f t="shared" si="261"/>
        <v>0</v>
      </c>
      <c r="BI326" s="21">
        <f t="shared" si="262"/>
        <v>0</v>
      </c>
      <c r="BJ326" s="21">
        <f t="shared" si="263"/>
        <v>0</v>
      </c>
    </row>
    <row r="327" spans="1:62">
      <c r="A327" s="5" t="s">
        <v>233</v>
      </c>
      <c r="B327" s="5"/>
      <c r="C327" s="5" t="s">
        <v>836</v>
      </c>
      <c r="D327" s="5" t="s">
        <v>1514</v>
      </c>
      <c r="E327" s="5" t="s">
        <v>1943</v>
      </c>
      <c r="F327" s="21">
        <v>2</v>
      </c>
      <c r="G327" s="753">
        <v>0</v>
      </c>
      <c r="H327" s="21">
        <f t="shared" si="240"/>
        <v>0</v>
      </c>
      <c r="I327" s="21">
        <f t="shared" si="241"/>
        <v>0</v>
      </c>
      <c r="J327" s="21">
        <f t="shared" si="242"/>
        <v>0</v>
      </c>
      <c r="K327" s="21">
        <v>0</v>
      </c>
      <c r="L327" s="21">
        <f t="shared" si="243"/>
        <v>0</v>
      </c>
      <c r="M327" s="34" t="s">
        <v>1961</v>
      </c>
      <c r="Z327" s="39">
        <f t="shared" si="244"/>
        <v>0</v>
      </c>
      <c r="AB327" s="39">
        <f t="shared" si="245"/>
        <v>0</v>
      </c>
      <c r="AC327" s="39">
        <f t="shared" si="246"/>
        <v>0</v>
      </c>
      <c r="AD327" s="39">
        <f t="shared" si="247"/>
        <v>0</v>
      </c>
      <c r="AE327" s="39">
        <f t="shared" si="248"/>
        <v>0</v>
      </c>
      <c r="AF327" s="39">
        <f t="shared" si="249"/>
        <v>0</v>
      </c>
      <c r="AG327" s="39">
        <f t="shared" si="250"/>
        <v>0</v>
      </c>
      <c r="AH327" s="39">
        <f t="shared" si="251"/>
        <v>0</v>
      </c>
      <c r="AI327" s="30"/>
      <c r="AJ327" s="21">
        <f t="shared" si="252"/>
        <v>0</v>
      </c>
      <c r="AK327" s="21">
        <f t="shared" si="253"/>
        <v>0</v>
      </c>
      <c r="AL327" s="21">
        <f t="shared" si="254"/>
        <v>0</v>
      </c>
      <c r="AN327" s="39">
        <v>21</v>
      </c>
      <c r="AO327" s="39">
        <f>G327*0</f>
        <v>0</v>
      </c>
      <c r="AP327" s="39">
        <f>G327*(1-0)</f>
        <v>0</v>
      </c>
      <c r="AQ327" s="34" t="s">
        <v>5</v>
      </c>
      <c r="AV327" s="39">
        <f t="shared" si="255"/>
        <v>0</v>
      </c>
      <c r="AW327" s="39">
        <f t="shared" si="256"/>
        <v>0</v>
      </c>
      <c r="AX327" s="39">
        <f t="shared" si="257"/>
        <v>0</v>
      </c>
      <c r="AY327" s="40" t="s">
        <v>2000</v>
      </c>
      <c r="AZ327" s="40" t="s">
        <v>2037</v>
      </c>
      <c r="BA327" s="30" t="s">
        <v>2045</v>
      </c>
      <c r="BC327" s="39">
        <f t="shared" si="258"/>
        <v>0</v>
      </c>
      <c r="BD327" s="39">
        <f t="shared" si="259"/>
        <v>0</v>
      </c>
      <c r="BE327" s="39">
        <v>0</v>
      </c>
      <c r="BF327" s="39">
        <f t="shared" si="260"/>
        <v>0</v>
      </c>
      <c r="BH327" s="21">
        <f t="shared" si="261"/>
        <v>0</v>
      </c>
      <c r="BI327" s="21">
        <f t="shared" si="262"/>
        <v>0</v>
      </c>
      <c r="BJ327" s="21">
        <f t="shared" si="263"/>
        <v>0</v>
      </c>
    </row>
    <row r="328" spans="1:62">
      <c r="A328" s="5" t="s">
        <v>234</v>
      </c>
      <c r="B328" s="5"/>
      <c r="C328" s="5" t="s">
        <v>837</v>
      </c>
      <c r="D328" s="5" t="s">
        <v>1515</v>
      </c>
      <c r="E328" s="5" t="s">
        <v>1940</v>
      </c>
      <c r="F328" s="21">
        <v>2.25</v>
      </c>
      <c r="G328" s="753">
        <v>0</v>
      </c>
      <c r="H328" s="21">
        <f t="shared" si="240"/>
        <v>0</v>
      </c>
      <c r="I328" s="21">
        <f t="shared" si="241"/>
        <v>0</v>
      </c>
      <c r="J328" s="21">
        <f t="shared" si="242"/>
        <v>0</v>
      </c>
      <c r="K328" s="21">
        <v>6.4000000000000001E-2</v>
      </c>
      <c r="L328" s="21">
        <f t="shared" si="243"/>
        <v>0.14400000000000002</v>
      </c>
      <c r="M328" s="34" t="s">
        <v>1961</v>
      </c>
      <c r="Z328" s="39">
        <f t="shared" si="244"/>
        <v>0</v>
      </c>
      <c r="AB328" s="39">
        <f t="shared" si="245"/>
        <v>0</v>
      </c>
      <c r="AC328" s="39">
        <f t="shared" si="246"/>
        <v>0</v>
      </c>
      <c r="AD328" s="39">
        <f t="shared" si="247"/>
        <v>0</v>
      </c>
      <c r="AE328" s="39">
        <f t="shared" si="248"/>
        <v>0</v>
      </c>
      <c r="AF328" s="39">
        <f t="shared" si="249"/>
        <v>0</v>
      </c>
      <c r="AG328" s="39">
        <f t="shared" si="250"/>
        <v>0</v>
      </c>
      <c r="AH328" s="39">
        <f t="shared" si="251"/>
        <v>0</v>
      </c>
      <c r="AI328" s="30"/>
      <c r="AJ328" s="21">
        <f t="shared" si="252"/>
        <v>0</v>
      </c>
      <c r="AK328" s="21">
        <f t="shared" si="253"/>
        <v>0</v>
      </c>
      <c r="AL328" s="21">
        <f t="shared" si="254"/>
        <v>0</v>
      </c>
      <c r="AN328" s="39">
        <v>21</v>
      </c>
      <c r="AO328" s="39">
        <f>G328*0.0784982935153584</f>
        <v>0</v>
      </c>
      <c r="AP328" s="39">
        <f>G328*(1-0.0784982935153584)</f>
        <v>0</v>
      </c>
      <c r="AQ328" s="34" t="s">
        <v>5</v>
      </c>
      <c r="AV328" s="39">
        <f t="shared" si="255"/>
        <v>0</v>
      </c>
      <c r="AW328" s="39">
        <f t="shared" si="256"/>
        <v>0</v>
      </c>
      <c r="AX328" s="39">
        <f t="shared" si="257"/>
        <v>0</v>
      </c>
      <c r="AY328" s="40" t="s">
        <v>2000</v>
      </c>
      <c r="AZ328" s="40" t="s">
        <v>2037</v>
      </c>
      <c r="BA328" s="30" t="s">
        <v>2045</v>
      </c>
      <c r="BC328" s="39">
        <f t="shared" si="258"/>
        <v>0</v>
      </c>
      <c r="BD328" s="39">
        <f t="shared" si="259"/>
        <v>0</v>
      </c>
      <c r="BE328" s="39">
        <v>0</v>
      </c>
      <c r="BF328" s="39">
        <f t="shared" si="260"/>
        <v>0.14400000000000002</v>
      </c>
      <c r="BH328" s="21">
        <f t="shared" si="261"/>
        <v>0</v>
      </c>
      <c r="BI328" s="21">
        <f t="shared" si="262"/>
        <v>0</v>
      </c>
      <c r="BJ328" s="21">
        <f t="shared" si="263"/>
        <v>0</v>
      </c>
    </row>
    <row r="329" spans="1:62">
      <c r="A329" s="5" t="s">
        <v>235</v>
      </c>
      <c r="B329" s="5"/>
      <c r="C329" s="5" t="s">
        <v>838</v>
      </c>
      <c r="D329" s="5" t="s">
        <v>1516</v>
      </c>
      <c r="E329" s="5" t="s">
        <v>1940</v>
      </c>
      <c r="F329" s="21">
        <v>12.64</v>
      </c>
      <c r="G329" s="753">
        <v>0</v>
      </c>
      <c r="H329" s="21">
        <f t="shared" si="240"/>
        <v>0</v>
      </c>
      <c r="I329" s="21">
        <f t="shared" si="241"/>
        <v>0</v>
      </c>
      <c r="J329" s="21">
        <f t="shared" si="242"/>
        <v>0</v>
      </c>
      <c r="K329" s="21">
        <v>4.7820000000000001E-2</v>
      </c>
      <c r="L329" s="21">
        <f t="shared" si="243"/>
        <v>0.6044448</v>
      </c>
      <c r="M329" s="34" t="s">
        <v>1961</v>
      </c>
      <c r="Z329" s="39">
        <f t="shared" si="244"/>
        <v>0</v>
      </c>
      <c r="AB329" s="39">
        <f t="shared" si="245"/>
        <v>0</v>
      </c>
      <c r="AC329" s="39">
        <f t="shared" si="246"/>
        <v>0</v>
      </c>
      <c r="AD329" s="39">
        <f t="shared" si="247"/>
        <v>0</v>
      </c>
      <c r="AE329" s="39">
        <f t="shared" si="248"/>
        <v>0</v>
      </c>
      <c r="AF329" s="39">
        <f t="shared" si="249"/>
        <v>0</v>
      </c>
      <c r="AG329" s="39">
        <f t="shared" si="250"/>
        <v>0</v>
      </c>
      <c r="AH329" s="39">
        <f t="shared" si="251"/>
        <v>0</v>
      </c>
      <c r="AI329" s="30"/>
      <c r="AJ329" s="21">
        <f t="shared" si="252"/>
        <v>0</v>
      </c>
      <c r="AK329" s="21">
        <f t="shared" si="253"/>
        <v>0</v>
      </c>
      <c r="AL329" s="21">
        <f t="shared" si="254"/>
        <v>0</v>
      </c>
      <c r="AN329" s="39">
        <v>21</v>
      </c>
      <c r="AO329" s="39">
        <f>G329*0.111775147928994</f>
        <v>0</v>
      </c>
      <c r="AP329" s="39">
        <f>G329*(1-0.111775147928994)</f>
        <v>0</v>
      </c>
      <c r="AQ329" s="34" t="s">
        <v>5</v>
      </c>
      <c r="AV329" s="39">
        <f t="shared" si="255"/>
        <v>0</v>
      </c>
      <c r="AW329" s="39">
        <f t="shared" si="256"/>
        <v>0</v>
      </c>
      <c r="AX329" s="39">
        <f t="shared" si="257"/>
        <v>0</v>
      </c>
      <c r="AY329" s="40" t="s">
        <v>2000</v>
      </c>
      <c r="AZ329" s="40" t="s">
        <v>2037</v>
      </c>
      <c r="BA329" s="30" t="s">
        <v>2045</v>
      </c>
      <c r="BC329" s="39">
        <f t="shared" si="258"/>
        <v>0</v>
      </c>
      <c r="BD329" s="39">
        <f t="shared" si="259"/>
        <v>0</v>
      </c>
      <c r="BE329" s="39">
        <v>0</v>
      </c>
      <c r="BF329" s="39">
        <f t="shared" si="260"/>
        <v>0.6044448</v>
      </c>
      <c r="BH329" s="21">
        <f t="shared" si="261"/>
        <v>0</v>
      </c>
      <c r="BI329" s="21">
        <f t="shared" si="262"/>
        <v>0</v>
      </c>
      <c r="BJ329" s="21">
        <f t="shared" si="263"/>
        <v>0</v>
      </c>
    </row>
    <row r="330" spans="1:62">
      <c r="A330" s="5" t="s">
        <v>236</v>
      </c>
      <c r="B330" s="5"/>
      <c r="C330" s="5" t="s">
        <v>839</v>
      </c>
      <c r="D330" s="5" t="s">
        <v>1517</v>
      </c>
      <c r="E330" s="5" t="s">
        <v>1943</v>
      </c>
      <c r="F330" s="21">
        <v>9</v>
      </c>
      <c r="G330" s="753">
        <v>0</v>
      </c>
      <c r="H330" s="21">
        <f t="shared" si="240"/>
        <v>0</v>
      </c>
      <c r="I330" s="21">
        <f t="shared" si="241"/>
        <v>0</v>
      </c>
      <c r="J330" s="21">
        <f t="shared" si="242"/>
        <v>0</v>
      </c>
      <c r="K330" s="21">
        <v>0</v>
      </c>
      <c r="L330" s="21">
        <f t="shared" si="243"/>
        <v>0</v>
      </c>
      <c r="M330" s="34" t="s">
        <v>1961</v>
      </c>
      <c r="Z330" s="39">
        <f t="shared" si="244"/>
        <v>0</v>
      </c>
      <c r="AB330" s="39">
        <f t="shared" si="245"/>
        <v>0</v>
      </c>
      <c r="AC330" s="39">
        <f t="shared" si="246"/>
        <v>0</v>
      </c>
      <c r="AD330" s="39">
        <f t="shared" si="247"/>
        <v>0</v>
      </c>
      <c r="AE330" s="39">
        <f t="shared" si="248"/>
        <v>0</v>
      </c>
      <c r="AF330" s="39">
        <f t="shared" si="249"/>
        <v>0</v>
      </c>
      <c r="AG330" s="39">
        <f t="shared" si="250"/>
        <v>0</v>
      </c>
      <c r="AH330" s="39">
        <f t="shared" si="251"/>
        <v>0</v>
      </c>
      <c r="AI330" s="30"/>
      <c r="AJ330" s="21">
        <f t="shared" si="252"/>
        <v>0</v>
      </c>
      <c r="AK330" s="21">
        <f t="shared" si="253"/>
        <v>0</v>
      </c>
      <c r="AL330" s="21">
        <f t="shared" si="254"/>
        <v>0</v>
      </c>
      <c r="AN330" s="39">
        <v>21</v>
      </c>
      <c r="AO330" s="39">
        <f>G330*0</f>
        <v>0</v>
      </c>
      <c r="AP330" s="39">
        <f>G330*(1-0)</f>
        <v>0</v>
      </c>
      <c r="AQ330" s="34" t="s">
        <v>5</v>
      </c>
      <c r="AV330" s="39">
        <f t="shared" si="255"/>
        <v>0</v>
      </c>
      <c r="AW330" s="39">
        <f t="shared" si="256"/>
        <v>0</v>
      </c>
      <c r="AX330" s="39">
        <f t="shared" si="257"/>
        <v>0</v>
      </c>
      <c r="AY330" s="40" t="s">
        <v>2000</v>
      </c>
      <c r="AZ330" s="40" t="s">
        <v>2037</v>
      </c>
      <c r="BA330" s="30" t="s">
        <v>2045</v>
      </c>
      <c r="BC330" s="39">
        <f t="shared" si="258"/>
        <v>0</v>
      </c>
      <c r="BD330" s="39">
        <f t="shared" si="259"/>
        <v>0</v>
      </c>
      <c r="BE330" s="39">
        <v>0</v>
      </c>
      <c r="BF330" s="39">
        <f t="shared" si="260"/>
        <v>0</v>
      </c>
      <c r="BH330" s="21">
        <f t="shared" si="261"/>
        <v>0</v>
      </c>
      <c r="BI330" s="21">
        <f t="shared" si="262"/>
        <v>0</v>
      </c>
      <c r="BJ330" s="21">
        <f t="shared" si="263"/>
        <v>0</v>
      </c>
    </row>
    <row r="331" spans="1:62">
      <c r="A331" s="5" t="s">
        <v>237</v>
      </c>
      <c r="B331" s="5"/>
      <c r="C331" s="5" t="s">
        <v>840</v>
      </c>
      <c r="D331" s="5" t="s">
        <v>1518</v>
      </c>
      <c r="E331" s="5" t="s">
        <v>1940</v>
      </c>
      <c r="F331" s="21">
        <v>5.85</v>
      </c>
      <c r="G331" s="753">
        <v>0</v>
      </c>
      <c r="H331" s="21">
        <f t="shared" si="240"/>
        <v>0</v>
      </c>
      <c r="I331" s="21">
        <f t="shared" si="241"/>
        <v>0</v>
      </c>
      <c r="J331" s="21">
        <f t="shared" si="242"/>
        <v>0</v>
      </c>
      <c r="K331" s="21">
        <v>0.10067</v>
      </c>
      <c r="L331" s="21">
        <f t="shared" si="243"/>
        <v>0.58891949999999993</v>
      </c>
      <c r="M331" s="34" t="s">
        <v>1961</v>
      </c>
      <c r="Z331" s="39">
        <f t="shared" si="244"/>
        <v>0</v>
      </c>
      <c r="AB331" s="39">
        <f t="shared" si="245"/>
        <v>0</v>
      </c>
      <c r="AC331" s="39">
        <f t="shared" si="246"/>
        <v>0</v>
      </c>
      <c r="AD331" s="39">
        <f t="shared" si="247"/>
        <v>0</v>
      </c>
      <c r="AE331" s="39">
        <f t="shared" si="248"/>
        <v>0</v>
      </c>
      <c r="AF331" s="39">
        <f t="shared" si="249"/>
        <v>0</v>
      </c>
      <c r="AG331" s="39">
        <f t="shared" si="250"/>
        <v>0</v>
      </c>
      <c r="AH331" s="39">
        <f t="shared" si="251"/>
        <v>0</v>
      </c>
      <c r="AI331" s="30"/>
      <c r="AJ331" s="21">
        <f t="shared" si="252"/>
        <v>0</v>
      </c>
      <c r="AK331" s="21">
        <f t="shared" si="253"/>
        <v>0</v>
      </c>
      <c r="AL331" s="21">
        <f t="shared" si="254"/>
        <v>0</v>
      </c>
      <c r="AN331" s="39">
        <v>21</v>
      </c>
      <c r="AO331" s="39">
        <f>G331*0.142324449815545</f>
        <v>0</v>
      </c>
      <c r="AP331" s="39">
        <f>G331*(1-0.142324449815545)</f>
        <v>0</v>
      </c>
      <c r="AQ331" s="34" t="s">
        <v>5</v>
      </c>
      <c r="AV331" s="39">
        <f t="shared" si="255"/>
        <v>0</v>
      </c>
      <c r="AW331" s="39">
        <f t="shared" si="256"/>
        <v>0</v>
      </c>
      <c r="AX331" s="39">
        <f t="shared" si="257"/>
        <v>0</v>
      </c>
      <c r="AY331" s="40" t="s">
        <v>2000</v>
      </c>
      <c r="AZ331" s="40" t="s">
        <v>2037</v>
      </c>
      <c r="BA331" s="30" t="s">
        <v>2045</v>
      </c>
      <c r="BC331" s="39">
        <f t="shared" si="258"/>
        <v>0</v>
      </c>
      <c r="BD331" s="39">
        <f t="shared" si="259"/>
        <v>0</v>
      </c>
      <c r="BE331" s="39">
        <v>0</v>
      </c>
      <c r="BF331" s="39">
        <f t="shared" si="260"/>
        <v>0.58891949999999993</v>
      </c>
      <c r="BH331" s="21">
        <f t="shared" si="261"/>
        <v>0</v>
      </c>
      <c r="BI331" s="21">
        <f t="shared" si="262"/>
        <v>0</v>
      </c>
      <c r="BJ331" s="21">
        <f t="shared" si="263"/>
        <v>0</v>
      </c>
    </row>
    <row r="332" spans="1:62">
      <c r="A332" s="5" t="s">
        <v>238</v>
      </c>
      <c r="B332" s="5"/>
      <c r="C332" s="5" t="s">
        <v>841</v>
      </c>
      <c r="D332" s="5" t="s">
        <v>1519</v>
      </c>
      <c r="E332" s="5" t="s">
        <v>1941</v>
      </c>
      <c r="F332" s="21">
        <v>0</v>
      </c>
      <c r="G332" s="753">
        <v>0</v>
      </c>
      <c r="H332" s="21">
        <f t="shared" si="240"/>
        <v>0</v>
      </c>
      <c r="I332" s="21">
        <f t="shared" si="241"/>
        <v>0</v>
      </c>
      <c r="J332" s="21">
        <f t="shared" si="242"/>
        <v>0</v>
      </c>
      <c r="K332" s="21">
        <v>2.5011199999999998</v>
      </c>
      <c r="L332" s="21">
        <f t="shared" si="243"/>
        <v>0</v>
      </c>
      <c r="M332" s="34" t="s">
        <v>1961</v>
      </c>
      <c r="Z332" s="39">
        <f t="shared" si="244"/>
        <v>0</v>
      </c>
      <c r="AB332" s="39">
        <f t="shared" si="245"/>
        <v>0</v>
      </c>
      <c r="AC332" s="39">
        <f t="shared" si="246"/>
        <v>0</v>
      </c>
      <c r="AD332" s="39">
        <f t="shared" si="247"/>
        <v>0</v>
      </c>
      <c r="AE332" s="39">
        <f t="shared" si="248"/>
        <v>0</v>
      </c>
      <c r="AF332" s="39">
        <f t="shared" si="249"/>
        <v>0</v>
      </c>
      <c r="AG332" s="39">
        <f t="shared" si="250"/>
        <v>0</v>
      </c>
      <c r="AH332" s="39">
        <f t="shared" si="251"/>
        <v>0</v>
      </c>
      <c r="AI332" s="30"/>
      <c r="AJ332" s="21">
        <f t="shared" si="252"/>
        <v>0</v>
      </c>
      <c r="AK332" s="21">
        <f t="shared" si="253"/>
        <v>0</v>
      </c>
      <c r="AL332" s="21">
        <f t="shared" si="254"/>
        <v>0</v>
      </c>
      <c r="AN332" s="39">
        <v>21</v>
      </c>
      <c r="AO332" s="39">
        <f>G332*0</f>
        <v>0</v>
      </c>
      <c r="AP332" s="39">
        <f>G332*(1-0)</f>
        <v>0</v>
      </c>
      <c r="AQ332" s="34" t="s">
        <v>5</v>
      </c>
      <c r="AV332" s="39">
        <f t="shared" si="255"/>
        <v>0</v>
      </c>
      <c r="AW332" s="39">
        <f t="shared" si="256"/>
        <v>0</v>
      </c>
      <c r="AX332" s="39">
        <f t="shared" si="257"/>
        <v>0</v>
      </c>
      <c r="AY332" s="40" t="s">
        <v>2000</v>
      </c>
      <c r="AZ332" s="40" t="s">
        <v>2037</v>
      </c>
      <c r="BA332" s="30" t="s">
        <v>2045</v>
      </c>
      <c r="BC332" s="39">
        <f t="shared" si="258"/>
        <v>0</v>
      </c>
      <c r="BD332" s="39">
        <f t="shared" si="259"/>
        <v>0</v>
      </c>
      <c r="BE332" s="39">
        <v>0</v>
      </c>
      <c r="BF332" s="39">
        <f t="shared" si="260"/>
        <v>0</v>
      </c>
      <c r="BH332" s="21">
        <f t="shared" si="261"/>
        <v>0</v>
      </c>
      <c r="BI332" s="21">
        <f t="shared" si="262"/>
        <v>0</v>
      </c>
      <c r="BJ332" s="21">
        <f t="shared" si="263"/>
        <v>0</v>
      </c>
    </row>
    <row r="333" spans="1:62">
      <c r="A333" s="5" t="s">
        <v>239</v>
      </c>
      <c r="B333" s="5"/>
      <c r="C333" s="5" t="s">
        <v>842</v>
      </c>
      <c r="D333" s="5" t="s">
        <v>1520</v>
      </c>
      <c r="E333" s="5" t="s">
        <v>1941</v>
      </c>
      <c r="F333" s="21">
        <v>12.122999999999999</v>
      </c>
      <c r="G333" s="753">
        <v>0</v>
      </c>
      <c r="H333" s="21">
        <f t="shared" si="240"/>
        <v>0</v>
      </c>
      <c r="I333" s="21">
        <f t="shared" si="241"/>
        <v>0</v>
      </c>
      <c r="J333" s="21">
        <f t="shared" si="242"/>
        <v>0</v>
      </c>
      <c r="K333" s="21">
        <v>2.4014700000000002</v>
      </c>
      <c r="L333" s="21">
        <f t="shared" si="243"/>
        <v>29.113020810000002</v>
      </c>
      <c r="M333" s="34" t="s">
        <v>1961</v>
      </c>
      <c r="Z333" s="39">
        <f t="shared" si="244"/>
        <v>0</v>
      </c>
      <c r="AB333" s="39">
        <f t="shared" si="245"/>
        <v>0</v>
      </c>
      <c r="AC333" s="39">
        <f t="shared" si="246"/>
        <v>0</v>
      </c>
      <c r="AD333" s="39">
        <f t="shared" si="247"/>
        <v>0</v>
      </c>
      <c r="AE333" s="39">
        <f t="shared" si="248"/>
        <v>0</v>
      </c>
      <c r="AF333" s="39">
        <f t="shared" si="249"/>
        <v>0</v>
      </c>
      <c r="AG333" s="39">
        <f t="shared" si="250"/>
        <v>0</v>
      </c>
      <c r="AH333" s="39">
        <f t="shared" si="251"/>
        <v>0</v>
      </c>
      <c r="AI333" s="30"/>
      <c r="AJ333" s="21">
        <f t="shared" si="252"/>
        <v>0</v>
      </c>
      <c r="AK333" s="21">
        <f t="shared" si="253"/>
        <v>0</v>
      </c>
      <c r="AL333" s="21">
        <f t="shared" si="254"/>
        <v>0</v>
      </c>
      <c r="AN333" s="39">
        <v>21</v>
      </c>
      <c r="AO333" s="39">
        <f>G333*0.00759413683604973</f>
        <v>0</v>
      </c>
      <c r="AP333" s="39">
        <f>G333*(1-0.00759413683604973)</f>
        <v>0</v>
      </c>
      <c r="AQ333" s="34" t="s">
        <v>5</v>
      </c>
      <c r="AV333" s="39">
        <f t="shared" si="255"/>
        <v>0</v>
      </c>
      <c r="AW333" s="39">
        <f t="shared" si="256"/>
        <v>0</v>
      </c>
      <c r="AX333" s="39">
        <f t="shared" si="257"/>
        <v>0</v>
      </c>
      <c r="AY333" s="40" t="s">
        <v>2000</v>
      </c>
      <c r="AZ333" s="40" t="s">
        <v>2037</v>
      </c>
      <c r="BA333" s="30" t="s">
        <v>2045</v>
      </c>
      <c r="BC333" s="39">
        <f t="shared" si="258"/>
        <v>0</v>
      </c>
      <c r="BD333" s="39">
        <f t="shared" si="259"/>
        <v>0</v>
      </c>
      <c r="BE333" s="39">
        <v>0</v>
      </c>
      <c r="BF333" s="39">
        <f t="shared" si="260"/>
        <v>29.113020810000002</v>
      </c>
      <c r="BH333" s="21">
        <f t="shared" si="261"/>
        <v>0</v>
      </c>
      <c r="BI333" s="21">
        <f t="shared" si="262"/>
        <v>0</v>
      </c>
      <c r="BJ333" s="21">
        <f t="shared" si="263"/>
        <v>0</v>
      </c>
    </row>
    <row r="334" spans="1:62">
      <c r="A334" s="5" t="s">
        <v>240</v>
      </c>
      <c r="B334" s="5"/>
      <c r="C334" s="5" t="s">
        <v>843</v>
      </c>
      <c r="D334" s="5" t="s">
        <v>1521</v>
      </c>
      <c r="E334" s="5" t="s">
        <v>1941</v>
      </c>
      <c r="F334" s="21">
        <v>10.442</v>
      </c>
      <c r="G334" s="753">
        <v>0</v>
      </c>
      <c r="H334" s="21">
        <f t="shared" si="240"/>
        <v>0</v>
      </c>
      <c r="I334" s="21">
        <f t="shared" si="241"/>
        <v>0</v>
      </c>
      <c r="J334" s="21">
        <f t="shared" si="242"/>
        <v>0</v>
      </c>
      <c r="K334" s="21">
        <v>2</v>
      </c>
      <c r="L334" s="21">
        <f t="shared" si="243"/>
        <v>20.884</v>
      </c>
      <c r="M334" s="34" t="s">
        <v>1961</v>
      </c>
      <c r="Z334" s="39">
        <f t="shared" si="244"/>
        <v>0</v>
      </c>
      <c r="AB334" s="39">
        <f t="shared" si="245"/>
        <v>0</v>
      </c>
      <c r="AC334" s="39">
        <f t="shared" si="246"/>
        <v>0</v>
      </c>
      <c r="AD334" s="39">
        <f t="shared" si="247"/>
        <v>0</v>
      </c>
      <c r="AE334" s="39">
        <f t="shared" si="248"/>
        <v>0</v>
      </c>
      <c r="AF334" s="39">
        <f t="shared" si="249"/>
        <v>0</v>
      </c>
      <c r="AG334" s="39">
        <f t="shared" si="250"/>
        <v>0</v>
      </c>
      <c r="AH334" s="39">
        <f t="shared" si="251"/>
        <v>0</v>
      </c>
      <c r="AI334" s="30"/>
      <c r="AJ334" s="21">
        <f t="shared" si="252"/>
        <v>0</v>
      </c>
      <c r="AK334" s="21">
        <f t="shared" si="253"/>
        <v>0</v>
      </c>
      <c r="AL334" s="21">
        <f t="shared" si="254"/>
        <v>0</v>
      </c>
      <c r="AN334" s="39">
        <v>21</v>
      </c>
      <c r="AO334" s="39">
        <f>G334*0</f>
        <v>0</v>
      </c>
      <c r="AP334" s="39">
        <f>G334*(1-0)</f>
        <v>0</v>
      </c>
      <c r="AQ334" s="34" t="s">
        <v>5</v>
      </c>
      <c r="AV334" s="39">
        <f t="shared" si="255"/>
        <v>0</v>
      </c>
      <c r="AW334" s="39">
        <f t="shared" si="256"/>
        <v>0</v>
      </c>
      <c r="AX334" s="39">
        <f t="shared" si="257"/>
        <v>0</v>
      </c>
      <c r="AY334" s="40" t="s">
        <v>2000</v>
      </c>
      <c r="AZ334" s="40" t="s">
        <v>2037</v>
      </c>
      <c r="BA334" s="30" t="s">
        <v>2045</v>
      </c>
      <c r="BC334" s="39">
        <f t="shared" si="258"/>
        <v>0</v>
      </c>
      <c r="BD334" s="39">
        <f t="shared" si="259"/>
        <v>0</v>
      </c>
      <c r="BE334" s="39">
        <v>0</v>
      </c>
      <c r="BF334" s="39">
        <f t="shared" si="260"/>
        <v>20.884</v>
      </c>
      <c r="BH334" s="21">
        <f t="shared" si="261"/>
        <v>0</v>
      </c>
      <c r="BI334" s="21">
        <f t="shared" si="262"/>
        <v>0</v>
      </c>
      <c r="BJ334" s="21">
        <f t="shared" si="263"/>
        <v>0</v>
      </c>
    </row>
    <row r="335" spans="1:62">
      <c r="A335" s="5" t="s">
        <v>241</v>
      </c>
      <c r="B335" s="5"/>
      <c r="C335" s="5" t="s">
        <v>844</v>
      </c>
      <c r="D335" s="5" t="s">
        <v>1522</v>
      </c>
      <c r="E335" s="5" t="s">
        <v>1941</v>
      </c>
      <c r="F335" s="21">
        <v>1.00238</v>
      </c>
      <c r="G335" s="753">
        <v>0</v>
      </c>
      <c r="H335" s="21">
        <f t="shared" si="240"/>
        <v>0</v>
      </c>
      <c r="I335" s="21">
        <f t="shared" si="241"/>
        <v>0</v>
      </c>
      <c r="J335" s="21">
        <f t="shared" si="242"/>
        <v>0</v>
      </c>
      <c r="K335" s="21">
        <v>1.8124899999999999</v>
      </c>
      <c r="L335" s="21">
        <f t="shared" si="243"/>
        <v>1.8168037262000001</v>
      </c>
      <c r="M335" s="34" t="s">
        <v>1961</v>
      </c>
      <c r="Z335" s="39">
        <f t="shared" si="244"/>
        <v>0</v>
      </c>
      <c r="AB335" s="39">
        <f t="shared" si="245"/>
        <v>0</v>
      </c>
      <c r="AC335" s="39">
        <f t="shared" si="246"/>
        <v>0</v>
      </c>
      <c r="AD335" s="39">
        <f t="shared" si="247"/>
        <v>0</v>
      </c>
      <c r="AE335" s="39">
        <f t="shared" si="248"/>
        <v>0</v>
      </c>
      <c r="AF335" s="39">
        <f t="shared" si="249"/>
        <v>0</v>
      </c>
      <c r="AG335" s="39">
        <f t="shared" si="250"/>
        <v>0</v>
      </c>
      <c r="AH335" s="39">
        <f t="shared" si="251"/>
        <v>0</v>
      </c>
      <c r="AI335" s="30"/>
      <c r="AJ335" s="21">
        <f t="shared" si="252"/>
        <v>0</v>
      </c>
      <c r="AK335" s="21">
        <f t="shared" si="253"/>
        <v>0</v>
      </c>
      <c r="AL335" s="21">
        <f t="shared" si="254"/>
        <v>0</v>
      </c>
      <c r="AN335" s="39">
        <v>21</v>
      </c>
      <c r="AO335" s="39">
        <f>G335*0.173218081195475</f>
        <v>0</v>
      </c>
      <c r="AP335" s="39">
        <f>G335*(1-0.173218081195475)</f>
        <v>0</v>
      </c>
      <c r="AQ335" s="34" t="s">
        <v>5</v>
      </c>
      <c r="AV335" s="39">
        <f t="shared" si="255"/>
        <v>0</v>
      </c>
      <c r="AW335" s="39">
        <f t="shared" si="256"/>
        <v>0</v>
      </c>
      <c r="AX335" s="39">
        <f t="shared" si="257"/>
        <v>0</v>
      </c>
      <c r="AY335" s="40" t="s">
        <v>2000</v>
      </c>
      <c r="AZ335" s="40" t="s">
        <v>2037</v>
      </c>
      <c r="BA335" s="30" t="s">
        <v>2045</v>
      </c>
      <c r="BC335" s="39">
        <f t="shared" si="258"/>
        <v>0</v>
      </c>
      <c r="BD335" s="39">
        <f t="shared" si="259"/>
        <v>0</v>
      </c>
      <c r="BE335" s="39">
        <v>0</v>
      </c>
      <c r="BF335" s="39">
        <f t="shared" si="260"/>
        <v>1.8168037262000001</v>
      </c>
      <c r="BH335" s="21">
        <f t="shared" si="261"/>
        <v>0</v>
      </c>
      <c r="BI335" s="21">
        <f t="shared" si="262"/>
        <v>0</v>
      </c>
      <c r="BJ335" s="21">
        <f t="shared" si="263"/>
        <v>0</v>
      </c>
    </row>
    <row r="336" spans="1:62">
      <c r="A336" s="5" t="s">
        <v>242</v>
      </c>
      <c r="B336" s="5"/>
      <c r="C336" s="5" t="s">
        <v>845</v>
      </c>
      <c r="D336" s="5" t="s">
        <v>1523</v>
      </c>
      <c r="E336" s="5" t="s">
        <v>1941</v>
      </c>
      <c r="F336" s="21">
        <v>273.03750000000002</v>
      </c>
      <c r="G336" s="753">
        <v>0</v>
      </c>
      <c r="H336" s="21">
        <f t="shared" si="240"/>
        <v>0</v>
      </c>
      <c r="I336" s="21">
        <f t="shared" si="241"/>
        <v>0</v>
      </c>
      <c r="J336" s="21">
        <f t="shared" si="242"/>
        <v>0</v>
      </c>
      <c r="K336" s="21">
        <v>1.80128</v>
      </c>
      <c r="L336" s="21">
        <f t="shared" si="243"/>
        <v>491.81698800000004</v>
      </c>
      <c r="M336" s="34" t="s">
        <v>1961</v>
      </c>
      <c r="Z336" s="39">
        <f t="shared" si="244"/>
        <v>0</v>
      </c>
      <c r="AB336" s="39">
        <f t="shared" si="245"/>
        <v>0</v>
      </c>
      <c r="AC336" s="39">
        <f t="shared" si="246"/>
        <v>0</v>
      </c>
      <c r="AD336" s="39">
        <f t="shared" si="247"/>
        <v>0</v>
      </c>
      <c r="AE336" s="39">
        <f t="shared" si="248"/>
        <v>0</v>
      </c>
      <c r="AF336" s="39">
        <f t="shared" si="249"/>
        <v>0</v>
      </c>
      <c r="AG336" s="39">
        <f t="shared" si="250"/>
        <v>0</v>
      </c>
      <c r="AH336" s="39">
        <f t="shared" si="251"/>
        <v>0</v>
      </c>
      <c r="AI336" s="30"/>
      <c r="AJ336" s="21">
        <f t="shared" si="252"/>
        <v>0</v>
      </c>
      <c r="AK336" s="21">
        <f t="shared" si="253"/>
        <v>0</v>
      </c>
      <c r="AL336" s="21">
        <f t="shared" si="254"/>
        <v>0</v>
      </c>
      <c r="AN336" s="39">
        <v>21</v>
      </c>
      <c r="AO336" s="39">
        <f>G336*0.0363940524575379</f>
        <v>0</v>
      </c>
      <c r="AP336" s="39">
        <f>G336*(1-0.0363940524575379)</f>
        <v>0</v>
      </c>
      <c r="AQ336" s="34" t="s">
        <v>5</v>
      </c>
      <c r="AV336" s="39">
        <f t="shared" si="255"/>
        <v>0</v>
      </c>
      <c r="AW336" s="39">
        <f t="shared" si="256"/>
        <v>0</v>
      </c>
      <c r="AX336" s="39">
        <f t="shared" si="257"/>
        <v>0</v>
      </c>
      <c r="AY336" s="40" t="s">
        <v>2000</v>
      </c>
      <c r="AZ336" s="40" t="s">
        <v>2037</v>
      </c>
      <c r="BA336" s="30" t="s">
        <v>2045</v>
      </c>
      <c r="BC336" s="39">
        <f t="shared" si="258"/>
        <v>0</v>
      </c>
      <c r="BD336" s="39">
        <f t="shared" si="259"/>
        <v>0</v>
      </c>
      <c r="BE336" s="39">
        <v>0</v>
      </c>
      <c r="BF336" s="39">
        <f t="shared" si="260"/>
        <v>491.81698800000004</v>
      </c>
      <c r="BH336" s="21">
        <f t="shared" si="261"/>
        <v>0</v>
      </c>
      <c r="BI336" s="21">
        <f t="shared" si="262"/>
        <v>0</v>
      </c>
      <c r="BJ336" s="21">
        <f t="shared" si="263"/>
        <v>0</v>
      </c>
    </row>
    <row r="337" spans="1:62">
      <c r="A337" s="5" t="s">
        <v>243</v>
      </c>
      <c r="B337" s="5"/>
      <c r="C337" s="5" t="s">
        <v>846</v>
      </c>
      <c r="D337" s="5" t="s">
        <v>1524</v>
      </c>
      <c r="E337" s="5" t="s">
        <v>1939</v>
      </c>
      <c r="F337" s="21">
        <v>25</v>
      </c>
      <c r="G337" s="753">
        <v>0</v>
      </c>
      <c r="H337" s="21">
        <f t="shared" si="240"/>
        <v>0</v>
      </c>
      <c r="I337" s="21">
        <f t="shared" si="241"/>
        <v>0</v>
      </c>
      <c r="J337" s="21">
        <f t="shared" si="242"/>
        <v>0</v>
      </c>
      <c r="K337" s="21">
        <v>0.112</v>
      </c>
      <c r="L337" s="21">
        <f t="shared" si="243"/>
        <v>2.8000000000000003</v>
      </c>
      <c r="M337" s="34" t="s">
        <v>1961</v>
      </c>
      <c r="Z337" s="39">
        <f t="shared" si="244"/>
        <v>0</v>
      </c>
      <c r="AB337" s="39">
        <f t="shared" si="245"/>
        <v>0</v>
      </c>
      <c r="AC337" s="39">
        <f t="shared" si="246"/>
        <v>0</v>
      </c>
      <c r="AD337" s="39">
        <f t="shared" si="247"/>
        <v>0</v>
      </c>
      <c r="AE337" s="39">
        <f t="shared" si="248"/>
        <v>0</v>
      </c>
      <c r="AF337" s="39">
        <f t="shared" si="249"/>
        <v>0</v>
      </c>
      <c r="AG337" s="39">
        <f t="shared" si="250"/>
        <v>0</v>
      </c>
      <c r="AH337" s="39">
        <f t="shared" si="251"/>
        <v>0</v>
      </c>
      <c r="AI337" s="30"/>
      <c r="AJ337" s="21">
        <f t="shared" si="252"/>
        <v>0</v>
      </c>
      <c r="AK337" s="21">
        <f t="shared" si="253"/>
        <v>0</v>
      </c>
      <c r="AL337" s="21">
        <f t="shared" si="254"/>
        <v>0</v>
      </c>
      <c r="AN337" s="39">
        <v>21</v>
      </c>
      <c r="AO337" s="39">
        <f>G337*0</f>
        <v>0</v>
      </c>
      <c r="AP337" s="39">
        <f>G337*(1-0)</f>
        <v>0</v>
      </c>
      <c r="AQ337" s="34" t="s">
        <v>5</v>
      </c>
      <c r="AV337" s="39">
        <f t="shared" si="255"/>
        <v>0</v>
      </c>
      <c r="AW337" s="39">
        <f t="shared" si="256"/>
        <v>0</v>
      </c>
      <c r="AX337" s="39">
        <f t="shared" si="257"/>
        <v>0</v>
      </c>
      <c r="AY337" s="40" t="s">
        <v>2000</v>
      </c>
      <c r="AZ337" s="40" t="s">
        <v>2037</v>
      </c>
      <c r="BA337" s="30" t="s">
        <v>2045</v>
      </c>
      <c r="BC337" s="39">
        <f t="shared" si="258"/>
        <v>0</v>
      </c>
      <c r="BD337" s="39">
        <f t="shared" si="259"/>
        <v>0</v>
      </c>
      <c r="BE337" s="39">
        <v>0</v>
      </c>
      <c r="BF337" s="39">
        <f t="shared" si="260"/>
        <v>2.8000000000000003</v>
      </c>
      <c r="BH337" s="21">
        <f t="shared" si="261"/>
        <v>0</v>
      </c>
      <c r="BI337" s="21">
        <f t="shared" si="262"/>
        <v>0</v>
      </c>
      <c r="BJ337" s="21">
        <f t="shared" si="263"/>
        <v>0</v>
      </c>
    </row>
    <row r="338" spans="1:62">
      <c r="A338" s="5" t="s">
        <v>244</v>
      </c>
      <c r="B338" s="5"/>
      <c r="C338" s="5" t="s">
        <v>846</v>
      </c>
      <c r="D338" s="5" t="s">
        <v>1525</v>
      </c>
      <c r="E338" s="5" t="s">
        <v>1943</v>
      </c>
      <c r="F338" s="21">
        <v>1</v>
      </c>
      <c r="G338" s="753">
        <v>0</v>
      </c>
      <c r="H338" s="21">
        <f t="shared" si="240"/>
        <v>0</v>
      </c>
      <c r="I338" s="21">
        <f t="shared" si="241"/>
        <v>0</v>
      </c>
      <c r="J338" s="21">
        <f t="shared" si="242"/>
        <v>0</v>
      </c>
      <c r="K338" s="21">
        <v>5.0000000000000001E-3</v>
      </c>
      <c r="L338" s="21">
        <f t="shared" si="243"/>
        <v>5.0000000000000001E-3</v>
      </c>
      <c r="M338" s="34" t="s">
        <v>1960</v>
      </c>
      <c r="Z338" s="39">
        <f t="shared" si="244"/>
        <v>0</v>
      </c>
      <c r="AB338" s="39">
        <f t="shared" si="245"/>
        <v>0</v>
      </c>
      <c r="AC338" s="39">
        <f t="shared" si="246"/>
        <v>0</v>
      </c>
      <c r="AD338" s="39">
        <f t="shared" si="247"/>
        <v>0</v>
      </c>
      <c r="AE338" s="39">
        <f t="shared" si="248"/>
        <v>0</v>
      </c>
      <c r="AF338" s="39">
        <f t="shared" si="249"/>
        <v>0</v>
      </c>
      <c r="AG338" s="39">
        <f t="shared" si="250"/>
        <v>0</v>
      </c>
      <c r="AH338" s="39">
        <f t="shared" si="251"/>
        <v>0</v>
      </c>
      <c r="AI338" s="30"/>
      <c r="AJ338" s="21">
        <f t="shared" si="252"/>
        <v>0</v>
      </c>
      <c r="AK338" s="21">
        <f t="shared" si="253"/>
        <v>0</v>
      </c>
      <c r="AL338" s="21">
        <f t="shared" si="254"/>
        <v>0</v>
      </c>
      <c r="AN338" s="39">
        <v>21</v>
      </c>
      <c r="AO338" s="39">
        <f>G338*0</f>
        <v>0</v>
      </c>
      <c r="AP338" s="39">
        <f>G338*(1-0)</f>
        <v>0</v>
      </c>
      <c r="AQ338" s="34" t="s">
        <v>5</v>
      </c>
      <c r="AV338" s="39">
        <f t="shared" si="255"/>
        <v>0</v>
      </c>
      <c r="AW338" s="39">
        <f t="shared" si="256"/>
        <v>0</v>
      </c>
      <c r="AX338" s="39">
        <f t="shared" si="257"/>
        <v>0</v>
      </c>
      <c r="AY338" s="40" t="s">
        <v>2000</v>
      </c>
      <c r="AZ338" s="40" t="s">
        <v>2037</v>
      </c>
      <c r="BA338" s="30" t="s">
        <v>2045</v>
      </c>
      <c r="BC338" s="39">
        <f t="shared" si="258"/>
        <v>0</v>
      </c>
      <c r="BD338" s="39">
        <f t="shared" si="259"/>
        <v>0</v>
      </c>
      <c r="BE338" s="39">
        <v>0</v>
      </c>
      <c r="BF338" s="39">
        <f t="shared" si="260"/>
        <v>5.0000000000000001E-3</v>
      </c>
      <c r="BH338" s="21">
        <f t="shared" si="261"/>
        <v>0</v>
      </c>
      <c r="BI338" s="21">
        <f t="shared" si="262"/>
        <v>0</v>
      </c>
      <c r="BJ338" s="21">
        <f t="shared" si="263"/>
        <v>0</v>
      </c>
    </row>
    <row r="339" spans="1:62">
      <c r="A339" s="4"/>
      <c r="B339" s="14"/>
      <c r="C339" s="14" t="s">
        <v>101</v>
      </c>
      <c r="D339" s="14" t="s">
        <v>1526</v>
      </c>
      <c r="E339" s="4" t="s">
        <v>4</v>
      </c>
      <c r="F339" s="4" t="s">
        <v>4</v>
      </c>
      <c r="G339" s="4"/>
      <c r="H339" s="42">
        <f>SUM(H340:H342)</f>
        <v>0</v>
      </c>
      <c r="I339" s="42">
        <f>SUM(I340:I342)</f>
        <v>0</v>
      </c>
      <c r="J339" s="42">
        <f>SUM(J340:J342)</f>
        <v>0</v>
      </c>
      <c r="K339" s="30"/>
      <c r="L339" s="42">
        <f>SUM(L340:L342)</f>
        <v>0.75394249999999996</v>
      </c>
      <c r="M339" s="30"/>
      <c r="AI339" s="30"/>
      <c r="AS339" s="42">
        <f>SUM(AJ340:AJ342)</f>
        <v>0</v>
      </c>
      <c r="AT339" s="42">
        <f>SUM(AK340:AK342)</f>
        <v>0</v>
      </c>
      <c r="AU339" s="42">
        <f>SUM(AL340:AL342)</f>
        <v>0</v>
      </c>
    </row>
    <row r="340" spans="1:62">
      <c r="A340" s="5" t="s">
        <v>245</v>
      </c>
      <c r="B340" s="5"/>
      <c r="C340" s="5" t="s">
        <v>847</v>
      </c>
      <c r="D340" s="5" t="s">
        <v>1527</v>
      </c>
      <c r="E340" s="5" t="s">
        <v>1940</v>
      </c>
      <c r="F340" s="21">
        <v>27</v>
      </c>
      <c r="G340" s="753">
        <v>0</v>
      </c>
      <c r="H340" s="21">
        <f>F340*AO340</f>
        <v>0</v>
      </c>
      <c r="I340" s="21">
        <f>F340*AP340</f>
        <v>0</v>
      </c>
      <c r="J340" s="21">
        <f>F340*G340</f>
        <v>0</v>
      </c>
      <c r="K340" s="21">
        <v>1.329E-2</v>
      </c>
      <c r="L340" s="21">
        <f>F340*K340</f>
        <v>0.35882999999999998</v>
      </c>
      <c r="M340" s="34" t="s">
        <v>1961</v>
      </c>
      <c r="Z340" s="39">
        <f>IF(AQ340="5",BJ340,0)</f>
        <v>0</v>
      </c>
      <c r="AB340" s="39">
        <f>IF(AQ340="1",BH340,0)</f>
        <v>0</v>
      </c>
      <c r="AC340" s="39">
        <f>IF(AQ340="1",BI340,0)</f>
        <v>0</v>
      </c>
      <c r="AD340" s="39">
        <f>IF(AQ340="7",BH340,0)</f>
        <v>0</v>
      </c>
      <c r="AE340" s="39">
        <f>IF(AQ340="7",BI340,0)</f>
        <v>0</v>
      </c>
      <c r="AF340" s="39">
        <f>IF(AQ340="2",BH340,0)</f>
        <v>0</v>
      </c>
      <c r="AG340" s="39">
        <f>IF(AQ340="2",BI340,0)</f>
        <v>0</v>
      </c>
      <c r="AH340" s="39">
        <f>IF(AQ340="0",BJ340,0)</f>
        <v>0</v>
      </c>
      <c r="AI340" s="30"/>
      <c r="AJ340" s="21">
        <f>IF(AN340=0,J340,0)</f>
        <v>0</v>
      </c>
      <c r="AK340" s="21">
        <f>IF(AN340=15,J340,0)</f>
        <v>0</v>
      </c>
      <c r="AL340" s="21">
        <f>IF(AN340=21,J340,0)</f>
        <v>0</v>
      </c>
      <c r="AN340" s="39">
        <v>21</v>
      </c>
      <c r="AO340" s="39">
        <f>G340*0</f>
        <v>0</v>
      </c>
      <c r="AP340" s="39">
        <f>G340*(1-0)</f>
        <v>0</v>
      </c>
      <c r="AQ340" s="34" t="s">
        <v>5</v>
      </c>
      <c r="AV340" s="39">
        <f>AW340+AX340</f>
        <v>0</v>
      </c>
      <c r="AW340" s="39">
        <f>F340*AO340</f>
        <v>0</v>
      </c>
      <c r="AX340" s="39">
        <f>F340*AP340</f>
        <v>0</v>
      </c>
      <c r="AY340" s="40" t="s">
        <v>2001</v>
      </c>
      <c r="AZ340" s="40" t="s">
        <v>2037</v>
      </c>
      <c r="BA340" s="30" t="s">
        <v>2045</v>
      </c>
      <c r="BC340" s="39">
        <f>AW340+AX340</f>
        <v>0</v>
      </c>
      <c r="BD340" s="39">
        <f>G340/(100-BE340)*100</f>
        <v>0</v>
      </c>
      <c r="BE340" s="39">
        <v>0</v>
      </c>
      <c r="BF340" s="39">
        <f>L340</f>
        <v>0.35882999999999998</v>
      </c>
      <c r="BH340" s="21">
        <f>F340*AO340</f>
        <v>0</v>
      </c>
      <c r="BI340" s="21">
        <f>F340*AP340</f>
        <v>0</v>
      </c>
      <c r="BJ340" s="21">
        <f>F340*G340</f>
        <v>0</v>
      </c>
    </row>
    <row r="341" spans="1:62">
      <c r="A341" s="5" t="s">
        <v>246</v>
      </c>
      <c r="B341" s="5"/>
      <c r="C341" s="5" t="s">
        <v>848</v>
      </c>
      <c r="D341" s="5" t="s">
        <v>1528</v>
      </c>
      <c r="E341" s="5" t="s">
        <v>1939</v>
      </c>
      <c r="F341" s="21">
        <v>10</v>
      </c>
      <c r="G341" s="753">
        <v>0</v>
      </c>
      <c r="H341" s="21">
        <f>F341*AO341</f>
        <v>0</v>
      </c>
      <c r="I341" s="21">
        <f>F341*AP341</f>
        <v>0</v>
      </c>
      <c r="J341" s="21">
        <f>F341*G341</f>
        <v>0</v>
      </c>
      <c r="K341" s="21">
        <v>3.6999999999999998E-2</v>
      </c>
      <c r="L341" s="21">
        <f>F341*K341</f>
        <v>0.37</v>
      </c>
      <c r="M341" s="34" t="s">
        <v>1961</v>
      </c>
      <c r="Z341" s="39">
        <f>IF(AQ341="5",BJ341,0)</f>
        <v>0</v>
      </c>
      <c r="AB341" s="39">
        <f>IF(AQ341="1",BH341,0)</f>
        <v>0</v>
      </c>
      <c r="AC341" s="39">
        <f>IF(AQ341="1",BI341,0)</f>
        <v>0</v>
      </c>
      <c r="AD341" s="39">
        <f>IF(AQ341="7",BH341,0)</f>
        <v>0</v>
      </c>
      <c r="AE341" s="39">
        <f>IF(AQ341="7",BI341,0)</f>
        <v>0</v>
      </c>
      <c r="AF341" s="39">
        <f>IF(AQ341="2",BH341,0)</f>
        <v>0</v>
      </c>
      <c r="AG341" s="39">
        <f>IF(AQ341="2",BI341,0)</f>
        <v>0</v>
      </c>
      <c r="AH341" s="39">
        <f>IF(AQ341="0",BJ341,0)</f>
        <v>0</v>
      </c>
      <c r="AI341" s="30"/>
      <c r="AJ341" s="21">
        <f>IF(AN341=0,J341,0)</f>
        <v>0</v>
      </c>
      <c r="AK341" s="21">
        <f>IF(AN341=15,J341,0)</f>
        <v>0</v>
      </c>
      <c r="AL341" s="21">
        <f>IF(AN341=21,J341,0)</f>
        <v>0</v>
      </c>
      <c r="AN341" s="39">
        <v>21</v>
      </c>
      <c r="AO341" s="39">
        <f>G341*0</f>
        <v>0</v>
      </c>
      <c r="AP341" s="39">
        <f>G341*(1-0)</f>
        <v>0</v>
      </c>
      <c r="AQ341" s="34" t="s">
        <v>5</v>
      </c>
      <c r="AV341" s="39">
        <f>AW341+AX341</f>
        <v>0</v>
      </c>
      <c r="AW341" s="39">
        <f>F341*AO341</f>
        <v>0</v>
      </c>
      <c r="AX341" s="39">
        <f>F341*AP341</f>
        <v>0</v>
      </c>
      <c r="AY341" s="40" t="s">
        <v>2001</v>
      </c>
      <c r="AZ341" s="40" t="s">
        <v>2037</v>
      </c>
      <c r="BA341" s="30" t="s">
        <v>2045</v>
      </c>
      <c r="BC341" s="39">
        <f>AW341+AX341</f>
        <v>0</v>
      </c>
      <c r="BD341" s="39">
        <f>G341/(100-BE341)*100</f>
        <v>0</v>
      </c>
      <c r="BE341" s="39">
        <v>0</v>
      </c>
      <c r="BF341" s="39">
        <f>L341</f>
        <v>0.37</v>
      </c>
      <c r="BH341" s="21">
        <f>F341*AO341</f>
        <v>0</v>
      </c>
      <c r="BI341" s="21">
        <f>F341*AP341</f>
        <v>0</v>
      </c>
      <c r="BJ341" s="21">
        <f>F341*G341</f>
        <v>0</v>
      </c>
    </row>
    <row r="342" spans="1:62">
      <c r="A342" s="5" t="s">
        <v>247</v>
      </c>
      <c r="B342" s="5"/>
      <c r="C342" s="5" t="s">
        <v>849</v>
      </c>
      <c r="D342" s="5" t="s">
        <v>1529</v>
      </c>
      <c r="E342" s="5" t="s">
        <v>1939</v>
      </c>
      <c r="F342" s="21">
        <v>8.75</v>
      </c>
      <c r="G342" s="753">
        <v>0</v>
      </c>
      <c r="H342" s="21">
        <f>F342*AO342</f>
        <v>0</v>
      </c>
      <c r="I342" s="21">
        <f>F342*AP342</f>
        <v>0</v>
      </c>
      <c r="J342" s="21">
        <f>F342*G342</f>
        <v>0</v>
      </c>
      <c r="K342" s="21">
        <v>2.8700000000000002E-3</v>
      </c>
      <c r="L342" s="21">
        <f>F342*K342</f>
        <v>2.5112500000000003E-2</v>
      </c>
      <c r="M342" s="34" t="s">
        <v>1961</v>
      </c>
      <c r="Z342" s="39">
        <f>IF(AQ342="5",BJ342,0)</f>
        <v>0</v>
      </c>
      <c r="AB342" s="39">
        <f>IF(AQ342="1",BH342,0)</f>
        <v>0</v>
      </c>
      <c r="AC342" s="39">
        <f>IF(AQ342="1",BI342,0)</f>
        <v>0</v>
      </c>
      <c r="AD342" s="39">
        <f>IF(AQ342="7",BH342,0)</f>
        <v>0</v>
      </c>
      <c r="AE342" s="39">
        <f>IF(AQ342="7",BI342,0)</f>
        <v>0</v>
      </c>
      <c r="AF342" s="39">
        <f>IF(AQ342="2",BH342,0)</f>
        <v>0</v>
      </c>
      <c r="AG342" s="39">
        <f>IF(AQ342="2",BI342,0)</f>
        <v>0</v>
      </c>
      <c r="AH342" s="39">
        <f>IF(AQ342="0",BJ342,0)</f>
        <v>0</v>
      </c>
      <c r="AI342" s="30"/>
      <c r="AJ342" s="21">
        <f>IF(AN342=0,J342,0)</f>
        <v>0</v>
      </c>
      <c r="AK342" s="21">
        <f>IF(AN342=15,J342,0)</f>
        <v>0</v>
      </c>
      <c r="AL342" s="21">
        <f>IF(AN342=21,J342,0)</f>
        <v>0</v>
      </c>
      <c r="AN342" s="39">
        <v>21</v>
      </c>
      <c r="AO342" s="39">
        <f>G342*0.324241464636761</f>
        <v>0</v>
      </c>
      <c r="AP342" s="39">
        <f>G342*(1-0.324241464636761)</f>
        <v>0</v>
      </c>
      <c r="AQ342" s="34" t="s">
        <v>5</v>
      </c>
      <c r="AV342" s="39">
        <f>AW342+AX342</f>
        <v>0</v>
      </c>
      <c r="AW342" s="39">
        <f>F342*AO342</f>
        <v>0</v>
      </c>
      <c r="AX342" s="39">
        <f>F342*AP342</f>
        <v>0</v>
      </c>
      <c r="AY342" s="40" t="s">
        <v>2001</v>
      </c>
      <c r="AZ342" s="40" t="s">
        <v>2037</v>
      </c>
      <c r="BA342" s="30" t="s">
        <v>2045</v>
      </c>
      <c r="BC342" s="39">
        <f>AW342+AX342</f>
        <v>0</v>
      </c>
      <c r="BD342" s="39">
        <f>G342/(100-BE342)*100</f>
        <v>0</v>
      </c>
      <c r="BE342" s="39">
        <v>0</v>
      </c>
      <c r="BF342" s="39">
        <f>L342</f>
        <v>2.5112500000000003E-2</v>
      </c>
      <c r="BH342" s="21">
        <f>F342*AO342</f>
        <v>0</v>
      </c>
      <c r="BI342" s="21">
        <f>F342*AP342</f>
        <v>0</v>
      </c>
      <c r="BJ342" s="21">
        <f>F342*G342</f>
        <v>0</v>
      </c>
    </row>
    <row r="343" spans="1:62">
      <c r="A343" s="4"/>
      <c r="B343" s="14"/>
      <c r="C343" s="14" t="s">
        <v>102</v>
      </c>
      <c r="D343" s="14" t="s">
        <v>1530</v>
      </c>
      <c r="E343" s="4" t="s">
        <v>4</v>
      </c>
      <c r="F343" s="4" t="s">
        <v>4</v>
      </c>
      <c r="G343" s="4"/>
      <c r="H343" s="42">
        <f>SUM(H344:H346)</f>
        <v>0</v>
      </c>
      <c r="I343" s="42">
        <f>SUM(I344:I346)</f>
        <v>0</v>
      </c>
      <c r="J343" s="42">
        <f>SUM(J344:J346)</f>
        <v>0</v>
      </c>
      <c r="K343" s="30"/>
      <c r="L343" s="42">
        <f>SUM(L344:L346)</f>
        <v>1317.4359846068</v>
      </c>
      <c r="M343" s="30"/>
      <c r="AI343" s="30"/>
      <c r="AS343" s="42">
        <f>SUM(AJ344:AJ346)</f>
        <v>0</v>
      </c>
      <c r="AT343" s="42">
        <f>SUM(AK344:AK346)</f>
        <v>0</v>
      </c>
      <c r="AU343" s="42">
        <f>SUM(AL344:AL346)</f>
        <v>0</v>
      </c>
    </row>
    <row r="344" spans="1:62">
      <c r="A344" s="5" t="s">
        <v>248</v>
      </c>
      <c r="B344" s="5"/>
      <c r="C344" s="5" t="s">
        <v>850</v>
      </c>
      <c r="D344" s="5" t="s">
        <v>1531</v>
      </c>
      <c r="E344" s="5" t="s">
        <v>1941</v>
      </c>
      <c r="F344" s="21">
        <v>2095.73522</v>
      </c>
      <c r="G344" s="753">
        <v>0</v>
      </c>
      <c r="H344" s="21">
        <f>F344*AO344</f>
        <v>0</v>
      </c>
      <c r="I344" s="21">
        <f>F344*AP344</f>
        <v>0</v>
      </c>
      <c r="J344" s="21">
        <f>F344*G344</f>
        <v>0</v>
      </c>
      <c r="K344" s="21">
        <v>0.57096999999999998</v>
      </c>
      <c r="L344" s="21">
        <f>F344*K344</f>
        <v>1196.6019385633999</v>
      </c>
      <c r="M344" s="34" t="s">
        <v>1961</v>
      </c>
      <c r="Z344" s="39">
        <f>IF(AQ344="5",BJ344,0)</f>
        <v>0</v>
      </c>
      <c r="AB344" s="39">
        <f>IF(AQ344="1",BH344,0)</f>
        <v>0</v>
      </c>
      <c r="AC344" s="39">
        <f>IF(AQ344="1",BI344,0)</f>
        <v>0</v>
      </c>
      <c r="AD344" s="39">
        <f>IF(AQ344="7",BH344,0)</f>
        <v>0</v>
      </c>
      <c r="AE344" s="39">
        <f>IF(AQ344="7",BI344,0)</f>
        <v>0</v>
      </c>
      <c r="AF344" s="39">
        <f>IF(AQ344="2",BH344,0)</f>
        <v>0</v>
      </c>
      <c r="AG344" s="39">
        <f>IF(AQ344="2",BI344,0)</f>
        <v>0</v>
      </c>
      <c r="AH344" s="39">
        <f>IF(AQ344="0",BJ344,0)</f>
        <v>0</v>
      </c>
      <c r="AI344" s="30"/>
      <c r="AJ344" s="21">
        <f>IF(AN344=0,J344,0)</f>
        <v>0</v>
      </c>
      <c r="AK344" s="21">
        <f>IF(AN344=15,J344,0)</f>
        <v>0</v>
      </c>
      <c r="AL344" s="21">
        <f>IF(AN344=21,J344,0)</f>
        <v>0</v>
      </c>
      <c r="AN344" s="39">
        <v>21</v>
      </c>
      <c r="AO344" s="39">
        <f>G344*0.00832278480409423</f>
        <v>0</v>
      </c>
      <c r="AP344" s="39">
        <f>G344*(1-0.00832278480409423)</f>
        <v>0</v>
      </c>
      <c r="AQ344" s="34" t="s">
        <v>5</v>
      </c>
      <c r="AV344" s="39">
        <f>AW344+AX344</f>
        <v>0</v>
      </c>
      <c r="AW344" s="39">
        <f>F344*AO344</f>
        <v>0</v>
      </c>
      <c r="AX344" s="39">
        <f>F344*AP344</f>
        <v>0</v>
      </c>
      <c r="AY344" s="40" t="s">
        <v>2002</v>
      </c>
      <c r="AZ344" s="40" t="s">
        <v>2037</v>
      </c>
      <c r="BA344" s="30" t="s">
        <v>2045</v>
      </c>
      <c r="BC344" s="39">
        <f>AW344+AX344</f>
        <v>0</v>
      </c>
      <c r="BD344" s="39">
        <f>G344/(100-BE344)*100</f>
        <v>0</v>
      </c>
      <c r="BE344" s="39">
        <v>0</v>
      </c>
      <c r="BF344" s="39">
        <f>L344</f>
        <v>1196.6019385633999</v>
      </c>
      <c r="BH344" s="21">
        <f>F344*AO344</f>
        <v>0</v>
      </c>
      <c r="BI344" s="21">
        <f>F344*AP344</f>
        <v>0</v>
      </c>
      <c r="BJ344" s="21">
        <f>F344*G344</f>
        <v>0</v>
      </c>
    </row>
    <row r="345" spans="1:62">
      <c r="A345" s="5" t="s">
        <v>249</v>
      </c>
      <c r="B345" s="5"/>
      <c r="C345" s="5" t="s">
        <v>851</v>
      </c>
      <c r="D345" s="5" t="s">
        <v>1532</v>
      </c>
      <c r="E345" s="5" t="s">
        <v>1941</v>
      </c>
      <c r="F345" s="21">
        <v>52.5</v>
      </c>
      <c r="G345" s="753">
        <v>0</v>
      </c>
      <c r="H345" s="21">
        <f>F345*AO345</f>
        <v>0</v>
      </c>
      <c r="I345" s="21">
        <f>F345*AP345</f>
        <v>0</v>
      </c>
      <c r="J345" s="21">
        <f>F345*G345</f>
        <v>0</v>
      </c>
      <c r="K345" s="21">
        <v>0.22253999999999999</v>
      </c>
      <c r="L345" s="21">
        <f>F345*K345</f>
        <v>11.683349999999999</v>
      </c>
      <c r="M345" s="34" t="s">
        <v>1961</v>
      </c>
      <c r="Z345" s="39">
        <f>IF(AQ345="5",BJ345,0)</f>
        <v>0</v>
      </c>
      <c r="AB345" s="39">
        <f>IF(AQ345="1",BH345,0)</f>
        <v>0</v>
      </c>
      <c r="AC345" s="39">
        <f>IF(AQ345="1",BI345,0)</f>
        <v>0</v>
      </c>
      <c r="AD345" s="39">
        <f>IF(AQ345="7",BH345,0)</f>
        <v>0</v>
      </c>
      <c r="AE345" s="39">
        <f>IF(AQ345="7",BI345,0)</f>
        <v>0</v>
      </c>
      <c r="AF345" s="39">
        <f>IF(AQ345="2",BH345,0)</f>
        <v>0</v>
      </c>
      <c r="AG345" s="39">
        <f>IF(AQ345="2",BI345,0)</f>
        <v>0</v>
      </c>
      <c r="AH345" s="39">
        <f>IF(AQ345="0",BJ345,0)</f>
        <v>0</v>
      </c>
      <c r="AI345" s="30"/>
      <c r="AJ345" s="21">
        <f>IF(AN345=0,J345,0)</f>
        <v>0</v>
      </c>
      <c r="AK345" s="21">
        <f>IF(AN345=15,J345,0)</f>
        <v>0</v>
      </c>
      <c r="AL345" s="21">
        <f>IF(AN345=21,J345,0)</f>
        <v>0</v>
      </c>
      <c r="AN345" s="39">
        <v>21</v>
      </c>
      <c r="AO345" s="39">
        <f>G345*0.0437676056338028</f>
        <v>0</v>
      </c>
      <c r="AP345" s="39">
        <f>G345*(1-0.0437676056338028)</f>
        <v>0</v>
      </c>
      <c r="AQ345" s="34" t="s">
        <v>5</v>
      </c>
      <c r="AV345" s="39">
        <f>AW345+AX345</f>
        <v>0</v>
      </c>
      <c r="AW345" s="39">
        <f>F345*AO345</f>
        <v>0</v>
      </c>
      <c r="AX345" s="39">
        <f>F345*AP345</f>
        <v>0</v>
      </c>
      <c r="AY345" s="40" t="s">
        <v>2002</v>
      </c>
      <c r="AZ345" s="40" t="s">
        <v>2037</v>
      </c>
      <c r="BA345" s="30" t="s">
        <v>2045</v>
      </c>
      <c r="BC345" s="39">
        <f>AW345+AX345</f>
        <v>0</v>
      </c>
      <c r="BD345" s="39">
        <f>G345/(100-BE345)*100</f>
        <v>0</v>
      </c>
      <c r="BE345" s="39">
        <v>0</v>
      </c>
      <c r="BF345" s="39">
        <f>L345</f>
        <v>11.683349999999999</v>
      </c>
      <c r="BH345" s="21">
        <f>F345*AO345</f>
        <v>0</v>
      </c>
      <c r="BI345" s="21">
        <f>F345*AP345</f>
        <v>0</v>
      </c>
      <c r="BJ345" s="21">
        <f>F345*G345</f>
        <v>0</v>
      </c>
    </row>
    <row r="346" spans="1:62">
      <c r="A346" s="5" t="s">
        <v>250</v>
      </c>
      <c r="B346" s="5"/>
      <c r="C346" s="5" t="s">
        <v>852</v>
      </c>
      <c r="D346" s="5" t="s">
        <v>1533</v>
      </c>
      <c r="E346" s="5" t="s">
        <v>1941</v>
      </c>
      <c r="F346" s="21">
        <v>45.26614</v>
      </c>
      <c r="G346" s="753">
        <v>0</v>
      </c>
      <c r="H346" s="21">
        <f>F346*AO346</f>
        <v>0</v>
      </c>
      <c r="I346" s="21">
        <f>F346*AP346</f>
        <v>0</v>
      </c>
      <c r="J346" s="21">
        <f>F346*G346</f>
        <v>0</v>
      </c>
      <c r="K346" s="21">
        <v>2.4113099999999998</v>
      </c>
      <c r="L346" s="21">
        <f>F346*K346</f>
        <v>109.15069604339999</v>
      </c>
      <c r="M346" s="34" t="s">
        <v>1961</v>
      </c>
      <c r="Z346" s="39">
        <f>IF(AQ346="5",BJ346,0)</f>
        <v>0</v>
      </c>
      <c r="AB346" s="39">
        <f>IF(AQ346="1",BH346,0)</f>
        <v>0</v>
      </c>
      <c r="AC346" s="39">
        <f>IF(AQ346="1",BI346,0)</f>
        <v>0</v>
      </c>
      <c r="AD346" s="39">
        <f>IF(AQ346="7",BH346,0)</f>
        <v>0</v>
      </c>
      <c r="AE346" s="39">
        <f>IF(AQ346="7",BI346,0)</f>
        <v>0</v>
      </c>
      <c r="AF346" s="39">
        <f>IF(AQ346="2",BH346,0)</f>
        <v>0</v>
      </c>
      <c r="AG346" s="39">
        <f>IF(AQ346="2",BI346,0)</f>
        <v>0</v>
      </c>
      <c r="AH346" s="39">
        <f>IF(AQ346="0",BJ346,0)</f>
        <v>0</v>
      </c>
      <c r="AI346" s="30"/>
      <c r="AJ346" s="21">
        <f>IF(AN346=0,J346,0)</f>
        <v>0</v>
      </c>
      <c r="AK346" s="21">
        <f>IF(AN346=15,J346,0)</f>
        <v>0</v>
      </c>
      <c r="AL346" s="21">
        <f>IF(AN346=21,J346,0)</f>
        <v>0</v>
      </c>
      <c r="AN346" s="39">
        <v>21</v>
      </c>
      <c r="AO346" s="39">
        <f>G346*0.00265093414184272</f>
        <v>0</v>
      </c>
      <c r="AP346" s="39">
        <f>G346*(1-0.00265093414184272)</f>
        <v>0</v>
      </c>
      <c r="AQ346" s="34" t="s">
        <v>5</v>
      </c>
      <c r="AV346" s="39">
        <f>AW346+AX346</f>
        <v>0</v>
      </c>
      <c r="AW346" s="39">
        <f>F346*AO346</f>
        <v>0</v>
      </c>
      <c r="AX346" s="39">
        <f>F346*AP346</f>
        <v>0</v>
      </c>
      <c r="AY346" s="40" t="s">
        <v>2002</v>
      </c>
      <c r="AZ346" s="40" t="s">
        <v>2037</v>
      </c>
      <c r="BA346" s="30" t="s">
        <v>2045</v>
      </c>
      <c r="BC346" s="39">
        <f>AW346+AX346</f>
        <v>0</v>
      </c>
      <c r="BD346" s="39">
        <f>G346/(100-BE346)*100</f>
        <v>0</v>
      </c>
      <c r="BE346" s="39">
        <v>0</v>
      </c>
      <c r="BF346" s="39">
        <f>L346</f>
        <v>109.15069604339999</v>
      </c>
      <c r="BH346" s="21">
        <f>F346*AO346</f>
        <v>0</v>
      </c>
      <c r="BI346" s="21">
        <f>F346*AP346</f>
        <v>0</v>
      </c>
      <c r="BJ346" s="21">
        <f>F346*G346</f>
        <v>0</v>
      </c>
    </row>
    <row r="347" spans="1:62">
      <c r="A347" s="4"/>
      <c r="B347" s="14"/>
      <c r="C347" s="14" t="s">
        <v>103</v>
      </c>
      <c r="D347" s="14" t="s">
        <v>1534</v>
      </c>
      <c r="E347" s="4" t="s">
        <v>4</v>
      </c>
      <c r="F347" s="4" t="s">
        <v>4</v>
      </c>
      <c r="G347" s="4"/>
      <c r="H347" s="42">
        <f>SUM(H348:H348)</f>
        <v>0</v>
      </c>
      <c r="I347" s="42">
        <f>SUM(I348:I348)</f>
        <v>0</v>
      </c>
      <c r="J347" s="42">
        <f>SUM(J348:J348)</f>
        <v>0</v>
      </c>
      <c r="K347" s="30"/>
      <c r="L347" s="42">
        <f>SUM(L348:L348)</f>
        <v>0</v>
      </c>
      <c r="M347" s="30"/>
      <c r="AI347" s="30"/>
      <c r="AS347" s="42">
        <f>SUM(AJ348:AJ348)</f>
        <v>0</v>
      </c>
      <c r="AT347" s="42">
        <f>SUM(AK348:AK348)</f>
        <v>0</v>
      </c>
      <c r="AU347" s="42">
        <f>SUM(AL348:AL348)</f>
        <v>0</v>
      </c>
    </row>
    <row r="348" spans="1:62">
      <c r="A348" s="5" t="s">
        <v>251</v>
      </c>
      <c r="B348" s="5"/>
      <c r="C348" s="5" t="s">
        <v>853</v>
      </c>
      <c r="D348" s="5" t="s">
        <v>1535</v>
      </c>
      <c r="E348" s="5" t="s">
        <v>1942</v>
      </c>
      <c r="F348" s="21">
        <v>4688.5666199999996</v>
      </c>
      <c r="G348" s="753">
        <v>0</v>
      </c>
      <c r="H348" s="21">
        <f>F348*AO348</f>
        <v>0</v>
      </c>
      <c r="I348" s="21">
        <f>F348*AP348</f>
        <v>0</v>
      </c>
      <c r="J348" s="21">
        <f>F348*G348</f>
        <v>0</v>
      </c>
      <c r="K348" s="21">
        <v>0</v>
      </c>
      <c r="L348" s="21">
        <f>F348*K348</f>
        <v>0</v>
      </c>
      <c r="M348" s="34" t="s">
        <v>1961</v>
      </c>
      <c r="Z348" s="39">
        <f>IF(AQ348="5",BJ348,0)</f>
        <v>0</v>
      </c>
      <c r="AB348" s="39">
        <f>IF(AQ348="1",BH348,0)</f>
        <v>0</v>
      </c>
      <c r="AC348" s="39">
        <f>IF(AQ348="1",BI348,0)</f>
        <v>0</v>
      </c>
      <c r="AD348" s="39">
        <f>IF(AQ348="7",BH348,0)</f>
        <v>0</v>
      </c>
      <c r="AE348" s="39">
        <f>IF(AQ348="7",BI348,0)</f>
        <v>0</v>
      </c>
      <c r="AF348" s="39">
        <f>IF(AQ348="2",BH348,0)</f>
        <v>0</v>
      </c>
      <c r="AG348" s="39">
        <f>IF(AQ348="2",BI348,0)</f>
        <v>0</v>
      </c>
      <c r="AH348" s="39">
        <f>IF(AQ348="0",BJ348,0)</f>
        <v>0</v>
      </c>
      <c r="AI348" s="30"/>
      <c r="AJ348" s="21">
        <f>IF(AN348=0,J348,0)</f>
        <v>0</v>
      </c>
      <c r="AK348" s="21">
        <f>IF(AN348=15,J348,0)</f>
        <v>0</v>
      </c>
      <c r="AL348" s="21">
        <f>IF(AN348=21,J348,0)</f>
        <v>0</v>
      </c>
      <c r="AN348" s="39">
        <v>21</v>
      </c>
      <c r="AO348" s="39">
        <f>G348*0</f>
        <v>0</v>
      </c>
      <c r="AP348" s="39">
        <f>G348*(1-0)</f>
        <v>0</v>
      </c>
      <c r="AQ348" s="34" t="s">
        <v>9</v>
      </c>
      <c r="AV348" s="39">
        <f>AW348+AX348</f>
        <v>0</v>
      </c>
      <c r="AW348" s="39">
        <f>F348*AO348</f>
        <v>0</v>
      </c>
      <c r="AX348" s="39">
        <f>F348*AP348</f>
        <v>0</v>
      </c>
      <c r="AY348" s="40" t="s">
        <v>2003</v>
      </c>
      <c r="AZ348" s="40" t="s">
        <v>2037</v>
      </c>
      <c r="BA348" s="30" t="s">
        <v>2045</v>
      </c>
      <c r="BC348" s="39">
        <f>AW348+AX348</f>
        <v>0</v>
      </c>
      <c r="BD348" s="39">
        <f>G348/(100-BE348)*100</f>
        <v>0</v>
      </c>
      <c r="BE348" s="39">
        <v>0</v>
      </c>
      <c r="BF348" s="39">
        <f>L348</f>
        <v>0</v>
      </c>
      <c r="BH348" s="21">
        <f>F348*AO348</f>
        <v>0</v>
      </c>
      <c r="BI348" s="21">
        <f>F348*AP348</f>
        <v>0</v>
      </c>
      <c r="BJ348" s="21">
        <f>F348*G348</f>
        <v>0</v>
      </c>
    </row>
    <row r="349" spans="1:62">
      <c r="A349" s="4"/>
      <c r="B349" s="14"/>
      <c r="C349" s="14" t="s">
        <v>854</v>
      </c>
      <c r="D349" s="14" t="s">
        <v>1536</v>
      </c>
      <c r="E349" s="4" t="s">
        <v>4</v>
      </c>
      <c r="F349" s="4" t="s">
        <v>4</v>
      </c>
      <c r="G349" s="4"/>
      <c r="H349" s="42">
        <f>SUM(H350:H359)</f>
        <v>0</v>
      </c>
      <c r="I349" s="42">
        <f>SUM(I350:I359)</f>
        <v>0</v>
      </c>
      <c r="J349" s="42">
        <f>SUM(J350:J359)</f>
        <v>0</v>
      </c>
      <c r="K349" s="30"/>
      <c r="L349" s="42">
        <f>SUM(L350:L359)</f>
        <v>0</v>
      </c>
      <c r="M349" s="30"/>
      <c r="AI349" s="30"/>
      <c r="AS349" s="42">
        <f>SUM(AJ350:AJ359)</f>
        <v>0</v>
      </c>
      <c r="AT349" s="42">
        <f>SUM(AK350:AK359)</f>
        <v>0</v>
      </c>
      <c r="AU349" s="42">
        <f>SUM(AL350:AL359)</f>
        <v>0</v>
      </c>
    </row>
    <row r="350" spans="1:62">
      <c r="A350" s="5" t="s">
        <v>252</v>
      </c>
      <c r="B350" s="5"/>
      <c r="C350" s="5" t="s">
        <v>855</v>
      </c>
      <c r="D350" s="5" t="s">
        <v>1537</v>
      </c>
      <c r="E350" s="5" t="s">
        <v>1942</v>
      </c>
      <c r="F350" s="21">
        <v>1964.7370699999999</v>
      </c>
      <c r="G350" s="753">
        <v>0</v>
      </c>
      <c r="H350" s="21">
        <f t="shared" ref="H350:H359" si="264">F350*AO350</f>
        <v>0</v>
      </c>
      <c r="I350" s="21">
        <f t="shared" ref="I350:I359" si="265">F350*AP350</f>
        <v>0</v>
      </c>
      <c r="J350" s="21">
        <f t="shared" ref="J350:J359" si="266">F350*G350</f>
        <v>0</v>
      </c>
      <c r="K350" s="21">
        <v>0</v>
      </c>
      <c r="L350" s="21">
        <f t="shared" ref="L350:L359" si="267">F350*K350</f>
        <v>0</v>
      </c>
      <c r="M350" s="34" t="s">
        <v>1961</v>
      </c>
      <c r="Z350" s="39">
        <f t="shared" ref="Z350:Z359" si="268">IF(AQ350="5",BJ350,0)</f>
        <v>0</v>
      </c>
      <c r="AB350" s="39">
        <f t="shared" ref="AB350:AB359" si="269">IF(AQ350="1",BH350,0)</f>
        <v>0</v>
      </c>
      <c r="AC350" s="39">
        <f t="shared" ref="AC350:AC359" si="270">IF(AQ350="1",BI350,0)</f>
        <v>0</v>
      </c>
      <c r="AD350" s="39">
        <f t="shared" ref="AD350:AD359" si="271">IF(AQ350="7",BH350,0)</f>
        <v>0</v>
      </c>
      <c r="AE350" s="39">
        <f t="shared" ref="AE350:AE359" si="272">IF(AQ350="7",BI350,0)</f>
        <v>0</v>
      </c>
      <c r="AF350" s="39">
        <f t="shared" ref="AF350:AF359" si="273">IF(AQ350="2",BH350,0)</f>
        <v>0</v>
      </c>
      <c r="AG350" s="39">
        <f t="shared" ref="AG350:AG359" si="274">IF(AQ350="2",BI350,0)</f>
        <v>0</v>
      </c>
      <c r="AH350" s="39">
        <f t="shared" ref="AH350:AH359" si="275">IF(AQ350="0",BJ350,0)</f>
        <v>0</v>
      </c>
      <c r="AI350" s="30"/>
      <c r="AJ350" s="21">
        <f t="shared" ref="AJ350:AJ359" si="276">IF(AN350=0,J350,0)</f>
        <v>0</v>
      </c>
      <c r="AK350" s="21">
        <f t="shared" ref="AK350:AK359" si="277">IF(AN350=15,J350,0)</f>
        <v>0</v>
      </c>
      <c r="AL350" s="21">
        <f t="shared" ref="AL350:AL359" si="278">IF(AN350=21,J350,0)</f>
        <v>0</v>
      </c>
      <c r="AN350" s="39">
        <v>21</v>
      </c>
      <c r="AO350" s="39">
        <f t="shared" ref="AO350:AO359" si="279">G350*0</f>
        <v>0</v>
      </c>
      <c r="AP350" s="39">
        <f t="shared" ref="AP350:AP359" si="280">G350*(1-0)</f>
        <v>0</v>
      </c>
      <c r="AQ350" s="34" t="s">
        <v>9</v>
      </c>
      <c r="AV350" s="39">
        <f t="shared" ref="AV350:AV359" si="281">AW350+AX350</f>
        <v>0</v>
      </c>
      <c r="AW350" s="39">
        <f t="shared" ref="AW350:AW359" si="282">F350*AO350</f>
        <v>0</v>
      </c>
      <c r="AX350" s="39">
        <f t="shared" ref="AX350:AX359" si="283">F350*AP350</f>
        <v>0</v>
      </c>
      <c r="AY350" s="40" t="s">
        <v>2004</v>
      </c>
      <c r="AZ350" s="40" t="s">
        <v>2037</v>
      </c>
      <c r="BA350" s="30" t="s">
        <v>2045</v>
      </c>
      <c r="BC350" s="39">
        <f t="shared" ref="BC350:BC359" si="284">AW350+AX350</f>
        <v>0</v>
      </c>
      <c r="BD350" s="39">
        <f t="shared" ref="BD350:BD359" si="285">G350/(100-BE350)*100</f>
        <v>0</v>
      </c>
      <c r="BE350" s="39">
        <v>0</v>
      </c>
      <c r="BF350" s="39">
        <f t="shared" ref="BF350:BF359" si="286">L350</f>
        <v>0</v>
      </c>
      <c r="BH350" s="21">
        <f t="shared" ref="BH350:BH359" si="287">F350*AO350</f>
        <v>0</v>
      </c>
      <c r="BI350" s="21">
        <f t="shared" ref="BI350:BI359" si="288">F350*AP350</f>
        <v>0</v>
      </c>
      <c r="BJ350" s="21">
        <f t="shared" ref="BJ350:BJ359" si="289">F350*G350</f>
        <v>0</v>
      </c>
    </row>
    <row r="351" spans="1:62">
      <c r="A351" s="5" t="s">
        <v>253</v>
      </c>
      <c r="B351" s="5"/>
      <c r="C351" s="5" t="s">
        <v>856</v>
      </c>
      <c r="D351" s="5" t="s">
        <v>1538</v>
      </c>
      <c r="E351" s="5" t="s">
        <v>1942</v>
      </c>
      <c r="F351" s="21">
        <v>37330.004330000003</v>
      </c>
      <c r="G351" s="753">
        <v>0</v>
      </c>
      <c r="H351" s="21">
        <f t="shared" si="264"/>
        <v>0</v>
      </c>
      <c r="I351" s="21">
        <f t="shared" si="265"/>
        <v>0</v>
      </c>
      <c r="J351" s="21">
        <f t="shared" si="266"/>
        <v>0</v>
      </c>
      <c r="K351" s="21">
        <v>0</v>
      </c>
      <c r="L351" s="21">
        <f t="shared" si="267"/>
        <v>0</v>
      </c>
      <c r="M351" s="34" t="s">
        <v>1961</v>
      </c>
      <c r="Z351" s="39">
        <f t="shared" si="268"/>
        <v>0</v>
      </c>
      <c r="AB351" s="39">
        <f t="shared" si="269"/>
        <v>0</v>
      </c>
      <c r="AC351" s="39">
        <f t="shared" si="270"/>
        <v>0</v>
      </c>
      <c r="AD351" s="39">
        <f t="shared" si="271"/>
        <v>0</v>
      </c>
      <c r="AE351" s="39">
        <f t="shared" si="272"/>
        <v>0</v>
      </c>
      <c r="AF351" s="39">
        <f t="shared" si="273"/>
        <v>0</v>
      </c>
      <c r="AG351" s="39">
        <f t="shared" si="274"/>
        <v>0</v>
      </c>
      <c r="AH351" s="39">
        <f t="shared" si="275"/>
        <v>0</v>
      </c>
      <c r="AI351" s="30"/>
      <c r="AJ351" s="21">
        <f t="shared" si="276"/>
        <v>0</v>
      </c>
      <c r="AK351" s="21">
        <f t="shared" si="277"/>
        <v>0</v>
      </c>
      <c r="AL351" s="21">
        <f t="shared" si="278"/>
        <v>0</v>
      </c>
      <c r="AN351" s="39">
        <v>21</v>
      </c>
      <c r="AO351" s="39">
        <f t="shared" si="279"/>
        <v>0</v>
      </c>
      <c r="AP351" s="39">
        <f t="shared" si="280"/>
        <v>0</v>
      </c>
      <c r="AQ351" s="34" t="s">
        <v>9</v>
      </c>
      <c r="AV351" s="39">
        <f t="shared" si="281"/>
        <v>0</v>
      </c>
      <c r="AW351" s="39">
        <f t="shared" si="282"/>
        <v>0</v>
      </c>
      <c r="AX351" s="39">
        <f t="shared" si="283"/>
        <v>0</v>
      </c>
      <c r="AY351" s="40" t="s">
        <v>2004</v>
      </c>
      <c r="AZ351" s="40" t="s">
        <v>2037</v>
      </c>
      <c r="BA351" s="30" t="s">
        <v>2045</v>
      </c>
      <c r="BC351" s="39">
        <f t="shared" si="284"/>
        <v>0</v>
      </c>
      <c r="BD351" s="39">
        <f t="shared" si="285"/>
        <v>0</v>
      </c>
      <c r="BE351" s="39">
        <v>0</v>
      </c>
      <c r="BF351" s="39">
        <f t="shared" si="286"/>
        <v>0</v>
      </c>
      <c r="BH351" s="21">
        <f t="shared" si="287"/>
        <v>0</v>
      </c>
      <c r="BI351" s="21">
        <f t="shared" si="288"/>
        <v>0</v>
      </c>
      <c r="BJ351" s="21">
        <f t="shared" si="289"/>
        <v>0</v>
      </c>
    </row>
    <row r="352" spans="1:62">
      <c r="A352" s="5" t="s">
        <v>254</v>
      </c>
      <c r="B352" s="5"/>
      <c r="C352" s="5" t="s">
        <v>857</v>
      </c>
      <c r="D352" s="5" t="s">
        <v>1539</v>
      </c>
      <c r="E352" s="5" t="s">
        <v>1942</v>
      </c>
      <c r="F352" s="21">
        <v>3.9100199999999998</v>
      </c>
      <c r="G352" s="753">
        <v>0</v>
      </c>
      <c r="H352" s="21">
        <f t="shared" si="264"/>
        <v>0</v>
      </c>
      <c r="I352" s="21">
        <f t="shared" si="265"/>
        <v>0</v>
      </c>
      <c r="J352" s="21">
        <f t="shared" si="266"/>
        <v>0</v>
      </c>
      <c r="K352" s="21">
        <v>0</v>
      </c>
      <c r="L352" s="21">
        <f t="shared" si="267"/>
        <v>0</v>
      </c>
      <c r="M352" s="34" t="s">
        <v>1961</v>
      </c>
      <c r="Z352" s="39">
        <f t="shared" si="268"/>
        <v>0</v>
      </c>
      <c r="AB352" s="39">
        <f t="shared" si="269"/>
        <v>0</v>
      </c>
      <c r="AC352" s="39">
        <f t="shared" si="270"/>
        <v>0</v>
      </c>
      <c r="AD352" s="39">
        <f t="shared" si="271"/>
        <v>0</v>
      </c>
      <c r="AE352" s="39">
        <f t="shared" si="272"/>
        <v>0</v>
      </c>
      <c r="AF352" s="39">
        <f t="shared" si="273"/>
        <v>0</v>
      </c>
      <c r="AG352" s="39">
        <f t="shared" si="274"/>
        <v>0</v>
      </c>
      <c r="AH352" s="39">
        <f t="shared" si="275"/>
        <v>0</v>
      </c>
      <c r="AI352" s="30"/>
      <c r="AJ352" s="21">
        <f t="shared" si="276"/>
        <v>0</v>
      </c>
      <c r="AK352" s="21">
        <f t="shared" si="277"/>
        <v>0</v>
      </c>
      <c r="AL352" s="21">
        <f t="shared" si="278"/>
        <v>0</v>
      </c>
      <c r="AN352" s="39">
        <v>21</v>
      </c>
      <c r="AO352" s="39">
        <f t="shared" si="279"/>
        <v>0</v>
      </c>
      <c r="AP352" s="39">
        <f t="shared" si="280"/>
        <v>0</v>
      </c>
      <c r="AQ352" s="34" t="s">
        <v>9</v>
      </c>
      <c r="AV352" s="39">
        <f t="shared" si="281"/>
        <v>0</v>
      </c>
      <c r="AW352" s="39">
        <f t="shared" si="282"/>
        <v>0</v>
      </c>
      <c r="AX352" s="39">
        <f t="shared" si="283"/>
        <v>0</v>
      </c>
      <c r="AY352" s="40" t="s">
        <v>2004</v>
      </c>
      <c r="AZ352" s="40" t="s">
        <v>2037</v>
      </c>
      <c r="BA352" s="30" t="s">
        <v>2045</v>
      </c>
      <c r="BC352" s="39">
        <f t="shared" si="284"/>
        <v>0</v>
      </c>
      <c r="BD352" s="39">
        <f t="shared" si="285"/>
        <v>0</v>
      </c>
      <c r="BE352" s="39">
        <v>0</v>
      </c>
      <c r="BF352" s="39">
        <f t="shared" si="286"/>
        <v>0</v>
      </c>
      <c r="BH352" s="21">
        <f t="shared" si="287"/>
        <v>0</v>
      </c>
      <c r="BI352" s="21">
        <f t="shared" si="288"/>
        <v>0</v>
      </c>
      <c r="BJ352" s="21">
        <f t="shared" si="289"/>
        <v>0</v>
      </c>
    </row>
    <row r="353" spans="1:62">
      <c r="A353" s="5" t="s">
        <v>255</v>
      </c>
      <c r="B353" s="5"/>
      <c r="C353" s="5" t="s">
        <v>858</v>
      </c>
      <c r="D353" s="5" t="s">
        <v>1540</v>
      </c>
      <c r="E353" s="5" t="s">
        <v>1942</v>
      </c>
      <c r="F353" s="21">
        <v>0.12576000000000001</v>
      </c>
      <c r="G353" s="753">
        <v>0</v>
      </c>
      <c r="H353" s="21">
        <f t="shared" si="264"/>
        <v>0</v>
      </c>
      <c r="I353" s="21">
        <f t="shared" si="265"/>
        <v>0</v>
      </c>
      <c r="J353" s="21">
        <f t="shared" si="266"/>
        <v>0</v>
      </c>
      <c r="K353" s="21">
        <v>0</v>
      </c>
      <c r="L353" s="21">
        <f t="shared" si="267"/>
        <v>0</v>
      </c>
      <c r="M353" s="34" t="s">
        <v>1960</v>
      </c>
      <c r="Z353" s="39">
        <f t="shared" si="268"/>
        <v>0</v>
      </c>
      <c r="AB353" s="39">
        <f t="shared" si="269"/>
        <v>0</v>
      </c>
      <c r="AC353" s="39">
        <f t="shared" si="270"/>
        <v>0</v>
      </c>
      <c r="AD353" s="39">
        <f t="shared" si="271"/>
        <v>0</v>
      </c>
      <c r="AE353" s="39">
        <f t="shared" si="272"/>
        <v>0</v>
      </c>
      <c r="AF353" s="39">
        <f t="shared" si="273"/>
        <v>0</v>
      </c>
      <c r="AG353" s="39">
        <f t="shared" si="274"/>
        <v>0</v>
      </c>
      <c r="AH353" s="39">
        <f t="shared" si="275"/>
        <v>0</v>
      </c>
      <c r="AI353" s="30"/>
      <c r="AJ353" s="21">
        <f t="shared" si="276"/>
        <v>0</v>
      </c>
      <c r="AK353" s="21">
        <f t="shared" si="277"/>
        <v>0</v>
      </c>
      <c r="AL353" s="21">
        <f t="shared" si="278"/>
        <v>0</v>
      </c>
      <c r="AN353" s="39">
        <v>21</v>
      </c>
      <c r="AO353" s="39">
        <f t="shared" si="279"/>
        <v>0</v>
      </c>
      <c r="AP353" s="39">
        <f t="shared" si="280"/>
        <v>0</v>
      </c>
      <c r="AQ353" s="34" t="s">
        <v>9</v>
      </c>
      <c r="AV353" s="39">
        <f t="shared" si="281"/>
        <v>0</v>
      </c>
      <c r="AW353" s="39">
        <f t="shared" si="282"/>
        <v>0</v>
      </c>
      <c r="AX353" s="39">
        <f t="shared" si="283"/>
        <v>0</v>
      </c>
      <c r="AY353" s="40" t="s">
        <v>2004</v>
      </c>
      <c r="AZ353" s="40" t="s">
        <v>2037</v>
      </c>
      <c r="BA353" s="30" t="s">
        <v>2045</v>
      </c>
      <c r="BC353" s="39">
        <f t="shared" si="284"/>
        <v>0</v>
      </c>
      <c r="BD353" s="39">
        <f t="shared" si="285"/>
        <v>0</v>
      </c>
      <c r="BE353" s="39">
        <v>0</v>
      </c>
      <c r="BF353" s="39">
        <f t="shared" si="286"/>
        <v>0</v>
      </c>
      <c r="BH353" s="21">
        <f t="shared" si="287"/>
        <v>0</v>
      </c>
      <c r="BI353" s="21">
        <f t="shared" si="288"/>
        <v>0</v>
      </c>
      <c r="BJ353" s="21">
        <f t="shared" si="289"/>
        <v>0</v>
      </c>
    </row>
    <row r="354" spans="1:62">
      <c r="A354" s="5" t="s">
        <v>256</v>
      </c>
      <c r="B354" s="5"/>
      <c r="C354" s="5" t="s">
        <v>859</v>
      </c>
      <c r="D354" s="5" t="s">
        <v>1541</v>
      </c>
      <c r="E354" s="5" t="s">
        <v>1942</v>
      </c>
      <c r="F354" s="21">
        <v>5.1840000000000002</v>
      </c>
      <c r="G354" s="753">
        <v>0</v>
      </c>
      <c r="H354" s="21">
        <f t="shared" si="264"/>
        <v>0</v>
      </c>
      <c r="I354" s="21">
        <f t="shared" si="265"/>
        <v>0</v>
      </c>
      <c r="J354" s="21">
        <f t="shared" si="266"/>
        <v>0</v>
      </c>
      <c r="K354" s="21">
        <v>0</v>
      </c>
      <c r="L354" s="21">
        <f t="shared" si="267"/>
        <v>0</v>
      </c>
      <c r="M354" s="34" t="s">
        <v>1961</v>
      </c>
      <c r="Z354" s="39">
        <f t="shared" si="268"/>
        <v>0</v>
      </c>
      <c r="AB354" s="39">
        <f t="shared" si="269"/>
        <v>0</v>
      </c>
      <c r="AC354" s="39">
        <f t="shared" si="270"/>
        <v>0</v>
      </c>
      <c r="AD354" s="39">
        <f t="shared" si="271"/>
        <v>0</v>
      </c>
      <c r="AE354" s="39">
        <f t="shared" si="272"/>
        <v>0</v>
      </c>
      <c r="AF354" s="39">
        <f t="shared" si="273"/>
        <v>0</v>
      </c>
      <c r="AG354" s="39">
        <f t="shared" si="274"/>
        <v>0</v>
      </c>
      <c r="AH354" s="39">
        <f t="shared" si="275"/>
        <v>0</v>
      </c>
      <c r="AI354" s="30"/>
      <c r="AJ354" s="21">
        <f t="shared" si="276"/>
        <v>0</v>
      </c>
      <c r="AK354" s="21">
        <f t="shared" si="277"/>
        <v>0</v>
      </c>
      <c r="AL354" s="21">
        <f t="shared" si="278"/>
        <v>0</v>
      </c>
      <c r="AN354" s="39">
        <v>21</v>
      </c>
      <c r="AO354" s="39">
        <f t="shared" si="279"/>
        <v>0</v>
      </c>
      <c r="AP354" s="39">
        <f t="shared" si="280"/>
        <v>0</v>
      </c>
      <c r="AQ354" s="34" t="s">
        <v>9</v>
      </c>
      <c r="AV354" s="39">
        <f t="shared" si="281"/>
        <v>0</v>
      </c>
      <c r="AW354" s="39">
        <f t="shared" si="282"/>
        <v>0</v>
      </c>
      <c r="AX354" s="39">
        <f t="shared" si="283"/>
        <v>0</v>
      </c>
      <c r="AY354" s="40" t="s">
        <v>2004</v>
      </c>
      <c r="AZ354" s="40" t="s">
        <v>2037</v>
      </c>
      <c r="BA354" s="30" t="s">
        <v>2045</v>
      </c>
      <c r="BC354" s="39">
        <f t="shared" si="284"/>
        <v>0</v>
      </c>
      <c r="BD354" s="39">
        <f t="shared" si="285"/>
        <v>0</v>
      </c>
      <c r="BE354" s="39">
        <v>0</v>
      </c>
      <c r="BF354" s="39">
        <f t="shared" si="286"/>
        <v>0</v>
      </c>
      <c r="BH354" s="21">
        <f t="shared" si="287"/>
        <v>0</v>
      </c>
      <c r="BI354" s="21">
        <f t="shared" si="288"/>
        <v>0</v>
      </c>
      <c r="BJ354" s="21">
        <f t="shared" si="289"/>
        <v>0</v>
      </c>
    </row>
    <row r="355" spans="1:62">
      <c r="A355" s="5" t="s">
        <v>257</v>
      </c>
      <c r="B355" s="5"/>
      <c r="C355" s="5" t="s">
        <v>860</v>
      </c>
      <c r="D355" s="5" t="s">
        <v>1542</v>
      </c>
      <c r="E355" s="5" t="s">
        <v>1942</v>
      </c>
      <c r="F355" s="21">
        <v>0.35882999999999998</v>
      </c>
      <c r="G355" s="753">
        <v>0</v>
      </c>
      <c r="H355" s="21">
        <f t="shared" si="264"/>
        <v>0</v>
      </c>
      <c r="I355" s="21">
        <f t="shared" si="265"/>
        <v>0</v>
      </c>
      <c r="J355" s="21">
        <f t="shared" si="266"/>
        <v>0</v>
      </c>
      <c r="K355" s="21">
        <v>0</v>
      </c>
      <c r="L355" s="21">
        <f t="shared" si="267"/>
        <v>0</v>
      </c>
      <c r="M355" s="34" t="s">
        <v>1960</v>
      </c>
      <c r="Z355" s="39">
        <f t="shared" si="268"/>
        <v>0</v>
      </c>
      <c r="AB355" s="39">
        <f t="shared" si="269"/>
        <v>0</v>
      </c>
      <c r="AC355" s="39">
        <f t="shared" si="270"/>
        <v>0</v>
      </c>
      <c r="AD355" s="39">
        <f t="shared" si="271"/>
        <v>0</v>
      </c>
      <c r="AE355" s="39">
        <f t="shared" si="272"/>
        <v>0</v>
      </c>
      <c r="AF355" s="39">
        <f t="shared" si="273"/>
        <v>0</v>
      </c>
      <c r="AG355" s="39">
        <f t="shared" si="274"/>
        <v>0</v>
      </c>
      <c r="AH355" s="39">
        <f t="shared" si="275"/>
        <v>0</v>
      </c>
      <c r="AI355" s="30"/>
      <c r="AJ355" s="21">
        <f t="shared" si="276"/>
        <v>0</v>
      </c>
      <c r="AK355" s="21">
        <f t="shared" si="277"/>
        <v>0</v>
      </c>
      <c r="AL355" s="21">
        <f t="shared" si="278"/>
        <v>0</v>
      </c>
      <c r="AN355" s="39">
        <v>21</v>
      </c>
      <c r="AO355" s="39">
        <f t="shared" si="279"/>
        <v>0</v>
      </c>
      <c r="AP355" s="39">
        <f t="shared" si="280"/>
        <v>0</v>
      </c>
      <c r="AQ355" s="34" t="s">
        <v>9</v>
      </c>
      <c r="AV355" s="39">
        <f t="shared" si="281"/>
        <v>0</v>
      </c>
      <c r="AW355" s="39">
        <f t="shared" si="282"/>
        <v>0</v>
      </c>
      <c r="AX355" s="39">
        <f t="shared" si="283"/>
        <v>0</v>
      </c>
      <c r="AY355" s="40" t="s">
        <v>2004</v>
      </c>
      <c r="AZ355" s="40" t="s">
        <v>2037</v>
      </c>
      <c r="BA355" s="30" t="s">
        <v>2045</v>
      </c>
      <c r="BC355" s="39">
        <f t="shared" si="284"/>
        <v>0</v>
      </c>
      <c r="BD355" s="39">
        <f t="shared" si="285"/>
        <v>0</v>
      </c>
      <c r="BE355" s="39">
        <v>0</v>
      </c>
      <c r="BF355" s="39">
        <f t="shared" si="286"/>
        <v>0</v>
      </c>
      <c r="BH355" s="21">
        <f t="shared" si="287"/>
        <v>0</v>
      </c>
      <c r="BI355" s="21">
        <f t="shared" si="288"/>
        <v>0</v>
      </c>
      <c r="BJ355" s="21">
        <f t="shared" si="289"/>
        <v>0</v>
      </c>
    </row>
    <row r="356" spans="1:62">
      <c r="A356" s="5" t="s">
        <v>258</v>
      </c>
      <c r="B356" s="5"/>
      <c r="C356" s="5" t="s">
        <v>861</v>
      </c>
      <c r="D356" s="5" t="s">
        <v>1543</v>
      </c>
      <c r="E356" s="5" t="s">
        <v>1942</v>
      </c>
      <c r="F356" s="21">
        <v>1.1259999999999999</v>
      </c>
      <c r="G356" s="753">
        <v>0</v>
      </c>
      <c r="H356" s="21">
        <f t="shared" si="264"/>
        <v>0</v>
      </c>
      <c r="I356" s="21">
        <f t="shared" si="265"/>
        <v>0</v>
      </c>
      <c r="J356" s="21">
        <f t="shared" si="266"/>
        <v>0</v>
      </c>
      <c r="K356" s="21">
        <v>0</v>
      </c>
      <c r="L356" s="21">
        <f t="shared" si="267"/>
        <v>0</v>
      </c>
      <c r="M356" s="34" t="s">
        <v>1961</v>
      </c>
      <c r="Z356" s="39">
        <f t="shared" si="268"/>
        <v>0</v>
      </c>
      <c r="AB356" s="39">
        <f t="shared" si="269"/>
        <v>0</v>
      </c>
      <c r="AC356" s="39">
        <f t="shared" si="270"/>
        <v>0</v>
      </c>
      <c r="AD356" s="39">
        <f t="shared" si="271"/>
        <v>0</v>
      </c>
      <c r="AE356" s="39">
        <f t="shared" si="272"/>
        <v>0</v>
      </c>
      <c r="AF356" s="39">
        <f t="shared" si="273"/>
        <v>0</v>
      </c>
      <c r="AG356" s="39">
        <f t="shared" si="274"/>
        <v>0</v>
      </c>
      <c r="AH356" s="39">
        <f t="shared" si="275"/>
        <v>0</v>
      </c>
      <c r="AI356" s="30"/>
      <c r="AJ356" s="21">
        <f t="shared" si="276"/>
        <v>0</v>
      </c>
      <c r="AK356" s="21">
        <f t="shared" si="277"/>
        <v>0</v>
      </c>
      <c r="AL356" s="21">
        <f t="shared" si="278"/>
        <v>0</v>
      </c>
      <c r="AN356" s="39">
        <v>21</v>
      </c>
      <c r="AO356" s="39">
        <f t="shared" si="279"/>
        <v>0</v>
      </c>
      <c r="AP356" s="39">
        <f t="shared" si="280"/>
        <v>0</v>
      </c>
      <c r="AQ356" s="34" t="s">
        <v>9</v>
      </c>
      <c r="AV356" s="39">
        <f t="shared" si="281"/>
        <v>0</v>
      </c>
      <c r="AW356" s="39">
        <f t="shared" si="282"/>
        <v>0</v>
      </c>
      <c r="AX356" s="39">
        <f t="shared" si="283"/>
        <v>0</v>
      </c>
      <c r="AY356" s="40" t="s">
        <v>2004</v>
      </c>
      <c r="AZ356" s="40" t="s">
        <v>2037</v>
      </c>
      <c r="BA356" s="30" t="s">
        <v>2045</v>
      </c>
      <c r="BC356" s="39">
        <f t="shared" si="284"/>
        <v>0</v>
      </c>
      <c r="BD356" s="39">
        <f t="shared" si="285"/>
        <v>0</v>
      </c>
      <c r="BE356" s="39">
        <v>0</v>
      </c>
      <c r="BF356" s="39">
        <f t="shared" si="286"/>
        <v>0</v>
      </c>
      <c r="BH356" s="21">
        <f t="shared" si="287"/>
        <v>0</v>
      </c>
      <c r="BI356" s="21">
        <f t="shared" si="288"/>
        <v>0</v>
      </c>
      <c r="BJ356" s="21">
        <f t="shared" si="289"/>
        <v>0</v>
      </c>
    </row>
    <row r="357" spans="1:62">
      <c r="A357" s="5" t="s">
        <v>259</v>
      </c>
      <c r="B357" s="5"/>
      <c r="C357" s="5" t="s">
        <v>862</v>
      </c>
      <c r="D357" s="5" t="s">
        <v>1544</v>
      </c>
      <c r="E357" s="5" t="s">
        <v>1942</v>
      </c>
      <c r="F357" s="21">
        <v>20</v>
      </c>
      <c r="G357" s="753">
        <v>0</v>
      </c>
      <c r="H357" s="21">
        <f t="shared" si="264"/>
        <v>0</v>
      </c>
      <c r="I357" s="21">
        <f t="shared" si="265"/>
        <v>0</v>
      </c>
      <c r="J357" s="21">
        <f t="shared" si="266"/>
        <v>0</v>
      </c>
      <c r="K357" s="21">
        <v>0</v>
      </c>
      <c r="L357" s="21">
        <f t="shared" si="267"/>
        <v>0</v>
      </c>
      <c r="M357" s="34" t="s">
        <v>1960</v>
      </c>
      <c r="Z357" s="39">
        <f t="shared" si="268"/>
        <v>0</v>
      </c>
      <c r="AB357" s="39">
        <f t="shared" si="269"/>
        <v>0</v>
      </c>
      <c r="AC357" s="39">
        <f t="shared" si="270"/>
        <v>0</v>
      </c>
      <c r="AD357" s="39">
        <f t="shared" si="271"/>
        <v>0</v>
      </c>
      <c r="AE357" s="39">
        <f t="shared" si="272"/>
        <v>0</v>
      </c>
      <c r="AF357" s="39">
        <f t="shared" si="273"/>
        <v>0</v>
      </c>
      <c r="AG357" s="39">
        <f t="shared" si="274"/>
        <v>0</v>
      </c>
      <c r="AH357" s="39">
        <f t="shared" si="275"/>
        <v>0</v>
      </c>
      <c r="AI357" s="30"/>
      <c r="AJ357" s="21">
        <f t="shared" si="276"/>
        <v>0</v>
      </c>
      <c r="AK357" s="21">
        <f t="shared" si="277"/>
        <v>0</v>
      </c>
      <c r="AL357" s="21">
        <f t="shared" si="278"/>
        <v>0</v>
      </c>
      <c r="AN357" s="39">
        <v>21</v>
      </c>
      <c r="AO357" s="39">
        <f t="shared" si="279"/>
        <v>0</v>
      </c>
      <c r="AP357" s="39">
        <f t="shared" si="280"/>
        <v>0</v>
      </c>
      <c r="AQ357" s="34" t="s">
        <v>9</v>
      </c>
      <c r="AV357" s="39">
        <f t="shared" si="281"/>
        <v>0</v>
      </c>
      <c r="AW357" s="39">
        <f t="shared" si="282"/>
        <v>0</v>
      </c>
      <c r="AX357" s="39">
        <f t="shared" si="283"/>
        <v>0</v>
      </c>
      <c r="AY357" s="40" t="s">
        <v>2004</v>
      </c>
      <c r="AZ357" s="40" t="s">
        <v>2037</v>
      </c>
      <c r="BA357" s="30" t="s">
        <v>2045</v>
      </c>
      <c r="BC357" s="39">
        <f t="shared" si="284"/>
        <v>0</v>
      </c>
      <c r="BD357" s="39">
        <f t="shared" si="285"/>
        <v>0</v>
      </c>
      <c r="BE357" s="39">
        <v>0</v>
      </c>
      <c r="BF357" s="39">
        <f t="shared" si="286"/>
        <v>0</v>
      </c>
      <c r="BH357" s="21">
        <f t="shared" si="287"/>
        <v>0</v>
      </c>
      <c r="BI357" s="21">
        <f t="shared" si="288"/>
        <v>0</v>
      </c>
      <c r="BJ357" s="21">
        <f t="shared" si="289"/>
        <v>0</v>
      </c>
    </row>
    <row r="358" spans="1:62">
      <c r="A358" s="5" t="s">
        <v>260</v>
      </c>
      <c r="B358" s="5"/>
      <c r="C358" s="5" t="s">
        <v>863</v>
      </c>
      <c r="D358" s="5" t="s">
        <v>1545</v>
      </c>
      <c r="E358" s="5" t="s">
        <v>1942</v>
      </c>
      <c r="F358" s="21">
        <v>130.88659999999999</v>
      </c>
      <c r="G358" s="753">
        <v>0</v>
      </c>
      <c r="H358" s="21">
        <f t="shared" si="264"/>
        <v>0</v>
      </c>
      <c r="I358" s="21">
        <f t="shared" si="265"/>
        <v>0</v>
      </c>
      <c r="J358" s="21">
        <f t="shared" si="266"/>
        <v>0</v>
      </c>
      <c r="K358" s="21">
        <v>0</v>
      </c>
      <c r="L358" s="21">
        <f t="shared" si="267"/>
        <v>0</v>
      </c>
      <c r="M358" s="34" t="s">
        <v>1960</v>
      </c>
      <c r="Z358" s="39">
        <f t="shared" si="268"/>
        <v>0</v>
      </c>
      <c r="AB358" s="39">
        <f t="shared" si="269"/>
        <v>0</v>
      </c>
      <c r="AC358" s="39">
        <f t="shared" si="270"/>
        <v>0</v>
      </c>
      <c r="AD358" s="39">
        <f t="shared" si="271"/>
        <v>0</v>
      </c>
      <c r="AE358" s="39">
        <f t="shared" si="272"/>
        <v>0</v>
      </c>
      <c r="AF358" s="39">
        <f t="shared" si="273"/>
        <v>0</v>
      </c>
      <c r="AG358" s="39">
        <f t="shared" si="274"/>
        <v>0</v>
      </c>
      <c r="AH358" s="39">
        <f t="shared" si="275"/>
        <v>0</v>
      </c>
      <c r="AI358" s="30"/>
      <c r="AJ358" s="21">
        <f t="shared" si="276"/>
        <v>0</v>
      </c>
      <c r="AK358" s="21">
        <f t="shared" si="277"/>
        <v>0</v>
      </c>
      <c r="AL358" s="21">
        <f t="shared" si="278"/>
        <v>0</v>
      </c>
      <c r="AN358" s="39">
        <v>21</v>
      </c>
      <c r="AO358" s="39">
        <f t="shared" si="279"/>
        <v>0</v>
      </c>
      <c r="AP358" s="39">
        <f t="shared" si="280"/>
        <v>0</v>
      </c>
      <c r="AQ358" s="34" t="s">
        <v>9</v>
      </c>
      <c r="AV358" s="39">
        <f t="shared" si="281"/>
        <v>0</v>
      </c>
      <c r="AW358" s="39">
        <f t="shared" si="282"/>
        <v>0</v>
      </c>
      <c r="AX358" s="39">
        <f t="shared" si="283"/>
        <v>0</v>
      </c>
      <c r="AY358" s="40" t="s">
        <v>2004</v>
      </c>
      <c r="AZ358" s="40" t="s">
        <v>2037</v>
      </c>
      <c r="BA358" s="30" t="s">
        <v>2045</v>
      </c>
      <c r="BC358" s="39">
        <f t="shared" si="284"/>
        <v>0</v>
      </c>
      <c r="BD358" s="39">
        <f t="shared" si="285"/>
        <v>0</v>
      </c>
      <c r="BE358" s="39">
        <v>0</v>
      </c>
      <c r="BF358" s="39">
        <f t="shared" si="286"/>
        <v>0</v>
      </c>
      <c r="BH358" s="21">
        <f t="shared" si="287"/>
        <v>0</v>
      </c>
      <c r="BI358" s="21">
        <f t="shared" si="288"/>
        <v>0</v>
      </c>
      <c r="BJ358" s="21">
        <f t="shared" si="289"/>
        <v>0</v>
      </c>
    </row>
    <row r="359" spans="1:62">
      <c r="A359" s="77" t="s">
        <v>261</v>
      </c>
      <c r="B359" s="77"/>
      <c r="C359" s="77" t="s">
        <v>864</v>
      </c>
      <c r="D359" s="77" t="s">
        <v>1546</v>
      </c>
      <c r="E359" s="77" t="s">
        <v>1942</v>
      </c>
      <c r="F359" s="79">
        <v>1803.1458600000001</v>
      </c>
      <c r="G359" s="756">
        <v>0</v>
      </c>
      <c r="H359" s="79">
        <f t="shared" si="264"/>
        <v>0</v>
      </c>
      <c r="I359" s="79">
        <f t="shared" si="265"/>
        <v>0</v>
      </c>
      <c r="J359" s="79">
        <f t="shared" si="266"/>
        <v>0</v>
      </c>
      <c r="K359" s="79">
        <v>0</v>
      </c>
      <c r="L359" s="79">
        <f t="shared" si="267"/>
        <v>0</v>
      </c>
      <c r="M359" s="83" t="s">
        <v>1960</v>
      </c>
      <c r="Z359" s="39">
        <f t="shared" si="268"/>
        <v>0</v>
      </c>
      <c r="AB359" s="39">
        <f t="shared" si="269"/>
        <v>0</v>
      </c>
      <c r="AC359" s="39">
        <f t="shared" si="270"/>
        <v>0</v>
      </c>
      <c r="AD359" s="39">
        <f t="shared" si="271"/>
        <v>0</v>
      </c>
      <c r="AE359" s="39">
        <f t="shared" si="272"/>
        <v>0</v>
      </c>
      <c r="AF359" s="39">
        <f t="shared" si="273"/>
        <v>0</v>
      </c>
      <c r="AG359" s="39">
        <f t="shared" si="274"/>
        <v>0</v>
      </c>
      <c r="AH359" s="39">
        <f t="shared" si="275"/>
        <v>0</v>
      </c>
      <c r="AI359" s="30"/>
      <c r="AJ359" s="21">
        <f t="shared" si="276"/>
        <v>0</v>
      </c>
      <c r="AK359" s="21">
        <f t="shared" si="277"/>
        <v>0</v>
      </c>
      <c r="AL359" s="21">
        <f t="shared" si="278"/>
        <v>0</v>
      </c>
      <c r="AN359" s="39">
        <v>21</v>
      </c>
      <c r="AO359" s="39">
        <f t="shared" si="279"/>
        <v>0</v>
      </c>
      <c r="AP359" s="39">
        <f t="shared" si="280"/>
        <v>0</v>
      </c>
      <c r="AQ359" s="34" t="s">
        <v>9</v>
      </c>
      <c r="AV359" s="39">
        <f t="shared" si="281"/>
        <v>0</v>
      </c>
      <c r="AW359" s="39">
        <f t="shared" si="282"/>
        <v>0</v>
      </c>
      <c r="AX359" s="39">
        <f t="shared" si="283"/>
        <v>0</v>
      </c>
      <c r="AY359" s="40" t="s">
        <v>2004</v>
      </c>
      <c r="AZ359" s="40" t="s">
        <v>2037</v>
      </c>
      <c r="BA359" s="30" t="s">
        <v>2045</v>
      </c>
      <c r="BC359" s="39">
        <f t="shared" si="284"/>
        <v>0</v>
      </c>
      <c r="BD359" s="39">
        <f t="shared" si="285"/>
        <v>0</v>
      </c>
      <c r="BE359" s="39">
        <v>0</v>
      </c>
      <c r="BF359" s="39">
        <f t="shared" si="286"/>
        <v>0</v>
      </c>
      <c r="BH359" s="21">
        <f t="shared" si="287"/>
        <v>0</v>
      </c>
      <c r="BI359" s="21">
        <f t="shared" si="288"/>
        <v>0</v>
      </c>
      <c r="BJ359" s="21">
        <f t="shared" si="289"/>
        <v>0</v>
      </c>
    </row>
    <row r="360" spans="1:62">
      <c r="A360" s="7"/>
      <c r="B360" s="15"/>
      <c r="C360" s="15"/>
      <c r="D360" s="15" t="s">
        <v>1547</v>
      </c>
      <c r="E360" s="7" t="s">
        <v>4</v>
      </c>
      <c r="F360" s="7" t="s">
        <v>4</v>
      </c>
      <c r="G360" s="7"/>
      <c r="H360" s="43">
        <f>H361+H398+H425+H444+H448+H459+H486+H490+H494+H497+H538+H541+H572+H659+H716+H751+H761+H770+H773+H785+H789+H791+H798+H801</f>
        <v>0</v>
      </c>
      <c r="I360" s="43">
        <f>I361+I398+I425+I444+I448+I459+I486+I490+I494+I497+I538+I541+I572+I659+I716+I751+I761+I770+I773+I785+I789+I791+I798+I801</f>
        <v>0</v>
      </c>
      <c r="J360" s="43">
        <f>J361+J398+J425+J444+J448+J459+J486+J490+J494+J497+J538+J541+J572+J659+J716+J751+J761+J770+J773+J785+J789+J791+J798+J801</f>
        <v>0</v>
      </c>
      <c r="K360" s="31"/>
      <c r="L360" s="43">
        <f>L361+L398+L425+L444+L448+L459+L486+L490+L494+L497+L538+L541+L572+L659+L716+L751+L761+L770+L773+L785+L789+L791+L798+L801</f>
        <v>127.8755378899</v>
      </c>
      <c r="M360" s="31"/>
    </row>
    <row r="361" spans="1:62">
      <c r="A361" s="4"/>
      <c r="B361" s="14"/>
      <c r="C361" s="14" t="s">
        <v>865</v>
      </c>
      <c r="D361" s="14" t="s">
        <v>1548</v>
      </c>
      <c r="E361" s="4" t="s">
        <v>4</v>
      </c>
      <c r="F361" s="4" t="s">
        <v>4</v>
      </c>
      <c r="G361" s="4"/>
      <c r="H361" s="42">
        <f>SUM(H362:H397)</f>
        <v>0</v>
      </c>
      <c r="I361" s="42">
        <f>SUM(I362:I397)</f>
        <v>0</v>
      </c>
      <c r="J361" s="42">
        <f>SUM(J362:J397)</f>
        <v>0</v>
      </c>
      <c r="K361" s="30"/>
      <c r="L361" s="42">
        <f>SUM(L362:L397)</f>
        <v>17.57407181</v>
      </c>
      <c r="M361" s="30"/>
      <c r="AI361" s="30"/>
      <c r="AS361" s="42">
        <f>SUM(AJ362:AJ397)</f>
        <v>0</v>
      </c>
      <c r="AT361" s="42">
        <f>SUM(AK362:AK397)</f>
        <v>0</v>
      </c>
      <c r="AU361" s="42">
        <f>SUM(AL362:AL397)</f>
        <v>0</v>
      </c>
    </row>
    <row r="362" spans="1:62">
      <c r="A362" s="5" t="s">
        <v>262</v>
      </c>
      <c r="B362" s="5"/>
      <c r="C362" s="5" t="s">
        <v>866</v>
      </c>
      <c r="D362" s="5" t="s">
        <v>1549</v>
      </c>
      <c r="E362" s="5" t="s">
        <v>1940</v>
      </c>
      <c r="F362" s="21">
        <v>220.5</v>
      </c>
      <c r="G362" s="753">
        <v>0</v>
      </c>
      <c r="H362" s="21">
        <f>F362*AO362</f>
        <v>0</v>
      </c>
      <c r="I362" s="21">
        <f>F362*AP362</f>
        <v>0</v>
      </c>
      <c r="J362" s="21">
        <f>F362*G362</f>
        <v>0</v>
      </c>
      <c r="K362" s="21">
        <v>0</v>
      </c>
      <c r="L362" s="21">
        <f>F362*K362</f>
        <v>0</v>
      </c>
      <c r="M362" s="34" t="s">
        <v>1961</v>
      </c>
      <c r="Z362" s="39">
        <f>IF(AQ362="5",BJ362,0)</f>
        <v>0</v>
      </c>
      <c r="AB362" s="39">
        <f>IF(AQ362="1",BH362,0)</f>
        <v>0</v>
      </c>
      <c r="AC362" s="39">
        <f>IF(AQ362="1",BI362,0)</f>
        <v>0</v>
      </c>
      <c r="AD362" s="39">
        <f>IF(AQ362="7",BH362,0)</f>
        <v>0</v>
      </c>
      <c r="AE362" s="39">
        <f>IF(AQ362="7",BI362,0)</f>
        <v>0</v>
      </c>
      <c r="AF362" s="39">
        <f>IF(AQ362="2",BH362,0)</f>
        <v>0</v>
      </c>
      <c r="AG362" s="39">
        <f>IF(AQ362="2",BI362,0)</f>
        <v>0</v>
      </c>
      <c r="AH362" s="39">
        <f>IF(AQ362="0",BJ362,0)</f>
        <v>0</v>
      </c>
      <c r="AI362" s="30"/>
      <c r="AJ362" s="21">
        <f>IF(AN362=0,J362,0)</f>
        <v>0</v>
      </c>
      <c r="AK362" s="21">
        <f>IF(AN362=15,J362,0)</f>
        <v>0</v>
      </c>
      <c r="AL362" s="21">
        <f>IF(AN362=21,J362,0)</f>
        <v>0</v>
      </c>
      <c r="AN362" s="39">
        <v>21</v>
      </c>
      <c r="AO362" s="39">
        <f>G362*0</f>
        <v>0</v>
      </c>
      <c r="AP362" s="39">
        <f>G362*(1-0)</f>
        <v>0</v>
      </c>
      <c r="AQ362" s="34" t="s">
        <v>11</v>
      </c>
      <c r="AV362" s="39">
        <f>AW362+AX362</f>
        <v>0</v>
      </c>
      <c r="AW362" s="39">
        <f>F362*AO362</f>
        <v>0</v>
      </c>
      <c r="AX362" s="39">
        <f>F362*AP362</f>
        <v>0</v>
      </c>
      <c r="AY362" s="40" t="s">
        <v>2005</v>
      </c>
      <c r="AZ362" s="40" t="s">
        <v>2038</v>
      </c>
      <c r="BA362" s="30" t="s">
        <v>2045</v>
      </c>
      <c r="BC362" s="39">
        <f>AW362+AX362</f>
        <v>0</v>
      </c>
      <c r="BD362" s="39">
        <f>G362/(100-BE362)*100</f>
        <v>0</v>
      </c>
      <c r="BE362" s="39">
        <v>0</v>
      </c>
      <c r="BF362" s="39">
        <f>L362</f>
        <v>0</v>
      </c>
      <c r="BH362" s="21">
        <f>F362*AO362</f>
        <v>0</v>
      </c>
      <c r="BI362" s="21">
        <f>F362*AP362</f>
        <v>0</v>
      </c>
      <c r="BJ362" s="21">
        <f>F362*G362</f>
        <v>0</v>
      </c>
    </row>
    <row r="363" spans="1:62">
      <c r="A363" s="6" t="s">
        <v>263</v>
      </c>
      <c r="B363" s="6"/>
      <c r="C363" s="6" t="s">
        <v>661</v>
      </c>
      <c r="D363" s="6" t="s">
        <v>1550</v>
      </c>
      <c r="E363" s="6" t="s">
        <v>1940</v>
      </c>
      <c r="F363" s="22">
        <v>253.57499999999999</v>
      </c>
      <c r="G363" s="754">
        <v>0</v>
      </c>
      <c r="H363" s="22">
        <f>F363*AO363</f>
        <v>0</v>
      </c>
      <c r="I363" s="22">
        <f>F363*AP363</f>
        <v>0</v>
      </c>
      <c r="J363" s="22">
        <f>F363*G363</f>
        <v>0</v>
      </c>
      <c r="K363" s="22">
        <v>2.9999999999999997E-4</v>
      </c>
      <c r="L363" s="22">
        <f>F363*K363</f>
        <v>7.6072499999999987E-2</v>
      </c>
      <c r="M363" s="35" t="s">
        <v>1961</v>
      </c>
      <c r="Z363" s="39">
        <f>IF(AQ363="5",BJ363,0)</f>
        <v>0</v>
      </c>
      <c r="AB363" s="39">
        <f>IF(AQ363="1",BH363,0)</f>
        <v>0</v>
      </c>
      <c r="AC363" s="39">
        <f>IF(AQ363="1",BI363,0)</f>
        <v>0</v>
      </c>
      <c r="AD363" s="39">
        <f>IF(AQ363="7",BH363,0)</f>
        <v>0</v>
      </c>
      <c r="AE363" s="39">
        <f>IF(AQ363="7",BI363,0)</f>
        <v>0</v>
      </c>
      <c r="AF363" s="39">
        <f>IF(AQ363="2",BH363,0)</f>
        <v>0</v>
      </c>
      <c r="AG363" s="39">
        <f>IF(AQ363="2",BI363,0)</f>
        <v>0</v>
      </c>
      <c r="AH363" s="39">
        <f>IF(AQ363="0",BJ363,0)</f>
        <v>0</v>
      </c>
      <c r="AI363" s="30"/>
      <c r="AJ363" s="22">
        <f>IF(AN363=0,J363,0)</f>
        <v>0</v>
      </c>
      <c r="AK363" s="22">
        <f>IF(AN363=15,J363,0)</f>
        <v>0</v>
      </c>
      <c r="AL363" s="22">
        <f>IF(AN363=21,J363,0)</f>
        <v>0</v>
      </c>
      <c r="AN363" s="39">
        <v>21</v>
      </c>
      <c r="AO363" s="39">
        <f>G363*1</f>
        <v>0</v>
      </c>
      <c r="AP363" s="39">
        <f>G363*(1-1)</f>
        <v>0</v>
      </c>
      <c r="AQ363" s="35" t="s">
        <v>11</v>
      </c>
      <c r="AV363" s="39">
        <f>AW363+AX363</f>
        <v>0</v>
      </c>
      <c r="AW363" s="39">
        <f>F363*AO363</f>
        <v>0</v>
      </c>
      <c r="AX363" s="39">
        <f>F363*AP363</f>
        <v>0</v>
      </c>
      <c r="AY363" s="40" t="s">
        <v>2005</v>
      </c>
      <c r="AZ363" s="40" t="s">
        <v>2038</v>
      </c>
      <c r="BA363" s="30" t="s">
        <v>2045</v>
      </c>
      <c r="BC363" s="39">
        <f>AW363+AX363</f>
        <v>0</v>
      </c>
      <c r="BD363" s="39">
        <f>G363/(100-BE363)*100</f>
        <v>0</v>
      </c>
      <c r="BE363" s="39">
        <v>0</v>
      </c>
      <c r="BF363" s="39">
        <f>L363</f>
        <v>7.6072499999999987E-2</v>
      </c>
      <c r="BH363" s="22">
        <f>F363*AO363</f>
        <v>0</v>
      </c>
      <c r="BI363" s="22">
        <f>F363*AP363</f>
        <v>0</v>
      </c>
      <c r="BJ363" s="22">
        <f>F363*G363</f>
        <v>0</v>
      </c>
    </row>
    <row r="364" spans="1:62">
      <c r="A364" s="5" t="s">
        <v>264</v>
      </c>
      <c r="B364" s="5"/>
      <c r="C364" s="5" t="s">
        <v>867</v>
      </c>
      <c r="D364" s="5" t="s">
        <v>1551</v>
      </c>
      <c r="E364" s="5" t="s">
        <v>1940</v>
      </c>
      <c r="F364" s="21">
        <v>235</v>
      </c>
      <c r="G364" s="753">
        <v>0</v>
      </c>
      <c r="H364" s="21">
        <f>F364*AO364</f>
        <v>0</v>
      </c>
      <c r="I364" s="21">
        <f>F364*AP364</f>
        <v>0</v>
      </c>
      <c r="J364" s="21">
        <f>F364*G364</f>
        <v>0</v>
      </c>
      <c r="K364" s="21">
        <v>0</v>
      </c>
      <c r="L364" s="21">
        <f>F364*K364</f>
        <v>0</v>
      </c>
      <c r="M364" s="34" t="s">
        <v>1961</v>
      </c>
      <c r="Z364" s="39">
        <f>IF(AQ364="5",BJ364,0)</f>
        <v>0</v>
      </c>
      <c r="AB364" s="39">
        <f>IF(AQ364="1",BH364,0)</f>
        <v>0</v>
      </c>
      <c r="AC364" s="39">
        <f>IF(AQ364="1",BI364,0)</f>
        <v>0</v>
      </c>
      <c r="AD364" s="39">
        <f>IF(AQ364="7",BH364,0)</f>
        <v>0</v>
      </c>
      <c r="AE364" s="39">
        <f>IF(AQ364="7",BI364,0)</f>
        <v>0</v>
      </c>
      <c r="AF364" s="39">
        <f>IF(AQ364="2",BH364,0)</f>
        <v>0</v>
      </c>
      <c r="AG364" s="39">
        <f>IF(AQ364="2",BI364,0)</f>
        <v>0</v>
      </c>
      <c r="AH364" s="39">
        <f>IF(AQ364="0",BJ364,0)</f>
        <v>0</v>
      </c>
      <c r="AI364" s="30"/>
      <c r="AJ364" s="21">
        <f>IF(AN364=0,J364,0)</f>
        <v>0</v>
      </c>
      <c r="AK364" s="21">
        <f>IF(AN364=15,J364,0)</f>
        <v>0</v>
      </c>
      <c r="AL364" s="21">
        <f>IF(AN364=21,J364,0)</f>
        <v>0</v>
      </c>
      <c r="AN364" s="39">
        <v>21</v>
      </c>
      <c r="AO364" s="39">
        <f>G364*0</f>
        <v>0</v>
      </c>
      <c r="AP364" s="39">
        <f>G364*(1-0)</f>
        <v>0</v>
      </c>
      <c r="AQ364" s="34" t="s">
        <v>11</v>
      </c>
      <c r="AV364" s="39">
        <f>AW364+AX364</f>
        <v>0</v>
      </c>
      <c r="AW364" s="39">
        <f>F364*AO364</f>
        <v>0</v>
      </c>
      <c r="AX364" s="39">
        <f>F364*AP364</f>
        <v>0</v>
      </c>
      <c r="AY364" s="40" t="s">
        <v>2005</v>
      </c>
      <c r="AZ364" s="40" t="s">
        <v>2038</v>
      </c>
      <c r="BA364" s="30" t="s">
        <v>2045</v>
      </c>
      <c r="BC364" s="39">
        <f>AW364+AX364</f>
        <v>0</v>
      </c>
      <c r="BD364" s="39">
        <f>G364/(100-BE364)*100</f>
        <v>0</v>
      </c>
      <c r="BE364" s="39">
        <v>0</v>
      </c>
      <c r="BF364" s="39">
        <f>L364</f>
        <v>0</v>
      </c>
      <c r="BH364" s="21">
        <f>F364*AO364</f>
        <v>0</v>
      </c>
      <c r="BI364" s="21">
        <f>F364*AP364</f>
        <v>0</v>
      </c>
      <c r="BJ364" s="21">
        <f>F364*G364</f>
        <v>0</v>
      </c>
    </row>
    <row r="365" spans="1:62">
      <c r="A365" s="6" t="s">
        <v>265</v>
      </c>
      <c r="B365" s="6"/>
      <c r="C365" s="6" t="s">
        <v>660</v>
      </c>
      <c r="D365" s="6" t="s">
        <v>1552</v>
      </c>
      <c r="E365" s="6" t="s">
        <v>1940</v>
      </c>
      <c r="F365" s="22">
        <v>270.25</v>
      </c>
      <c r="G365" s="754">
        <v>0</v>
      </c>
      <c r="H365" s="22">
        <f>F365*AO365</f>
        <v>0</v>
      </c>
      <c r="I365" s="22">
        <f>F365*AP365</f>
        <v>0</v>
      </c>
      <c r="J365" s="22">
        <f>F365*G365</f>
        <v>0</v>
      </c>
      <c r="K365" s="22">
        <v>5.0000000000000001E-4</v>
      </c>
      <c r="L365" s="22">
        <f>F365*K365</f>
        <v>0.135125</v>
      </c>
      <c r="M365" s="35" t="s">
        <v>1961</v>
      </c>
      <c r="Z365" s="39">
        <f>IF(AQ365="5",BJ365,0)</f>
        <v>0</v>
      </c>
      <c r="AB365" s="39">
        <f>IF(AQ365="1",BH365,0)</f>
        <v>0</v>
      </c>
      <c r="AC365" s="39">
        <f>IF(AQ365="1",BI365,0)</f>
        <v>0</v>
      </c>
      <c r="AD365" s="39">
        <f>IF(AQ365="7",BH365,0)</f>
        <v>0</v>
      </c>
      <c r="AE365" s="39">
        <f>IF(AQ365="7",BI365,0)</f>
        <v>0</v>
      </c>
      <c r="AF365" s="39">
        <f>IF(AQ365="2",BH365,0)</f>
        <v>0</v>
      </c>
      <c r="AG365" s="39">
        <f>IF(AQ365="2",BI365,0)</f>
        <v>0</v>
      </c>
      <c r="AH365" s="39">
        <f>IF(AQ365="0",BJ365,0)</f>
        <v>0</v>
      </c>
      <c r="AI365" s="30"/>
      <c r="AJ365" s="22">
        <f>IF(AN365=0,J365,0)</f>
        <v>0</v>
      </c>
      <c r="AK365" s="22">
        <f>IF(AN365=15,J365,0)</f>
        <v>0</v>
      </c>
      <c r="AL365" s="22">
        <f>IF(AN365=21,J365,0)</f>
        <v>0</v>
      </c>
      <c r="AN365" s="39">
        <v>21</v>
      </c>
      <c r="AO365" s="39">
        <f>G365*1</f>
        <v>0</v>
      </c>
      <c r="AP365" s="39">
        <f>G365*(1-1)</f>
        <v>0</v>
      </c>
      <c r="AQ365" s="35" t="s">
        <v>11</v>
      </c>
      <c r="AV365" s="39">
        <f>AW365+AX365</f>
        <v>0</v>
      </c>
      <c r="AW365" s="39">
        <f>F365*AO365</f>
        <v>0</v>
      </c>
      <c r="AX365" s="39">
        <f>F365*AP365</f>
        <v>0</v>
      </c>
      <c r="AY365" s="40" t="s">
        <v>2005</v>
      </c>
      <c r="AZ365" s="40" t="s">
        <v>2038</v>
      </c>
      <c r="BA365" s="30" t="s">
        <v>2045</v>
      </c>
      <c r="BC365" s="39">
        <f>AW365+AX365</f>
        <v>0</v>
      </c>
      <c r="BD365" s="39">
        <f>G365/(100-BE365)*100</f>
        <v>0</v>
      </c>
      <c r="BE365" s="39">
        <v>0</v>
      </c>
      <c r="BF365" s="39">
        <f>L365</f>
        <v>0.135125</v>
      </c>
      <c r="BH365" s="22">
        <f>F365*AO365</f>
        <v>0</v>
      </c>
      <c r="BI365" s="22">
        <f>F365*AP365</f>
        <v>0</v>
      </c>
      <c r="BJ365" s="22">
        <f>F365*G365</f>
        <v>0</v>
      </c>
    </row>
    <row r="366" spans="1:62">
      <c r="A366" s="5" t="s">
        <v>266</v>
      </c>
      <c r="B366" s="5"/>
      <c r="C366" s="5" t="s">
        <v>868</v>
      </c>
      <c r="D366" s="5" t="s">
        <v>1553</v>
      </c>
      <c r="E366" s="5" t="s">
        <v>1940</v>
      </c>
      <c r="F366" s="21">
        <v>381.24</v>
      </c>
      <c r="G366" s="753">
        <v>0</v>
      </c>
      <c r="H366" s="21">
        <f>F366*AO366</f>
        <v>0</v>
      </c>
      <c r="I366" s="21">
        <f>F366*AP366</f>
        <v>0</v>
      </c>
      <c r="J366" s="21">
        <f>F366*G366</f>
        <v>0</v>
      </c>
      <c r="K366" s="21">
        <v>4.6299999999999996E-3</v>
      </c>
      <c r="L366" s="21">
        <f>F366*K366</f>
        <v>1.7651412</v>
      </c>
      <c r="M366" s="34" t="s">
        <v>1961</v>
      </c>
      <c r="Z366" s="39">
        <f>IF(AQ366="5",BJ366,0)</f>
        <v>0</v>
      </c>
      <c r="AB366" s="39">
        <f>IF(AQ366="1",BH366,0)</f>
        <v>0</v>
      </c>
      <c r="AC366" s="39">
        <f>IF(AQ366="1",BI366,0)</f>
        <v>0</v>
      </c>
      <c r="AD366" s="39">
        <f>IF(AQ366="7",BH366,0)</f>
        <v>0</v>
      </c>
      <c r="AE366" s="39">
        <f>IF(AQ366="7",BI366,0)</f>
        <v>0</v>
      </c>
      <c r="AF366" s="39">
        <f>IF(AQ366="2",BH366,0)</f>
        <v>0</v>
      </c>
      <c r="AG366" s="39">
        <f>IF(AQ366="2",BI366,0)</f>
        <v>0</v>
      </c>
      <c r="AH366" s="39">
        <f>IF(AQ366="0",BJ366,0)</f>
        <v>0</v>
      </c>
      <c r="AI366" s="30"/>
      <c r="AJ366" s="21">
        <f>IF(AN366=0,J366,0)</f>
        <v>0</v>
      </c>
      <c r="AK366" s="21">
        <f>IF(AN366=15,J366,0)</f>
        <v>0</v>
      </c>
      <c r="AL366" s="21">
        <f>IF(AN366=21,J366,0)</f>
        <v>0</v>
      </c>
      <c r="AN366" s="39">
        <v>21</v>
      </c>
      <c r="AO366" s="39">
        <f>G366*0.608973333333333</f>
        <v>0</v>
      </c>
      <c r="AP366" s="39">
        <f>G366*(1-0.608973333333333)</f>
        <v>0</v>
      </c>
      <c r="AQ366" s="34" t="s">
        <v>11</v>
      </c>
      <c r="AV366" s="39">
        <f>AW366+AX366</f>
        <v>0</v>
      </c>
      <c r="AW366" s="39">
        <f>F366*AO366</f>
        <v>0</v>
      </c>
      <c r="AX366" s="39">
        <f>F366*AP366</f>
        <v>0</v>
      </c>
      <c r="AY366" s="40" t="s">
        <v>2005</v>
      </c>
      <c r="AZ366" s="40" t="s">
        <v>2038</v>
      </c>
      <c r="BA366" s="30" t="s">
        <v>2045</v>
      </c>
      <c r="BC366" s="39">
        <f>AW366+AX366</f>
        <v>0</v>
      </c>
      <c r="BD366" s="39">
        <f>G366/(100-BE366)*100</f>
        <v>0</v>
      </c>
      <c r="BE366" s="39">
        <v>0</v>
      </c>
      <c r="BF366" s="39">
        <f>L366</f>
        <v>1.7651412</v>
      </c>
      <c r="BH366" s="21">
        <f>F366*AO366</f>
        <v>0</v>
      </c>
      <c r="BI366" s="21">
        <f>F366*AP366</f>
        <v>0</v>
      </c>
      <c r="BJ366" s="21">
        <f>F366*G366</f>
        <v>0</v>
      </c>
    </row>
    <row r="367" spans="1:62" ht="25.65" customHeight="1">
      <c r="C367" s="17" t="s">
        <v>605</v>
      </c>
      <c r="D367" s="917" t="s">
        <v>1554</v>
      </c>
      <c r="E367" s="918"/>
      <c r="F367" s="918"/>
      <c r="G367" s="918"/>
      <c r="H367" s="918"/>
      <c r="I367" s="918"/>
      <c r="J367" s="918"/>
      <c r="K367" s="918"/>
      <c r="L367" s="918"/>
      <c r="M367" s="918"/>
    </row>
    <row r="368" spans="1:62">
      <c r="A368" s="5" t="s">
        <v>267</v>
      </c>
      <c r="B368" s="5"/>
      <c r="C368" s="5" t="s">
        <v>869</v>
      </c>
      <c r="D368" s="5" t="s">
        <v>1555</v>
      </c>
      <c r="E368" s="5" t="s">
        <v>1940</v>
      </c>
      <c r="F368" s="21">
        <v>220.5</v>
      </c>
      <c r="G368" s="753">
        <v>0</v>
      </c>
      <c r="H368" s="21">
        <f t="shared" ref="H368:H374" si="290">F368*AO368</f>
        <v>0</v>
      </c>
      <c r="I368" s="21">
        <f t="shared" ref="I368:I374" si="291">F368*AP368</f>
        <v>0</v>
      </c>
      <c r="J368" s="21">
        <f t="shared" ref="J368:J374" si="292">F368*G368</f>
        <v>0</v>
      </c>
      <c r="K368" s="21">
        <v>0</v>
      </c>
      <c r="L368" s="21">
        <f t="shared" ref="L368:L374" si="293">F368*K368</f>
        <v>0</v>
      </c>
      <c r="M368" s="34" t="s">
        <v>1961</v>
      </c>
      <c r="Z368" s="39">
        <f t="shared" ref="Z368:Z374" si="294">IF(AQ368="5",BJ368,0)</f>
        <v>0</v>
      </c>
      <c r="AB368" s="39">
        <f t="shared" ref="AB368:AB374" si="295">IF(AQ368="1",BH368,0)</f>
        <v>0</v>
      </c>
      <c r="AC368" s="39">
        <f t="shared" ref="AC368:AC374" si="296">IF(AQ368="1",BI368,0)</f>
        <v>0</v>
      </c>
      <c r="AD368" s="39">
        <f t="shared" ref="AD368:AD374" si="297">IF(AQ368="7",BH368,0)</f>
        <v>0</v>
      </c>
      <c r="AE368" s="39">
        <f t="shared" ref="AE368:AE374" si="298">IF(AQ368="7",BI368,0)</f>
        <v>0</v>
      </c>
      <c r="AF368" s="39">
        <f t="shared" ref="AF368:AF374" si="299">IF(AQ368="2",BH368,0)</f>
        <v>0</v>
      </c>
      <c r="AG368" s="39">
        <f t="shared" ref="AG368:AG374" si="300">IF(AQ368="2",BI368,0)</f>
        <v>0</v>
      </c>
      <c r="AH368" s="39">
        <f t="shared" ref="AH368:AH374" si="301">IF(AQ368="0",BJ368,0)</f>
        <v>0</v>
      </c>
      <c r="AI368" s="30"/>
      <c r="AJ368" s="21">
        <f t="shared" ref="AJ368:AJ374" si="302">IF(AN368=0,J368,0)</f>
        <v>0</v>
      </c>
      <c r="AK368" s="21">
        <f t="shared" ref="AK368:AK374" si="303">IF(AN368=15,J368,0)</f>
        <v>0</v>
      </c>
      <c r="AL368" s="21">
        <f t="shared" ref="AL368:AL374" si="304">IF(AN368=21,J368,0)</f>
        <v>0</v>
      </c>
      <c r="AN368" s="39">
        <v>21</v>
      </c>
      <c r="AO368" s="39">
        <f>G368*0</f>
        <v>0</v>
      </c>
      <c r="AP368" s="39">
        <f>G368*(1-0)</f>
        <v>0</v>
      </c>
      <c r="AQ368" s="34" t="s">
        <v>11</v>
      </c>
      <c r="AV368" s="39">
        <f t="shared" ref="AV368:AV374" si="305">AW368+AX368</f>
        <v>0</v>
      </c>
      <c r="AW368" s="39">
        <f t="shared" ref="AW368:AW374" si="306">F368*AO368</f>
        <v>0</v>
      </c>
      <c r="AX368" s="39">
        <f t="shared" ref="AX368:AX374" si="307">F368*AP368</f>
        <v>0</v>
      </c>
      <c r="AY368" s="40" t="s">
        <v>2005</v>
      </c>
      <c r="AZ368" s="40" t="s">
        <v>2038</v>
      </c>
      <c r="BA368" s="30" t="s">
        <v>2045</v>
      </c>
      <c r="BC368" s="39">
        <f t="shared" ref="BC368:BC374" si="308">AW368+AX368</f>
        <v>0</v>
      </c>
      <c r="BD368" s="39">
        <f t="shared" ref="BD368:BD374" si="309">G368/(100-BE368)*100</f>
        <v>0</v>
      </c>
      <c r="BE368" s="39">
        <v>0</v>
      </c>
      <c r="BF368" s="39">
        <f t="shared" ref="BF368:BF374" si="310">L368</f>
        <v>0</v>
      </c>
      <c r="BH368" s="21">
        <f t="shared" ref="BH368:BH374" si="311">F368*AO368</f>
        <v>0</v>
      </c>
      <c r="BI368" s="21">
        <f t="shared" ref="BI368:BI374" si="312">F368*AP368</f>
        <v>0</v>
      </c>
      <c r="BJ368" s="21">
        <f t="shared" ref="BJ368:BJ374" si="313">F368*G368</f>
        <v>0</v>
      </c>
    </row>
    <row r="369" spans="1:62">
      <c r="A369" s="6" t="s">
        <v>268</v>
      </c>
      <c r="B369" s="6"/>
      <c r="C369" s="6" t="s">
        <v>870</v>
      </c>
      <c r="D369" s="6" t="s">
        <v>1556</v>
      </c>
      <c r="E369" s="6" t="s">
        <v>1940</v>
      </c>
      <c r="F369" s="22">
        <v>253.57499999999999</v>
      </c>
      <c r="G369" s="754">
        <v>0</v>
      </c>
      <c r="H369" s="22">
        <f t="shared" si="290"/>
        <v>0</v>
      </c>
      <c r="I369" s="22">
        <f t="shared" si="291"/>
        <v>0</v>
      </c>
      <c r="J369" s="22">
        <f t="shared" si="292"/>
        <v>0</v>
      </c>
      <c r="K369" s="22">
        <v>1.2700000000000001E-3</v>
      </c>
      <c r="L369" s="22">
        <f t="shared" si="293"/>
        <v>0.32204025000000003</v>
      </c>
      <c r="M369" s="35" t="s">
        <v>1961</v>
      </c>
      <c r="Z369" s="39">
        <f t="shared" si="294"/>
        <v>0</v>
      </c>
      <c r="AB369" s="39">
        <f t="shared" si="295"/>
        <v>0</v>
      </c>
      <c r="AC369" s="39">
        <f t="shared" si="296"/>
        <v>0</v>
      </c>
      <c r="AD369" s="39">
        <f t="shared" si="297"/>
        <v>0</v>
      </c>
      <c r="AE369" s="39">
        <f t="shared" si="298"/>
        <v>0</v>
      </c>
      <c r="AF369" s="39">
        <f t="shared" si="299"/>
        <v>0</v>
      </c>
      <c r="AG369" s="39">
        <f t="shared" si="300"/>
        <v>0</v>
      </c>
      <c r="AH369" s="39">
        <f t="shared" si="301"/>
        <v>0</v>
      </c>
      <c r="AI369" s="30"/>
      <c r="AJ369" s="22">
        <f t="shared" si="302"/>
        <v>0</v>
      </c>
      <c r="AK369" s="22">
        <f t="shared" si="303"/>
        <v>0</v>
      </c>
      <c r="AL369" s="22">
        <f t="shared" si="304"/>
        <v>0</v>
      </c>
      <c r="AN369" s="39">
        <v>21</v>
      </c>
      <c r="AO369" s="39">
        <f>G369*1</f>
        <v>0</v>
      </c>
      <c r="AP369" s="39">
        <f>G369*(1-1)</f>
        <v>0</v>
      </c>
      <c r="AQ369" s="35" t="s">
        <v>11</v>
      </c>
      <c r="AV369" s="39">
        <f t="shared" si="305"/>
        <v>0</v>
      </c>
      <c r="AW369" s="39">
        <f t="shared" si="306"/>
        <v>0</v>
      </c>
      <c r="AX369" s="39">
        <f t="shared" si="307"/>
        <v>0</v>
      </c>
      <c r="AY369" s="40" t="s">
        <v>2005</v>
      </c>
      <c r="AZ369" s="40" t="s">
        <v>2038</v>
      </c>
      <c r="BA369" s="30" t="s">
        <v>2045</v>
      </c>
      <c r="BC369" s="39">
        <f t="shared" si="308"/>
        <v>0</v>
      </c>
      <c r="BD369" s="39">
        <f t="shared" si="309"/>
        <v>0</v>
      </c>
      <c r="BE369" s="39">
        <v>0</v>
      </c>
      <c r="BF369" s="39">
        <f t="shared" si="310"/>
        <v>0.32204025000000003</v>
      </c>
      <c r="BH369" s="22">
        <f t="shared" si="311"/>
        <v>0</v>
      </c>
      <c r="BI369" s="22">
        <f t="shared" si="312"/>
        <v>0</v>
      </c>
      <c r="BJ369" s="22">
        <f t="shared" si="313"/>
        <v>0</v>
      </c>
    </row>
    <row r="370" spans="1:62">
      <c r="A370" s="5" t="s">
        <v>269</v>
      </c>
      <c r="B370" s="5"/>
      <c r="C370" s="5" t="s">
        <v>871</v>
      </c>
      <c r="D370" s="5" t="s">
        <v>1557</v>
      </c>
      <c r="E370" s="5" t="s">
        <v>1940</v>
      </c>
      <c r="F370" s="21">
        <v>707.2</v>
      </c>
      <c r="G370" s="753">
        <v>0</v>
      </c>
      <c r="H370" s="21">
        <f t="shared" si="290"/>
        <v>0</v>
      </c>
      <c r="I370" s="21">
        <f t="shared" si="291"/>
        <v>0</v>
      </c>
      <c r="J370" s="21">
        <f t="shared" si="292"/>
        <v>0</v>
      </c>
      <c r="K370" s="21">
        <v>0</v>
      </c>
      <c r="L370" s="21">
        <f t="shared" si="293"/>
        <v>0</v>
      </c>
      <c r="M370" s="34" t="s">
        <v>1961</v>
      </c>
      <c r="Z370" s="39">
        <f t="shared" si="294"/>
        <v>0</v>
      </c>
      <c r="AB370" s="39">
        <f t="shared" si="295"/>
        <v>0</v>
      </c>
      <c r="AC370" s="39">
        <f t="shared" si="296"/>
        <v>0</v>
      </c>
      <c r="AD370" s="39">
        <f t="shared" si="297"/>
        <v>0</v>
      </c>
      <c r="AE370" s="39">
        <f t="shared" si="298"/>
        <v>0</v>
      </c>
      <c r="AF370" s="39">
        <f t="shared" si="299"/>
        <v>0</v>
      </c>
      <c r="AG370" s="39">
        <f t="shared" si="300"/>
        <v>0</v>
      </c>
      <c r="AH370" s="39">
        <f t="shared" si="301"/>
        <v>0</v>
      </c>
      <c r="AI370" s="30"/>
      <c r="AJ370" s="21">
        <f t="shared" si="302"/>
        <v>0</v>
      </c>
      <c r="AK370" s="21">
        <f t="shared" si="303"/>
        <v>0</v>
      </c>
      <c r="AL370" s="21">
        <f t="shared" si="304"/>
        <v>0</v>
      </c>
      <c r="AN370" s="39">
        <v>21</v>
      </c>
      <c r="AO370" s="39">
        <f>G370*0</f>
        <v>0</v>
      </c>
      <c r="AP370" s="39">
        <f>G370*(1-0)</f>
        <v>0</v>
      </c>
      <c r="AQ370" s="34" t="s">
        <v>11</v>
      </c>
      <c r="AV370" s="39">
        <f t="shared" si="305"/>
        <v>0</v>
      </c>
      <c r="AW370" s="39">
        <f t="shared" si="306"/>
        <v>0</v>
      </c>
      <c r="AX370" s="39">
        <f t="shared" si="307"/>
        <v>0</v>
      </c>
      <c r="AY370" s="40" t="s">
        <v>2005</v>
      </c>
      <c r="AZ370" s="40" t="s">
        <v>2038</v>
      </c>
      <c r="BA370" s="30" t="s">
        <v>2045</v>
      </c>
      <c r="BC370" s="39">
        <f t="shared" si="308"/>
        <v>0</v>
      </c>
      <c r="BD370" s="39">
        <f t="shared" si="309"/>
        <v>0</v>
      </c>
      <c r="BE370" s="39">
        <v>0</v>
      </c>
      <c r="BF370" s="39">
        <f t="shared" si="310"/>
        <v>0</v>
      </c>
      <c r="BH370" s="21">
        <f t="shared" si="311"/>
        <v>0</v>
      </c>
      <c r="BI370" s="21">
        <f t="shared" si="312"/>
        <v>0</v>
      </c>
      <c r="BJ370" s="21">
        <f t="shared" si="313"/>
        <v>0</v>
      </c>
    </row>
    <row r="371" spans="1:62">
      <c r="A371" s="6" t="s">
        <v>270</v>
      </c>
      <c r="B371" s="6"/>
      <c r="C371" s="6" t="s">
        <v>872</v>
      </c>
      <c r="D371" s="6" t="s">
        <v>1558</v>
      </c>
      <c r="E371" s="6" t="s">
        <v>1944</v>
      </c>
      <c r="F371" s="22">
        <v>212.16</v>
      </c>
      <c r="G371" s="754">
        <v>0</v>
      </c>
      <c r="H371" s="22">
        <f t="shared" si="290"/>
        <v>0</v>
      </c>
      <c r="I371" s="22">
        <f t="shared" si="291"/>
        <v>0</v>
      </c>
      <c r="J371" s="22">
        <f t="shared" si="292"/>
        <v>0</v>
      </c>
      <c r="K371" s="22">
        <v>1E-3</v>
      </c>
      <c r="L371" s="22">
        <f t="shared" si="293"/>
        <v>0.21215999999999999</v>
      </c>
      <c r="M371" s="35" t="s">
        <v>1961</v>
      </c>
      <c r="Z371" s="39">
        <f t="shared" si="294"/>
        <v>0</v>
      </c>
      <c r="AB371" s="39">
        <f t="shared" si="295"/>
        <v>0</v>
      </c>
      <c r="AC371" s="39">
        <f t="shared" si="296"/>
        <v>0</v>
      </c>
      <c r="AD371" s="39">
        <f t="shared" si="297"/>
        <v>0</v>
      </c>
      <c r="AE371" s="39">
        <f t="shared" si="298"/>
        <v>0</v>
      </c>
      <c r="AF371" s="39">
        <f t="shared" si="299"/>
        <v>0</v>
      </c>
      <c r="AG371" s="39">
        <f t="shared" si="300"/>
        <v>0</v>
      </c>
      <c r="AH371" s="39">
        <f t="shared" si="301"/>
        <v>0</v>
      </c>
      <c r="AI371" s="30"/>
      <c r="AJ371" s="22">
        <f t="shared" si="302"/>
        <v>0</v>
      </c>
      <c r="AK371" s="22">
        <f t="shared" si="303"/>
        <v>0</v>
      </c>
      <c r="AL371" s="22">
        <f t="shared" si="304"/>
        <v>0</v>
      </c>
      <c r="AN371" s="39">
        <v>21</v>
      </c>
      <c r="AO371" s="39">
        <f>G371*1</f>
        <v>0</v>
      </c>
      <c r="AP371" s="39">
        <f>G371*(1-1)</f>
        <v>0</v>
      </c>
      <c r="AQ371" s="35" t="s">
        <v>11</v>
      </c>
      <c r="AV371" s="39">
        <f t="shared" si="305"/>
        <v>0</v>
      </c>
      <c r="AW371" s="39">
        <f t="shared" si="306"/>
        <v>0</v>
      </c>
      <c r="AX371" s="39">
        <f t="shared" si="307"/>
        <v>0</v>
      </c>
      <c r="AY371" s="40" t="s">
        <v>2005</v>
      </c>
      <c r="AZ371" s="40" t="s">
        <v>2038</v>
      </c>
      <c r="BA371" s="30" t="s">
        <v>2045</v>
      </c>
      <c r="BC371" s="39">
        <f t="shared" si="308"/>
        <v>0</v>
      </c>
      <c r="BD371" s="39">
        <f t="shared" si="309"/>
        <v>0</v>
      </c>
      <c r="BE371" s="39">
        <v>0</v>
      </c>
      <c r="BF371" s="39">
        <f t="shared" si="310"/>
        <v>0.21215999999999999</v>
      </c>
      <c r="BH371" s="22">
        <f t="shared" si="311"/>
        <v>0</v>
      </c>
      <c r="BI371" s="22">
        <f t="shared" si="312"/>
        <v>0</v>
      </c>
      <c r="BJ371" s="22">
        <f t="shared" si="313"/>
        <v>0</v>
      </c>
    </row>
    <row r="372" spans="1:62">
      <c r="A372" s="5" t="s">
        <v>271</v>
      </c>
      <c r="B372" s="5"/>
      <c r="C372" s="5" t="s">
        <v>873</v>
      </c>
      <c r="D372" s="5" t="s">
        <v>1559</v>
      </c>
      <c r="E372" s="5" t="s">
        <v>1940</v>
      </c>
      <c r="F372" s="21">
        <v>545.64049999999997</v>
      </c>
      <c r="G372" s="753">
        <v>0</v>
      </c>
      <c r="H372" s="21">
        <f t="shared" si="290"/>
        <v>0</v>
      </c>
      <c r="I372" s="21">
        <f t="shared" si="291"/>
        <v>0</v>
      </c>
      <c r="J372" s="21">
        <f t="shared" si="292"/>
        <v>0</v>
      </c>
      <c r="K372" s="21">
        <v>1.7000000000000001E-4</v>
      </c>
      <c r="L372" s="21">
        <f t="shared" si="293"/>
        <v>9.2758884999999999E-2</v>
      </c>
      <c r="M372" s="34" t="s">
        <v>1961</v>
      </c>
      <c r="Z372" s="39">
        <f t="shared" si="294"/>
        <v>0</v>
      </c>
      <c r="AB372" s="39">
        <f t="shared" si="295"/>
        <v>0</v>
      </c>
      <c r="AC372" s="39">
        <f t="shared" si="296"/>
        <v>0</v>
      </c>
      <c r="AD372" s="39">
        <f t="shared" si="297"/>
        <v>0</v>
      </c>
      <c r="AE372" s="39">
        <f t="shared" si="298"/>
        <v>0</v>
      </c>
      <c r="AF372" s="39">
        <f t="shared" si="299"/>
        <v>0</v>
      </c>
      <c r="AG372" s="39">
        <f t="shared" si="300"/>
        <v>0</v>
      </c>
      <c r="AH372" s="39">
        <f t="shared" si="301"/>
        <v>0</v>
      </c>
      <c r="AI372" s="30"/>
      <c r="AJ372" s="21">
        <f t="shared" si="302"/>
        <v>0</v>
      </c>
      <c r="AK372" s="21">
        <f t="shared" si="303"/>
        <v>0</v>
      </c>
      <c r="AL372" s="21">
        <f t="shared" si="304"/>
        <v>0</v>
      </c>
      <c r="AN372" s="39">
        <v>21</v>
      </c>
      <c r="AO372" s="39">
        <f>G372*0.152403286843602</f>
        <v>0</v>
      </c>
      <c r="AP372" s="39">
        <f>G372*(1-0.152403286843602)</f>
        <v>0</v>
      </c>
      <c r="AQ372" s="34" t="s">
        <v>11</v>
      </c>
      <c r="AV372" s="39">
        <f t="shared" si="305"/>
        <v>0</v>
      </c>
      <c r="AW372" s="39">
        <f t="shared" si="306"/>
        <v>0</v>
      </c>
      <c r="AX372" s="39">
        <f t="shared" si="307"/>
        <v>0</v>
      </c>
      <c r="AY372" s="40" t="s">
        <v>2005</v>
      </c>
      <c r="AZ372" s="40" t="s">
        <v>2038</v>
      </c>
      <c r="BA372" s="30" t="s">
        <v>2045</v>
      </c>
      <c r="BC372" s="39">
        <f t="shared" si="308"/>
        <v>0</v>
      </c>
      <c r="BD372" s="39">
        <f t="shared" si="309"/>
        <v>0</v>
      </c>
      <c r="BE372" s="39">
        <v>0</v>
      </c>
      <c r="BF372" s="39">
        <f t="shared" si="310"/>
        <v>9.2758884999999999E-2</v>
      </c>
      <c r="BH372" s="21">
        <f t="shared" si="311"/>
        <v>0</v>
      </c>
      <c r="BI372" s="21">
        <f t="shared" si="312"/>
        <v>0</v>
      </c>
      <c r="BJ372" s="21">
        <f t="shared" si="313"/>
        <v>0</v>
      </c>
    </row>
    <row r="373" spans="1:62">
      <c r="A373" s="6" t="s">
        <v>272</v>
      </c>
      <c r="B373" s="6"/>
      <c r="C373" s="6" t="s">
        <v>872</v>
      </c>
      <c r="D373" s="6" t="s">
        <v>1558</v>
      </c>
      <c r="E373" s="6" t="s">
        <v>1944</v>
      </c>
      <c r="F373" s="22">
        <v>190.97417999999999</v>
      </c>
      <c r="G373" s="754">
        <v>0</v>
      </c>
      <c r="H373" s="22">
        <f t="shared" si="290"/>
        <v>0</v>
      </c>
      <c r="I373" s="22">
        <f t="shared" si="291"/>
        <v>0</v>
      </c>
      <c r="J373" s="22">
        <f t="shared" si="292"/>
        <v>0</v>
      </c>
      <c r="K373" s="22">
        <v>1E-3</v>
      </c>
      <c r="L373" s="22">
        <f t="shared" si="293"/>
        <v>0.19097417999999999</v>
      </c>
      <c r="M373" s="35" t="s">
        <v>1961</v>
      </c>
      <c r="Z373" s="39">
        <f t="shared" si="294"/>
        <v>0</v>
      </c>
      <c r="AB373" s="39">
        <f t="shared" si="295"/>
        <v>0</v>
      </c>
      <c r="AC373" s="39">
        <f t="shared" si="296"/>
        <v>0</v>
      </c>
      <c r="AD373" s="39">
        <f t="shared" si="297"/>
        <v>0</v>
      </c>
      <c r="AE373" s="39">
        <f t="shared" si="298"/>
        <v>0</v>
      </c>
      <c r="AF373" s="39">
        <f t="shared" si="299"/>
        <v>0</v>
      </c>
      <c r="AG373" s="39">
        <f t="shared" si="300"/>
        <v>0</v>
      </c>
      <c r="AH373" s="39">
        <f t="shared" si="301"/>
        <v>0</v>
      </c>
      <c r="AI373" s="30"/>
      <c r="AJ373" s="22">
        <f t="shared" si="302"/>
        <v>0</v>
      </c>
      <c r="AK373" s="22">
        <f t="shared" si="303"/>
        <v>0</v>
      </c>
      <c r="AL373" s="22">
        <f t="shared" si="304"/>
        <v>0</v>
      </c>
      <c r="AN373" s="39">
        <v>21</v>
      </c>
      <c r="AO373" s="39">
        <f>G373*1</f>
        <v>0</v>
      </c>
      <c r="AP373" s="39">
        <f>G373*(1-1)</f>
        <v>0</v>
      </c>
      <c r="AQ373" s="35" t="s">
        <v>11</v>
      </c>
      <c r="AV373" s="39">
        <f t="shared" si="305"/>
        <v>0</v>
      </c>
      <c r="AW373" s="39">
        <f t="shared" si="306"/>
        <v>0</v>
      </c>
      <c r="AX373" s="39">
        <f t="shared" si="307"/>
        <v>0</v>
      </c>
      <c r="AY373" s="40" t="s">
        <v>2005</v>
      </c>
      <c r="AZ373" s="40" t="s">
        <v>2038</v>
      </c>
      <c r="BA373" s="30" t="s">
        <v>2045</v>
      </c>
      <c r="BC373" s="39">
        <f t="shared" si="308"/>
        <v>0</v>
      </c>
      <c r="BD373" s="39">
        <f t="shared" si="309"/>
        <v>0</v>
      </c>
      <c r="BE373" s="39">
        <v>0</v>
      </c>
      <c r="BF373" s="39">
        <f t="shared" si="310"/>
        <v>0.19097417999999999</v>
      </c>
      <c r="BH373" s="22">
        <f t="shared" si="311"/>
        <v>0</v>
      </c>
      <c r="BI373" s="22">
        <f t="shared" si="312"/>
        <v>0</v>
      </c>
      <c r="BJ373" s="22">
        <f t="shared" si="313"/>
        <v>0</v>
      </c>
    </row>
    <row r="374" spans="1:62">
      <c r="A374" s="5" t="s">
        <v>273</v>
      </c>
      <c r="B374" s="5"/>
      <c r="C374" s="5" t="s">
        <v>874</v>
      </c>
      <c r="D374" s="5" t="s">
        <v>1560</v>
      </c>
      <c r="E374" s="5" t="s">
        <v>1940</v>
      </c>
      <c r="F374" s="21">
        <v>30.8</v>
      </c>
      <c r="G374" s="753">
        <v>0</v>
      </c>
      <c r="H374" s="21">
        <f t="shared" si="290"/>
        <v>0</v>
      </c>
      <c r="I374" s="21">
        <f t="shared" si="291"/>
        <v>0</v>
      </c>
      <c r="J374" s="21">
        <f t="shared" si="292"/>
        <v>0</v>
      </c>
      <c r="K374" s="21">
        <v>4.0999999999999999E-4</v>
      </c>
      <c r="L374" s="21">
        <f t="shared" si="293"/>
        <v>1.2628E-2</v>
      </c>
      <c r="M374" s="34" t="s">
        <v>1961</v>
      </c>
      <c r="Z374" s="39">
        <f t="shared" si="294"/>
        <v>0</v>
      </c>
      <c r="AB374" s="39">
        <f t="shared" si="295"/>
        <v>0</v>
      </c>
      <c r="AC374" s="39">
        <f t="shared" si="296"/>
        <v>0</v>
      </c>
      <c r="AD374" s="39">
        <f t="shared" si="297"/>
        <v>0</v>
      </c>
      <c r="AE374" s="39">
        <f t="shared" si="298"/>
        <v>0</v>
      </c>
      <c r="AF374" s="39">
        <f t="shared" si="299"/>
        <v>0</v>
      </c>
      <c r="AG374" s="39">
        <f t="shared" si="300"/>
        <v>0</v>
      </c>
      <c r="AH374" s="39">
        <f t="shared" si="301"/>
        <v>0</v>
      </c>
      <c r="AI374" s="30"/>
      <c r="AJ374" s="21">
        <f t="shared" si="302"/>
        <v>0</v>
      </c>
      <c r="AK374" s="21">
        <f t="shared" si="303"/>
        <v>0</v>
      </c>
      <c r="AL374" s="21">
        <f t="shared" si="304"/>
        <v>0</v>
      </c>
      <c r="AN374" s="39">
        <v>21</v>
      </c>
      <c r="AO374" s="39">
        <f>G374*0.067027027027027</f>
        <v>0</v>
      </c>
      <c r="AP374" s="39">
        <f>G374*(1-0.067027027027027)</f>
        <v>0</v>
      </c>
      <c r="AQ374" s="34" t="s">
        <v>11</v>
      </c>
      <c r="AV374" s="39">
        <f t="shared" si="305"/>
        <v>0</v>
      </c>
      <c r="AW374" s="39">
        <f t="shared" si="306"/>
        <v>0</v>
      </c>
      <c r="AX374" s="39">
        <f t="shared" si="307"/>
        <v>0</v>
      </c>
      <c r="AY374" s="40" t="s">
        <v>2005</v>
      </c>
      <c r="AZ374" s="40" t="s">
        <v>2038</v>
      </c>
      <c r="BA374" s="30" t="s">
        <v>2045</v>
      </c>
      <c r="BC374" s="39">
        <f t="shared" si="308"/>
        <v>0</v>
      </c>
      <c r="BD374" s="39">
        <f t="shared" si="309"/>
        <v>0</v>
      </c>
      <c r="BE374" s="39">
        <v>0</v>
      </c>
      <c r="BF374" s="39">
        <f t="shared" si="310"/>
        <v>1.2628E-2</v>
      </c>
      <c r="BH374" s="21">
        <f t="shared" si="311"/>
        <v>0</v>
      </c>
      <c r="BI374" s="21">
        <f t="shared" si="312"/>
        <v>0</v>
      </c>
      <c r="BJ374" s="21">
        <f t="shared" si="313"/>
        <v>0</v>
      </c>
    </row>
    <row r="375" spans="1:62">
      <c r="C375" s="16" t="s">
        <v>609</v>
      </c>
      <c r="D375" s="919" t="s">
        <v>1561</v>
      </c>
      <c r="E375" s="920"/>
      <c r="F375" s="920"/>
      <c r="G375" s="920"/>
      <c r="H375" s="920"/>
      <c r="I375" s="920"/>
      <c r="J375" s="920"/>
      <c r="K375" s="920"/>
      <c r="L375" s="920"/>
      <c r="M375" s="920"/>
    </row>
    <row r="376" spans="1:62">
      <c r="A376" s="6" t="s">
        <v>274</v>
      </c>
      <c r="B376" s="6"/>
      <c r="C376" s="6" t="s">
        <v>875</v>
      </c>
      <c r="D376" s="6" t="s">
        <v>1562</v>
      </c>
      <c r="E376" s="6" t="s">
        <v>1940</v>
      </c>
      <c r="F376" s="22">
        <v>18.745000000000001</v>
      </c>
      <c r="G376" s="754">
        <v>0</v>
      </c>
      <c r="H376" s="22">
        <f>F376*AO376</f>
        <v>0</v>
      </c>
      <c r="I376" s="22">
        <f>F376*AP376</f>
        <v>0</v>
      </c>
      <c r="J376" s="22">
        <f>F376*G376</f>
        <v>0</v>
      </c>
      <c r="K376" s="22">
        <v>4.4999999999999997E-3</v>
      </c>
      <c r="L376" s="22">
        <f>F376*K376</f>
        <v>8.4352499999999997E-2</v>
      </c>
      <c r="M376" s="35" t="s">
        <v>1960</v>
      </c>
      <c r="Z376" s="39">
        <f>IF(AQ376="5",BJ376,0)</f>
        <v>0</v>
      </c>
      <c r="AB376" s="39">
        <f>IF(AQ376="1",BH376,0)</f>
        <v>0</v>
      </c>
      <c r="AC376" s="39">
        <f>IF(AQ376="1",BI376,0)</f>
        <v>0</v>
      </c>
      <c r="AD376" s="39">
        <f>IF(AQ376="7",BH376,0)</f>
        <v>0</v>
      </c>
      <c r="AE376" s="39">
        <f>IF(AQ376="7",BI376,0)</f>
        <v>0</v>
      </c>
      <c r="AF376" s="39">
        <f>IF(AQ376="2",BH376,0)</f>
        <v>0</v>
      </c>
      <c r="AG376" s="39">
        <f>IF(AQ376="2",BI376,0)</f>
        <v>0</v>
      </c>
      <c r="AH376" s="39">
        <f>IF(AQ376="0",BJ376,0)</f>
        <v>0</v>
      </c>
      <c r="AI376" s="30"/>
      <c r="AJ376" s="22">
        <f>IF(AN376=0,J376,0)</f>
        <v>0</v>
      </c>
      <c r="AK376" s="22">
        <f>IF(AN376=15,J376,0)</f>
        <v>0</v>
      </c>
      <c r="AL376" s="22">
        <f>IF(AN376=21,J376,0)</f>
        <v>0</v>
      </c>
      <c r="AN376" s="39">
        <v>21</v>
      </c>
      <c r="AO376" s="39">
        <f>G376*1</f>
        <v>0</v>
      </c>
      <c r="AP376" s="39">
        <f>G376*(1-1)</f>
        <v>0</v>
      </c>
      <c r="AQ376" s="35" t="s">
        <v>11</v>
      </c>
      <c r="AV376" s="39">
        <f>AW376+AX376</f>
        <v>0</v>
      </c>
      <c r="AW376" s="39">
        <f>F376*AO376</f>
        <v>0</v>
      </c>
      <c r="AX376" s="39">
        <f>F376*AP376</f>
        <v>0</v>
      </c>
      <c r="AY376" s="40" t="s">
        <v>2005</v>
      </c>
      <c r="AZ376" s="40" t="s">
        <v>2038</v>
      </c>
      <c r="BA376" s="30" t="s">
        <v>2045</v>
      </c>
      <c r="BC376" s="39">
        <f>AW376+AX376</f>
        <v>0</v>
      </c>
      <c r="BD376" s="39">
        <f>G376/(100-BE376)*100</f>
        <v>0</v>
      </c>
      <c r="BE376" s="39">
        <v>0</v>
      </c>
      <c r="BF376" s="39">
        <f>L376</f>
        <v>8.4352499999999997E-2</v>
      </c>
      <c r="BH376" s="22">
        <f>F376*AO376</f>
        <v>0</v>
      </c>
      <c r="BI376" s="22">
        <f>F376*AP376</f>
        <v>0</v>
      </c>
      <c r="BJ376" s="22">
        <f>F376*G376</f>
        <v>0</v>
      </c>
    </row>
    <row r="377" spans="1:62">
      <c r="A377" s="6" t="s">
        <v>275</v>
      </c>
      <c r="B377" s="6"/>
      <c r="C377" s="6" t="s">
        <v>876</v>
      </c>
      <c r="D377" s="6" t="s">
        <v>1563</v>
      </c>
      <c r="E377" s="6" t="s">
        <v>1940</v>
      </c>
      <c r="F377" s="22">
        <v>16.675000000000001</v>
      </c>
      <c r="G377" s="754">
        <v>0</v>
      </c>
      <c r="H377" s="22">
        <f>F377*AO377</f>
        <v>0</v>
      </c>
      <c r="I377" s="22">
        <f>F377*AP377</f>
        <v>0</v>
      </c>
      <c r="J377" s="22">
        <f>F377*G377</f>
        <v>0</v>
      </c>
      <c r="K377" s="22">
        <v>4.4999999999999997E-3</v>
      </c>
      <c r="L377" s="22">
        <f>F377*K377</f>
        <v>7.5037499999999993E-2</v>
      </c>
      <c r="M377" s="35" t="s">
        <v>1961</v>
      </c>
      <c r="Z377" s="39">
        <f>IF(AQ377="5",BJ377,0)</f>
        <v>0</v>
      </c>
      <c r="AB377" s="39">
        <f>IF(AQ377="1",BH377,0)</f>
        <v>0</v>
      </c>
      <c r="AC377" s="39">
        <f>IF(AQ377="1",BI377,0)</f>
        <v>0</v>
      </c>
      <c r="AD377" s="39">
        <f>IF(AQ377="7",BH377,0)</f>
        <v>0</v>
      </c>
      <c r="AE377" s="39">
        <f>IF(AQ377="7",BI377,0)</f>
        <v>0</v>
      </c>
      <c r="AF377" s="39">
        <f>IF(AQ377="2",BH377,0)</f>
        <v>0</v>
      </c>
      <c r="AG377" s="39">
        <f>IF(AQ377="2",BI377,0)</f>
        <v>0</v>
      </c>
      <c r="AH377" s="39">
        <f>IF(AQ377="0",BJ377,0)</f>
        <v>0</v>
      </c>
      <c r="AI377" s="30"/>
      <c r="AJ377" s="22">
        <f>IF(AN377=0,J377,0)</f>
        <v>0</v>
      </c>
      <c r="AK377" s="22">
        <f>IF(AN377=15,J377,0)</f>
        <v>0</v>
      </c>
      <c r="AL377" s="22">
        <f>IF(AN377=21,J377,0)</f>
        <v>0</v>
      </c>
      <c r="AN377" s="39">
        <v>21</v>
      </c>
      <c r="AO377" s="39">
        <f>G377*1</f>
        <v>0</v>
      </c>
      <c r="AP377" s="39">
        <f>G377*(1-1)</f>
        <v>0</v>
      </c>
      <c r="AQ377" s="35" t="s">
        <v>11</v>
      </c>
      <c r="AV377" s="39">
        <f>AW377+AX377</f>
        <v>0</v>
      </c>
      <c r="AW377" s="39">
        <f>F377*AO377</f>
        <v>0</v>
      </c>
      <c r="AX377" s="39">
        <f>F377*AP377</f>
        <v>0</v>
      </c>
      <c r="AY377" s="40" t="s">
        <v>2005</v>
      </c>
      <c r="AZ377" s="40" t="s">
        <v>2038</v>
      </c>
      <c r="BA377" s="30" t="s">
        <v>2045</v>
      </c>
      <c r="BC377" s="39">
        <f>AW377+AX377</f>
        <v>0</v>
      </c>
      <c r="BD377" s="39">
        <f>G377/(100-BE377)*100</f>
        <v>0</v>
      </c>
      <c r="BE377" s="39">
        <v>0</v>
      </c>
      <c r="BF377" s="39">
        <f>L377</f>
        <v>7.5037499999999993E-2</v>
      </c>
      <c r="BH377" s="22">
        <f>F377*AO377</f>
        <v>0</v>
      </c>
      <c r="BI377" s="22">
        <f>F377*AP377</f>
        <v>0</v>
      </c>
      <c r="BJ377" s="22">
        <f>F377*G377</f>
        <v>0</v>
      </c>
    </row>
    <row r="378" spans="1:62">
      <c r="A378" s="5" t="s">
        <v>276</v>
      </c>
      <c r="B378" s="5"/>
      <c r="C378" s="5" t="s">
        <v>877</v>
      </c>
      <c r="D378" s="5" t="s">
        <v>1560</v>
      </c>
      <c r="E378" s="5" t="s">
        <v>1940</v>
      </c>
      <c r="F378" s="21">
        <v>676.4</v>
      </c>
      <c r="G378" s="753">
        <v>0</v>
      </c>
      <c r="H378" s="21">
        <f>F378*AO378</f>
        <v>0</v>
      </c>
      <c r="I378" s="21">
        <f>F378*AP378</f>
        <v>0</v>
      </c>
      <c r="J378" s="21">
        <f>F378*G378</f>
        <v>0</v>
      </c>
      <c r="K378" s="21">
        <v>8.1999999999999998E-4</v>
      </c>
      <c r="L378" s="21">
        <f>F378*K378</f>
        <v>0.55464799999999992</v>
      </c>
      <c r="M378" s="34" t="s">
        <v>1961</v>
      </c>
      <c r="Z378" s="39">
        <f>IF(AQ378="5",BJ378,0)</f>
        <v>0</v>
      </c>
      <c r="AB378" s="39">
        <f>IF(AQ378="1",BH378,0)</f>
        <v>0</v>
      </c>
      <c r="AC378" s="39">
        <f>IF(AQ378="1",BI378,0)</f>
        <v>0</v>
      </c>
      <c r="AD378" s="39">
        <f>IF(AQ378="7",BH378,0)</f>
        <v>0</v>
      </c>
      <c r="AE378" s="39">
        <f>IF(AQ378="7",BI378,0)</f>
        <v>0</v>
      </c>
      <c r="AF378" s="39">
        <f>IF(AQ378="2",BH378,0)</f>
        <v>0</v>
      </c>
      <c r="AG378" s="39">
        <f>IF(AQ378="2",BI378,0)</f>
        <v>0</v>
      </c>
      <c r="AH378" s="39">
        <f>IF(AQ378="0",BJ378,0)</f>
        <v>0</v>
      </c>
      <c r="AI378" s="30"/>
      <c r="AJ378" s="21">
        <f>IF(AN378=0,J378,0)</f>
        <v>0</v>
      </c>
      <c r="AK378" s="21">
        <f>IF(AN378=15,J378,0)</f>
        <v>0</v>
      </c>
      <c r="AL378" s="21">
        <f>IF(AN378=21,J378,0)</f>
        <v>0</v>
      </c>
      <c r="AN378" s="39">
        <v>21</v>
      </c>
      <c r="AO378" s="39">
        <f>G378*0.067027027027027</f>
        <v>0</v>
      </c>
      <c r="AP378" s="39">
        <f>G378*(1-0.067027027027027)</f>
        <v>0</v>
      </c>
      <c r="AQ378" s="34" t="s">
        <v>11</v>
      </c>
      <c r="AV378" s="39">
        <f>AW378+AX378</f>
        <v>0</v>
      </c>
      <c r="AW378" s="39">
        <f>F378*AO378</f>
        <v>0</v>
      </c>
      <c r="AX378" s="39">
        <f>F378*AP378</f>
        <v>0</v>
      </c>
      <c r="AY378" s="40" t="s">
        <v>2005</v>
      </c>
      <c r="AZ378" s="40" t="s">
        <v>2038</v>
      </c>
      <c r="BA378" s="30" t="s">
        <v>2045</v>
      </c>
      <c r="BC378" s="39">
        <f>AW378+AX378</f>
        <v>0</v>
      </c>
      <c r="BD378" s="39">
        <f>G378/(100-BE378)*100</f>
        <v>0</v>
      </c>
      <c r="BE378" s="39">
        <v>0</v>
      </c>
      <c r="BF378" s="39">
        <f>L378</f>
        <v>0.55464799999999992</v>
      </c>
      <c r="BH378" s="21">
        <f>F378*AO378</f>
        <v>0</v>
      </c>
      <c r="BI378" s="21">
        <f>F378*AP378</f>
        <v>0</v>
      </c>
      <c r="BJ378" s="21">
        <f>F378*G378</f>
        <v>0</v>
      </c>
    </row>
    <row r="379" spans="1:62">
      <c r="C379" s="16" t="s">
        <v>609</v>
      </c>
      <c r="D379" s="919" t="s">
        <v>1564</v>
      </c>
      <c r="E379" s="920"/>
      <c r="F379" s="920"/>
      <c r="G379" s="920"/>
      <c r="H379" s="920"/>
      <c r="I379" s="920"/>
      <c r="J379" s="920"/>
      <c r="K379" s="920"/>
      <c r="L379" s="920"/>
      <c r="M379" s="920"/>
    </row>
    <row r="380" spans="1:62">
      <c r="A380" s="6" t="s">
        <v>277</v>
      </c>
      <c r="B380" s="6"/>
      <c r="C380" s="6" t="s">
        <v>878</v>
      </c>
      <c r="D380" s="6" t="s">
        <v>1562</v>
      </c>
      <c r="E380" s="6" t="s">
        <v>1940</v>
      </c>
      <c r="F380" s="22">
        <v>1555.72</v>
      </c>
      <c r="G380" s="754">
        <v>0</v>
      </c>
      <c r="H380" s="22">
        <f>F380*AO380</f>
        <v>0</v>
      </c>
      <c r="I380" s="22">
        <f>F380*AP380</f>
        <v>0</v>
      </c>
      <c r="J380" s="22">
        <f>F380*G380</f>
        <v>0</v>
      </c>
      <c r="K380" s="22">
        <v>4.4999999999999997E-3</v>
      </c>
      <c r="L380" s="22">
        <f>F380*K380</f>
        <v>7.0007399999999995</v>
      </c>
      <c r="M380" s="35" t="s">
        <v>1960</v>
      </c>
      <c r="Z380" s="39">
        <f>IF(AQ380="5",BJ380,0)</f>
        <v>0</v>
      </c>
      <c r="AB380" s="39">
        <f>IF(AQ380="1",BH380,0)</f>
        <v>0</v>
      </c>
      <c r="AC380" s="39">
        <f>IF(AQ380="1",BI380,0)</f>
        <v>0</v>
      </c>
      <c r="AD380" s="39">
        <f>IF(AQ380="7",BH380,0)</f>
        <v>0</v>
      </c>
      <c r="AE380" s="39">
        <f>IF(AQ380="7",BI380,0)</f>
        <v>0</v>
      </c>
      <c r="AF380" s="39">
        <f>IF(AQ380="2",BH380,0)</f>
        <v>0</v>
      </c>
      <c r="AG380" s="39">
        <f>IF(AQ380="2",BI380,0)</f>
        <v>0</v>
      </c>
      <c r="AH380" s="39">
        <f>IF(AQ380="0",BJ380,0)</f>
        <v>0</v>
      </c>
      <c r="AI380" s="30"/>
      <c r="AJ380" s="22">
        <f>IF(AN380=0,J380,0)</f>
        <v>0</v>
      </c>
      <c r="AK380" s="22">
        <f>IF(AN380=15,J380,0)</f>
        <v>0</v>
      </c>
      <c r="AL380" s="22">
        <f>IF(AN380=21,J380,0)</f>
        <v>0</v>
      </c>
      <c r="AN380" s="39">
        <v>21</v>
      </c>
      <c r="AO380" s="39">
        <f>G380*1</f>
        <v>0</v>
      </c>
      <c r="AP380" s="39">
        <f>G380*(1-1)</f>
        <v>0</v>
      </c>
      <c r="AQ380" s="35" t="s">
        <v>11</v>
      </c>
      <c r="AV380" s="39">
        <f>AW380+AX380</f>
        <v>0</v>
      </c>
      <c r="AW380" s="39">
        <f>F380*AO380</f>
        <v>0</v>
      </c>
      <c r="AX380" s="39">
        <f>F380*AP380</f>
        <v>0</v>
      </c>
      <c r="AY380" s="40" t="s">
        <v>2005</v>
      </c>
      <c r="AZ380" s="40" t="s">
        <v>2038</v>
      </c>
      <c r="BA380" s="30" t="s">
        <v>2045</v>
      </c>
      <c r="BC380" s="39">
        <f>AW380+AX380</f>
        <v>0</v>
      </c>
      <c r="BD380" s="39">
        <f>G380/(100-BE380)*100</f>
        <v>0</v>
      </c>
      <c r="BE380" s="39">
        <v>0</v>
      </c>
      <c r="BF380" s="39">
        <f>L380</f>
        <v>7.0007399999999995</v>
      </c>
      <c r="BH380" s="22">
        <f>F380*AO380</f>
        <v>0</v>
      </c>
      <c r="BI380" s="22">
        <f>F380*AP380</f>
        <v>0</v>
      </c>
      <c r="BJ380" s="22">
        <f>F380*G380</f>
        <v>0</v>
      </c>
    </row>
    <row r="381" spans="1:62">
      <c r="A381" s="5" t="s">
        <v>278</v>
      </c>
      <c r="B381" s="5"/>
      <c r="C381" s="5" t="s">
        <v>879</v>
      </c>
      <c r="D381" s="5" t="s">
        <v>1565</v>
      </c>
      <c r="E381" s="5" t="s">
        <v>1940</v>
      </c>
      <c r="F381" s="21">
        <v>164.44</v>
      </c>
      <c r="G381" s="753">
        <v>0</v>
      </c>
      <c r="H381" s="21">
        <f>F381*AO381</f>
        <v>0</v>
      </c>
      <c r="I381" s="21">
        <f>F381*AP381</f>
        <v>0</v>
      </c>
      <c r="J381" s="21">
        <f>F381*G381</f>
        <v>0</v>
      </c>
      <c r="K381" s="21">
        <v>5.8E-4</v>
      </c>
      <c r="L381" s="21">
        <f>F381*K381</f>
        <v>9.5375199999999993E-2</v>
      </c>
      <c r="M381" s="34" t="s">
        <v>1961</v>
      </c>
      <c r="Z381" s="39">
        <f>IF(AQ381="5",BJ381,0)</f>
        <v>0</v>
      </c>
      <c r="AB381" s="39">
        <f>IF(AQ381="1",BH381,0)</f>
        <v>0</v>
      </c>
      <c r="AC381" s="39">
        <f>IF(AQ381="1",BI381,0)</f>
        <v>0</v>
      </c>
      <c r="AD381" s="39">
        <f>IF(AQ381="7",BH381,0)</f>
        <v>0</v>
      </c>
      <c r="AE381" s="39">
        <f>IF(AQ381="7",BI381,0)</f>
        <v>0</v>
      </c>
      <c r="AF381" s="39">
        <f>IF(AQ381="2",BH381,0)</f>
        <v>0</v>
      </c>
      <c r="AG381" s="39">
        <f>IF(AQ381="2",BI381,0)</f>
        <v>0</v>
      </c>
      <c r="AH381" s="39">
        <f>IF(AQ381="0",BJ381,0)</f>
        <v>0</v>
      </c>
      <c r="AI381" s="30"/>
      <c r="AJ381" s="21">
        <f>IF(AN381=0,J381,0)</f>
        <v>0</v>
      </c>
      <c r="AK381" s="21">
        <f>IF(AN381=15,J381,0)</f>
        <v>0</v>
      </c>
      <c r="AL381" s="21">
        <f>IF(AN381=21,J381,0)</f>
        <v>0</v>
      </c>
      <c r="AN381" s="39">
        <v>21</v>
      </c>
      <c r="AO381" s="39">
        <f>G381*0.0865582956727109</f>
        <v>0</v>
      </c>
      <c r="AP381" s="39">
        <f>G381*(1-0.0865582956727109)</f>
        <v>0</v>
      </c>
      <c r="AQ381" s="34" t="s">
        <v>11</v>
      </c>
      <c r="AV381" s="39">
        <f>AW381+AX381</f>
        <v>0</v>
      </c>
      <c r="AW381" s="39">
        <f>F381*AO381</f>
        <v>0</v>
      </c>
      <c r="AX381" s="39">
        <f>F381*AP381</f>
        <v>0</v>
      </c>
      <c r="AY381" s="40" t="s">
        <v>2005</v>
      </c>
      <c r="AZ381" s="40" t="s">
        <v>2038</v>
      </c>
      <c r="BA381" s="30" t="s">
        <v>2045</v>
      </c>
      <c r="BC381" s="39">
        <f>AW381+AX381</f>
        <v>0</v>
      </c>
      <c r="BD381" s="39">
        <f>G381/(100-BE381)*100</f>
        <v>0</v>
      </c>
      <c r="BE381" s="39">
        <v>0</v>
      </c>
      <c r="BF381" s="39">
        <f>L381</f>
        <v>9.5375199999999993E-2</v>
      </c>
      <c r="BH381" s="21">
        <f>F381*AO381</f>
        <v>0</v>
      </c>
      <c r="BI381" s="21">
        <f>F381*AP381</f>
        <v>0</v>
      </c>
      <c r="BJ381" s="21">
        <f>F381*G381</f>
        <v>0</v>
      </c>
    </row>
    <row r="382" spans="1:62">
      <c r="C382" s="16" t="s">
        <v>609</v>
      </c>
      <c r="D382" s="919" t="s">
        <v>1561</v>
      </c>
      <c r="E382" s="920"/>
      <c r="F382" s="920"/>
      <c r="G382" s="920"/>
      <c r="H382" s="920"/>
      <c r="I382" s="920"/>
      <c r="J382" s="920"/>
      <c r="K382" s="920"/>
      <c r="L382" s="920"/>
      <c r="M382" s="920"/>
    </row>
    <row r="383" spans="1:62">
      <c r="A383" s="6" t="s">
        <v>279</v>
      </c>
      <c r="B383" s="6"/>
      <c r="C383" s="6" t="s">
        <v>875</v>
      </c>
      <c r="D383" s="6" t="s">
        <v>1562</v>
      </c>
      <c r="E383" s="6" t="s">
        <v>1940</v>
      </c>
      <c r="F383" s="22">
        <v>29.327999999999999</v>
      </c>
      <c r="G383" s="754">
        <v>0</v>
      </c>
      <c r="H383" s="22">
        <f>F383*AO383</f>
        <v>0</v>
      </c>
      <c r="I383" s="22">
        <f>F383*AP383</f>
        <v>0</v>
      </c>
      <c r="J383" s="22">
        <f>F383*G383</f>
        <v>0</v>
      </c>
      <c r="K383" s="22">
        <v>4.4999999999999997E-3</v>
      </c>
      <c r="L383" s="22">
        <f>F383*K383</f>
        <v>0.13197599999999998</v>
      </c>
      <c r="M383" s="35" t="s">
        <v>1960</v>
      </c>
      <c r="Z383" s="39">
        <f>IF(AQ383="5",BJ383,0)</f>
        <v>0</v>
      </c>
      <c r="AB383" s="39">
        <f>IF(AQ383="1",BH383,0)</f>
        <v>0</v>
      </c>
      <c r="AC383" s="39">
        <f>IF(AQ383="1",BI383,0)</f>
        <v>0</v>
      </c>
      <c r="AD383" s="39">
        <f>IF(AQ383="7",BH383,0)</f>
        <v>0</v>
      </c>
      <c r="AE383" s="39">
        <f>IF(AQ383="7",BI383,0)</f>
        <v>0</v>
      </c>
      <c r="AF383" s="39">
        <f>IF(AQ383="2",BH383,0)</f>
        <v>0</v>
      </c>
      <c r="AG383" s="39">
        <f>IF(AQ383="2",BI383,0)</f>
        <v>0</v>
      </c>
      <c r="AH383" s="39">
        <f>IF(AQ383="0",BJ383,0)</f>
        <v>0</v>
      </c>
      <c r="AI383" s="30"/>
      <c r="AJ383" s="22">
        <f>IF(AN383=0,J383,0)</f>
        <v>0</v>
      </c>
      <c r="AK383" s="22">
        <f>IF(AN383=15,J383,0)</f>
        <v>0</v>
      </c>
      <c r="AL383" s="22">
        <f>IF(AN383=21,J383,0)</f>
        <v>0</v>
      </c>
      <c r="AN383" s="39">
        <v>21</v>
      </c>
      <c r="AO383" s="39">
        <f>G383*1</f>
        <v>0</v>
      </c>
      <c r="AP383" s="39">
        <f>G383*(1-1)</f>
        <v>0</v>
      </c>
      <c r="AQ383" s="35" t="s">
        <v>11</v>
      </c>
      <c r="AV383" s="39">
        <f>AW383+AX383</f>
        <v>0</v>
      </c>
      <c r="AW383" s="39">
        <f>F383*AO383</f>
        <v>0</v>
      </c>
      <c r="AX383" s="39">
        <f>F383*AP383</f>
        <v>0</v>
      </c>
      <c r="AY383" s="40" t="s">
        <v>2005</v>
      </c>
      <c r="AZ383" s="40" t="s">
        <v>2038</v>
      </c>
      <c r="BA383" s="30" t="s">
        <v>2045</v>
      </c>
      <c r="BC383" s="39">
        <f>AW383+AX383</f>
        <v>0</v>
      </c>
      <c r="BD383" s="39">
        <f>G383/(100-BE383)*100</f>
        <v>0</v>
      </c>
      <c r="BE383" s="39">
        <v>0</v>
      </c>
      <c r="BF383" s="39">
        <f>L383</f>
        <v>0.13197599999999998</v>
      </c>
      <c r="BH383" s="22">
        <f>F383*AO383</f>
        <v>0</v>
      </c>
      <c r="BI383" s="22">
        <f>F383*AP383</f>
        <v>0</v>
      </c>
      <c r="BJ383" s="22">
        <f>F383*G383</f>
        <v>0</v>
      </c>
    </row>
    <row r="384" spans="1:62">
      <c r="A384" s="6" t="s">
        <v>280</v>
      </c>
      <c r="B384" s="6"/>
      <c r="C384" s="6" t="s">
        <v>876</v>
      </c>
      <c r="D384" s="6" t="s">
        <v>5828</v>
      </c>
      <c r="E384" s="6" t="s">
        <v>1940</v>
      </c>
      <c r="F384" s="22">
        <v>168</v>
      </c>
      <c r="G384" s="754">
        <v>0</v>
      </c>
      <c r="H384" s="22">
        <f>F384*AO384</f>
        <v>0</v>
      </c>
      <c r="I384" s="22">
        <f>F384*AP384</f>
        <v>0</v>
      </c>
      <c r="J384" s="22">
        <f>F384*G384</f>
        <v>0</v>
      </c>
      <c r="K384" s="22">
        <v>4.4999999999999997E-3</v>
      </c>
      <c r="L384" s="22">
        <f>F384*K384</f>
        <v>0.75599999999999989</v>
      </c>
      <c r="M384" s="35" t="s">
        <v>1961</v>
      </c>
      <c r="Z384" s="39">
        <f>IF(AQ384="5",BJ384,0)</f>
        <v>0</v>
      </c>
      <c r="AB384" s="39">
        <f>IF(AQ384="1",BH384,0)</f>
        <v>0</v>
      </c>
      <c r="AC384" s="39">
        <f>IF(AQ384="1",BI384,0)</f>
        <v>0</v>
      </c>
      <c r="AD384" s="39">
        <f>IF(AQ384="7",BH384,0)</f>
        <v>0</v>
      </c>
      <c r="AE384" s="39">
        <f>IF(AQ384="7",BI384,0)</f>
        <v>0</v>
      </c>
      <c r="AF384" s="39">
        <f>IF(AQ384="2",BH384,0)</f>
        <v>0</v>
      </c>
      <c r="AG384" s="39">
        <f>IF(AQ384="2",BI384,0)</f>
        <v>0</v>
      </c>
      <c r="AH384" s="39">
        <f>IF(AQ384="0",BJ384,0)</f>
        <v>0</v>
      </c>
      <c r="AI384" s="30"/>
      <c r="AJ384" s="22">
        <f>IF(AN384=0,J384,0)</f>
        <v>0</v>
      </c>
      <c r="AK384" s="22">
        <f>IF(AN384=15,J384,0)</f>
        <v>0</v>
      </c>
      <c r="AL384" s="22">
        <f>IF(AN384=21,J384,0)</f>
        <v>0</v>
      </c>
      <c r="AN384" s="39">
        <v>21</v>
      </c>
      <c r="AO384" s="39">
        <f>G384*1</f>
        <v>0</v>
      </c>
      <c r="AP384" s="39">
        <f>G384*(1-1)</f>
        <v>0</v>
      </c>
      <c r="AQ384" s="35" t="s">
        <v>11</v>
      </c>
      <c r="AV384" s="39">
        <f>AW384+AX384</f>
        <v>0</v>
      </c>
      <c r="AW384" s="39">
        <f>F384*AO384</f>
        <v>0</v>
      </c>
      <c r="AX384" s="39">
        <f>F384*AP384</f>
        <v>0</v>
      </c>
      <c r="AY384" s="40" t="s">
        <v>2005</v>
      </c>
      <c r="AZ384" s="40" t="s">
        <v>2038</v>
      </c>
      <c r="BA384" s="30" t="s">
        <v>2045</v>
      </c>
      <c r="BC384" s="39">
        <f>AW384+AX384</f>
        <v>0</v>
      </c>
      <c r="BD384" s="39">
        <f>G384/(100-BE384)*100</f>
        <v>0</v>
      </c>
      <c r="BE384" s="39">
        <v>0</v>
      </c>
      <c r="BF384" s="39">
        <f>L384</f>
        <v>0.75599999999999989</v>
      </c>
      <c r="BH384" s="22">
        <f>F384*AO384</f>
        <v>0</v>
      </c>
      <c r="BI384" s="22">
        <f>F384*AP384</f>
        <v>0</v>
      </c>
      <c r="BJ384" s="22">
        <f>F384*G384</f>
        <v>0</v>
      </c>
    </row>
    <row r="385" spans="1:62">
      <c r="A385" s="5" t="s">
        <v>281</v>
      </c>
      <c r="B385" s="5"/>
      <c r="C385" s="5" t="s">
        <v>880</v>
      </c>
      <c r="D385" s="5" t="s">
        <v>1565</v>
      </c>
      <c r="E385" s="5" t="s">
        <v>1940</v>
      </c>
      <c r="F385" s="21">
        <v>381.20049999999998</v>
      </c>
      <c r="G385" s="753">
        <v>0</v>
      </c>
      <c r="H385" s="21">
        <f>F385*AO385</f>
        <v>0</v>
      </c>
      <c r="I385" s="21">
        <f>F385*AP385</f>
        <v>0</v>
      </c>
      <c r="J385" s="21">
        <f>F385*G385</f>
        <v>0</v>
      </c>
      <c r="K385" s="21">
        <v>9.8999999999999999E-4</v>
      </c>
      <c r="L385" s="21">
        <f>F385*K385</f>
        <v>0.37738849499999999</v>
      </c>
      <c r="M385" s="34" t="s">
        <v>1961</v>
      </c>
      <c r="Z385" s="39">
        <f>IF(AQ385="5",BJ385,0)</f>
        <v>0</v>
      </c>
      <c r="AB385" s="39">
        <f>IF(AQ385="1",BH385,0)</f>
        <v>0</v>
      </c>
      <c r="AC385" s="39">
        <f>IF(AQ385="1",BI385,0)</f>
        <v>0</v>
      </c>
      <c r="AD385" s="39">
        <f>IF(AQ385="7",BH385,0)</f>
        <v>0</v>
      </c>
      <c r="AE385" s="39">
        <f>IF(AQ385="7",BI385,0)</f>
        <v>0</v>
      </c>
      <c r="AF385" s="39">
        <f>IF(AQ385="2",BH385,0)</f>
        <v>0</v>
      </c>
      <c r="AG385" s="39">
        <f>IF(AQ385="2",BI385,0)</f>
        <v>0</v>
      </c>
      <c r="AH385" s="39">
        <f>IF(AQ385="0",BJ385,0)</f>
        <v>0</v>
      </c>
      <c r="AI385" s="30"/>
      <c r="AJ385" s="21">
        <f>IF(AN385=0,J385,0)</f>
        <v>0</v>
      </c>
      <c r="AK385" s="21">
        <f>IF(AN385=15,J385,0)</f>
        <v>0</v>
      </c>
      <c r="AL385" s="21">
        <f>IF(AN385=21,J385,0)</f>
        <v>0</v>
      </c>
      <c r="AN385" s="39">
        <v>21</v>
      </c>
      <c r="AO385" s="39">
        <f>G385*0.0727935169044125</f>
        <v>0</v>
      </c>
      <c r="AP385" s="39">
        <f>G385*(1-0.0727935169044125)</f>
        <v>0</v>
      </c>
      <c r="AQ385" s="34" t="s">
        <v>11</v>
      </c>
      <c r="AV385" s="39">
        <f>AW385+AX385</f>
        <v>0</v>
      </c>
      <c r="AW385" s="39">
        <f>F385*AO385</f>
        <v>0</v>
      </c>
      <c r="AX385" s="39">
        <f>F385*AP385</f>
        <v>0</v>
      </c>
      <c r="AY385" s="40" t="s">
        <v>2005</v>
      </c>
      <c r="AZ385" s="40" t="s">
        <v>2038</v>
      </c>
      <c r="BA385" s="30" t="s">
        <v>2045</v>
      </c>
      <c r="BC385" s="39">
        <f>AW385+AX385</f>
        <v>0</v>
      </c>
      <c r="BD385" s="39">
        <f>G385/(100-BE385)*100</f>
        <v>0</v>
      </c>
      <c r="BE385" s="39">
        <v>0</v>
      </c>
      <c r="BF385" s="39">
        <f>L385</f>
        <v>0.37738849499999999</v>
      </c>
      <c r="BH385" s="21">
        <f>F385*AO385</f>
        <v>0</v>
      </c>
      <c r="BI385" s="21">
        <f>F385*AP385</f>
        <v>0</v>
      </c>
      <c r="BJ385" s="21">
        <f>F385*G385</f>
        <v>0</v>
      </c>
    </row>
    <row r="386" spans="1:62">
      <c r="C386" s="16" t="s">
        <v>609</v>
      </c>
      <c r="D386" s="919" t="s">
        <v>1564</v>
      </c>
      <c r="E386" s="920"/>
      <c r="F386" s="920"/>
      <c r="G386" s="920"/>
      <c r="H386" s="920"/>
      <c r="I386" s="920"/>
      <c r="J386" s="920"/>
      <c r="K386" s="920"/>
      <c r="L386" s="920"/>
      <c r="M386" s="920"/>
    </row>
    <row r="387" spans="1:62">
      <c r="A387" s="6" t="s">
        <v>282</v>
      </c>
      <c r="B387" s="6"/>
      <c r="C387" s="6" t="s">
        <v>878</v>
      </c>
      <c r="D387" s="6" t="s">
        <v>1562</v>
      </c>
      <c r="E387" s="6" t="s">
        <v>1940</v>
      </c>
      <c r="F387" s="22">
        <v>914.88120000000004</v>
      </c>
      <c r="G387" s="754">
        <v>0</v>
      </c>
      <c r="H387" s="22">
        <f>F387*AO387</f>
        <v>0</v>
      </c>
      <c r="I387" s="22">
        <f>F387*AP387</f>
        <v>0</v>
      </c>
      <c r="J387" s="22">
        <f>F387*G387</f>
        <v>0</v>
      </c>
      <c r="K387" s="22">
        <v>4.4999999999999997E-3</v>
      </c>
      <c r="L387" s="22">
        <f>F387*K387</f>
        <v>4.1169653999999998</v>
      </c>
      <c r="M387" s="35" t="s">
        <v>1960</v>
      </c>
      <c r="Z387" s="39">
        <f>IF(AQ387="5",BJ387,0)</f>
        <v>0</v>
      </c>
      <c r="AB387" s="39">
        <f>IF(AQ387="1",BH387,0)</f>
        <v>0</v>
      </c>
      <c r="AC387" s="39">
        <f>IF(AQ387="1",BI387,0)</f>
        <v>0</v>
      </c>
      <c r="AD387" s="39">
        <f>IF(AQ387="7",BH387,0)</f>
        <v>0</v>
      </c>
      <c r="AE387" s="39">
        <f>IF(AQ387="7",BI387,0)</f>
        <v>0</v>
      </c>
      <c r="AF387" s="39">
        <f>IF(AQ387="2",BH387,0)</f>
        <v>0</v>
      </c>
      <c r="AG387" s="39">
        <f>IF(AQ387="2",BI387,0)</f>
        <v>0</v>
      </c>
      <c r="AH387" s="39">
        <f>IF(AQ387="0",BJ387,0)</f>
        <v>0</v>
      </c>
      <c r="AI387" s="30"/>
      <c r="AJ387" s="22">
        <f>IF(AN387=0,J387,0)</f>
        <v>0</v>
      </c>
      <c r="AK387" s="22">
        <f>IF(AN387=15,J387,0)</f>
        <v>0</v>
      </c>
      <c r="AL387" s="22">
        <f>IF(AN387=21,J387,0)</f>
        <v>0</v>
      </c>
      <c r="AN387" s="39">
        <v>21</v>
      </c>
      <c r="AO387" s="39">
        <f>G387*1</f>
        <v>0</v>
      </c>
      <c r="AP387" s="39">
        <f>G387*(1-1)</f>
        <v>0</v>
      </c>
      <c r="AQ387" s="35" t="s">
        <v>11</v>
      </c>
      <c r="AV387" s="39">
        <f>AW387+AX387</f>
        <v>0</v>
      </c>
      <c r="AW387" s="39">
        <f>F387*AO387</f>
        <v>0</v>
      </c>
      <c r="AX387" s="39">
        <f>F387*AP387</f>
        <v>0</v>
      </c>
      <c r="AY387" s="40" t="s">
        <v>2005</v>
      </c>
      <c r="AZ387" s="40" t="s">
        <v>2038</v>
      </c>
      <c r="BA387" s="30" t="s">
        <v>2045</v>
      </c>
      <c r="BC387" s="39">
        <f>AW387+AX387</f>
        <v>0</v>
      </c>
      <c r="BD387" s="39">
        <f>G387/(100-BE387)*100</f>
        <v>0</v>
      </c>
      <c r="BE387" s="39">
        <v>0</v>
      </c>
      <c r="BF387" s="39">
        <f>L387</f>
        <v>4.1169653999999998</v>
      </c>
      <c r="BH387" s="22">
        <f>F387*AO387</f>
        <v>0</v>
      </c>
      <c r="BI387" s="22">
        <f>F387*AP387</f>
        <v>0</v>
      </c>
      <c r="BJ387" s="22">
        <f>F387*G387</f>
        <v>0</v>
      </c>
    </row>
    <row r="388" spans="1:62">
      <c r="A388" s="5" t="s">
        <v>283</v>
      </c>
      <c r="B388" s="5"/>
      <c r="C388" s="5" t="s">
        <v>881</v>
      </c>
      <c r="D388" s="5" t="s">
        <v>1566</v>
      </c>
      <c r="E388" s="5" t="s">
        <v>1940</v>
      </c>
      <c r="F388" s="21">
        <v>472</v>
      </c>
      <c r="G388" s="753">
        <v>0</v>
      </c>
      <c r="H388" s="21">
        <f>F388*AO388</f>
        <v>0</v>
      </c>
      <c r="I388" s="21">
        <f>F388*AP388</f>
        <v>0</v>
      </c>
      <c r="J388" s="21">
        <f>F388*G388</f>
        <v>0</v>
      </c>
      <c r="K388" s="21">
        <v>1.15E-3</v>
      </c>
      <c r="L388" s="21">
        <f>F388*K388</f>
        <v>0.54279999999999995</v>
      </c>
      <c r="M388" s="34" t="s">
        <v>1961</v>
      </c>
      <c r="Z388" s="39">
        <f>IF(AQ388="5",BJ388,0)</f>
        <v>0</v>
      </c>
      <c r="AB388" s="39">
        <f>IF(AQ388="1",BH388,0)</f>
        <v>0</v>
      </c>
      <c r="AC388" s="39">
        <f>IF(AQ388="1",BI388,0)</f>
        <v>0</v>
      </c>
      <c r="AD388" s="39">
        <f>IF(AQ388="7",BH388,0)</f>
        <v>0</v>
      </c>
      <c r="AE388" s="39">
        <f>IF(AQ388="7",BI388,0)</f>
        <v>0</v>
      </c>
      <c r="AF388" s="39">
        <f>IF(AQ388="2",BH388,0)</f>
        <v>0</v>
      </c>
      <c r="AG388" s="39">
        <f>IF(AQ388="2",BI388,0)</f>
        <v>0</v>
      </c>
      <c r="AH388" s="39">
        <f>IF(AQ388="0",BJ388,0)</f>
        <v>0</v>
      </c>
      <c r="AI388" s="30"/>
      <c r="AJ388" s="21">
        <f>IF(AN388=0,J388,0)</f>
        <v>0</v>
      </c>
      <c r="AK388" s="21">
        <f>IF(AN388=15,J388,0)</f>
        <v>0</v>
      </c>
      <c r="AL388" s="21">
        <f>IF(AN388=21,J388,0)</f>
        <v>0</v>
      </c>
      <c r="AN388" s="39">
        <v>21</v>
      </c>
      <c r="AO388" s="39">
        <f>G388*0.692128098369586</f>
        <v>0</v>
      </c>
      <c r="AP388" s="39">
        <f>G388*(1-0.692128098369586)</f>
        <v>0</v>
      </c>
      <c r="AQ388" s="34" t="s">
        <v>11</v>
      </c>
      <c r="AV388" s="39">
        <f>AW388+AX388</f>
        <v>0</v>
      </c>
      <c r="AW388" s="39">
        <f>F388*AO388</f>
        <v>0</v>
      </c>
      <c r="AX388" s="39">
        <f>F388*AP388</f>
        <v>0</v>
      </c>
      <c r="AY388" s="40" t="s">
        <v>2005</v>
      </c>
      <c r="AZ388" s="40" t="s">
        <v>2038</v>
      </c>
      <c r="BA388" s="30" t="s">
        <v>2045</v>
      </c>
      <c r="BC388" s="39">
        <f>AW388+AX388</f>
        <v>0</v>
      </c>
      <c r="BD388" s="39">
        <f>G388/(100-BE388)*100</f>
        <v>0</v>
      </c>
      <c r="BE388" s="39">
        <v>0</v>
      </c>
      <c r="BF388" s="39">
        <f>L388</f>
        <v>0.54279999999999995</v>
      </c>
      <c r="BH388" s="21">
        <f>F388*AO388</f>
        <v>0</v>
      </c>
      <c r="BI388" s="21">
        <f>F388*AP388</f>
        <v>0</v>
      </c>
      <c r="BJ388" s="21">
        <f>F388*G388</f>
        <v>0</v>
      </c>
    </row>
    <row r="389" spans="1:62">
      <c r="C389" s="16" t="s">
        <v>609</v>
      </c>
      <c r="D389" s="919" t="s">
        <v>1567</v>
      </c>
      <c r="E389" s="920"/>
      <c r="F389" s="920"/>
      <c r="G389" s="920"/>
      <c r="H389" s="920"/>
      <c r="I389" s="920"/>
      <c r="J389" s="920"/>
      <c r="K389" s="920"/>
      <c r="L389" s="920"/>
      <c r="M389" s="920"/>
    </row>
    <row r="390" spans="1:62">
      <c r="A390" s="5" t="s">
        <v>284</v>
      </c>
      <c r="B390" s="5"/>
      <c r="C390" s="5" t="s">
        <v>882</v>
      </c>
      <c r="D390" s="5" t="s">
        <v>1568</v>
      </c>
      <c r="E390" s="5" t="s">
        <v>1940</v>
      </c>
      <c r="F390" s="21">
        <v>929.9</v>
      </c>
      <c r="G390" s="753">
        <v>0</v>
      </c>
      <c r="H390" s="21">
        <f>F390*AO390</f>
        <v>0</v>
      </c>
      <c r="I390" s="21">
        <f>F390*AP390</f>
        <v>0</v>
      </c>
      <c r="J390" s="21">
        <f>F390*G390</f>
        <v>0</v>
      </c>
      <c r="K390" s="21">
        <v>0</v>
      </c>
      <c r="L390" s="21">
        <f>F390*K390</f>
        <v>0</v>
      </c>
      <c r="M390" s="34" t="s">
        <v>1961</v>
      </c>
      <c r="Z390" s="39">
        <f>IF(AQ390="5",BJ390,0)</f>
        <v>0</v>
      </c>
      <c r="AB390" s="39">
        <f>IF(AQ390="1",BH390,0)</f>
        <v>0</v>
      </c>
      <c r="AC390" s="39">
        <f>IF(AQ390="1",BI390,0)</f>
        <v>0</v>
      </c>
      <c r="AD390" s="39">
        <f>IF(AQ390="7",BH390,0)</f>
        <v>0</v>
      </c>
      <c r="AE390" s="39">
        <f>IF(AQ390="7",BI390,0)</f>
        <v>0</v>
      </c>
      <c r="AF390" s="39">
        <f>IF(AQ390="2",BH390,0)</f>
        <v>0</v>
      </c>
      <c r="AG390" s="39">
        <f>IF(AQ390="2",BI390,0)</f>
        <v>0</v>
      </c>
      <c r="AH390" s="39">
        <f>IF(AQ390="0",BJ390,0)</f>
        <v>0</v>
      </c>
      <c r="AI390" s="30"/>
      <c r="AJ390" s="21">
        <f>IF(AN390=0,J390,0)</f>
        <v>0</v>
      </c>
      <c r="AK390" s="21">
        <f>IF(AN390=15,J390,0)</f>
        <v>0</v>
      </c>
      <c r="AL390" s="21">
        <f>IF(AN390=21,J390,0)</f>
        <v>0</v>
      </c>
      <c r="AN390" s="39">
        <v>21</v>
      </c>
      <c r="AO390" s="39">
        <f>G390*0</f>
        <v>0</v>
      </c>
      <c r="AP390" s="39">
        <f>G390*(1-0)</f>
        <v>0</v>
      </c>
      <c r="AQ390" s="34" t="s">
        <v>11</v>
      </c>
      <c r="AV390" s="39">
        <f>AW390+AX390</f>
        <v>0</v>
      </c>
      <c r="AW390" s="39">
        <f>F390*AO390</f>
        <v>0</v>
      </c>
      <c r="AX390" s="39">
        <f>F390*AP390</f>
        <v>0</v>
      </c>
      <c r="AY390" s="40" t="s">
        <v>2005</v>
      </c>
      <c r="AZ390" s="40" t="s">
        <v>2038</v>
      </c>
      <c r="BA390" s="30" t="s">
        <v>2045</v>
      </c>
      <c r="BC390" s="39">
        <f>AW390+AX390</f>
        <v>0</v>
      </c>
      <c r="BD390" s="39">
        <f>G390/(100-BE390)*100</f>
        <v>0</v>
      </c>
      <c r="BE390" s="39">
        <v>0</v>
      </c>
      <c r="BF390" s="39">
        <f>L390</f>
        <v>0</v>
      </c>
      <c r="BH390" s="21">
        <f>F390*AO390</f>
        <v>0</v>
      </c>
      <c r="BI390" s="21">
        <f>F390*AP390</f>
        <v>0</v>
      </c>
      <c r="BJ390" s="21">
        <f>F390*G390</f>
        <v>0</v>
      </c>
    </row>
    <row r="391" spans="1:62">
      <c r="A391" s="6" t="s">
        <v>285</v>
      </c>
      <c r="B391" s="6"/>
      <c r="C391" s="6" t="s">
        <v>661</v>
      </c>
      <c r="D391" s="6" t="s">
        <v>1550</v>
      </c>
      <c r="E391" s="6" t="s">
        <v>1940</v>
      </c>
      <c r="F391" s="22">
        <v>1022.89</v>
      </c>
      <c r="G391" s="754">
        <v>0</v>
      </c>
      <c r="H391" s="22">
        <f>F391*AO391</f>
        <v>0</v>
      </c>
      <c r="I391" s="22">
        <f>F391*AP391</f>
        <v>0</v>
      </c>
      <c r="J391" s="22">
        <f>F391*G391</f>
        <v>0</v>
      </c>
      <c r="K391" s="22">
        <v>2.9999999999999997E-4</v>
      </c>
      <c r="L391" s="22">
        <f>F391*K391</f>
        <v>0.30686699999999995</v>
      </c>
      <c r="M391" s="35" t="s">
        <v>1961</v>
      </c>
      <c r="Z391" s="39">
        <f>IF(AQ391="5",BJ391,0)</f>
        <v>0</v>
      </c>
      <c r="AB391" s="39">
        <f>IF(AQ391="1",BH391,0)</f>
        <v>0</v>
      </c>
      <c r="AC391" s="39">
        <f>IF(AQ391="1",BI391,0)</f>
        <v>0</v>
      </c>
      <c r="AD391" s="39">
        <f>IF(AQ391="7",BH391,0)</f>
        <v>0</v>
      </c>
      <c r="AE391" s="39">
        <f>IF(AQ391="7",BI391,0)</f>
        <v>0</v>
      </c>
      <c r="AF391" s="39">
        <f>IF(AQ391="2",BH391,0)</f>
        <v>0</v>
      </c>
      <c r="AG391" s="39">
        <f>IF(AQ391="2",BI391,0)</f>
        <v>0</v>
      </c>
      <c r="AH391" s="39">
        <f>IF(AQ391="0",BJ391,0)</f>
        <v>0</v>
      </c>
      <c r="AI391" s="30"/>
      <c r="AJ391" s="22">
        <f>IF(AN391=0,J391,0)</f>
        <v>0</v>
      </c>
      <c r="AK391" s="22">
        <f>IF(AN391=15,J391,0)</f>
        <v>0</v>
      </c>
      <c r="AL391" s="22">
        <f>IF(AN391=21,J391,0)</f>
        <v>0</v>
      </c>
      <c r="AN391" s="39">
        <v>21</v>
      </c>
      <c r="AO391" s="39">
        <f>G391*1</f>
        <v>0</v>
      </c>
      <c r="AP391" s="39">
        <f>G391*(1-1)</f>
        <v>0</v>
      </c>
      <c r="AQ391" s="35" t="s">
        <v>11</v>
      </c>
      <c r="AV391" s="39">
        <f>AW391+AX391</f>
        <v>0</v>
      </c>
      <c r="AW391" s="39">
        <f>F391*AO391</f>
        <v>0</v>
      </c>
      <c r="AX391" s="39">
        <f>F391*AP391</f>
        <v>0</v>
      </c>
      <c r="AY391" s="40" t="s">
        <v>2005</v>
      </c>
      <c r="AZ391" s="40" t="s">
        <v>2038</v>
      </c>
      <c r="BA391" s="30" t="s">
        <v>2045</v>
      </c>
      <c r="BC391" s="39">
        <f>AW391+AX391</f>
        <v>0</v>
      </c>
      <c r="BD391" s="39">
        <f>G391/(100-BE391)*100</f>
        <v>0</v>
      </c>
      <c r="BE391" s="39">
        <v>0</v>
      </c>
      <c r="BF391" s="39">
        <f>L391</f>
        <v>0.30686699999999995</v>
      </c>
      <c r="BH391" s="22">
        <f>F391*AO391</f>
        <v>0</v>
      </c>
      <c r="BI391" s="22">
        <f>F391*AP391</f>
        <v>0</v>
      </c>
      <c r="BJ391" s="22">
        <f>F391*G391</f>
        <v>0</v>
      </c>
    </row>
    <row r="392" spans="1:62">
      <c r="A392" s="5" t="s">
        <v>286</v>
      </c>
      <c r="B392" s="5"/>
      <c r="C392" s="5" t="s">
        <v>883</v>
      </c>
      <c r="D392" s="5" t="s">
        <v>1569</v>
      </c>
      <c r="E392" s="5" t="s">
        <v>1940</v>
      </c>
      <c r="F392" s="21">
        <v>334.6</v>
      </c>
      <c r="G392" s="753">
        <v>0</v>
      </c>
      <c r="H392" s="21">
        <f>F392*AO392</f>
        <v>0</v>
      </c>
      <c r="I392" s="21">
        <f>F392*AP392</f>
        <v>0</v>
      </c>
      <c r="J392" s="21">
        <f>F392*G392</f>
        <v>0</v>
      </c>
      <c r="K392" s="21">
        <v>2.14E-3</v>
      </c>
      <c r="L392" s="21">
        <f>F392*K392</f>
        <v>0.71604400000000001</v>
      </c>
      <c r="M392" s="34" t="s">
        <v>1961</v>
      </c>
      <c r="Z392" s="39">
        <f>IF(AQ392="5",BJ392,0)</f>
        <v>0</v>
      </c>
      <c r="AB392" s="39">
        <f>IF(AQ392="1",BH392,0)</f>
        <v>0</v>
      </c>
      <c r="AC392" s="39">
        <f>IF(AQ392="1",BI392,0)</f>
        <v>0</v>
      </c>
      <c r="AD392" s="39">
        <f>IF(AQ392="7",BH392,0)</f>
        <v>0</v>
      </c>
      <c r="AE392" s="39">
        <f>IF(AQ392="7",BI392,0)</f>
        <v>0</v>
      </c>
      <c r="AF392" s="39">
        <f>IF(AQ392="2",BH392,0)</f>
        <v>0</v>
      </c>
      <c r="AG392" s="39">
        <f>IF(AQ392="2",BI392,0)</f>
        <v>0</v>
      </c>
      <c r="AH392" s="39">
        <f>IF(AQ392="0",BJ392,0)</f>
        <v>0</v>
      </c>
      <c r="AI392" s="30"/>
      <c r="AJ392" s="21">
        <f>IF(AN392=0,J392,0)</f>
        <v>0</v>
      </c>
      <c r="AK392" s="21">
        <f>IF(AN392=15,J392,0)</f>
        <v>0</v>
      </c>
      <c r="AL392" s="21">
        <f>IF(AN392=21,J392,0)</f>
        <v>0</v>
      </c>
      <c r="AN392" s="39">
        <v>21</v>
      </c>
      <c r="AO392" s="39">
        <f>G392*0.921252653927813</f>
        <v>0</v>
      </c>
      <c r="AP392" s="39">
        <f>G392*(1-0.921252653927813)</f>
        <v>0</v>
      </c>
      <c r="AQ392" s="34" t="s">
        <v>11</v>
      </c>
      <c r="AV392" s="39">
        <f>AW392+AX392</f>
        <v>0</v>
      </c>
      <c r="AW392" s="39">
        <f>F392*AO392</f>
        <v>0</v>
      </c>
      <c r="AX392" s="39">
        <f>F392*AP392</f>
        <v>0</v>
      </c>
      <c r="AY392" s="40" t="s">
        <v>2005</v>
      </c>
      <c r="AZ392" s="40" t="s">
        <v>2038</v>
      </c>
      <c r="BA392" s="30" t="s">
        <v>2045</v>
      </c>
      <c r="BC392" s="39">
        <f>AW392+AX392</f>
        <v>0</v>
      </c>
      <c r="BD392" s="39">
        <f>G392/(100-BE392)*100</f>
        <v>0</v>
      </c>
      <c r="BE392" s="39">
        <v>0</v>
      </c>
      <c r="BF392" s="39">
        <f>L392</f>
        <v>0.71604400000000001</v>
      </c>
      <c r="BH392" s="21">
        <f>F392*AO392</f>
        <v>0</v>
      </c>
      <c r="BI392" s="21">
        <f>F392*AP392</f>
        <v>0</v>
      </c>
      <c r="BJ392" s="21">
        <f>F392*G392</f>
        <v>0</v>
      </c>
    </row>
    <row r="393" spans="1:62">
      <c r="A393" s="5" t="s">
        <v>287</v>
      </c>
      <c r="B393" s="5"/>
      <c r="C393" s="5" t="s">
        <v>884</v>
      </c>
      <c r="D393" s="5" t="s">
        <v>1570</v>
      </c>
      <c r="E393" s="5" t="s">
        <v>1940</v>
      </c>
      <c r="F393" s="21">
        <v>36.520000000000003</v>
      </c>
      <c r="G393" s="753">
        <v>0</v>
      </c>
      <c r="H393" s="21">
        <f>F393*AO393</f>
        <v>0</v>
      </c>
      <c r="I393" s="21">
        <f>F393*AP393</f>
        <v>0</v>
      </c>
      <c r="J393" s="21">
        <f>F393*G393</f>
        <v>0</v>
      </c>
      <c r="K393" s="21">
        <v>0</v>
      </c>
      <c r="L393" s="21">
        <f>F393*K393</f>
        <v>0</v>
      </c>
      <c r="M393" s="34" t="s">
        <v>1960</v>
      </c>
      <c r="Z393" s="39">
        <f>IF(AQ393="5",BJ393,0)</f>
        <v>0</v>
      </c>
      <c r="AB393" s="39">
        <f>IF(AQ393="1",BH393,0)</f>
        <v>0</v>
      </c>
      <c r="AC393" s="39">
        <f>IF(AQ393="1",BI393,0)</f>
        <v>0</v>
      </c>
      <c r="AD393" s="39">
        <f>IF(AQ393="7",BH393,0)</f>
        <v>0</v>
      </c>
      <c r="AE393" s="39">
        <f>IF(AQ393="7",BI393,0)</f>
        <v>0</v>
      </c>
      <c r="AF393" s="39">
        <f>IF(AQ393="2",BH393,0)</f>
        <v>0</v>
      </c>
      <c r="AG393" s="39">
        <f>IF(AQ393="2",BI393,0)</f>
        <v>0</v>
      </c>
      <c r="AH393" s="39">
        <f>IF(AQ393="0",BJ393,0)</f>
        <v>0</v>
      </c>
      <c r="AI393" s="30"/>
      <c r="AJ393" s="21">
        <f>IF(AN393=0,J393,0)</f>
        <v>0</v>
      </c>
      <c r="AK393" s="21">
        <f>IF(AN393=15,J393,0)</f>
        <v>0</v>
      </c>
      <c r="AL393" s="21">
        <f>IF(AN393=21,J393,0)</f>
        <v>0</v>
      </c>
      <c r="AN393" s="39">
        <v>21</v>
      </c>
      <c r="AO393" s="39">
        <f>G393*0.446549450549451</f>
        <v>0</v>
      </c>
      <c r="AP393" s="39">
        <f>G393*(1-0.446549450549451)</f>
        <v>0</v>
      </c>
      <c r="AQ393" s="34" t="s">
        <v>11</v>
      </c>
      <c r="AV393" s="39">
        <f>AW393+AX393</f>
        <v>0</v>
      </c>
      <c r="AW393" s="39">
        <f>F393*AO393</f>
        <v>0</v>
      </c>
      <c r="AX393" s="39">
        <f>F393*AP393</f>
        <v>0</v>
      </c>
      <c r="AY393" s="40" t="s">
        <v>2005</v>
      </c>
      <c r="AZ393" s="40" t="s">
        <v>2038</v>
      </c>
      <c r="BA393" s="30" t="s">
        <v>2045</v>
      </c>
      <c r="BC393" s="39">
        <f>AW393+AX393</f>
        <v>0</v>
      </c>
      <c r="BD393" s="39">
        <f>G393/(100-BE393)*100</f>
        <v>0</v>
      </c>
      <c r="BE393" s="39">
        <v>0</v>
      </c>
      <c r="BF393" s="39">
        <f>L393</f>
        <v>0</v>
      </c>
      <c r="BH393" s="21">
        <f>F393*AO393</f>
        <v>0</v>
      </c>
      <c r="BI393" s="21">
        <f>F393*AP393</f>
        <v>0</v>
      </c>
      <c r="BJ393" s="21">
        <f>F393*G393</f>
        <v>0</v>
      </c>
    </row>
    <row r="394" spans="1:62">
      <c r="C394" s="16" t="s">
        <v>609</v>
      </c>
      <c r="D394" s="919" t="s">
        <v>1571</v>
      </c>
      <c r="E394" s="920"/>
      <c r="F394" s="920"/>
      <c r="G394" s="920"/>
      <c r="H394" s="920"/>
      <c r="I394" s="920"/>
      <c r="J394" s="920"/>
      <c r="K394" s="920"/>
      <c r="L394" s="920"/>
      <c r="M394" s="920"/>
    </row>
    <row r="395" spans="1:62">
      <c r="A395" s="5" t="s">
        <v>288</v>
      </c>
      <c r="B395" s="5"/>
      <c r="C395" s="5" t="s">
        <v>885</v>
      </c>
      <c r="D395" s="5" t="s">
        <v>1572</v>
      </c>
      <c r="E395" s="5" t="s">
        <v>1940</v>
      </c>
      <c r="F395" s="21">
        <v>52.81</v>
      </c>
      <c r="G395" s="753">
        <v>0</v>
      </c>
      <c r="H395" s="21">
        <f>F395*AO395</f>
        <v>0</v>
      </c>
      <c r="I395" s="21">
        <f>F395*AP395</f>
        <v>0</v>
      </c>
      <c r="J395" s="21">
        <f>F395*G395</f>
        <v>0</v>
      </c>
      <c r="K395" s="21">
        <v>1.7000000000000001E-4</v>
      </c>
      <c r="L395" s="21">
        <f>F395*K395</f>
        <v>8.9777000000000017E-3</v>
      </c>
      <c r="M395" s="34" t="s">
        <v>1961</v>
      </c>
      <c r="Z395" s="39">
        <f>IF(AQ395="5",BJ395,0)</f>
        <v>0</v>
      </c>
      <c r="AB395" s="39">
        <f>IF(AQ395="1",BH395,0)</f>
        <v>0</v>
      </c>
      <c r="AC395" s="39">
        <f>IF(AQ395="1",BI395,0)</f>
        <v>0</v>
      </c>
      <c r="AD395" s="39">
        <f>IF(AQ395="7",BH395,0)</f>
        <v>0</v>
      </c>
      <c r="AE395" s="39">
        <f>IF(AQ395="7",BI395,0)</f>
        <v>0</v>
      </c>
      <c r="AF395" s="39">
        <f>IF(AQ395="2",BH395,0)</f>
        <v>0</v>
      </c>
      <c r="AG395" s="39">
        <f>IF(AQ395="2",BI395,0)</f>
        <v>0</v>
      </c>
      <c r="AH395" s="39">
        <f>IF(AQ395="0",BJ395,0)</f>
        <v>0</v>
      </c>
      <c r="AI395" s="30"/>
      <c r="AJ395" s="21">
        <f>IF(AN395=0,J395,0)</f>
        <v>0</v>
      </c>
      <c r="AK395" s="21">
        <f>IF(AN395=15,J395,0)</f>
        <v>0</v>
      </c>
      <c r="AL395" s="21">
        <f>IF(AN395=21,J395,0)</f>
        <v>0</v>
      </c>
      <c r="AN395" s="39">
        <v>21</v>
      </c>
      <c r="AO395" s="39">
        <f>G395*0.402</f>
        <v>0</v>
      </c>
      <c r="AP395" s="39">
        <f>G395*(1-0.402)</f>
        <v>0</v>
      </c>
      <c r="AQ395" s="34" t="s">
        <v>11</v>
      </c>
      <c r="AV395" s="39">
        <f>AW395+AX395</f>
        <v>0</v>
      </c>
      <c r="AW395" s="39">
        <f>F395*AO395</f>
        <v>0</v>
      </c>
      <c r="AX395" s="39">
        <f>F395*AP395</f>
        <v>0</v>
      </c>
      <c r="AY395" s="40" t="s">
        <v>2005</v>
      </c>
      <c r="AZ395" s="40" t="s">
        <v>2038</v>
      </c>
      <c r="BA395" s="30" t="s">
        <v>2045</v>
      </c>
      <c r="BC395" s="39">
        <f>AW395+AX395</f>
        <v>0</v>
      </c>
      <c r="BD395" s="39">
        <f>G395/(100-BE395)*100</f>
        <v>0</v>
      </c>
      <c r="BE395" s="39">
        <v>0</v>
      </c>
      <c r="BF395" s="39">
        <f>L395</f>
        <v>8.9777000000000017E-3</v>
      </c>
      <c r="BH395" s="21">
        <f>F395*AO395</f>
        <v>0</v>
      </c>
      <c r="BI395" s="21">
        <f>F395*AP395</f>
        <v>0</v>
      </c>
      <c r="BJ395" s="21">
        <f>F395*G395</f>
        <v>0</v>
      </c>
    </row>
    <row r="396" spans="1:62">
      <c r="C396" s="16" t="s">
        <v>609</v>
      </c>
      <c r="D396" s="919" t="s">
        <v>1573</v>
      </c>
      <c r="E396" s="920"/>
      <c r="F396" s="920"/>
      <c r="G396" s="920"/>
      <c r="H396" s="920"/>
      <c r="I396" s="920"/>
      <c r="J396" s="920"/>
      <c r="K396" s="920"/>
      <c r="L396" s="920"/>
      <c r="M396" s="920"/>
    </row>
    <row r="397" spans="1:62">
      <c r="A397" s="5" t="s">
        <v>289</v>
      </c>
      <c r="B397" s="5"/>
      <c r="C397" s="5" t="s">
        <v>886</v>
      </c>
      <c r="D397" s="5" t="s">
        <v>1574</v>
      </c>
      <c r="E397" s="5" t="s">
        <v>1945</v>
      </c>
      <c r="F397" s="753">
        <v>0</v>
      </c>
      <c r="G397" s="753">
        <v>0</v>
      </c>
      <c r="H397" s="21">
        <f>F397*AO397</f>
        <v>0</v>
      </c>
      <c r="I397" s="21">
        <f>F397*AP397</f>
        <v>0</v>
      </c>
      <c r="J397" s="21">
        <f>F397*G397</f>
        <v>0</v>
      </c>
      <c r="K397" s="21">
        <v>0</v>
      </c>
      <c r="L397" s="21">
        <f>F397*K397</f>
        <v>0</v>
      </c>
      <c r="M397" s="34" t="s">
        <v>1961</v>
      </c>
      <c r="Z397" s="39">
        <f>IF(AQ397="5",BJ397,0)</f>
        <v>0</v>
      </c>
      <c r="AB397" s="39">
        <f>IF(AQ397="1",BH397,0)</f>
        <v>0</v>
      </c>
      <c r="AC397" s="39">
        <f>IF(AQ397="1",BI397,0)</f>
        <v>0</v>
      </c>
      <c r="AD397" s="39">
        <f>IF(AQ397="7",BH397,0)</f>
        <v>0</v>
      </c>
      <c r="AE397" s="39">
        <f>IF(AQ397="7",BI397,0)</f>
        <v>0</v>
      </c>
      <c r="AF397" s="39">
        <f>IF(AQ397="2",BH397,0)</f>
        <v>0</v>
      </c>
      <c r="AG397" s="39">
        <f>IF(AQ397="2",BI397,0)</f>
        <v>0</v>
      </c>
      <c r="AH397" s="39">
        <f>IF(AQ397="0",BJ397,0)</f>
        <v>0</v>
      </c>
      <c r="AI397" s="30"/>
      <c r="AJ397" s="21">
        <f>IF(AN397=0,J397,0)</f>
        <v>0</v>
      </c>
      <c r="AK397" s="21">
        <f>IF(AN397=15,J397,0)</f>
        <v>0</v>
      </c>
      <c r="AL397" s="21">
        <f>IF(AN397=21,J397,0)</f>
        <v>0</v>
      </c>
      <c r="AN397" s="39">
        <v>21</v>
      </c>
      <c r="AO397" s="39">
        <f>G397*0</f>
        <v>0</v>
      </c>
      <c r="AP397" s="39">
        <f>G397*(1-0)</f>
        <v>0</v>
      </c>
      <c r="AQ397" s="34" t="s">
        <v>9</v>
      </c>
      <c r="AV397" s="39">
        <f>AW397+AX397</f>
        <v>0</v>
      </c>
      <c r="AW397" s="39">
        <f>F397*AO397</f>
        <v>0</v>
      </c>
      <c r="AX397" s="39">
        <f>F397*AP397</f>
        <v>0</v>
      </c>
      <c r="AY397" s="40" t="s">
        <v>2005</v>
      </c>
      <c r="AZ397" s="40" t="s">
        <v>2038</v>
      </c>
      <c r="BA397" s="30" t="s">
        <v>2045</v>
      </c>
      <c r="BC397" s="39">
        <f>AW397+AX397</f>
        <v>0</v>
      </c>
      <c r="BD397" s="39">
        <f>G397/(100-BE397)*100</f>
        <v>0</v>
      </c>
      <c r="BE397" s="39">
        <v>0</v>
      </c>
      <c r="BF397" s="39">
        <f>L397</f>
        <v>0</v>
      </c>
      <c r="BH397" s="21">
        <f>F397*AO397</f>
        <v>0</v>
      </c>
      <c r="BI397" s="21">
        <f>F397*AP397</f>
        <v>0</v>
      </c>
      <c r="BJ397" s="21">
        <f>F397*G397</f>
        <v>0</v>
      </c>
    </row>
    <row r="398" spans="1:62">
      <c r="A398" s="4"/>
      <c r="B398" s="14"/>
      <c r="C398" s="14" t="s">
        <v>887</v>
      </c>
      <c r="D398" s="14" t="s">
        <v>1575</v>
      </c>
      <c r="E398" s="4" t="s">
        <v>4</v>
      </c>
      <c r="F398" s="4" t="s">
        <v>4</v>
      </c>
      <c r="G398" s="4" t="s">
        <v>4</v>
      </c>
      <c r="H398" s="42">
        <f>SUM(H399:H424)</f>
        <v>0</v>
      </c>
      <c r="I398" s="42">
        <f>SUM(I399:I424)</f>
        <v>0</v>
      </c>
      <c r="J398" s="42">
        <f>SUM(J399:J424)</f>
        <v>0</v>
      </c>
      <c r="K398" s="30"/>
      <c r="L398" s="42">
        <f>SUM(L399:L424)</f>
        <v>28.229717516000001</v>
      </c>
      <c r="M398" s="30"/>
      <c r="AI398" s="30"/>
      <c r="AS398" s="42">
        <f>SUM(AJ399:AJ424)</f>
        <v>0</v>
      </c>
      <c r="AT398" s="42">
        <f>SUM(AK399:AK424)</f>
        <v>0</v>
      </c>
      <c r="AU398" s="42">
        <f>SUM(AL399:AL424)</f>
        <v>0</v>
      </c>
    </row>
    <row r="399" spans="1:62">
      <c r="A399" s="5" t="s">
        <v>290</v>
      </c>
      <c r="B399" s="5"/>
      <c r="C399" s="5" t="s">
        <v>888</v>
      </c>
      <c r="D399" s="5" t="s">
        <v>1576</v>
      </c>
      <c r="E399" s="5" t="s">
        <v>1943</v>
      </c>
      <c r="F399" s="21">
        <v>1</v>
      </c>
      <c r="G399" s="755">
        <v>0</v>
      </c>
      <c r="H399" s="21">
        <f>F399*AO399</f>
        <v>0</v>
      </c>
      <c r="I399" s="21">
        <f>F399*AP399</f>
        <v>0</v>
      </c>
      <c r="J399" s="21">
        <f>F399*G399</f>
        <v>0</v>
      </c>
      <c r="K399" s="21">
        <v>1.4499999999999999E-3</v>
      </c>
      <c r="L399" s="21">
        <f>F399*K399</f>
        <v>1.4499999999999999E-3</v>
      </c>
      <c r="M399" s="34" t="s">
        <v>1961</v>
      </c>
      <c r="Z399" s="39">
        <f>IF(AQ399="5",BJ399,0)</f>
        <v>0</v>
      </c>
      <c r="AB399" s="39">
        <f>IF(AQ399="1",BH399,0)</f>
        <v>0</v>
      </c>
      <c r="AC399" s="39">
        <f>IF(AQ399="1",BI399,0)</f>
        <v>0</v>
      </c>
      <c r="AD399" s="39">
        <f>IF(AQ399="7",BH399,0)</f>
        <v>0</v>
      </c>
      <c r="AE399" s="39">
        <f>IF(AQ399="7",BI399,0)</f>
        <v>0</v>
      </c>
      <c r="AF399" s="39">
        <f>IF(AQ399="2",BH399,0)</f>
        <v>0</v>
      </c>
      <c r="AG399" s="39">
        <f>IF(AQ399="2",BI399,0)</f>
        <v>0</v>
      </c>
      <c r="AH399" s="39">
        <f>IF(AQ399="0",BJ399,0)</f>
        <v>0</v>
      </c>
      <c r="AI399" s="30"/>
      <c r="AJ399" s="21">
        <f>IF(AN399=0,J399,0)</f>
        <v>0</v>
      </c>
      <c r="AK399" s="21">
        <f>IF(AN399=15,J399,0)</f>
        <v>0</v>
      </c>
      <c r="AL399" s="21">
        <f>IF(AN399=21,J399,0)</f>
        <v>0</v>
      </c>
      <c r="AN399" s="39">
        <v>21</v>
      </c>
      <c r="AO399" s="39">
        <f>G399*0.798829531812725</f>
        <v>0</v>
      </c>
      <c r="AP399" s="39">
        <f>G399*(1-0.798829531812725)</f>
        <v>0</v>
      </c>
      <c r="AQ399" s="34" t="s">
        <v>11</v>
      </c>
      <c r="AV399" s="39">
        <f>AW399+AX399</f>
        <v>0</v>
      </c>
      <c r="AW399" s="39">
        <f>F399*AO399</f>
        <v>0</v>
      </c>
      <c r="AX399" s="39">
        <f>F399*AP399</f>
        <v>0</v>
      </c>
      <c r="AY399" s="40" t="s">
        <v>2006</v>
      </c>
      <c r="AZ399" s="40" t="s">
        <v>2038</v>
      </c>
      <c r="BA399" s="30" t="s">
        <v>2045</v>
      </c>
      <c r="BC399" s="39">
        <f>AW399+AX399</f>
        <v>0</v>
      </c>
      <c r="BD399" s="39">
        <f>G399/(100-BE399)*100</f>
        <v>0</v>
      </c>
      <c r="BE399" s="39">
        <v>0</v>
      </c>
      <c r="BF399" s="39">
        <f>L399</f>
        <v>1.4499999999999999E-3</v>
      </c>
      <c r="BH399" s="21">
        <f>F399*AO399</f>
        <v>0</v>
      </c>
      <c r="BI399" s="21">
        <f>F399*AP399</f>
        <v>0</v>
      </c>
      <c r="BJ399" s="21">
        <f>F399*G399</f>
        <v>0</v>
      </c>
    </row>
    <row r="400" spans="1:62">
      <c r="C400" s="16" t="s">
        <v>609</v>
      </c>
      <c r="D400" s="919" t="s">
        <v>1577</v>
      </c>
      <c r="E400" s="920"/>
      <c r="F400" s="920"/>
      <c r="G400" s="920"/>
      <c r="H400" s="920"/>
      <c r="I400" s="920"/>
      <c r="J400" s="920"/>
      <c r="K400" s="920"/>
      <c r="L400" s="920"/>
      <c r="M400" s="920"/>
    </row>
    <row r="401" spans="1:62">
      <c r="A401" s="5" t="s">
        <v>291</v>
      </c>
      <c r="B401" s="5"/>
      <c r="C401" s="5" t="s">
        <v>889</v>
      </c>
      <c r="D401" s="5" t="s">
        <v>1578</v>
      </c>
      <c r="E401" s="5" t="s">
        <v>1943</v>
      </c>
      <c r="F401" s="21">
        <v>9</v>
      </c>
      <c r="G401" s="755">
        <v>0</v>
      </c>
      <c r="H401" s="21">
        <f>F401*AO401</f>
        <v>0</v>
      </c>
      <c r="I401" s="21">
        <f>F401*AP401</f>
        <v>0</v>
      </c>
      <c r="J401" s="21">
        <f>F401*G401</f>
        <v>0</v>
      </c>
      <c r="K401" s="21">
        <v>1.4499999999999999E-3</v>
      </c>
      <c r="L401" s="21">
        <f>F401*K401</f>
        <v>1.3049999999999999E-2</v>
      </c>
      <c r="M401" s="34" t="s">
        <v>1960</v>
      </c>
      <c r="Z401" s="39">
        <f>IF(AQ401="5",BJ401,0)</f>
        <v>0</v>
      </c>
      <c r="AB401" s="39">
        <f>IF(AQ401="1",BH401,0)</f>
        <v>0</v>
      </c>
      <c r="AC401" s="39">
        <f>IF(AQ401="1",BI401,0)</f>
        <v>0</v>
      </c>
      <c r="AD401" s="39">
        <f>IF(AQ401="7",BH401,0)</f>
        <v>0</v>
      </c>
      <c r="AE401" s="39">
        <f>IF(AQ401="7",BI401,0)</f>
        <v>0</v>
      </c>
      <c r="AF401" s="39">
        <f>IF(AQ401="2",BH401,0)</f>
        <v>0</v>
      </c>
      <c r="AG401" s="39">
        <f>IF(AQ401="2",BI401,0)</f>
        <v>0</v>
      </c>
      <c r="AH401" s="39">
        <f>IF(AQ401="0",BJ401,0)</f>
        <v>0</v>
      </c>
      <c r="AI401" s="30"/>
      <c r="AJ401" s="21">
        <f>IF(AN401=0,J401,0)</f>
        <v>0</v>
      </c>
      <c r="AK401" s="21">
        <f>IF(AN401=15,J401,0)</f>
        <v>0</v>
      </c>
      <c r="AL401" s="21">
        <f>IF(AN401=21,J401,0)</f>
        <v>0</v>
      </c>
      <c r="AN401" s="39">
        <v>21</v>
      </c>
      <c r="AO401" s="39">
        <f>G401*0.798830409356725</f>
        <v>0</v>
      </c>
      <c r="AP401" s="39">
        <f>G401*(1-0.798830409356725)</f>
        <v>0</v>
      </c>
      <c r="AQ401" s="34" t="s">
        <v>11</v>
      </c>
      <c r="AV401" s="39">
        <f>AW401+AX401</f>
        <v>0</v>
      </c>
      <c r="AW401" s="39">
        <f>F401*AO401</f>
        <v>0</v>
      </c>
      <c r="AX401" s="39">
        <f>F401*AP401</f>
        <v>0</v>
      </c>
      <c r="AY401" s="40" t="s">
        <v>2006</v>
      </c>
      <c r="AZ401" s="40" t="s">
        <v>2038</v>
      </c>
      <c r="BA401" s="30" t="s">
        <v>2045</v>
      </c>
      <c r="BC401" s="39">
        <f>AW401+AX401</f>
        <v>0</v>
      </c>
      <c r="BD401" s="39">
        <f>G401/(100-BE401)*100</f>
        <v>0</v>
      </c>
      <c r="BE401" s="39">
        <v>0</v>
      </c>
      <c r="BF401" s="39">
        <f>L401</f>
        <v>1.3049999999999999E-2</v>
      </c>
      <c r="BH401" s="21">
        <f>F401*AO401</f>
        <v>0</v>
      </c>
      <c r="BI401" s="21">
        <f>F401*AP401</f>
        <v>0</v>
      </c>
      <c r="BJ401" s="21">
        <f>F401*G401</f>
        <v>0</v>
      </c>
    </row>
    <row r="402" spans="1:62">
      <c r="C402" s="17" t="s">
        <v>605</v>
      </c>
      <c r="D402" s="917" t="s">
        <v>1579</v>
      </c>
      <c r="E402" s="918"/>
      <c r="F402" s="918"/>
      <c r="G402" s="918"/>
      <c r="H402" s="918"/>
      <c r="I402" s="918"/>
      <c r="J402" s="918"/>
      <c r="K402" s="918"/>
      <c r="L402" s="918"/>
      <c r="M402" s="918"/>
    </row>
    <row r="403" spans="1:62">
      <c r="A403" s="5" t="s">
        <v>292</v>
      </c>
      <c r="B403" s="5"/>
      <c r="C403" s="5" t="s">
        <v>890</v>
      </c>
      <c r="D403" s="5" t="s">
        <v>1580</v>
      </c>
      <c r="E403" s="5" t="s">
        <v>1940</v>
      </c>
      <c r="F403" s="21">
        <v>668.2</v>
      </c>
      <c r="G403" s="755">
        <v>0</v>
      </c>
      <c r="H403" s="21">
        <f>F403*AO403</f>
        <v>0</v>
      </c>
      <c r="I403" s="21">
        <f>F403*AP403</f>
        <v>0</v>
      </c>
      <c r="J403" s="21">
        <f>F403*G403</f>
        <v>0</v>
      </c>
      <c r="K403" s="21">
        <v>2.2000000000000001E-3</v>
      </c>
      <c r="L403" s="21">
        <f>F403*K403</f>
        <v>1.4700400000000002</v>
      </c>
      <c r="M403" s="34" t="s">
        <v>1961</v>
      </c>
      <c r="Z403" s="39">
        <f>IF(AQ403="5",BJ403,0)</f>
        <v>0</v>
      </c>
      <c r="AB403" s="39">
        <f>IF(AQ403="1",BH403,0)</f>
        <v>0</v>
      </c>
      <c r="AC403" s="39">
        <f>IF(AQ403="1",BI403,0)</f>
        <v>0</v>
      </c>
      <c r="AD403" s="39">
        <f>IF(AQ403="7",BH403,0)</f>
        <v>0</v>
      </c>
      <c r="AE403" s="39">
        <f>IF(AQ403="7",BI403,0)</f>
        <v>0</v>
      </c>
      <c r="AF403" s="39">
        <f>IF(AQ403="2",BH403,0)</f>
        <v>0</v>
      </c>
      <c r="AG403" s="39">
        <f>IF(AQ403="2",BI403,0)</f>
        <v>0</v>
      </c>
      <c r="AH403" s="39">
        <f>IF(AQ403="0",BJ403,0)</f>
        <v>0</v>
      </c>
      <c r="AI403" s="30"/>
      <c r="AJ403" s="21">
        <f>IF(AN403=0,J403,0)</f>
        <v>0</v>
      </c>
      <c r="AK403" s="21">
        <f>IF(AN403=15,J403,0)</f>
        <v>0</v>
      </c>
      <c r="AL403" s="21">
        <f>IF(AN403=21,J403,0)</f>
        <v>0</v>
      </c>
      <c r="AN403" s="39">
        <v>21</v>
      </c>
      <c r="AO403" s="39">
        <f>G403*0.50740350877193</f>
        <v>0</v>
      </c>
      <c r="AP403" s="39">
        <f>G403*(1-0.50740350877193)</f>
        <v>0</v>
      </c>
      <c r="AQ403" s="34" t="s">
        <v>11</v>
      </c>
      <c r="AV403" s="39">
        <f>AW403+AX403</f>
        <v>0</v>
      </c>
      <c r="AW403" s="39">
        <f>F403*AO403</f>
        <v>0</v>
      </c>
      <c r="AX403" s="39">
        <f>F403*AP403</f>
        <v>0</v>
      </c>
      <c r="AY403" s="40" t="s">
        <v>2006</v>
      </c>
      <c r="AZ403" s="40" t="s">
        <v>2038</v>
      </c>
      <c r="BA403" s="30" t="s">
        <v>2045</v>
      </c>
      <c r="BC403" s="39">
        <f>AW403+AX403</f>
        <v>0</v>
      </c>
      <c r="BD403" s="39">
        <f>G403/(100-BE403)*100</f>
        <v>0</v>
      </c>
      <c r="BE403" s="39">
        <v>0</v>
      </c>
      <c r="BF403" s="39">
        <f>L403</f>
        <v>1.4700400000000002</v>
      </c>
      <c r="BH403" s="21">
        <f>F403*AO403</f>
        <v>0</v>
      </c>
      <c r="BI403" s="21">
        <f>F403*AP403</f>
        <v>0</v>
      </c>
      <c r="BJ403" s="21">
        <f>F403*G403</f>
        <v>0</v>
      </c>
    </row>
    <row r="404" spans="1:62">
      <c r="C404" s="16" t="s">
        <v>609</v>
      </c>
      <c r="D404" s="919" t="s">
        <v>5839</v>
      </c>
      <c r="E404" s="920"/>
      <c r="F404" s="920"/>
      <c r="G404" s="920"/>
      <c r="H404" s="920"/>
      <c r="I404" s="920"/>
      <c r="J404" s="920"/>
      <c r="K404" s="920"/>
      <c r="L404" s="920"/>
      <c r="M404" s="920"/>
    </row>
    <row r="405" spans="1:62">
      <c r="A405" s="5" t="s">
        <v>293</v>
      </c>
      <c r="B405" s="5"/>
      <c r="C405" s="5" t="s">
        <v>891</v>
      </c>
      <c r="D405" s="5" t="s">
        <v>1581</v>
      </c>
      <c r="E405" s="5" t="s">
        <v>1940</v>
      </c>
      <c r="F405" s="21">
        <v>215.6987</v>
      </c>
      <c r="G405" s="755">
        <v>0</v>
      </c>
      <c r="H405" s="21">
        <f>F405*AO405</f>
        <v>0</v>
      </c>
      <c r="I405" s="21">
        <f>F405*AP405</f>
        <v>0</v>
      </c>
      <c r="J405" s="21">
        <f>F405*G405</f>
        <v>0</v>
      </c>
      <c r="K405" s="21">
        <v>2.6800000000000001E-3</v>
      </c>
      <c r="L405" s="21">
        <f>F405*K405</f>
        <v>0.57807251599999998</v>
      </c>
      <c r="M405" s="34" t="s">
        <v>1961</v>
      </c>
      <c r="Z405" s="39">
        <f>IF(AQ405="5",BJ405,0)</f>
        <v>0</v>
      </c>
      <c r="AB405" s="39">
        <f>IF(AQ405="1",BH405,0)</f>
        <v>0</v>
      </c>
      <c r="AC405" s="39">
        <f>IF(AQ405="1",BI405,0)</f>
        <v>0</v>
      </c>
      <c r="AD405" s="39">
        <f>IF(AQ405="7",BH405,0)</f>
        <v>0</v>
      </c>
      <c r="AE405" s="39">
        <f>IF(AQ405="7",BI405,0)</f>
        <v>0</v>
      </c>
      <c r="AF405" s="39">
        <f>IF(AQ405="2",BH405,0)</f>
        <v>0</v>
      </c>
      <c r="AG405" s="39">
        <f>IF(AQ405="2",BI405,0)</f>
        <v>0</v>
      </c>
      <c r="AH405" s="39">
        <f>IF(AQ405="0",BJ405,0)</f>
        <v>0</v>
      </c>
      <c r="AI405" s="30"/>
      <c r="AJ405" s="21">
        <f>IF(AN405=0,J405,0)</f>
        <v>0</v>
      </c>
      <c r="AK405" s="21">
        <f>IF(AN405=15,J405,0)</f>
        <v>0</v>
      </c>
      <c r="AL405" s="21">
        <f>IF(AN405=21,J405,0)</f>
        <v>0</v>
      </c>
      <c r="AN405" s="39">
        <v>21</v>
      </c>
      <c r="AO405" s="39">
        <f>G405*0.593852149719223</f>
        <v>0</v>
      </c>
      <c r="AP405" s="39">
        <f>G405*(1-0.593852149719223)</f>
        <v>0</v>
      </c>
      <c r="AQ405" s="34" t="s">
        <v>11</v>
      </c>
      <c r="AV405" s="39">
        <f>AW405+AX405</f>
        <v>0</v>
      </c>
      <c r="AW405" s="39">
        <f>F405*AO405</f>
        <v>0</v>
      </c>
      <c r="AX405" s="39">
        <f>F405*AP405</f>
        <v>0</v>
      </c>
      <c r="AY405" s="40" t="s">
        <v>2006</v>
      </c>
      <c r="AZ405" s="40" t="s">
        <v>2038</v>
      </c>
      <c r="BA405" s="30" t="s">
        <v>2045</v>
      </c>
      <c r="BC405" s="39">
        <f>AW405+AX405</f>
        <v>0</v>
      </c>
      <c r="BD405" s="39">
        <f>G405/(100-BE405)*100</f>
        <v>0</v>
      </c>
      <c r="BE405" s="39">
        <v>0</v>
      </c>
      <c r="BF405" s="39">
        <f>L405</f>
        <v>0.57807251599999998</v>
      </c>
      <c r="BH405" s="21">
        <f>F405*AO405</f>
        <v>0</v>
      </c>
      <c r="BI405" s="21">
        <f>F405*AP405</f>
        <v>0</v>
      </c>
      <c r="BJ405" s="21">
        <f>F405*G405</f>
        <v>0</v>
      </c>
    </row>
    <row r="406" spans="1:62">
      <c r="C406" s="16" t="s">
        <v>609</v>
      </c>
      <c r="D406" s="919" t="s">
        <v>1582</v>
      </c>
      <c r="E406" s="920"/>
      <c r="F406" s="920"/>
      <c r="G406" s="920"/>
      <c r="H406" s="920"/>
      <c r="I406" s="920"/>
      <c r="J406" s="920"/>
      <c r="K406" s="920"/>
      <c r="L406" s="920"/>
      <c r="M406" s="920"/>
    </row>
    <row r="407" spans="1:62">
      <c r="A407" s="5" t="s">
        <v>294</v>
      </c>
      <c r="B407" s="5"/>
      <c r="C407" s="5" t="s">
        <v>892</v>
      </c>
      <c r="D407" s="5" t="s">
        <v>1583</v>
      </c>
      <c r="E407" s="5" t="s">
        <v>1940</v>
      </c>
      <c r="F407" s="21">
        <v>668.2</v>
      </c>
      <c r="G407" s="755">
        <v>0</v>
      </c>
      <c r="H407" s="21">
        <f>F407*AO407</f>
        <v>0</v>
      </c>
      <c r="I407" s="21">
        <f>F407*AP407</f>
        <v>0</v>
      </c>
      <c r="J407" s="21">
        <f>F407*G407</f>
        <v>0</v>
      </c>
      <c r="K407" s="21">
        <v>1.4999999999999999E-4</v>
      </c>
      <c r="L407" s="21">
        <f>F407*K407</f>
        <v>0.10023</v>
      </c>
      <c r="M407" s="34" t="s">
        <v>1961</v>
      </c>
      <c r="Z407" s="39">
        <f>IF(AQ407="5",BJ407,0)</f>
        <v>0</v>
      </c>
      <c r="AB407" s="39">
        <f>IF(AQ407="1",BH407,0)</f>
        <v>0</v>
      </c>
      <c r="AC407" s="39">
        <f>IF(AQ407="1",BI407,0)</f>
        <v>0</v>
      </c>
      <c r="AD407" s="39">
        <f>IF(AQ407="7",BH407,0)</f>
        <v>0</v>
      </c>
      <c r="AE407" s="39">
        <f>IF(AQ407="7",BI407,0)</f>
        <v>0</v>
      </c>
      <c r="AF407" s="39">
        <f>IF(AQ407="2",BH407,0)</f>
        <v>0</v>
      </c>
      <c r="AG407" s="39">
        <f>IF(AQ407="2",BI407,0)</f>
        <v>0</v>
      </c>
      <c r="AH407" s="39">
        <f>IF(AQ407="0",BJ407,0)</f>
        <v>0</v>
      </c>
      <c r="AI407" s="30"/>
      <c r="AJ407" s="21">
        <f>IF(AN407=0,J407,0)</f>
        <v>0</v>
      </c>
      <c r="AK407" s="21">
        <f>IF(AN407=15,J407,0)</f>
        <v>0</v>
      </c>
      <c r="AL407" s="21">
        <f>IF(AN407=21,J407,0)</f>
        <v>0</v>
      </c>
      <c r="AN407" s="39">
        <v>21</v>
      </c>
      <c r="AO407" s="39">
        <f>G407*0.278438661710037</f>
        <v>0</v>
      </c>
      <c r="AP407" s="39">
        <f>G407*(1-0.278438661710037)</f>
        <v>0</v>
      </c>
      <c r="AQ407" s="34" t="s">
        <v>11</v>
      </c>
      <c r="AV407" s="39">
        <f>AW407+AX407</f>
        <v>0</v>
      </c>
      <c r="AW407" s="39">
        <f>F407*AO407</f>
        <v>0</v>
      </c>
      <c r="AX407" s="39">
        <f>F407*AP407</f>
        <v>0</v>
      </c>
      <c r="AY407" s="40" t="s">
        <v>2006</v>
      </c>
      <c r="AZ407" s="40" t="s">
        <v>2038</v>
      </c>
      <c r="BA407" s="30" t="s">
        <v>2045</v>
      </c>
      <c r="BC407" s="39">
        <f>AW407+AX407</f>
        <v>0</v>
      </c>
      <c r="BD407" s="39">
        <f>G407/(100-BE407)*100</f>
        <v>0</v>
      </c>
      <c r="BE407" s="39">
        <v>0</v>
      </c>
      <c r="BF407" s="39">
        <f>L407</f>
        <v>0.10023</v>
      </c>
      <c r="BH407" s="21">
        <f>F407*AO407</f>
        <v>0</v>
      </c>
      <c r="BI407" s="21">
        <f>F407*AP407</f>
        <v>0</v>
      </c>
      <c r="BJ407" s="21">
        <f>F407*G407</f>
        <v>0</v>
      </c>
    </row>
    <row r="408" spans="1:62">
      <c r="C408" s="16" t="s">
        <v>609</v>
      </c>
      <c r="D408" s="919" t="s">
        <v>1584</v>
      </c>
      <c r="E408" s="920"/>
      <c r="F408" s="920"/>
      <c r="G408" s="920"/>
      <c r="H408" s="920"/>
      <c r="I408" s="920"/>
      <c r="J408" s="920"/>
      <c r="K408" s="920"/>
      <c r="L408" s="920"/>
      <c r="M408" s="920"/>
    </row>
    <row r="409" spans="1:62">
      <c r="A409" s="5" t="s">
        <v>295</v>
      </c>
      <c r="B409" s="5"/>
      <c r="C409" s="5" t="s">
        <v>893</v>
      </c>
      <c r="D409" s="5" t="s">
        <v>1585</v>
      </c>
      <c r="E409" s="5" t="s">
        <v>1940</v>
      </c>
      <c r="F409" s="21">
        <v>751.98</v>
      </c>
      <c r="G409" s="755">
        <v>0</v>
      </c>
      <c r="H409" s="21">
        <f>F409*AO409</f>
        <v>0</v>
      </c>
      <c r="I409" s="21">
        <f>F409*AP409</f>
        <v>0</v>
      </c>
      <c r="J409" s="21">
        <f>F409*G409</f>
        <v>0</v>
      </c>
      <c r="K409" s="21">
        <v>0</v>
      </c>
      <c r="L409" s="21">
        <f>F409*K409</f>
        <v>0</v>
      </c>
      <c r="M409" s="34" t="s">
        <v>1961</v>
      </c>
      <c r="Z409" s="39">
        <f>IF(AQ409="5",BJ409,0)</f>
        <v>0</v>
      </c>
      <c r="AB409" s="39">
        <f>IF(AQ409="1",BH409,0)</f>
        <v>0</v>
      </c>
      <c r="AC409" s="39">
        <f>IF(AQ409="1",BI409,0)</f>
        <v>0</v>
      </c>
      <c r="AD409" s="39">
        <f>IF(AQ409="7",BH409,0)</f>
        <v>0</v>
      </c>
      <c r="AE409" s="39">
        <f>IF(AQ409="7",BI409,0)</f>
        <v>0</v>
      </c>
      <c r="AF409" s="39">
        <f>IF(AQ409="2",BH409,0)</f>
        <v>0</v>
      </c>
      <c r="AG409" s="39">
        <f>IF(AQ409="2",BI409,0)</f>
        <v>0</v>
      </c>
      <c r="AH409" s="39">
        <f>IF(AQ409="0",BJ409,0)</f>
        <v>0</v>
      </c>
      <c r="AI409" s="30"/>
      <c r="AJ409" s="21">
        <f>IF(AN409=0,J409,0)</f>
        <v>0</v>
      </c>
      <c r="AK409" s="21">
        <f>IF(AN409=15,J409,0)</f>
        <v>0</v>
      </c>
      <c r="AL409" s="21">
        <f>IF(AN409=21,J409,0)</f>
        <v>0</v>
      </c>
      <c r="AN409" s="39">
        <v>21</v>
      </c>
      <c r="AO409" s="39">
        <f>G409*0</f>
        <v>0</v>
      </c>
      <c r="AP409" s="39">
        <f>G409*(1-0)</f>
        <v>0</v>
      </c>
      <c r="AQ409" s="34" t="s">
        <v>11</v>
      </c>
      <c r="AV409" s="39">
        <f>AW409+AX409</f>
        <v>0</v>
      </c>
      <c r="AW409" s="39">
        <f>F409*AO409</f>
        <v>0</v>
      </c>
      <c r="AX409" s="39">
        <f>F409*AP409</f>
        <v>0</v>
      </c>
      <c r="AY409" s="40" t="s">
        <v>2006</v>
      </c>
      <c r="AZ409" s="40" t="s">
        <v>2038</v>
      </c>
      <c r="BA409" s="30" t="s">
        <v>2045</v>
      </c>
      <c r="BC409" s="39">
        <f>AW409+AX409</f>
        <v>0</v>
      </c>
      <c r="BD409" s="39">
        <f>G409/(100-BE409)*100</f>
        <v>0</v>
      </c>
      <c r="BE409" s="39">
        <v>0</v>
      </c>
      <c r="BF409" s="39">
        <f>L409</f>
        <v>0</v>
      </c>
      <c r="BH409" s="21">
        <f>F409*AO409</f>
        <v>0</v>
      </c>
      <c r="BI409" s="21">
        <f>F409*AP409</f>
        <v>0</v>
      </c>
      <c r="BJ409" s="21">
        <f>F409*G409</f>
        <v>0</v>
      </c>
    </row>
    <row r="410" spans="1:62">
      <c r="A410" s="6" t="s">
        <v>296</v>
      </c>
      <c r="B410" s="6"/>
      <c r="C410" s="6" t="s">
        <v>872</v>
      </c>
      <c r="D410" s="6" t="s">
        <v>1558</v>
      </c>
      <c r="E410" s="6" t="s">
        <v>1944</v>
      </c>
      <c r="F410" s="22">
        <v>225.59399999999999</v>
      </c>
      <c r="G410" s="757">
        <v>0</v>
      </c>
      <c r="H410" s="22">
        <f>F410*AO410</f>
        <v>0</v>
      </c>
      <c r="I410" s="22">
        <f>F410*AP410</f>
        <v>0</v>
      </c>
      <c r="J410" s="22">
        <f>F410*G410</f>
        <v>0</v>
      </c>
      <c r="K410" s="22">
        <v>1E-3</v>
      </c>
      <c r="L410" s="22">
        <f>F410*K410</f>
        <v>0.22559399999999999</v>
      </c>
      <c r="M410" s="35" t="s">
        <v>1961</v>
      </c>
      <c r="Z410" s="39">
        <f>IF(AQ410="5",BJ410,0)</f>
        <v>0</v>
      </c>
      <c r="AB410" s="39">
        <f>IF(AQ410="1",BH410,0)</f>
        <v>0</v>
      </c>
      <c r="AC410" s="39">
        <f>IF(AQ410="1",BI410,0)</f>
        <v>0</v>
      </c>
      <c r="AD410" s="39">
        <f>IF(AQ410="7",BH410,0)</f>
        <v>0</v>
      </c>
      <c r="AE410" s="39">
        <f>IF(AQ410="7",BI410,0)</f>
        <v>0</v>
      </c>
      <c r="AF410" s="39">
        <f>IF(AQ410="2",BH410,0)</f>
        <v>0</v>
      </c>
      <c r="AG410" s="39">
        <f>IF(AQ410="2",BI410,0)</f>
        <v>0</v>
      </c>
      <c r="AH410" s="39">
        <f>IF(AQ410="0",BJ410,0)</f>
        <v>0</v>
      </c>
      <c r="AI410" s="30"/>
      <c r="AJ410" s="22">
        <f>IF(AN410=0,J410,0)</f>
        <v>0</v>
      </c>
      <c r="AK410" s="22">
        <f>IF(AN410=15,J410,0)</f>
        <v>0</v>
      </c>
      <c r="AL410" s="22">
        <f>IF(AN410=21,J410,0)</f>
        <v>0</v>
      </c>
      <c r="AN410" s="39">
        <v>21</v>
      </c>
      <c r="AO410" s="39">
        <f>G410*1</f>
        <v>0</v>
      </c>
      <c r="AP410" s="39">
        <f>G410*(1-1)</f>
        <v>0</v>
      </c>
      <c r="AQ410" s="35" t="s">
        <v>11</v>
      </c>
      <c r="AV410" s="39">
        <f>AW410+AX410</f>
        <v>0</v>
      </c>
      <c r="AW410" s="39">
        <f>F410*AO410</f>
        <v>0</v>
      </c>
      <c r="AX410" s="39">
        <f>F410*AP410</f>
        <v>0</v>
      </c>
      <c r="AY410" s="40" t="s">
        <v>2006</v>
      </c>
      <c r="AZ410" s="40" t="s">
        <v>2038</v>
      </c>
      <c r="BA410" s="30" t="s">
        <v>2045</v>
      </c>
      <c r="BC410" s="39">
        <f>AW410+AX410</f>
        <v>0</v>
      </c>
      <c r="BD410" s="39">
        <f>G410/(100-BE410)*100</f>
        <v>0</v>
      </c>
      <c r="BE410" s="39">
        <v>0</v>
      </c>
      <c r="BF410" s="39">
        <f>L410</f>
        <v>0.22559399999999999</v>
      </c>
      <c r="BH410" s="22">
        <f>F410*AO410</f>
        <v>0</v>
      </c>
      <c r="BI410" s="22">
        <f>F410*AP410</f>
        <v>0</v>
      </c>
      <c r="BJ410" s="22">
        <f>F410*G410</f>
        <v>0</v>
      </c>
    </row>
    <row r="411" spans="1:62">
      <c r="A411" s="5" t="s">
        <v>297</v>
      </c>
      <c r="B411" s="5"/>
      <c r="C411" s="5" t="s">
        <v>894</v>
      </c>
      <c r="D411" s="5" t="s">
        <v>1586</v>
      </c>
      <c r="E411" s="5" t="s">
        <v>1940</v>
      </c>
      <c r="F411" s="21">
        <v>775.92</v>
      </c>
      <c r="G411" s="755">
        <v>0</v>
      </c>
      <c r="H411" s="21">
        <f>F411*AO411</f>
        <v>0</v>
      </c>
      <c r="I411" s="21">
        <f>F411*AP411</f>
        <v>0</v>
      </c>
      <c r="J411" s="21">
        <f>F411*G411</f>
        <v>0</v>
      </c>
      <c r="K411" s="21">
        <v>3.5E-4</v>
      </c>
      <c r="L411" s="21">
        <f>F411*K411</f>
        <v>0.27157199999999998</v>
      </c>
      <c r="M411" s="34" t="s">
        <v>1961</v>
      </c>
      <c r="Z411" s="39">
        <f>IF(AQ411="5",BJ411,0)</f>
        <v>0</v>
      </c>
      <c r="AB411" s="39">
        <f>IF(AQ411="1",BH411,0)</f>
        <v>0</v>
      </c>
      <c r="AC411" s="39">
        <f>IF(AQ411="1",BI411,0)</f>
        <v>0</v>
      </c>
      <c r="AD411" s="39">
        <f>IF(AQ411="7",BH411,0)</f>
        <v>0</v>
      </c>
      <c r="AE411" s="39">
        <f>IF(AQ411="7",BI411,0)</f>
        <v>0</v>
      </c>
      <c r="AF411" s="39">
        <f>IF(AQ411="2",BH411,0)</f>
        <v>0</v>
      </c>
      <c r="AG411" s="39">
        <f>IF(AQ411="2",BI411,0)</f>
        <v>0</v>
      </c>
      <c r="AH411" s="39">
        <f>IF(AQ411="0",BJ411,0)</f>
        <v>0</v>
      </c>
      <c r="AI411" s="30"/>
      <c r="AJ411" s="21">
        <f>IF(AN411=0,J411,0)</f>
        <v>0</v>
      </c>
      <c r="AK411" s="21">
        <f>IF(AN411=15,J411,0)</f>
        <v>0</v>
      </c>
      <c r="AL411" s="21">
        <f>IF(AN411=21,J411,0)</f>
        <v>0</v>
      </c>
      <c r="AN411" s="39">
        <v>21</v>
      </c>
      <c r="AO411" s="39">
        <f>G411*0.0882027649769585</f>
        <v>0</v>
      </c>
      <c r="AP411" s="39">
        <f>G411*(1-0.0882027649769585)</f>
        <v>0</v>
      </c>
      <c r="AQ411" s="34" t="s">
        <v>11</v>
      </c>
      <c r="AV411" s="39">
        <f>AW411+AX411</f>
        <v>0</v>
      </c>
      <c r="AW411" s="39">
        <f>F411*AO411</f>
        <v>0</v>
      </c>
      <c r="AX411" s="39">
        <f>F411*AP411</f>
        <v>0</v>
      </c>
      <c r="AY411" s="40" t="s">
        <v>2006</v>
      </c>
      <c r="AZ411" s="40" t="s">
        <v>2038</v>
      </c>
      <c r="BA411" s="30" t="s">
        <v>2045</v>
      </c>
      <c r="BC411" s="39">
        <f>AW411+AX411</f>
        <v>0</v>
      </c>
      <c r="BD411" s="39">
        <f>G411/(100-BE411)*100</f>
        <v>0</v>
      </c>
      <c r="BE411" s="39">
        <v>0</v>
      </c>
      <c r="BF411" s="39">
        <f>L411</f>
        <v>0.27157199999999998</v>
      </c>
      <c r="BH411" s="21">
        <f>F411*AO411</f>
        <v>0</v>
      </c>
      <c r="BI411" s="21">
        <f>F411*AP411</f>
        <v>0</v>
      </c>
      <c r="BJ411" s="21">
        <f>F411*G411</f>
        <v>0</v>
      </c>
    </row>
    <row r="412" spans="1:62">
      <c r="A412" s="6" t="s">
        <v>298</v>
      </c>
      <c r="B412" s="6"/>
      <c r="C412" s="6" t="s">
        <v>895</v>
      </c>
      <c r="D412" s="6" t="s">
        <v>5829</v>
      </c>
      <c r="E412" s="6" t="s">
        <v>1940</v>
      </c>
      <c r="F412" s="22">
        <v>892.30799999999999</v>
      </c>
      <c r="G412" s="757">
        <v>0</v>
      </c>
      <c r="H412" s="22">
        <f>F412*AO412</f>
        <v>0</v>
      </c>
      <c r="I412" s="22">
        <f>F412*AP412</f>
        <v>0</v>
      </c>
      <c r="J412" s="22">
        <f>F412*G412</f>
        <v>0</v>
      </c>
      <c r="K412" s="22">
        <v>4.4999999999999997E-3</v>
      </c>
      <c r="L412" s="22">
        <f>F412*K412</f>
        <v>4.0153859999999995</v>
      </c>
      <c r="M412" s="35" t="s">
        <v>1961</v>
      </c>
      <c r="Z412" s="39">
        <f>IF(AQ412="5",BJ412,0)</f>
        <v>0</v>
      </c>
      <c r="AB412" s="39">
        <f>IF(AQ412="1",BH412,0)</f>
        <v>0</v>
      </c>
      <c r="AC412" s="39">
        <f>IF(AQ412="1",BI412,0)</f>
        <v>0</v>
      </c>
      <c r="AD412" s="39">
        <f>IF(AQ412="7",BH412,0)</f>
        <v>0</v>
      </c>
      <c r="AE412" s="39">
        <f>IF(AQ412="7",BI412,0)</f>
        <v>0</v>
      </c>
      <c r="AF412" s="39">
        <f>IF(AQ412="2",BH412,0)</f>
        <v>0</v>
      </c>
      <c r="AG412" s="39">
        <f>IF(AQ412="2",BI412,0)</f>
        <v>0</v>
      </c>
      <c r="AH412" s="39">
        <f>IF(AQ412="0",BJ412,0)</f>
        <v>0</v>
      </c>
      <c r="AI412" s="30"/>
      <c r="AJ412" s="22">
        <f>IF(AN412=0,J412,0)</f>
        <v>0</v>
      </c>
      <c r="AK412" s="22">
        <f>IF(AN412=15,J412,0)</f>
        <v>0</v>
      </c>
      <c r="AL412" s="22">
        <f>IF(AN412=21,J412,0)</f>
        <v>0</v>
      </c>
      <c r="AN412" s="39">
        <v>21</v>
      </c>
      <c r="AO412" s="39">
        <f>G412*1</f>
        <v>0</v>
      </c>
      <c r="AP412" s="39">
        <f>G412*(1-1)</f>
        <v>0</v>
      </c>
      <c r="AQ412" s="35" t="s">
        <v>11</v>
      </c>
      <c r="AV412" s="39">
        <f>AW412+AX412</f>
        <v>0</v>
      </c>
      <c r="AW412" s="39">
        <f>F412*AO412</f>
        <v>0</v>
      </c>
      <c r="AX412" s="39">
        <f>F412*AP412</f>
        <v>0</v>
      </c>
      <c r="AY412" s="40" t="s">
        <v>2006</v>
      </c>
      <c r="AZ412" s="40" t="s">
        <v>2038</v>
      </c>
      <c r="BA412" s="30" t="s">
        <v>2045</v>
      </c>
      <c r="BC412" s="39">
        <f>AW412+AX412</f>
        <v>0</v>
      </c>
      <c r="BD412" s="39">
        <f>G412/(100-BE412)*100</f>
        <v>0</v>
      </c>
      <c r="BE412" s="39">
        <v>0</v>
      </c>
      <c r="BF412" s="39">
        <f>L412</f>
        <v>4.0153859999999995</v>
      </c>
      <c r="BH412" s="22">
        <f>F412*AO412</f>
        <v>0</v>
      </c>
      <c r="BI412" s="22">
        <f>F412*AP412</f>
        <v>0</v>
      </c>
      <c r="BJ412" s="22">
        <f>F412*G412</f>
        <v>0</v>
      </c>
    </row>
    <row r="413" spans="1:62">
      <c r="A413" s="5" t="s">
        <v>299</v>
      </c>
      <c r="B413" s="5"/>
      <c r="C413" s="5" t="s">
        <v>896</v>
      </c>
      <c r="D413" s="5" t="s">
        <v>1587</v>
      </c>
      <c r="E413" s="5" t="s">
        <v>1940</v>
      </c>
      <c r="F413" s="21">
        <v>30.4</v>
      </c>
      <c r="G413" s="755">
        <v>0</v>
      </c>
      <c r="H413" s="21">
        <f>F413*AO413</f>
        <v>0</v>
      </c>
      <c r="I413" s="21">
        <f>F413*AP413</f>
        <v>0</v>
      </c>
      <c r="J413" s="21">
        <f>F413*G413</f>
        <v>0</v>
      </c>
      <c r="K413" s="21">
        <v>3.6000000000000002E-4</v>
      </c>
      <c r="L413" s="21">
        <f>F413*K413</f>
        <v>1.0944000000000001E-2</v>
      </c>
      <c r="M413" s="34" t="s">
        <v>1961</v>
      </c>
      <c r="Z413" s="39">
        <f>IF(AQ413="5",BJ413,0)</f>
        <v>0</v>
      </c>
      <c r="AB413" s="39">
        <f>IF(AQ413="1",BH413,0)</f>
        <v>0</v>
      </c>
      <c r="AC413" s="39">
        <f>IF(AQ413="1",BI413,0)</f>
        <v>0</v>
      </c>
      <c r="AD413" s="39">
        <f>IF(AQ413="7",BH413,0)</f>
        <v>0</v>
      </c>
      <c r="AE413" s="39">
        <f>IF(AQ413="7",BI413,0)</f>
        <v>0</v>
      </c>
      <c r="AF413" s="39">
        <f>IF(AQ413="2",BH413,0)</f>
        <v>0</v>
      </c>
      <c r="AG413" s="39">
        <f>IF(AQ413="2",BI413,0)</f>
        <v>0</v>
      </c>
      <c r="AH413" s="39">
        <f>IF(AQ413="0",BJ413,0)</f>
        <v>0</v>
      </c>
      <c r="AI413" s="30"/>
      <c r="AJ413" s="21">
        <f>IF(AN413=0,J413,0)</f>
        <v>0</v>
      </c>
      <c r="AK413" s="21">
        <f>IF(AN413=15,J413,0)</f>
        <v>0</v>
      </c>
      <c r="AL413" s="21">
        <f>IF(AN413=21,J413,0)</f>
        <v>0</v>
      </c>
      <c r="AN413" s="39">
        <v>21</v>
      </c>
      <c r="AO413" s="39">
        <f>G413*0.701430150425803</f>
        <v>0</v>
      </c>
      <c r="AP413" s="39">
        <f>G413*(1-0.701430150425803)</f>
        <v>0</v>
      </c>
      <c r="AQ413" s="34" t="s">
        <v>11</v>
      </c>
      <c r="AV413" s="39">
        <f>AW413+AX413</f>
        <v>0</v>
      </c>
      <c r="AW413" s="39">
        <f>F413*AO413</f>
        <v>0</v>
      </c>
      <c r="AX413" s="39">
        <f>F413*AP413</f>
        <v>0</v>
      </c>
      <c r="AY413" s="40" t="s">
        <v>2006</v>
      </c>
      <c r="AZ413" s="40" t="s">
        <v>2038</v>
      </c>
      <c r="BA413" s="30" t="s">
        <v>2045</v>
      </c>
      <c r="BC413" s="39">
        <f>AW413+AX413</f>
        <v>0</v>
      </c>
      <c r="BD413" s="39">
        <f>G413/(100-BE413)*100</f>
        <v>0</v>
      </c>
      <c r="BE413" s="39">
        <v>0</v>
      </c>
      <c r="BF413" s="39">
        <f>L413</f>
        <v>1.0944000000000001E-2</v>
      </c>
      <c r="BH413" s="21">
        <f>F413*AO413</f>
        <v>0</v>
      </c>
      <c r="BI413" s="21">
        <f>F413*AP413</f>
        <v>0</v>
      </c>
      <c r="BJ413" s="21">
        <f>F413*G413</f>
        <v>0</v>
      </c>
    </row>
    <row r="414" spans="1:62">
      <c r="C414" s="16" t="s">
        <v>609</v>
      </c>
      <c r="D414" s="919" t="s">
        <v>5830</v>
      </c>
      <c r="E414" s="920"/>
      <c r="F414" s="920"/>
      <c r="G414" s="920"/>
      <c r="H414" s="920"/>
      <c r="I414" s="920"/>
      <c r="J414" s="920"/>
      <c r="K414" s="920"/>
      <c r="L414" s="920"/>
      <c r="M414" s="920"/>
    </row>
    <row r="415" spans="1:62">
      <c r="A415" s="5" t="s">
        <v>300</v>
      </c>
      <c r="B415" s="5"/>
      <c r="C415" s="5" t="s">
        <v>897</v>
      </c>
      <c r="D415" s="5" t="s">
        <v>1588</v>
      </c>
      <c r="E415" s="5" t="s">
        <v>1940</v>
      </c>
      <c r="F415" s="21">
        <v>634.4</v>
      </c>
      <c r="G415" s="755">
        <v>0</v>
      </c>
      <c r="H415" s="21">
        <f>F415*AO415</f>
        <v>0</v>
      </c>
      <c r="I415" s="21">
        <f>F415*AP415</f>
        <v>0</v>
      </c>
      <c r="J415" s="21">
        <f>F415*G415</f>
        <v>0</v>
      </c>
      <c r="K415" s="21">
        <v>7.1000000000000002E-4</v>
      </c>
      <c r="L415" s="21">
        <f>F415*K415</f>
        <v>0.45042399999999999</v>
      </c>
      <c r="M415" s="34" t="s">
        <v>1961</v>
      </c>
      <c r="Z415" s="39">
        <f>IF(AQ415="5",BJ415,0)</f>
        <v>0</v>
      </c>
      <c r="AB415" s="39">
        <f>IF(AQ415="1",BH415,0)</f>
        <v>0</v>
      </c>
      <c r="AC415" s="39">
        <f>IF(AQ415="1",BI415,0)</f>
        <v>0</v>
      </c>
      <c r="AD415" s="39">
        <f>IF(AQ415="7",BH415,0)</f>
        <v>0</v>
      </c>
      <c r="AE415" s="39">
        <f>IF(AQ415="7",BI415,0)</f>
        <v>0</v>
      </c>
      <c r="AF415" s="39">
        <f>IF(AQ415="2",BH415,0)</f>
        <v>0</v>
      </c>
      <c r="AG415" s="39">
        <f>IF(AQ415="2",BI415,0)</f>
        <v>0</v>
      </c>
      <c r="AH415" s="39">
        <f>IF(AQ415="0",BJ415,0)</f>
        <v>0</v>
      </c>
      <c r="AI415" s="30"/>
      <c r="AJ415" s="21">
        <f>IF(AN415=0,J415,0)</f>
        <v>0</v>
      </c>
      <c r="AK415" s="21">
        <f>IF(AN415=15,J415,0)</f>
        <v>0</v>
      </c>
      <c r="AL415" s="21">
        <f>IF(AN415=21,J415,0)</f>
        <v>0</v>
      </c>
      <c r="AN415" s="39">
        <v>21</v>
      </c>
      <c r="AO415" s="39">
        <f>G415*0.516290050590219</f>
        <v>0</v>
      </c>
      <c r="AP415" s="39">
        <f>G415*(1-0.516290050590219)</f>
        <v>0</v>
      </c>
      <c r="AQ415" s="34" t="s">
        <v>11</v>
      </c>
      <c r="AV415" s="39">
        <f>AW415+AX415</f>
        <v>0</v>
      </c>
      <c r="AW415" s="39">
        <f>F415*AO415</f>
        <v>0</v>
      </c>
      <c r="AX415" s="39">
        <f>F415*AP415</f>
        <v>0</v>
      </c>
      <c r="AY415" s="40" t="s">
        <v>2006</v>
      </c>
      <c r="AZ415" s="40" t="s">
        <v>2038</v>
      </c>
      <c r="BA415" s="30" t="s">
        <v>2045</v>
      </c>
      <c r="BC415" s="39">
        <f>AW415+AX415</f>
        <v>0</v>
      </c>
      <c r="BD415" s="39">
        <f>G415/(100-BE415)*100</f>
        <v>0</v>
      </c>
      <c r="BE415" s="39">
        <v>0</v>
      </c>
      <c r="BF415" s="39">
        <f>L415</f>
        <v>0.45042399999999999</v>
      </c>
      <c r="BH415" s="21">
        <f>F415*AO415</f>
        <v>0</v>
      </c>
      <c r="BI415" s="21">
        <f>F415*AP415</f>
        <v>0</v>
      </c>
      <c r="BJ415" s="21">
        <f>F415*G415</f>
        <v>0</v>
      </c>
    </row>
    <row r="416" spans="1:62">
      <c r="A416" s="5" t="s">
        <v>301</v>
      </c>
      <c r="B416" s="5"/>
      <c r="C416" s="5" t="s">
        <v>898</v>
      </c>
      <c r="D416" s="5" t="s">
        <v>1589</v>
      </c>
      <c r="E416" s="5" t="s">
        <v>1940</v>
      </c>
      <c r="F416" s="21">
        <v>432.1</v>
      </c>
      <c r="G416" s="755">
        <v>0</v>
      </c>
      <c r="H416" s="21">
        <f>F416*AO416</f>
        <v>0</v>
      </c>
      <c r="I416" s="21">
        <f>F416*AP416</f>
        <v>0</v>
      </c>
      <c r="J416" s="21">
        <f>F416*G416</f>
        <v>0</v>
      </c>
      <c r="K416" s="21">
        <v>4.7829999999999998E-2</v>
      </c>
      <c r="L416" s="21">
        <f>F416*K416</f>
        <v>20.667342999999999</v>
      </c>
      <c r="M416" s="34" t="s">
        <v>1961</v>
      </c>
      <c r="Z416" s="39">
        <f>IF(AQ416="5",BJ416,0)</f>
        <v>0</v>
      </c>
      <c r="AB416" s="39">
        <f>IF(AQ416="1",BH416,0)</f>
        <v>0</v>
      </c>
      <c r="AC416" s="39">
        <f>IF(AQ416="1",BI416,0)</f>
        <v>0</v>
      </c>
      <c r="AD416" s="39">
        <f>IF(AQ416="7",BH416,0)</f>
        <v>0</v>
      </c>
      <c r="AE416" s="39">
        <f>IF(AQ416="7",BI416,0)</f>
        <v>0</v>
      </c>
      <c r="AF416" s="39">
        <f>IF(AQ416="2",BH416,0)</f>
        <v>0</v>
      </c>
      <c r="AG416" s="39">
        <f>IF(AQ416="2",BI416,0)</f>
        <v>0</v>
      </c>
      <c r="AH416" s="39">
        <f>IF(AQ416="0",BJ416,0)</f>
        <v>0</v>
      </c>
      <c r="AI416" s="30"/>
      <c r="AJ416" s="21">
        <f>IF(AN416=0,J416,0)</f>
        <v>0</v>
      </c>
      <c r="AK416" s="21">
        <f>IF(AN416=15,J416,0)</f>
        <v>0</v>
      </c>
      <c r="AL416" s="21">
        <f>IF(AN416=21,J416,0)</f>
        <v>0</v>
      </c>
      <c r="AN416" s="39">
        <v>21</v>
      </c>
      <c r="AO416" s="39">
        <f>G416*0.791093379947185</f>
        <v>0</v>
      </c>
      <c r="AP416" s="39">
        <f>G416*(1-0.791093379947185)</f>
        <v>0</v>
      </c>
      <c r="AQ416" s="34" t="s">
        <v>11</v>
      </c>
      <c r="AV416" s="39">
        <f>AW416+AX416</f>
        <v>0</v>
      </c>
      <c r="AW416" s="39">
        <f>F416*AO416</f>
        <v>0</v>
      </c>
      <c r="AX416" s="39">
        <f>F416*AP416</f>
        <v>0</v>
      </c>
      <c r="AY416" s="40" t="s">
        <v>2006</v>
      </c>
      <c r="AZ416" s="40" t="s">
        <v>2038</v>
      </c>
      <c r="BA416" s="30" t="s">
        <v>2045</v>
      </c>
      <c r="BC416" s="39">
        <f>AW416+AX416</f>
        <v>0</v>
      </c>
      <c r="BD416" s="39">
        <f>G416/(100-BE416)*100</f>
        <v>0</v>
      </c>
      <c r="BE416" s="39">
        <v>0</v>
      </c>
      <c r="BF416" s="39">
        <f>L416</f>
        <v>20.667342999999999</v>
      </c>
      <c r="BH416" s="21">
        <f>F416*AO416</f>
        <v>0</v>
      </c>
      <c r="BI416" s="21">
        <f>F416*AP416</f>
        <v>0</v>
      </c>
      <c r="BJ416" s="21">
        <f>F416*G416</f>
        <v>0</v>
      </c>
    </row>
    <row r="417" spans="1:62" ht="25.65" customHeight="1">
      <c r="C417" s="17" t="s">
        <v>605</v>
      </c>
      <c r="D417" s="917" t="s">
        <v>1590</v>
      </c>
      <c r="E417" s="918"/>
      <c r="F417" s="918"/>
      <c r="G417" s="918"/>
      <c r="H417" s="918"/>
      <c r="I417" s="918"/>
      <c r="J417" s="918"/>
      <c r="K417" s="918"/>
      <c r="L417" s="918"/>
      <c r="M417" s="918"/>
    </row>
    <row r="418" spans="1:62">
      <c r="A418" s="5" t="s">
        <v>302</v>
      </c>
      <c r="B418" s="5"/>
      <c r="C418" s="5" t="s">
        <v>899</v>
      </c>
      <c r="D418" s="5" t="s">
        <v>1583</v>
      </c>
      <c r="E418" s="5" t="s">
        <v>1940</v>
      </c>
      <c r="F418" s="21">
        <v>634.4</v>
      </c>
      <c r="G418" s="755">
        <v>0</v>
      </c>
      <c r="H418" s="21">
        <f>F418*AO418</f>
        <v>0</v>
      </c>
      <c r="I418" s="21">
        <f>F418*AP418</f>
        <v>0</v>
      </c>
      <c r="J418" s="21">
        <f>F418*G418</f>
        <v>0</v>
      </c>
      <c r="K418" s="21">
        <v>3.4000000000000002E-4</v>
      </c>
      <c r="L418" s="21">
        <f>F418*K418</f>
        <v>0.215696</v>
      </c>
      <c r="M418" s="34" t="s">
        <v>1961</v>
      </c>
      <c r="Z418" s="39">
        <f>IF(AQ418="5",BJ418,0)</f>
        <v>0</v>
      </c>
      <c r="AB418" s="39">
        <f>IF(AQ418="1",BH418,0)</f>
        <v>0</v>
      </c>
      <c r="AC418" s="39">
        <f>IF(AQ418="1",BI418,0)</f>
        <v>0</v>
      </c>
      <c r="AD418" s="39">
        <f>IF(AQ418="7",BH418,0)</f>
        <v>0</v>
      </c>
      <c r="AE418" s="39">
        <f>IF(AQ418="7",BI418,0)</f>
        <v>0</v>
      </c>
      <c r="AF418" s="39">
        <f>IF(AQ418="2",BH418,0)</f>
        <v>0</v>
      </c>
      <c r="AG418" s="39">
        <f>IF(AQ418="2",BI418,0)</f>
        <v>0</v>
      </c>
      <c r="AH418" s="39">
        <f>IF(AQ418="0",BJ418,0)</f>
        <v>0</v>
      </c>
      <c r="AI418" s="30"/>
      <c r="AJ418" s="21">
        <f>IF(AN418=0,J418,0)</f>
        <v>0</v>
      </c>
      <c r="AK418" s="21">
        <f>IF(AN418=15,J418,0)</f>
        <v>0</v>
      </c>
      <c r="AL418" s="21">
        <f>IF(AN418=21,J418,0)</f>
        <v>0</v>
      </c>
      <c r="AN418" s="39">
        <v>21</v>
      </c>
      <c r="AO418" s="39">
        <f>G418*0.353444444444444</f>
        <v>0</v>
      </c>
      <c r="AP418" s="39">
        <f>G418*(1-0.353444444444444)</f>
        <v>0</v>
      </c>
      <c r="AQ418" s="34" t="s">
        <v>11</v>
      </c>
      <c r="AV418" s="39">
        <f>AW418+AX418</f>
        <v>0</v>
      </c>
      <c r="AW418" s="39">
        <f>F418*AO418</f>
        <v>0</v>
      </c>
      <c r="AX418" s="39">
        <f>F418*AP418</f>
        <v>0</v>
      </c>
      <c r="AY418" s="40" t="s">
        <v>2006</v>
      </c>
      <c r="AZ418" s="40" t="s">
        <v>2038</v>
      </c>
      <c r="BA418" s="30" t="s">
        <v>2045</v>
      </c>
      <c r="BC418" s="39">
        <f>AW418+AX418</f>
        <v>0</v>
      </c>
      <c r="BD418" s="39">
        <f>G418/(100-BE418)*100</f>
        <v>0</v>
      </c>
      <c r="BE418" s="39">
        <v>0</v>
      </c>
      <c r="BF418" s="39">
        <f>L418</f>
        <v>0.215696</v>
      </c>
      <c r="BH418" s="21">
        <f>F418*AO418</f>
        <v>0</v>
      </c>
      <c r="BI418" s="21">
        <f>F418*AP418</f>
        <v>0</v>
      </c>
      <c r="BJ418" s="21">
        <f>F418*G418</f>
        <v>0</v>
      </c>
    </row>
    <row r="419" spans="1:62">
      <c r="C419" s="16" t="s">
        <v>609</v>
      </c>
      <c r="D419" s="919" t="s">
        <v>1591</v>
      </c>
      <c r="E419" s="920"/>
      <c r="F419" s="920"/>
      <c r="G419" s="920"/>
      <c r="H419" s="920"/>
      <c r="I419" s="920"/>
      <c r="J419" s="920"/>
      <c r="K419" s="920"/>
      <c r="L419" s="920"/>
      <c r="M419" s="920"/>
    </row>
    <row r="420" spans="1:62">
      <c r="C420" s="17" t="s">
        <v>605</v>
      </c>
      <c r="D420" s="917" t="s">
        <v>1592</v>
      </c>
      <c r="E420" s="918"/>
      <c r="F420" s="918"/>
      <c r="G420" s="918"/>
      <c r="H420" s="918"/>
      <c r="I420" s="918"/>
      <c r="J420" s="918"/>
      <c r="K420" s="918"/>
      <c r="L420" s="918"/>
      <c r="M420" s="918"/>
    </row>
    <row r="421" spans="1:62">
      <c r="A421" s="5" t="s">
        <v>303</v>
      </c>
      <c r="B421" s="5"/>
      <c r="C421" s="5" t="s">
        <v>900</v>
      </c>
      <c r="D421" s="5" t="s">
        <v>1583</v>
      </c>
      <c r="E421" s="5" t="s">
        <v>1940</v>
      </c>
      <c r="F421" s="21">
        <v>617.4</v>
      </c>
      <c r="G421" s="755">
        <v>0</v>
      </c>
      <c r="H421" s="21">
        <f>F421*AO421</f>
        <v>0</v>
      </c>
      <c r="I421" s="21">
        <f>F421*AP421</f>
        <v>0</v>
      </c>
      <c r="J421" s="21">
        <f>F421*G421</f>
        <v>0</v>
      </c>
      <c r="K421" s="21">
        <v>3.4000000000000002E-4</v>
      </c>
      <c r="L421" s="21">
        <f>F421*K421</f>
        <v>0.20991600000000002</v>
      </c>
      <c r="M421" s="34" t="s">
        <v>1960</v>
      </c>
      <c r="Z421" s="39">
        <f>IF(AQ421="5",BJ421,0)</f>
        <v>0</v>
      </c>
      <c r="AB421" s="39">
        <f>IF(AQ421="1",BH421,0)</f>
        <v>0</v>
      </c>
      <c r="AC421" s="39">
        <f>IF(AQ421="1",BI421,0)</f>
        <v>0</v>
      </c>
      <c r="AD421" s="39">
        <f>IF(AQ421="7",BH421,0)</f>
        <v>0</v>
      </c>
      <c r="AE421" s="39">
        <f>IF(AQ421="7",BI421,0)</f>
        <v>0</v>
      </c>
      <c r="AF421" s="39">
        <f>IF(AQ421="2",BH421,0)</f>
        <v>0</v>
      </c>
      <c r="AG421" s="39">
        <f>IF(AQ421="2",BI421,0)</f>
        <v>0</v>
      </c>
      <c r="AH421" s="39">
        <f>IF(AQ421="0",BJ421,0)</f>
        <v>0</v>
      </c>
      <c r="AI421" s="30"/>
      <c r="AJ421" s="21">
        <f>IF(AN421=0,J421,0)</f>
        <v>0</v>
      </c>
      <c r="AK421" s="21">
        <f>IF(AN421=15,J421,0)</f>
        <v>0</v>
      </c>
      <c r="AL421" s="21">
        <f>IF(AN421=21,J421,0)</f>
        <v>0</v>
      </c>
      <c r="AN421" s="39">
        <v>21</v>
      </c>
      <c r="AO421" s="39">
        <f>G421*0.353411764705882</f>
        <v>0</v>
      </c>
      <c r="AP421" s="39">
        <f>G421*(1-0.353411764705882)</f>
        <v>0</v>
      </c>
      <c r="AQ421" s="34" t="s">
        <v>11</v>
      </c>
      <c r="AV421" s="39">
        <f>AW421+AX421</f>
        <v>0</v>
      </c>
      <c r="AW421" s="39">
        <f>F421*AO421</f>
        <v>0</v>
      </c>
      <c r="AX421" s="39">
        <f>F421*AP421</f>
        <v>0</v>
      </c>
      <c r="AY421" s="40" t="s">
        <v>2006</v>
      </c>
      <c r="AZ421" s="40" t="s">
        <v>2038</v>
      </c>
      <c r="BA421" s="30" t="s">
        <v>2045</v>
      </c>
      <c r="BC421" s="39">
        <f>AW421+AX421</f>
        <v>0</v>
      </c>
      <c r="BD421" s="39">
        <f>G421/(100-BE421)*100</f>
        <v>0</v>
      </c>
      <c r="BE421" s="39">
        <v>0</v>
      </c>
      <c r="BF421" s="39">
        <f>L421</f>
        <v>0.20991600000000002</v>
      </c>
      <c r="BH421" s="21">
        <f>F421*AO421</f>
        <v>0</v>
      </c>
      <c r="BI421" s="21">
        <f>F421*AP421</f>
        <v>0</v>
      </c>
      <c r="BJ421" s="21">
        <f>F421*G421</f>
        <v>0</v>
      </c>
    </row>
    <row r="422" spans="1:62">
      <c r="C422" s="16" t="s">
        <v>609</v>
      </c>
      <c r="D422" s="919" t="s">
        <v>1591</v>
      </c>
      <c r="E422" s="920"/>
      <c r="F422" s="920"/>
      <c r="G422" s="920"/>
      <c r="H422" s="920"/>
      <c r="I422" s="920"/>
      <c r="J422" s="920"/>
      <c r="K422" s="920"/>
      <c r="L422" s="920"/>
      <c r="M422" s="920"/>
    </row>
    <row r="423" spans="1:62">
      <c r="C423" s="17" t="s">
        <v>605</v>
      </c>
      <c r="D423" s="917" t="s">
        <v>1593</v>
      </c>
      <c r="E423" s="918"/>
      <c r="F423" s="918"/>
      <c r="G423" s="918"/>
      <c r="H423" s="918"/>
      <c r="I423" s="918"/>
      <c r="J423" s="918"/>
      <c r="K423" s="918"/>
      <c r="L423" s="918"/>
      <c r="M423" s="918"/>
    </row>
    <row r="424" spans="1:62">
      <c r="A424" s="5" t="s">
        <v>304</v>
      </c>
      <c r="B424" s="5"/>
      <c r="C424" s="5" t="s">
        <v>901</v>
      </c>
      <c r="D424" s="5" t="s">
        <v>1594</v>
      </c>
      <c r="E424" s="5" t="s">
        <v>1945</v>
      </c>
      <c r="F424" s="755">
        <v>0</v>
      </c>
      <c r="G424" s="755">
        <v>0</v>
      </c>
      <c r="H424" s="21">
        <f>F424*AO424</f>
        <v>0</v>
      </c>
      <c r="I424" s="21">
        <f>F424*AP424</f>
        <v>0</v>
      </c>
      <c r="J424" s="21">
        <f>F424*G424</f>
        <v>0</v>
      </c>
      <c r="K424" s="21">
        <v>0</v>
      </c>
      <c r="L424" s="21">
        <f>F424*K424</f>
        <v>0</v>
      </c>
      <c r="M424" s="34" t="s">
        <v>1961</v>
      </c>
      <c r="Z424" s="39">
        <f>IF(AQ424="5",BJ424,0)</f>
        <v>0</v>
      </c>
      <c r="AB424" s="39">
        <f>IF(AQ424="1",BH424,0)</f>
        <v>0</v>
      </c>
      <c r="AC424" s="39">
        <f>IF(AQ424="1",BI424,0)</f>
        <v>0</v>
      </c>
      <c r="AD424" s="39">
        <f>IF(AQ424="7",BH424,0)</f>
        <v>0</v>
      </c>
      <c r="AE424" s="39">
        <f>IF(AQ424="7",BI424,0)</f>
        <v>0</v>
      </c>
      <c r="AF424" s="39">
        <f>IF(AQ424="2",BH424,0)</f>
        <v>0</v>
      </c>
      <c r="AG424" s="39">
        <f>IF(AQ424="2",BI424,0)</f>
        <v>0</v>
      </c>
      <c r="AH424" s="39">
        <f>IF(AQ424="0",BJ424,0)</f>
        <v>0</v>
      </c>
      <c r="AI424" s="30"/>
      <c r="AJ424" s="21">
        <f>IF(AN424=0,J424,0)</f>
        <v>0</v>
      </c>
      <c r="AK424" s="21">
        <f>IF(AN424=15,J424,0)</f>
        <v>0</v>
      </c>
      <c r="AL424" s="21">
        <f>IF(AN424=21,J424,0)</f>
        <v>0</v>
      </c>
      <c r="AN424" s="39">
        <v>21</v>
      </c>
      <c r="AO424" s="39">
        <f>G424*0</f>
        <v>0</v>
      </c>
      <c r="AP424" s="39">
        <f>G424*(1-0)</f>
        <v>0</v>
      </c>
      <c r="AQ424" s="34" t="s">
        <v>9</v>
      </c>
      <c r="AV424" s="39">
        <f>AW424+AX424</f>
        <v>0</v>
      </c>
      <c r="AW424" s="39">
        <f>F424*AO424</f>
        <v>0</v>
      </c>
      <c r="AX424" s="39">
        <f>F424*AP424</f>
        <v>0</v>
      </c>
      <c r="AY424" s="40" t="s">
        <v>2006</v>
      </c>
      <c r="AZ424" s="40" t="s">
        <v>2038</v>
      </c>
      <c r="BA424" s="30" t="s">
        <v>2045</v>
      </c>
      <c r="BC424" s="39">
        <f>AW424+AX424</f>
        <v>0</v>
      </c>
      <c r="BD424" s="39">
        <f>G424/(100-BE424)*100</f>
        <v>0</v>
      </c>
      <c r="BE424" s="39">
        <v>0</v>
      </c>
      <c r="BF424" s="39">
        <f>L424</f>
        <v>0</v>
      </c>
      <c r="BH424" s="21">
        <f>F424*AO424</f>
        <v>0</v>
      </c>
      <c r="BI424" s="21">
        <f>F424*AP424</f>
        <v>0</v>
      </c>
      <c r="BJ424" s="21">
        <f>F424*G424</f>
        <v>0</v>
      </c>
    </row>
    <row r="425" spans="1:62">
      <c r="A425" s="4"/>
      <c r="B425" s="14"/>
      <c r="C425" s="14" t="s">
        <v>902</v>
      </c>
      <c r="D425" s="14" t="s">
        <v>1595</v>
      </c>
      <c r="E425" s="4" t="s">
        <v>4</v>
      </c>
      <c r="F425" s="4" t="s">
        <v>4</v>
      </c>
      <c r="G425" s="4" t="s">
        <v>4</v>
      </c>
      <c r="H425" s="42">
        <f>SUM(H426:H443)</f>
        <v>0</v>
      </c>
      <c r="I425" s="42">
        <f>SUM(I426:I443)</f>
        <v>0</v>
      </c>
      <c r="J425" s="42">
        <f>SUM(J426:J443)</f>
        <v>0</v>
      </c>
      <c r="K425" s="30"/>
      <c r="L425" s="42">
        <f>SUM(L426:L443)</f>
        <v>16.806419029399997</v>
      </c>
      <c r="M425" s="30"/>
      <c r="AI425" s="30"/>
      <c r="AS425" s="42">
        <f>SUM(AJ426:AJ443)</f>
        <v>0</v>
      </c>
      <c r="AT425" s="42">
        <f>SUM(AK426:AK443)</f>
        <v>0</v>
      </c>
      <c r="AU425" s="42">
        <f>SUM(AL426:AL443)</f>
        <v>0</v>
      </c>
    </row>
    <row r="426" spans="1:62">
      <c r="A426" s="5" t="s">
        <v>305</v>
      </c>
      <c r="B426" s="5"/>
      <c r="C426" s="5" t="s">
        <v>903</v>
      </c>
      <c r="D426" s="5" t="s">
        <v>1596</v>
      </c>
      <c r="E426" s="5" t="s">
        <v>1940</v>
      </c>
      <c r="F426" s="21">
        <v>562.24269000000004</v>
      </c>
      <c r="G426" s="755">
        <v>0</v>
      </c>
      <c r="H426" s="21">
        <f t="shared" ref="H426:H433" si="314">F426*AO426</f>
        <v>0</v>
      </c>
      <c r="I426" s="21">
        <f t="shared" ref="I426:I433" si="315">F426*AP426</f>
        <v>0</v>
      </c>
      <c r="J426" s="21">
        <f t="shared" ref="J426:J433" si="316">F426*G426</f>
        <v>0</v>
      </c>
      <c r="K426" s="21">
        <v>0</v>
      </c>
      <c r="L426" s="21">
        <f t="shared" ref="L426:L433" si="317">F426*K426</f>
        <v>0</v>
      </c>
      <c r="M426" s="34" t="s">
        <v>1961</v>
      </c>
      <c r="Z426" s="39">
        <f t="shared" ref="Z426:Z433" si="318">IF(AQ426="5",BJ426,0)</f>
        <v>0</v>
      </c>
      <c r="AB426" s="39">
        <f t="shared" ref="AB426:AB433" si="319">IF(AQ426="1",BH426,0)</f>
        <v>0</v>
      </c>
      <c r="AC426" s="39">
        <f t="shared" ref="AC426:AC433" si="320">IF(AQ426="1",BI426,0)</f>
        <v>0</v>
      </c>
      <c r="AD426" s="39">
        <f t="shared" ref="AD426:AD433" si="321">IF(AQ426="7",BH426,0)</f>
        <v>0</v>
      </c>
      <c r="AE426" s="39">
        <f t="shared" ref="AE426:AE433" si="322">IF(AQ426="7",BI426,0)</f>
        <v>0</v>
      </c>
      <c r="AF426" s="39">
        <f t="shared" ref="AF426:AF433" si="323">IF(AQ426="2",BH426,0)</f>
        <v>0</v>
      </c>
      <c r="AG426" s="39">
        <f t="shared" ref="AG426:AG433" si="324">IF(AQ426="2",BI426,0)</f>
        <v>0</v>
      </c>
      <c r="AH426" s="39">
        <f t="shared" ref="AH426:AH433" si="325">IF(AQ426="0",BJ426,0)</f>
        <v>0</v>
      </c>
      <c r="AI426" s="30"/>
      <c r="AJ426" s="21">
        <f t="shared" ref="AJ426:AJ433" si="326">IF(AN426=0,J426,0)</f>
        <v>0</v>
      </c>
      <c r="AK426" s="21">
        <f t="shared" ref="AK426:AK433" si="327">IF(AN426=15,J426,0)</f>
        <v>0</v>
      </c>
      <c r="AL426" s="21">
        <f t="shared" ref="AL426:AL433" si="328">IF(AN426=21,J426,0)</f>
        <v>0</v>
      </c>
      <c r="AN426" s="39">
        <v>21</v>
      </c>
      <c r="AO426" s="39">
        <f>G426*0</f>
        <v>0</v>
      </c>
      <c r="AP426" s="39">
        <f>G426*(1-0)</f>
        <v>0</v>
      </c>
      <c r="AQ426" s="34" t="s">
        <v>11</v>
      </c>
      <c r="AV426" s="39">
        <f t="shared" ref="AV426:AV433" si="329">AW426+AX426</f>
        <v>0</v>
      </c>
      <c r="AW426" s="39">
        <f t="shared" ref="AW426:AW433" si="330">F426*AO426</f>
        <v>0</v>
      </c>
      <c r="AX426" s="39">
        <f t="shared" ref="AX426:AX433" si="331">F426*AP426</f>
        <v>0</v>
      </c>
      <c r="AY426" s="40" t="s">
        <v>2007</v>
      </c>
      <c r="AZ426" s="40" t="s">
        <v>2038</v>
      </c>
      <c r="BA426" s="30" t="s">
        <v>2045</v>
      </c>
      <c r="BC426" s="39">
        <f t="shared" ref="BC426:BC433" si="332">AW426+AX426</f>
        <v>0</v>
      </c>
      <c r="BD426" s="39">
        <f t="shared" ref="BD426:BD433" si="333">G426/(100-BE426)*100</f>
        <v>0</v>
      </c>
      <c r="BE426" s="39">
        <v>0</v>
      </c>
      <c r="BF426" s="39">
        <f t="shared" ref="BF426:BF433" si="334">L426</f>
        <v>0</v>
      </c>
      <c r="BH426" s="21">
        <f t="shared" ref="BH426:BH433" si="335">F426*AO426</f>
        <v>0</v>
      </c>
      <c r="BI426" s="21">
        <f t="shared" ref="BI426:BI433" si="336">F426*AP426</f>
        <v>0</v>
      </c>
      <c r="BJ426" s="21">
        <f t="shared" ref="BJ426:BJ433" si="337">F426*G426</f>
        <v>0</v>
      </c>
    </row>
    <row r="427" spans="1:62">
      <c r="A427" s="6" t="s">
        <v>306</v>
      </c>
      <c r="B427" s="6"/>
      <c r="C427" s="6" t="s">
        <v>904</v>
      </c>
      <c r="D427" s="6" t="s">
        <v>1597</v>
      </c>
      <c r="E427" s="6" t="s">
        <v>1941</v>
      </c>
      <c r="F427" s="22">
        <v>110.09690000000001</v>
      </c>
      <c r="G427" s="757">
        <v>0</v>
      </c>
      <c r="H427" s="22">
        <f t="shared" si="314"/>
        <v>0</v>
      </c>
      <c r="I427" s="22">
        <f t="shared" si="315"/>
        <v>0</v>
      </c>
      <c r="J427" s="22">
        <f t="shared" si="316"/>
        <v>0</v>
      </c>
      <c r="K427" s="22">
        <v>2.5000000000000001E-2</v>
      </c>
      <c r="L427" s="22">
        <f t="shared" si="317"/>
        <v>2.7524225000000002</v>
      </c>
      <c r="M427" s="35" t="s">
        <v>1961</v>
      </c>
      <c r="Z427" s="39">
        <f t="shared" si="318"/>
        <v>0</v>
      </c>
      <c r="AB427" s="39">
        <f t="shared" si="319"/>
        <v>0</v>
      </c>
      <c r="AC427" s="39">
        <f t="shared" si="320"/>
        <v>0</v>
      </c>
      <c r="AD427" s="39">
        <f t="shared" si="321"/>
        <v>0</v>
      </c>
      <c r="AE427" s="39">
        <f t="shared" si="322"/>
        <v>0</v>
      </c>
      <c r="AF427" s="39">
        <f t="shared" si="323"/>
        <v>0</v>
      </c>
      <c r="AG427" s="39">
        <f t="shared" si="324"/>
        <v>0</v>
      </c>
      <c r="AH427" s="39">
        <f t="shared" si="325"/>
        <v>0</v>
      </c>
      <c r="AI427" s="30"/>
      <c r="AJ427" s="22">
        <f t="shared" si="326"/>
        <v>0</v>
      </c>
      <c r="AK427" s="22">
        <f t="shared" si="327"/>
        <v>0</v>
      </c>
      <c r="AL427" s="22">
        <f t="shared" si="328"/>
        <v>0</v>
      </c>
      <c r="AN427" s="39">
        <v>21</v>
      </c>
      <c r="AO427" s="39">
        <f>G427*1</f>
        <v>0</v>
      </c>
      <c r="AP427" s="39">
        <f>G427*(1-1)</f>
        <v>0</v>
      </c>
      <c r="AQ427" s="35" t="s">
        <v>11</v>
      </c>
      <c r="AV427" s="39">
        <f t="shared" si="329"/>
        <v>0</v>
      </c>
      <c r="AW427" s="39">
        <f t="shared" si="330"/>
        <v>0</v>
      </c>
      <c r="AX427" s="39">
        <f t="shared" si="331"/>
        <v>0</v>
      </c>
      <c r="AY427" s="40" t="s">
        <v>2007</v>
      </c>
      <c r="AZ427" s="40" t="s">
        <v>2038</v>
      </c>
      <c r="BA427" s="30" t="s">
        <v>2045</v>
      </c>
      <c r="BC427" s="39">
        <f t="shared" si="332"/>
        <v>0</v>
      </c>
      <c r="BD427" s="39">
        <f t="shared" si="333"/>
        <v>0</v>
      </c>
      <c r="BE427" s="39">
        <v>0</v>
      </c>
      <c r="BF427" s="39">
        <f t="shared" si="334"/>
        <v>2.7524225000000002</v>
      </c>
      <c r="BH427" s="22">
        <f t="shared" si="335"/>
        <v>0</v>
      </c>
      <c r="BI427" s="22">
        <f t="shared" si="336"/>
        <v>0</v>
      </c>
      <c r="BJ427" s="22">
        <f t="shared" si="337"/>
        <v>0</v>
      </c>
    </row>
    <row r="428" spans="1:62">
      <c r="A428" s="5" t="s">
        <v>307</v>
      </c>
      <c r="B428" s="5"/>
      <c r="C428" s="5" t="s">
        <v>905</v>
      </c>
      <c r="D428" s="5" t="s">
        <v>1598</v>
      </c>
      <c r="E428" s="5" t="s">
        <v>1940</v>
      </c>
      <c r="F428" s="21">
        <v>588.37874999999997</v>
      </c>
      <c r="G428" s="755">
        <v>0</v>
      </c>
      <c r="H428" s="21">
        <f t="shared" si="314"/>
        <v>0</v>
      </c>
      <c r="I428" s="21">
        <f t="shared" si="315"/>
        <v>0</v>
      </c>
      <c r="J428" s="21">
        <f t="shared" si="316"/>
        <v>0</v>
      </c>
      <c r="K428" s="21">
        <v>0</v>
      </c>
      <c r="L428" s="21">
        <f t="shared" si="317"/>
        <v>0</v>
      </c>
      <c r="M428" s="34" t="s">
        <v>1961</v>
      </c>
      <c r="Z428" s="39">
        <f t="shared" si="318"/>
        <v>0</v>
      </c>
      <c r="AB428" s="39">
        <f t="shared" si="319"/>
        <v>0</v>
      </c>
      <c r="AC428" s="39">
        <f t="shared" si="320"/>
        <v>0</v>
      </c>
      <c r="AD428" s="39">
        <f t="shared" si="321"/>
        <v>0</v>
      </c>
      <c r="AE428" s="39">
        <f t="shared" si="322"/>
        <v>0</v>
      </c>
      <c r="AF428" s="39">
        <f t="shared" si="323"/>
        <v>0</v>
      </c>
      <c r="AG428" s="39">
        <f t="shared" si="324"/>
        <v>0</v>
      </c>
      <c r="AH428" s="39">
        <f t="shared" si="325"/>
        <v>0</v>
      </c>
      <c r="AI428" s="30"/>
      <c r="AJ428" s="21">
        <f t="shared" si="326"/>
        <v>0</v>
      </c>
      <c r="AK428" s="21">
        <f t="shared" si="327"/>
        <v>0</v>
      </c>
      <c r="AL428" s="21">
        <f t="shared" si="328"/>
        <v>0</v>
      </c>
      <c r="AN428" s="39">
        <v>21</v>
      </c>
      <c r="AO428" s="39">
        <f>G428*0</f>
        <v>0</v>
      </c>
      <c r="AP428" s="39">
        <f>G428*(1-0)</f>
        <v>0</v>
      </c>
      <c r="AQ428" s="34" t="s">
        <v>11</v>
      </c>
      <c r="AV428" s="39">
        <f t="shared" si="329"/>
        <v>0</v>
      </c>
      <c r="AW428" s="39">
        <f t="shared" si="330"/>
        <v>0</v>
      </c>
      <c r="AX428" s="39">
        <f t="shared" si="331"/>
        <v>0</v>
      </c>
      <c r="AY428" s="40" t="s">
        <v>2007</v>
      </c>
      <c r="AZ428" s="40" t="s">
        <v>2038</v>
      </c>
      <c r="BA428" s="30" t="s">
        <v>2045</v>
      </c>
      <c r="BC428" s="39">
        <f t="shared" si="332"/>
        <v>0</v>
      </c>
      <c r="BD428" s="39">
        <f t="shared" si="333"/>
        <v>0</v>
      </c>
      <c r="BE428" s="39">
        <v>0</v>
      </c>
      <c r="BF428" s="39">
        <f t="shared" si="334"/>
        <v>0</v>
      </c>
      <c r="BH428" s="21">
        <f t="shared" si="335"/>
        <v>0</v>
      </c>
      <c r="BI428" s="21">
        <f t="shared" si="336"/>
        <v>0</v>
      </c>
      <c r="BJ428" s="21">
        <f t="shared" si="337"/>
        <v>0</v>
      </c>
    </row>
    <row r="429" spans="1:62">
      <c r="A429" s="6" t="s">
        <v>308</v>
      </c>
      <c r="B429" s="6"/>
      <c r="C429" s="6" t="s">
        <v>904</v>
      </c>
      <c r="D429" s="6" t="s">
        <v>1597</v>
      </c>
      <c r="E429" s="6" t="s">
        <v>1941</v>
      </c>
      <c r="F429" s="22">
        <v>6.4689800000000002</v>
      </c>
      <c r="G429" s="757">
        <v>0</v>
      </c>
      <c r="H429" s="22">
        <f t="shared" si="314"/>
        <v>0</v>
      </c>
      <c r="I429" s="22">
        <f t="shared" si="315"/>
        <v>0</v>
      </c>
      <c r="J429" s="22">
        <f t="shared" si="316"/>
        <v>0</v>
      </c>
      <c r="K429" s="22">
        <v>2.5000000000000001E-2</v>
      </c>
      <c r="L429" s="22">
        <f t="shared" si="317"/>
        <v>0.16172450000000002</v>
      </c>
      <c r="M429" s="35" t="s">
        <v>1961</v>
      </c>
      <c r="Z429" s="39">
        <f t="shared" si="318"/>
        <v>0</v>
      </c>
      <c r="AB429" s="39">
        <f t="shared" si="319"/>
        <v>0</v>
      </c>
      <c r="AC429" s="39">
        <f t="shared" si="320"/>
        <v>0</v>
      </c>
      <c r="AD429" s="39">
        <f t="shared" si="321"/>
        <v>0</v>
      </c>
      <c r="AE429" s="39">
        <f t="shared" si="322"/>
        <v>0</v>
      </c>
      <c r="AF429" s="39">
        <f t="shared" si="323"/>
        <v>0</v>
      </c>
      <c r="AG429" s="39">
        <f t="shared" si="324"/>
        <v>0</v>
      </c>
      <c r="AH429" s="39">
        <f t="shared" si="325"/>
        <v>0</v>
      </c>
      <c r="AI429" s="30"/>
      <c r="AJ429" s="22">
        <f t="shared" si="326"/>
        <v>0</v>
      </c>
      <c r="AK429" s="22">
        <f t="shared" si="327"/>
        <v>0</v>
      </c>
      <c r="AL429" s="22">
        <f t="shared" si="328"/>
        <v>0</v>
      </c>
      <c r="AN429" s="39">
        <v>21</v>
      </c>
      <c r="AO429" s="39">
        <f>G429*1</f>
        <v>0</v>
      </c>
      <c r="AP429" s="39">
        <f>G429*(1-1)</f>
        <v>0</v>
      </c>
      <c r="AQ429" s="35" t="s">
        <v>11</v>
      </c>
      <c r="AV429" s="39">
        <f t="shared" si="329"/>
        <v>0</v>
      </c>
      <c r="AW429" s="39">
        <f t="shared" si="330"/>
        <v>0</v>
      </c>
      <c r="AX429" s="39">
        <f t="shared" si="331"/>
        <v>0</v>
      </c>
      <c r="AY429" s="40" t="s">
        <v>2007</v>
      </c>
      <c r="AZ429" s="40" t="s">
        <v>2038</v>
      </c>
      <c r="BA429" s="30" t="s">
        <v>2045</v>
      </c>
      <c r="BC429" s="39">
        <f t="shared" si="332"/>
        <v>0</v>
      </c>
      <c r="BD429" s="39">
        <f t="shared" si="333"/>
        <v>0</v>
      </c>
      <c r="BE429" s="39">
        <v>0</v>
      </c>
      <c r="BF429" s="39">
        <f t="shared" si="334"/>
        <v>0.16172450000000002</v>
      </c>
      <c r="BH429" s="22">
        <f t="shared" si="335"/>
        <v>0</v>
      </c>
      <c r="BI429" s="22">
        <f t="shared" si="336"/>
        <v>0</v>
      </c>
      <c r="BJ429" s="22">
        <f t="shared" si="337"/>
        <v>0</v>
      </c>
    </row>
    <row r="430" spans="1:62">
      <c r="A430" s="6" t="s">
        <v>309</v>
      </c>
      <c r="B430" s="6"/>
      <c r="C430" s="6" t="s">
        <v>906</v>
      </c>
      <c r="D430" s="6" t="s">
        <v>5831</v>
      </c>
      <c r="E430" s="6" t="s">
        <v>1940</v>
      </c>
      <c r="F430" s="22">
        <v>116.1474</v>
      </c>
      <c r="G430" s="757">
        <v>0</v>
      </c>
      <c r="H430" s="22">
        <f t="shared" si="314"/>
        <v>0</v>
      </c>
      <c r="I430" s="22">
        <f t="shared" si="315"/>
        <v>0</v>
      </c>
      <c r="J430" s="22">
        <f t="shared" si="316"/>
        <v>0</v>
      </c>
      <c r="K430" s="22">
        <v>3.0000000000000001E-3</v>
      </c>
      <c r="L430" s="22">
        <f t="shared" si="317"/>
        <v>0.34844220000000004</v>
      </c>
      <c r="M430" s="35" t="s">
        <v>1961</v>
      </c>
      <c r="Z430" s="39">
        <f t="shared" si="318"/>
        <v>0</v>
      </c>
      <c r="AB430" s="39">
        <f t="shared" si="319"/>
        <v>0</v>
      </c>
      <c r="AC430" s="39">
        <f t="shared" si="320"/>
        <v>0</v>
      </c>
      <c r="AD430" s="39">
        <f t="shared" si="321"/>
        <v>0</v>
      </c>
      <c r="AE430" s="39">
        <f t="shared" si="322"/>
        <v>0</v>
      </c>
      <c r="AF430" s="39">
        <f t="shared" si="323"/>
        <v>0</v>
      </c>
      <c r="AG430" s="39">
        <f t="shared" si="324"/>
        <v>0</v>
      </c>
      <c r="AH430" s="39">
        <f t="shared" si="325"/>
        <v>0</v>
      </c>
      <c r="AI430" s="30"/>
      <c r="AJ430" s="22">
        <f t="shared" si="326"/>
        <v>0</v>
      </c>
      <c r="AK430" s="22">
        <f t="shared" si="327"/>
        <v>0</v>
      </c>
      <c r="AL430" s="22">
        <f t="shared" si="328"/>
        <v>0</v>
      </c>
      <c r="AN430" s="39">
        <v>21</v>
      </c>
      <c r="AO430" s="39">
        <f>G430*1</f>
        <v>0</v>
      </c>
      <c r="AP430" s="39">
        <f>G430*(1-1)</f>
        <v>0</v>
      </c>
      <c r="AQ430" s="35" t="s">
        <v>11</v>
      </c>
      <c r="AV430" s="39">
        <f t="shared" si="329"/>
        <v>0</v>
      </c>
      <c r="AW430" s="39">
        <f t="shared" si="330"/>
        <v>0</v>
      </c>
      <c r="AX430" s="39">
        <f t="shared" si="331"/>
        <v>0</v>
      </c>
      <c r="AY430" s="40" t="s">
        <v>2007</v>
      </c>
      <c r="AZ430" s="40" t="s">
        <v>2038</v>
      </c>
      <c r="BA430" s="30" t="s">
        <v>2045</v>
      </c>
      <c r="BC430" s="39">
        <f t="shared" si="332"/>
        <v>0</v>
      </c>
      <c r="BD430" s="39">
        <f t="shared" si="333"/>
        <v>0</v>
      </c>
      <c r="BE430" s="39">
        <v>0</v>
      </c>
      <c r="BF430" s="39">
        <f t="shared" si="334"/>
        <v>0.34844220000000004</v>
      </c>
      <c r="BH430" s="22">
        <f t="shared" si="335"/>
        <v>0</v>
      </c>
      <c r="BI430" s="22">
        <f t="shared" si="336"/>
        <v>0</v>
      </c>
      <c r="BJ430" s="22">
        <f t="shared" si="337"/>
        <v>0</v>
      </c>
    </row>
    <row r="431" spans="1:62">
      <c r="A431" s="6" t="s">
        <v>310</v>
      </c>
      <c r="B431" s="6"/>
      <c r="C431" s="6" t="s">
        <v>907</v>
      </c>
      <c r="D431" s="6" t="s">
        <v>5832</v>
      </c>
      <c r="E431" s="6" t="s">
        <v>1940</v>
      </c>
      <c r="F431" s="22">
        <v>15.7182</v>
      </c>
      <c r="G431" s="757">
        <v>0</v>
      </c>
      <c r="H431" s="22">
        <f t="shared" si="314"/>
        <v>0</v>
      </c>
      <c r="I431" s="22">
        <f t="shared" si="315"/>
        <v>0</v>
      </c>
      <c r="J431" s="22">
        <f t="shared" si="316"/>
        <v>0</v>
      </c>
      <c r="K431" s="22">
        <v>4.4999999999999997E-3</v>
      </c>
      <c r="L431" s="22">
        <f t="shared" si="317"/>
        <v>7.0731899999999986E-2</v>
      </c>
      <c r="M431" s="35" t="s">
        <v>1961</v>
      </c>
      <c r="Z431" s="39">
        <f t="shared" si="318"/>
        <v>0</v>
      </c>
      <c r="AB431" s="39">
        <f t="shared" si="319"/>
        <v>0</v>
      </c>
      <c r="AC431" s="39">
        <f t="shared" si="320"/>
        <v>0</v>
      </c>
      <c r="AD431" s="39">
        <f t="shared" si="321"/>
        <v>0</v>
      </c>
      <c r="AE431" s="39">
        <f t="shared" si="322"/>
        <v>0</v>
      </c>
      <c r="AF431" s="39">
        <f t="shared" si="323"/>
        <v>0</v>
      </c>
      <c r="AG431" s="39">
        <f t="shared" si="324"/>
        <v>0</v>
      </c>
      <c r="AH431" s="39">
        <f t="shared" si="325"/>
        <v>0</v>
      </c>
      <c r="AI431" s="30"/>
      <c r="AJ431" s="22">
        <f t="shared" si="326"/>
        <v>0</v>
      </c>
      <c r="AK431" s="22">
        <f t="shared" si="327"/>
        <v>0</v>
      </c>
      <c r="AL431" s="22">
        <f t="shared" si="328"/>
        <v>0</v>
      </c>
      <c r="AN431" s="39">
        <v>21</v>
      </c>
      <c r="AO431" s="39">
        <f>G431*1</f>
        <v>0</v>
      </c>
      <c r="AP431" s="39">
        <f>G431*(1-1)</f>
        <v>0</v>
      </c>
      <c r="AQ431" s="35" t="s">
        <v>11</v>
      </c>
      <c r="AV431" s="39">
        <f t="shared" si="329"/>
        <v>0</v>
      </c>
      <c r="AW431" s="39">
        <f t="shared" si="330"/>
        <v>0</v>
      </c>
      <c r="AX431" s="39">
        <f t="shared" si="331"/>
        <v>0</v>
      </c>
      <c r="AY431" s="40" t="s">
        <v>2007</v>
      </c>
      <c r="AZ431" s="40" t="s">
        <v>2038</v>
      </c>
      <c r="BA431" s="30" t="s">
        <v>2045</v>
      </c>
      <c r="BC431" s="39">
        <f t="shared" si="332"/>
        <v>0</v>
      </c>
      <c r="BD431" s="39">
        <f t="shared" si="333"/>
        <v>0</v>
      </c>
      <c r="BE431" s="39">
        <v>0</v>
      </c>
      <c r="BF431" s="39">
        <f t="shared" si="334"/>
        <v>7.0731899999999986E-2</v>
      </c>
      <c r="BH431" s="22">
        <f t="shared" si="335"/>
        <v>0</v>
      </c>
      <c r="BI431" s="22">
        <f t="shared" si="336"/>
        <v>0</v>
      </c>
      <c r="BJ431" s="22">
        <f t="shared" si="337"/>
        <v>0</v>
      </c>
    </row>
    <row r="432" spans="1:62">
      <c r="A432" s="6" t="s">
        <v>311</v>
      </c>
      <c r="B432" s="6"/>
      <c r="C432" s="6" t="s">
        <v>908</v>
      </c>
      <c r="D432" s="6" t="s">
        <v>5833</v>
      </c>
      <c r="E432" s="6" t="s">
        <v>1940</v>
      </c>
      <c r="F432" s="22">
        <v>326.90030999999999</v>
      </c>
      <c r="G432" s="757">
        <v>0</v>
      </c>
      <c r="H432" s="22">
        <f t="shared" si="314"/>
        <v>0</v>
      </c>
      <c r="I432" s="22">
        <f t="shared" si="315"/>
        <v>0</v>
      </c>
      <c r="J432" s="22">
        <f t="shared" si="316"/>
        <v>0</v>
      </c>
      <c r="K432" s="22">
        <v>6.0000000000000001E-3</v>
      </c>
      <c r="L432" s="22">
        <f t="shared" si="317"/>
        <v>1.9614018600000001</v>
      </c>
      <c r="M432" s="35" t="s">
        <v>1961</v>
      </c>
      <c r="Z432" s="39">
        <f t="shared" si="318"/>
        <v>0</v>
      </c>
      <c r="AB432" s="39">
        <f t="shared" si="319"/>
        <v>0</v>
      </c>
      <c r="AC432" s="39">
        <f t="shared" si="320"/>
        <v>0</v>
      </c>
      <c r="AD432" s="39">
        <f t="shared" si="321"/>
        <v>0</v>
      </c>
      <c r="AE432" s="39">
        <f t="shared" si="322"/>
        <v>0</v>
      </c>
      <c r="AF432" s="39">
        <f t="shared" si="323"/>
        <v>0</v>
      </c>
      <c r="AG432" s="39">
        <f t="shared" si="324"/>
        <v>0</v>
      </c>
      <c r="AH432" s="39">
        <f t="shared" si="325"/>
        <v>0</v>
      </c>
      <c r="AI432" s="30"/>
      <c r="AJ432" s="22">
        <f t="shared" si="326"/>
        <v>0</v>
      </c>
      <c r="AK432" s="22">
        <f t="shared" si="327"/>
        <v>0</v>
      </c>
      <c r="AL432" s="22">
        <f t="shared" si="328"/>
        <v>0</v>
      </c>
      <c r="AN432" s="39">
        <v>21</v>
      </c>
      <c r="AO432" s="39">
        <f>G432*1</f>
        <v>0</v>
      </c>
      <c r="AP432" s="39">
        <f>G432*(1-1)</f>
        <v>0</v>
      </c>
      <c r="AQ432" s="35" t="s">
        <v>11</v>
      </c>
      <c r="AV432" s="39">
        <f t="shared" si="329"/>
        <v>0</v>
      </c>
      <c r="AW432" s="39">
        <f t="shared" si="330"/>
        <v>0</v>
      </c>
      <c r="AX432" s="39">
        <f t="shared" si="331"/>
        <v>0</v>
      </c>
      <c r="AY432" s="40" t="s">
        <v>2007</v>
      </c>
      <c r="AZ432" s="40" t="s">
        <v>2038</v>
      </c>
      <c r="BA432" s="30" t="s">
        <v>2045</v>
      </c>
      <c r="BC432" s="39">
        <f t="shared" si="332"/>
        <v>0</v>
      </c>
      <c r="BD432" s="39">
        <f t="shared" si="333"/>
        <v>0</v>
      </c>
      <c r="BE432" s="39">
        <v>0</v>
      </c>
      <c r="BF432" s="39">
        <f t="shared" si="334"/>
        <v>1.9614018600000001</v>
      </c>
      <c r="BH432" s="22">
        <f t="shared" si="335"/>
        <v>0</v>
      </c>
      <c r="BI432" s="22">
        <f t="shared" si="336"/>
        <v>0</v>
      </c>
      <c r="BJ432" s="22">
        <f t="shared" si="337"/>
        <v>0</v>
      </c>
    </row>
    <row r="433" spans="1:62">
      <c r="A433" s="5" t="s">
        <v>312</v>
      </c>
      <c r="B433" s="5"/>
      <c r="C433" s="5" t="s">
        <v>909</v>
      </c>
      <c r="D433" s="5" t="s">
        <v>1599</v>
      </c>
      <c r="E433" s="5" t="s">
        <v>1940</v>
      </c>
      <c r="F433" s="21">
        <v>541.35144000000003</v>
      </c>
      <c r="G433" s="755">
        <v>0</v>
      </c>
      <c r="H433" s="21">
        <f t="shared" si="314"/>
        <v>0</v>
      </c>
      <c r="I433" s="21">
        <f t="shared" si="315"/>
        <v>0</v>
      </c>
      <c r="J433" s="21">
        <f t="shared" si="316"/>
        <v>0</v>
      </c>
      <c r="K433" s="21">
        <v>1.0000000000000001E-5</v>
      </c>
      <c r="L433" s="21">
        <f t="shared" si="317"/>
        <v>5.4135144000000005E-3</v>
      </c>
      <c r="M433" s="34" t="s">
        <v>1961</v>
      </c>
      <c r="Z433" s="39">
        <f t="shared" si="318"/>
        <v>0</v>
      </c>
      <c r="AB433" s="39">
        <f t="shared" si="319"/>
        <v>0</v>
      </c>
      <c r="AC433" s="39">
        <f t="shared" si="320"/>
        <v>0</v>
      </c>
      <c r="AD433" s="39">
        <f t="shared" si="321"/>
        <v>0</v>
      </c>
      <c r="AE433" s="39">
        <f t="shared" si="322"/>
        <v>0</v>
      </c>
      <c r="AF433" s="39">
        <f t="shared" si="323"/>
        <v>0</v>
      </c>
      <c r="AG433" s="39">
        <f t="shared" si="324"/>
        <v>0</v>
      </c>
      <c r="AH433" s="39">
        <f t="shared" si="325"/>
        <v>0</v>
      </c>
      <c r="AI433" s="30"/>
      <c r="AJ433" s="21">
        <f t="shared" si="326"/>
        <v>0</v>
      </c>
      <c r="AK433" s="21">
        <f t="shared" si="327"/>
        <v>0</v>
      </c>
      <c r="AL433" s="21">
        <f t="shared" si="328"/>
        <v>0</v>
      </c>
      <c r="AN433" s="39">
        <v>21</v>
      </c>
      <c r="AO433" s="39">
        <f>G433*0.155853651795574</f>
        <v>0</v>
      </c>
      <c r="AP433" s="39">
        <f>G433*(1-0.155853651795574)</f>
        <v>0</v>
      </c>
      <c r="AQ433" s="34" t="s">
        <v>11</v>
      </c>
      <c r="AV433" s="39">
        <f t="shared" si="329"/>
        <v>0</v>
      </c>
      <c r="AW433" s="39">
        <f t="shared" si="330"/>
        <v>0</v>
      </c>
      <c r="AX433" s="39">
        <f t="shared" si="331"/>
        <v>0</v>
      </c>
      <c r="AY433" s="40" t="s">
        <v>2007</v>
      </c>
      <c r="AZ433" s="40" t="s">
        <v>2038</v>
      </c>
      <c r="BA433" s="30" t="s">
        <v>2045</v>
      </c>
      <c r="BC433" s="39">
        <f t="shared" si="332"/>
        <v>0</v>
      </c>
      <c r="BD433" s="39">
        <f t="shared" si="333"/>
        <v>0</v>
      </c>
      <c r="BE433" s="39">
        <v>0</v>
      </c>
      <c r="BF433" s="39">
        <f t="shared" si="334"/>
        <v>5.4135144000000005E-3</v>
      </c>
      <c r="BH433" s="21">
        <f t="shared" si="335"/>
        <v>0</v>
      </c>
      <c r="BI433" s="21">
        <f t="shared" si="336"/>
        <v>0</v>
      </c>
      <c r="BJ433" s="21">
        <f t="shared" si="337"/>
        <v>0</v>
      </c>
    </row>
    <row r="434" spans="1:62">
      <c r="C434" s="16" t="s">
        <v>609</v>
      </c>
      <c r="D434" s="919" t="s">
        <v>1600</v>
      </c>
      <c r="E434" s="920"/>
      <c r="F434" s="920"/>
      <c r="G434" s="920"/>
      <c r="H434" s="920"/>
      <c r="I434" s="920"/>
      <c r="J434" s="920"/>
      <c r="K434" s="920"/>
      <c r="L434" s="920"/>
      <c r="M434" s="920"/>
    </row>
    <row r="435" spans="1:62">
      <c r="A435" s="5" t="s">
        <v>313</v>
      </c>
      <c r="B435" s="5"/>
      <c r="C435" s="5" t="s">
        <v>910</v>
      </c>
      <c r="D435" s="5" t="s">
        <v>1601</v>
      </c>
      <c r="E435" s="5" t="s">
        <v>1940</v>
      </c>
      <c r="F435" s="21">
        <v>246.3605</v>
      </c>
      <c r="G435" s="755">
        <v>0</v>
      </c>
      <c r="H435" s="21">
        <f t="shared" ref="H435:H443" si="338">F435*AO435</f>
        <v>0</v>
      </c>
      <c r="I435" s="21">
        <f t="shared" ref="I435:I443" si="339">F435*AP435</f>
        <v>0</v>
      </c>
      <c r="J435" s="21">
        <f t="shared" ref="J435:J443" si="340">F435*G435</f>
        <v>0</v>
      </c>
      <c r="K435" s="21">
        <v>0</v>
      </c>
      <c r="L435" s="21">
        <f t="shared" ref="L435:L443" si="341">F435*K435</f>
        <v>0</v>
      </c>
      <c r="M435" s="34" t="s">
        <v>1961</v>
      </c>
      <c r="Z435" s="39">
        <f t="shared" ref="Z435:Z443" si="342">IF(AQ435="5",BJ435,0)</f>
        <v>0</v>
      </c>
      <c r="AB435" s="39">
        <f t="shared" ref="AB435:AB443" si="343">IF(AQ435="1",BH435,0)</f>
        <v>0</v>
      </c>
      <c r="AC435" s="39">
        <f t="shared" ref="AC435:AC443" si="344">IF(AQ435="1",BI435,0)</f>
        <v>0</v>
      </c>
      <c r="AD435" s="39">
        <f t="shared" ref="AD435:AD443" si="345">IF(AQ435="7",BH435,0)</f>
        <v>0</v>
      </c>
      <c r="AE435" s="39">
        <f t="shared" ref="AE435:AE443" si="346">IF(AQ435="7",BI435,0)</f>
        <v>0</v>
      </c>
      <c r="AF435" s="39">
        <f t="shared" ref="AF435:AF443" si="347">IF(AQ435="2",BH435,0)</f>
        <v>0</v>
      </c>
      <c r="AG435" s="39">
        <f t="shared" ref="AG435:AG443" si="348">IF(AQ435="2",BI435,0)</f>
        <v>0</v>
      </c>
      <c r="AH435" s="39">
        <f t="shared" ref="AH435:AH443" si="349">IF(AQ435="0",BJ435,0)</f>
        <v>0</v>
      </c>
      <c r="AI435" s="30"/>
      <c r="AJ435" s="21">
        <f t="shared" ref="AJ435:AJ443" si="350">IF(AN435=0,J435,0)</f>
        <v>0</v>
      </c>
      <c r="AK435" s="21">
        <f t="shared" ref="AK435:AK443" si="351">IF(AN435=15,J435,0)</f>
        <v>0</v>
      </c>
      <c r="AL435" s="21">
        <f t="shared" ref="AL435:AL443" si="352">IF(AN435=21,J435,0)</f>
        <v>0</v>
      </c>
      <c r="AN435" s="39">
        <v>21</v>
      </c>
      <c r="AO435" s="39">
        <f>G435*0</f>
        <v>0</v>
      </c>
      <c r="AP435" s="39">
        <f>G435*(1-0)</f>
        <v>0</v>
      </c>
      <c r="AQ435" s="34" t="s">
        <v>11</v>
      </c>
      <c r="AV435" s="39">
        <f t="shared" ref="AV435:AV443" si="353">AW435+AX435</f>
        <v>0</v>
      </c>
      <c r="AW435" s="39">
        <f t="shared" ref="AW435:AW443" si="354">F435*AO435</f>
        <v>0</v>
      </c>
      <c r="AX435" s="39">
        <f t="shared" ref="AX435:AX443" si="355">F435*AP435</f>
        <v>0</v>
      </c>
      <c r="AY435" s="40" t="s">
        <v>2007</v>
      </c>
      <c r="AZ435" s="40" t="s">
        <v>2038</v>
      </c>
      <c r="BA435" s="30" t="s">
        <v>2045</v>
      </c>
      <c r="BC435" s="39">
        <f t="shared" ref="BC435:BC443" si="356">AW435+AX435</f>
        <v>0</v>
      </c>
      <c r="BD435" s="39">
        <f t="shared" ref="BD435:BD443" si="357">G435/(100-BE435)*100</f>
        <v>0</v>
      </c>
      <c r="BE435" s="39">
        <v>0</v>
      </c>
      <c r="BF435" s="39">
        <f t="shared" ref="BF435:BF443" si="358">L435</f>
        <v>0</v>
      </c>
      <c r="BH435" s="21">
        <f t="shared" ref="BH435:BH443" si="359">F435*AO435</f>
        <v>0</v>
      </c>
      <c r="BI435" s="21">
        <f t="shared" ref="BI435:BI443" si="360">F435*AP435</f>
        <v>0</v>
      </c>
      <c r="BJ435" s="21">
        <f t="shared" ref="BJ435:BJ443" si="361">F435*G435</f>
        <v>0</v>
      </c>
    </row>
    <row r="436" spans="1:62">
      <c r="A436" s="6" t="s">
        <v>314</v>
      </c>
      <c r="B436" s="6"/>
      <c r="C436" s="6" t="s">
        <v>911</v>
      </c>
      <c r="D436" s="6" t="s">
        <v>1602</v>
      </c>
      <c r="E436" s="6" t="s">
        <v>1940</v>
      </c>
      <c r="F436" s="22">
        <v>251.28771</v>
      </c>
      <c r="G436" s="757">
        <v>0</v>
      </c>
      <c r="H436" s="22">
        <f t="shared" si="338"/>
        <v>0</v>
      </c>
      <c r="I436" s="22">
        <f t="shared" si="339"/>
        <v>0</v>
      </c>
      <c r="J436" s="22">
        <f t="shared" si="340"/>
        <v>0</v>
      </c>
      <c r="K436" s="22">
        <v>7.0000000000000001E-3</v>
      </c>
      <c r="L436" s="22">
        <f t="shared" si="341"/>
        <v>1.75901397</v>
      </c>
      <c r="M436" s="35" t="s">
        <v>1961</v>
      </c>
      <c r="Z436" s="39">
        <f t="shared" si="342"/>
        <v>0</v>
      </c>
      <c r="AB436" s="39">
        <f t="shared" si="343"/>
        <v>0</v>
      </c>
      <c r="AC436" s="39">
        <f t="shared" si="344"/>
        <v>0</v>
      </c>
      <c r="AD436" s="39">
        <f t="shared" si="345"/>
        <v>0</v>
      </c>
      <c r="AE436" s="39">
        <f t="shared" si="346"/>
        <v>0</v>
      </c>
      <c r="AF436" s="39">
        <f t="shared" si="347"/>
        <v>0</v>
      </c>
      <c r="AG436" s="39">
        <f t="shared" si="348"/>
        <v>0</v>
      </c>
      <c r="AH436" s="39">
        <f t="shared" si="349"/>
        <v>0</v>
      </c>
      <c r="AI436" s="30"/>
      <c r="AJ436" s="22">
        <f t="shared" si="350"/>
        <v>0</v>
      </c>
      <c r="AK436" s="22">
        <f t="shared" si="351"/>
        <v>0</v>
      </c>
      <c r="AL436" s="22">
        <f t="shared" si="352"/>
        <v>0</v>
      </c>
      <c r="AN436" s="39">
        <v>21</v>
      </c>
      <c r="AO436" s="39">
        <f>G436*1</f>
        <v>0</v>
      </c>
      <c r="AP436" s="39">
        <f>G436*(1-1)</f>
        <v>0</v>
      </c>
      <c r="AQ436" s="35" t="s">
        <v>11</v>
      </c>
      <c r="AV436" s="39">
        <f t="shared" si="353"/>
        <v>0</v>
      </c>
      <c r="AW436" s="39">
        <f t="shared" si="354"/>
        <v>0</v>
      </c>
      <c r="AX436" s="39">
        <f t="shared" si="355"/>
        <v>0</v>
      </c>
      <c r="AY436" s="40" t="s">
        <v>2007</v>
      </c>
      <c r="AZ436" s="40" t="s">
        <v>2038</v>
      </c>
      <c r="BA436" s="30" t="s">
        <v>2045</v>
      </c>
      <c r="BC436" s="39">
        <f t="shared" si="356"/>
        <v>0</v>
      </c>
      <c r="BD436" s="39">
        <f t="shared" si="357"/>
        <v>0</v>
      </c>
      <c r="BE436" s="39">
        <v>0</v>
      </c>
      <c r="BF436" s="39">
        <f t="shared" si="358"/>
        <v>1.75901397</v>
      </c>
      <c r="BH436" s="22">
        <f t="shared" si="359"/>
        <v>0</v>
      </c>
      <c r="BI436" s="22">
        <f t="shared" si="360"/>
        <v>0</v>
      </c>
      <c r="BJ436" s="22">
        <f t="shared" si="361"/>
        <v>0</v>
      </c>
    </row>
    <row r="437" spans="1:62">
      <c r="A437" s="5" t="s">
        <v>315</v>
      </c>
      <c r="B437" s="5"/>
      <c r="C437" s="5" t="s">
        <v>912</v>
      </c>
      <c r="D437" s="5" t="s">
        <v>1603</v>
      </c>
      <c r="E437" s="5" t="s">
        <v>1940</v>
      </c>
      <c r="F437" s="21">
        <v>242.7945</v>
      </c>
      <c r="G437" s="755">
        <v>0</v>
      </c>
      <c r="H437" s="21">
        <f t="shared" si="338"/>
        <v>0</v>
      </c>
      <c r="I437" s="21">
        <f t="shared" si="339"/>
        <v>0</v>
      </c>
      <c r="J437" s="21">
        <f t="shared" si="340"/>
        <v>0</v>
      </c>
      <c r="K437" s="21">
        <v>3.0000000000000001E-3</v>
      </c>
      <c r="L437" s="21">
        <f t="shared" si="341"/>
        <v>0.72838349999999996</v>
      </c>
      <c r="M437" s="34" t="s">
        <v>1961</v>
      </c>
      <c r="Z437" s="39">
        <f t="shared" si="342"/>
        <v>0</v>
      </c>
      <c r="AB437" s="39">
        <f t="shared" si="343"/>
        <v>0</v>
      </c>
      <c r="AC437" s="39">
        <f t="shared" si="344"/>
        <v>0</v>
      </c>
      <c r="AD437" s="39">
        <f t="shared" si="345"/>
        <v>0</v>
      </c>
      <c r="AE437" s="39">
        <f t="shared" si="346"/>
        <v>0</v>
      </c>
      <c r="AF437" s="39">
        <f t="shared" si="347"/>
        <v>0</v>
      </c>
      <c r="AG437" s="39">
        <f t="shared" si="348"/>
        <v>0</v>
      </c>
      <c r="AH437" s="39">
        <f t="shared" si="349"/>
        <v>0</v>
      </c>
      <c r="AI437" s="30"/>
      <c r="AJ437" s="21">
        <f t="shared" si="350"/>
        <v>0</v>
      </c>
      <c r="AK437" s="21">
        <f t="shared" si="351"/>
        <v>0</v>
      </c>
      <c r="AL437" s="21">
        <f t="shared" si="352"/>
        <v>0</v>
      </c>
      <c r="AN437" s="39">
        <v>21</v>
      </c>
      <c r="AO437" s="39">
        <f>G437*0.195686306421844</f>
        <v>0</v>
      </c>
      <c r="AP437" s="39">
        <f>G437*(1-0.195686306421844)</f>
        <v>0</v>
      </c>
      <c r="AQ437" s="34" t="s">
        <v>11</v>
      </c>
      <c r="AV437" s="39">
        <f t="shared" si="353"/>
        <v>0</v>
      </c>
      <c r="AW437" s="39">
        <f t="shared" si="354"/>
        <v>0</v>
      </c>
      <c r="AX437" s="39">
        <f t="shared" si="355"/>
        <v>0</v>
      </c>
      <c r="AY437" s="40" t="s">
        <v>2007</v>
      </c>
      <c r="AZ437" s="40" t="s">
        <v>2038</v>
      </c>
      <c r="BA437" s="30" t="s">
        <v>2045</v>
      </c>
      <c r="BC437" s="39">
        <f t="shared" si="356"/>
        <v>0</v>
      </c>
      <c r="BD437" s="39">
        <f t="shared" si="357"/>
        <v>0</v>
      </c>
      <c r="BE437" s="39">
        <v>0</v>
      </c>
      <c r="BF437" s="39">
        <f t="shared" si="358"/>
        <v>0.72838349999999996</v>
      </c>
      <c r="BH437" s="21">
        <f t="shared" si="359"/>
        <v>0</v>
      </c>
      <c r="BI437" s="21">
        <f t="shared" si="360"/>
        <v>0</v>
      </c>
      <c r="BJ437" s="21">
        <f t="shared" si="361"/>
        <v>0</v>
      </c>
    </row>
    <row r="438" spans="1:62">
      <c r="A438" s="6" t="s">
        <v>316</v>
      </c>
      <c r="B438" s="6"/>
      <c r="C438" s="6" t="s">
        <v>904</v>
      </c>
      <c r="D438" s="6" t="s">
        <v>1597</v>
      </c>
      <c r="E438" s="6" t="s">
        <v>1941</v>
      </c>
      <c r="F438" s="22">
        <v>29.832139999999999</v>
      </c>
      <c r="G438" s="757">
        <v>0</v>
      </c>
      <c r="H438" s="22">
        <f t="shared" si="338"/>
        <v>0</v>
      </c>
      <c r="I438" s="22">
        <f t="shared" si="339"/>
        <v>0</v>
      </c>
      <c r="J438" s="22">
        <f t="shared" si="340"/>
        <v>0</v>
      </c>
      <c r="K438" s="22">
        <v>2.5000000000000001E-2</v>
      </c>
      <c r="L438" s="22">
        <f t="shared" si="341"/>
        <v>0.74580350000000006</v>
      </c>
      <c r="M438" s="35" t="s">
        <v>1961</v>
      </c>
      <c r="Z438" s="39">
        <f t="shared" si="342"/>
        <v>0</v>
      </c>
      <c r="AB438" s="39">
        <f t="shared" si="343"/>
        <v>0</v>
      </c>
      <c r="AC438" s="39">
        <f t="shared" si="344"/>
        <v>0</v>
      </c>
      <c r="AD438" s="39">
        <f t="shared" si="345"/>
        <v>0</v>
      </c>
      <c r="AE438" s="39">
        <f t="shared" si="346"/>
        <v>0</v>
      </c>
      <c r="AF438" s="39">
        <f t="shared" si="347"/>
        <v>0</v>
      </c>
      <c r="AG438" s="39">
        <f t="shared" si="348"/>
        <v>0</v>
      </c>
      <c r="AH438" s="39">
        <f t="shared" si="349"/>
        <v>0</v>
      </c>
      <c r="AI438" s="30"/>
      <c r="AJ438" s="22">
        <f t="shared" si="350"/>
        <v>0</v>
      </c>
      <c r="AK438" s="22">
        <f t="shared" si="351"/>
        <v>0</v>
      </c>
      <c r="AL438" s="22">
        <f t="shared" si="352"/>
        <v>0</v>
      </c>
      <c r="AN438" s="39">
        <v>21</v>
      </c>
      <c r="AO438" s="39">
        <f>G438*1</f>
        <v>0</v>
      </c>
      <c r="AP438" s="39">
        <f>G438*(1-1)</f>
        <v>0</v>
      </c>
      <c r="AQ438" s="35" t="s">
        <v>11</v>
      </c>
      <c r="AV438" s="39">
        <f t="shared" si="353"/>
        <v>0</v>
      </c>
      <c r="AW438" s="39">
        <f t="shared" si="354"/>
        <v>0</v>
      </c>
      <c r="AX438" s="39">
        <f t="shared" si="355"/>
        <v>0</v>
      </c>
      <c r="AY438" s="40" t="s">
        <v>2007</v>
      </c>
      <c r="AZ438" s="40" t="s">
        <v>2038</v>
      </c>
      <c r="BA438" s="30" t="s">
        <v>2045</v>
      </c>
      <c r="BC438" s="39">
        <f t="shared" si="356"/>
        <v>0</v>
      </c>
      <c r="BD438" s="39">
        <f t="shared" si="357"/>
        <v>0</v>
      </c>
      <c r="BE438" s="39">
        <v>0</v>
      </c>
      <c r="BF438" s="39">
        <f t="shared" si="358"/>
        <v>0.74580350000000006</v>
      </c>
      <c r="BH438" s="22">
        <f t="shared" si="359"/>
        <v>0</v>
      </c>
      <c r="BI438" s="22">
        <f t="shared" si="360"/>
        <v>0</v>
      </c>
      <c r="BJ438" s="22">
        <f t="shared" si="361"/>
        <v>0</v>
      </c>
    </row>
    <row r="439" spans="1:62">
      <c r="A439" s="5" t="s">
        <v>317</v>
      </c>
      <c r="B439" s="5"/>
      <c r="C439" s="5" t="s">
        <v>913</v>
      </c>
      <c r="D439" s="5" t="s">
        <v>1604</v>
      </c>
      <c r="E439" s="5" t="s">
        <v>1940</v>
      </c>
      <c r="F439" s="21">
        <v>1475.1704999999999</v>
      </c>
      <c r="G439" s="753">
        <v>0</v>
      </c>
      <c r="H439" s="21">
        <f t="shared" si="338"/>
        <v>0</v>
      </c>
      <c r="I439" s="21">
        <f t="shared" si="339"/>
        <v>0</v>
      </c>
      <c r="J439" s="21">
        <f t="shared" si="340"/>
        <v>0</v>
      </c>
      <c r="K439" s="21">
        <v>2.5500000000000002E-3</v>
      </c>
      <c r="L439" s="21">
        <f t="shared" si="341"/>
        <v>3.761684775</v>
      </c>
      <c r="M439" s="34" t="s">
        <v>1961</v>
      </c>
      <c r="Z439" s="39">
        <f t="shared" si="342"/>
        <v>0</v>
      </c>
      <c r="AB439" s="39">
        <f t="shared" si="343"/>
        <v>0</v>
      </c>
      <c r="AC439" s="39">
        <f t="shared" si="344"/>
        <v>0</v>
      </c>
      <c r="AD439" s="39">
        <f t="shared" si="345"/>
        <v>0</v>
      </c>
      <c r="AE439" s="39">
        <f t="shared" si="346"/>
        <v>0</v>
      </c>
      <c r="AF439" s="39">
        <f t="shared" si="347"/>
        <v>0</v>
      </c>
      <c r="AG439" s="39">
        <f t="shared" si="348"/>
        <v>0</v>
      </c>
      <c r="AH439" s="39">
        <f t="shared" si="349"/>
        <v>0</v>
      </c>
      <c r="AI439" s="30"/>
      <c r="AJ439" s="21">
        <f t="shared" si="350"/>
        <v>0</v>
      </c>
      <c r="AK439" s="21">
        <f t="shared" si="351"/>
        <v>0</v>
      </c>
      <c r="AL439" s="21">
        <f t="shared" si="352"/>
        <v>0</v>
      </c>
      <c r="AN439" s="39">
        <v>21</v>
      </c>
      <c r="AO439" s="39">
        <f>G439*0.409718572284988</f>
        <v>0</v>
      </c>
      <c r="AP439" s="39">
        <f>G439*(1-0.409718572284988)</f>
        <v>0</v>
      </c>
      <c r="AQ439" s="34" t="s">
        <v>11</v>
      </c>
      <c r="AV439" s="39">
        <f t="shared" si="353"/>
        <v>0</v>
      </c>
      <c r="AW439" s="39">
        <f t="shared" si="354"/>
        <v>0</v>
      </c>
      <c r="AX439" s="39">
        <f t="shared" si="355"/>
        <v>0</v>
      </c>
      <c r="AY439" s="40" t="s">
        <v>2007</v>
      </c>
      <c r="AZ439" s="40" t="s">
        <v>2038</v>
      </c>
      <c r="BA439" s="30" t="s">
        <v>2045</v>
      </c>
      <c r="BC439" s="39">
        <f t="shared" si="356"/>
        <v>0</v>
      </c>
      <c r="BD439" s="39">
        <f t="shared" si="357"/>
        <v>0</v>
      </c>
      <c r="BE439" s="39">
        <v>0</v>
      </c>
      <c r="BF439" s="39">
        <f t="shared" si="358"/>
        <v>3.761684775</v>
      </c>
      <c r="BH439" s="21">
        <f t="shared" si="359"/>
        <v>0</v>
      </c>
      <c r="BI439" s="21">
        <f t="shared" si="360"/>
        <v>0</v>
      </c>
      <c r="BJ439" s="21">
        <f t="shared" si="361"/>
        <v>0</v>
      </c>
    </row>
    <row r="440" spans="1:62">
      <c r="A440" s="6" t="s">
        <v>318</v>
      </c>
      <c r="B440" s="6"/>
      <c r="C440" s="6" t="s">
        <v>904</v>
      </c>
      <c r="D440" s="6" t="s">
        <v>1597</v>
      </c>
      <c r="E440" s="6" t="s">
        <v>1941</v>
      </c>
      <c r="F440" s="22">
        <v>107.87560999999999</v>
      </c>
      <c r="G440" s="754">
        <v>0</v>
      </c>
      <c r="H440" s="22">
        <f t="shared" si="338"/>
        <v>0</v>
      </c>
      <c r="I440" s="22">
        <f t="shared" si="339"/>
        <v>0</v>
      </c>
      <c r="J440" s="22">
        <f t="shared" si="340"/>
        <v>0</v>
      </c>
      <c r="K440" s="22">
        <v>2.5000000000000001E-2</v>
      </c>
      <c r="L440" s="22">
        <f t="shared" si="341"/>
        <v>2.69689025</v>
      </c>
      <c r="M440" s="35" t="s">
        <v>1961</v>
      </c>
      <c r="Z440" s="39">
        <f t="shared" si="342"/>
        <v>0</v>
      </c>
      <c r="AB440" s="39">
        <f t="shared" si="343"/>
        <v>0</v>
      </c>
      <c r="AC440" s="39">
        <f t="shared" si="344"/>
        <v>0</v>
      </c>
      <c r="AD440" s="39">
        <f t="shared" si="345"/>
        <v>0</v>
      </c>
      <c r="AE440" s="39">
        <f t="shared" si="346"/>
        <v>0</v>
      </c>
      <c r="AF440" s="39">
        <f t="shared" si="347"/>
        <v>0</v>
      </c>
      <c r="AG440" s="39">
        <f t="shared" si="348"/>
        <v>0</v>
      </c>
      <c r="AH440" s="39">
        <f t="shared" si="349"/>
        <v>0</v>
      </c>
      <c r="AI440" s="30"/>
      <c r="AJ440" s="22">
        <f t="shared" si="350"/>
        <v>0</v>
      </c>
      <c r="AK440" s="22">
        <f t="shared" si="351"/>
        <v>0</v>
      </c>
      <c r="AL440" s="22">
        <f t="shared" si="352"/>
        <v>0</v>
      </c>
      <c r="AN440" s="39">
        <v>21</v>
      </c>
      <c r="AO440" s="39">
        <f>G440*1</f>
        <v>0</v>
      </c>
      <c r="AP440" s="39">
        <f>G440*(1-1)</f>
        <v>0</v>
      </c>
      <c r="AQ440" s="35" t="s">
        <v>11</v>
      </c>
      <c r="AV440" s="39">
        <f t="shared" si="353"/>
        <v>0</v>
      </c>
      <c r="AW440" s="39">
        <f t="shared" si="354"/>
        <v>0</v>
      </c>
      <c r="AX440" s="39">
        <f t="shared" si="355"/>
        <v>0</v>
      </c>
      <c r="AY440" s="40" t="s">
        <v>2007</v>
      </c>
      <c r="AZ440" s="40" t="s">
        <v>2038</v>
      </c>
      <c r="BA440" s="30" t="s">
        <v>2045</v>
      </c>
      <c r="BC440" s="39">
        <f t="shared" si="356"/>
        <v>0</v>
      </c>
      <c r="BD440" s="39">
        <f t="shared" si="357"/>
        <v>0</v>
      </c>
      <c r="BE440" s="39">
        <v>0</v>
      </c>
      <c r="BF440" s="39">
        <f t="shared" si="358"/>
        <v>2.69689025</v>
      </c>
      <c r="BH440" s="22">
        <f t="shared" si="359"/>
        <v>0</v>
      </c>
      <c r="BI440" s="22">
        <f t="shared" si="360"/>
        <v>0</v>
      </c>
      <c r="BJ440" s="22">
        <f t="shared" si="361"/>
        <v>0</v>
      </c>
    </row>
    <row r="441" spans="1:62">
      <c r="A441" s="6" t="s">
        <v>319</v>
      </c>
      <c r="B441" s="6"/>
      <c r="C441" s="6" t="s">
        <v>914</v>
      </c>
      <c r="D441" s="6" t="s">
        <v>1605</v>
      </c>
      <c r="E441" s="6" t="s">
        <v>1940</v>
      </c>
      <c r="F441" s="22">
        <v>12.648</v>
      </c>
      <c r="G441" s="754">
        <v>0</v>
      </c>
      <c r="H441" s="22">
        <f t="shared" si="338"/>
        <v>0</v>
      </c>
      <c r="I441" s="22">
        <f t="shared" si="339"/>
        <v>0</v>
      </c>
      <c r="J441" s="22">
        <f t="shared" si="340"/>
        <v>0</v>
      </c>
      <c r="K441" s="22">
        <v>1.1999999999999999E-3</v>
      </c>
      <c r="L441" s="22">
        <f t="shared" si="341"/>
        <v>1.5177599999999998E-2</v>
      </c>
      <c r="M441" s="35" t="s">
        <v>1961</v>
      </c>
      <c r="Z441" s="39">
        <f t="shared" si="342"/>
        <v>0</v>
      </c>
      <c r="AB441" s="39">
        <f t="shared" si="343"/>
        <v>0</v>
      </c>
      <c r="AC441" s="39">
        <f t="shared" si="344"/>
        <v>0</v>
      </c>
      <c r="AD441" s="39">
        <f t="shared" si="345"/>
        <v>0</v>
      </c>
      <c r="AE441" s="39">
        <f t="shared" si="346"/>
        <v>0</v>
      </c>
      <c r="AF441" s="39">
        <f t="shared" si="347"/>
        <v>0</v>
      </c>
      <c r="AG441" s="39">
        <f t="shared" si="348"/>
        <v>0</v>
      </c>
      <c r="AH441" s="39">
        <f t="shared" si="349"/>
        <v>0</v>
      </c>
      <c r="AI441" s="30"/>
      <c r="AJ441" s="22">
        <f t="shared" si="350"/>
        <v>0</v>
      </c>
      <c r="AK441" s="22">
        <f t="shared" si="351"/>
        <v>0</v>
      </c>
      <c r="AL441" s="22">
        <f t="shared" si="352"/>
        <v>0</v>
      </c>
      <c r="AN441" s="39">
        <v>21</v>
      </c>
      <c r="AO441" s="39">
        <f>G441*1</f>
        <v>0</v>
      </c>
      <c r="AP441" s="39">
        <f>G441*(1-1)</f>
        <v>0</v>
      </c>
      <c r="AQ441" s="35" t="s">
        <v>11</v>
      </c>
      <c r="AV441" s="39">
        <f t="shared" si="353"/>
        <v>0</v>
      </c>
      <c r="AW441" s="39">
        <f t="shared" si="354"/>
        <v>0</v>
      </c>
      <c r="AX441" s="39">
        <f t="shared" si="355"/>
        <v>0</v>
      </c>
      <c r="AY441" s="40" t="s">
        <v>2007</v>
      </c>
      <c r="AZ441" s="40" t="s">
        <v>2038</v>
      </c>
      <c r="BA441" s="30" t="s">
        <v>2045</v>
      </c>
      <c r="BC441" s="39">
        <f t="shared" si="356"/>
        <v>0</v>
      </c>
      <c r="BD441" s="39">
        <f t="shared" si="357"/>
        <v>0</v>
      </c>
      <c r="BE441" s="39">
        <v>0</v>
      </c>
      <c r="BF441" s="39">
        <f t="shared" si="358"/>
        <v>1.5177599999999998E-2</v>
      </c>
      <c r="BH441" s="22">
        <f t="shared" si="359"/>
        <v>0</v>
      </c>
      <c r="BI441" s="22">
        <f t="shared" si="360"/>
        <v>0</v>
      </c>
      <c r="BJ441" s="22">
        <f t="shared" si="361"/>
        <v>0</v>
      </c>
    </row>
    <row r="442" spans="1:62">
      <c r="A442" s="6" t="s">
        <v>320</v>
      </c>
      <c r="B442" s="6"/>
      <c r="C442" s="6" t="s">
        <v>915</v>
      </c>
      <c r="D442" s="6" t="s">
        <v>1606</v>
      </c>
      <c r="E442" s="6" t="s">
        <v>1940</v>
      </c>
      <c r="F442" s="22">
        <v>681.56399999999996</v>
      </c>
      <c r="G442" s="754">
        <v>0</v>
      </c>
      <c r="H442" s="22">
        <f t="shared" si="338"/>
        <v>0</v>
      </c>
      <c r="I442" s="22">
        <f t="shared" si="339"/>
        <v>0</v>
      </c>
      <c r="J442" s="22">
        <f t="shared" si="340"/>
        <v>0</v>
      </c>
      <c r="K442" s="22">
        <v>2.64E-3</v>
      </c>
      <c r="L442" s="22">
        <f t="shared" si="341"/>
        <v>1.79932896</v>
      </c>
      <c r="M442" s="35" t="s">
        <v>1961</v>
      </c>
      <c r="Z442" s="39">
        <f t="shared" si="342"/>
        <v>0</v>
      </c>
      <c r="AB442" s="39">
        <f t="shared" si="343"/>
        <v>0</v>
      </c>
      <c r="AC442" s="39">
        <f t="shared" si="344"/>
        <v>0</v>
      </c>
      <c r="AD442" s="39">
        <f t="shared" si="345"/>
        <v>0</v>
      </c>
      <c r="AE442" s="39">
        <f t="shared" si="346"/>
        <v>0</v>
      </c>
      <c r="AF442" s="39">
        <f t="shared" si="347"/>
        <v>0</v>
      </c>
      <c r="AG442" s="39">
        <f t="shared" si="348"/>
        <v>0</v>
      </c>
      <c r="AH442" s="39">
        <f t="shared" si="349"/>
        <v>0</v>
      </c>
      <c r="AI442" s="30"/>
      <c r="AJ442" s="22">
        <f t="shared" si="350"/>
        <v>0</v>
      </c>
      <c r="AK442" s="22">
        <f t="shared" si="351"/>
        <v>0</v>
      </c>
      <c r="AL442" s="22">
        <f t="shared" si="352"/>
        <v>0</v>
      </c>
      <c r="AN442" s="39">
        <v>21</v>
      </c>
      <c r="AO442" s="39">
        <f>G442*1</f>
        <v>0</v>
      </c>
      <c r="AP442" s="39">
        <f>G442*(1-1)</f>
        <v>0</v>
      </c>
      <c r="AQ442" s="35" t="s">
        <v>11</v>
      </c>
      <c r="AV442" s="39">
        <f t="shared" si="353"/>
        <v>0</v>
      </c>
      <c r="AW442" s="39">
        <f t="shared" si="354"/>
        <v>0</v>
      </c>
      <c r="AX442" s="39">
        <f t="shared" si="355"/>
        <v>0</v>
      </c>
      <c r="AY442" s="40" t="s">
        <v>2007</v>
      </c>
      <c r="AZ442" s="40" t="s">
        <v>2038</v>
      </c>
      <c r="BA442" s="30" t="s">
        <v>2045</v>
      </c>
      <c r="BC442" s="39">
        <f t="shared" si="356"/>
        <v>0</v>
      </c>
      <c r="BD442" s="39">
        <f t="shared" si="357"/>
        <v>0</v>
      </c>
      <c r="BE442" s="39">
        <v>0</v>
      </c>
      <c r="BF442" s="39">
        <f t="shared" si="358"/>
        <v>1.79932896</v>
      </c>
      <c r="BH442" s="22">
        <f t="shared" si="359"/>
        <v>0</v>
      </c>
      <c r="BI442" s="22">
        <f t="shared" si="360"/>
        <v>0</v>
      </c>
      <c r="BJ442" s="22">
        <f t="shared" si="361"/>
        <v>0</v>
      </c>
    </row>
    <row r="443" spans="1:62">
      <c r="A443" s="5" t="s">
        <v>321</v>
      </c>
      <c r="B443" s="5"/>
      <c r="C443" s="5" t="s">
        <v>916</v>
      </c>
      <c r="D443" s="5" t="s">
        <v>1607</v>
      </c>
      <c r="E443" s="5" t="s">
        <v>1945</v>
      </c>
      <c r="F443" s="753">
        <v>0</v>
      </c>
      <c r="G443" s="753">
        <v>0</v>
      </c>
      <c r="H443" s="21">
        <f t="shared" si="338"/>
        <v>0</v>
      </c>
      <c r="I443" s="21">
        <f t="shared" si="339"/>
        <v>0</v>
      </c>
      <c r="J443" s="21">
        <f t="shared" si="340"/>
        <v>0</v>
      </c>
      <c r="K443" s="21">
        <v>0</v>
      </c>
      <c r="L443" s="21">
        <f t="shared" si="341"/>
        <v>0</v>
      </c>
      <c r="M443" s="34" t="s">
        <v>1961</v>
      </c>
      <c r="Z443" s="39">
        <f t="shared" si="342"/>
        <v>0</v>
      </c>
      <c r="AB443" s="39">
        <f t="shared" si="343"/>
        <v>0</v>
      </c>
      <c r="AC443" s="39">
        <f t="shared" si="344"/>
        <v>0</v>
      </c>
      <c r="AD443" s="39">
        <f t="shared" si="345"/>
        <v>0</v>
      </c>
      <c r="AE443" s="39">
        <f t="shared" si="346"/>
        <v>0</v>
      </c>
      <c r="AF443" s="39">
        <f t="shared" si="347"/>
        <v>0</v>
      </c>
      <c r="AG443" s="39">
        <f t="shared" si="348"/>
        <v>0</v>
      </c>
      <c r="AH443" s="39">
        <f t="shared" si="349"/>
        <v>0</v>
      </c>
      <c r="AI443" s="30"/>
      <c r="AJ443" s="21">
        <f t="shared" si="350"/>
        <v>0</v>
      </c>
      <c r="AK443" s="21">
        <f t="shared" si="351"/>
        <v>0</v>
      </c>
      <c r="AL443" s="21">
        <f t="shared" si="352"/>
        <v>0</v>
      </c>
      <c r="AN443" s="39">
        <v>21</v>
      </c>
      <c r="AO443" s="39">
        <f>G443*0</f>
        <v>0</v>
      </c>
      <c r="AP443" s="39">
        <f>G443*(1-0)</f>
        <v>0</v>
      </c>
      <c r="AQ443" s="34" t="s">
        <v>9</v>
      </c>
      <c r="AV443" s="39">
        <f t="shared" si="353"/>
        <v>0</v>
      </c>
      <c r="AW443" s="39">
        <f t="shared" si="354"/>
        <v>0</v>
      </c>
      <c r="AX443" s="39">
        <f t="shared" si="355"/>
        <v>0</v>
      </c>
      <c r="AY443" s="40" t="s">
        <v>2007</v>
      </c>
      <c r="AZ443" s="40" t="s">
        <v>2038</v>
      </c>
      <c r="BA443" s="30" t="s">
        <v>2045</v>
      </c>
      <c r="BC443" s="39">
        <f t="shared" si="356"/>
        <v>0</v>
      </c>
      <c r="BD443" s="39">
        <f t="shared" si="357"/>
        <v>0</v>
      </c>
      <c r="BE443" s="39">
        <v>0</v>
      </c>
      <c r="BF443" s="39">
        <f t="shared" si="358"/>
        <v>0</v>
      </c>
      <c r="BH443" s="21">
        <f t="shared" si="359"/>
        <v>0</v>
      </c>
      <c r="BI443" s="21">
        <f t="shared" si="360"/>
        <v>0</v>
      </c>
      <c r="BJ443" s="21">
        <f t="shared" si="361"/>
        <v>0</v>
      </c>
    </row>
    <row r="444" spans="1:62">
      <c r="A444" s="4"/>
      <c r="B444" s="14"/>
      <c r="C444" s="14" t="s">
        <v>917</v>
      </c>
      <c r="D444" s="14" t="s">
        <v>1608</v>
      </c>
      <c r="E444" s="4" t="s">
        <v>4</v>
      </c>
      <c r="F444" s="4" t="s">
        <v>4</v>
      </c>
      <c r="G444" s="4"/>
      <c r="H444" s="42">
        <f>SUM(H445:H447)</f>
        <v>0</v>
      </c>
      <c r="I444" s="42">
        <f>SUM(I445:I447)</f>
        <v>0</v>
      </c>
      <c r="J444" s="42">
        <f>SUM(J445:J447)</f>
        <v>0</v>
      </c>
      <c r="K444" s="30"/>
      <c r="L444" s="42">
        <f>SUM(L445:L447)</f>
        <v>3.0041549999999997E-3</v>
      </c>
      <c r="M444" s="30"/>
      <c r="AI444" s="30"/>
      <c r="AS444" s="42">
        <f>SUM(AJ445:AJ447)</f>
        <v>0</v>
      </c>
      <c r="AT444" s="42">
        <f>SUM(AK445:AK447)</f>
        <v>0</v>
      </c>
      <c r="AU444" s="42">
        <f>SUM(AL445:AL447)</f>
        <v>0</v>
      </c>
    </row>
    <row r="445" spans="1:62">
      <c r="A445" s="5" t="s">
        <v>322</v>
      </c>
      <c r="B445" s="5"/>
      <c r="C445" s="5" t="s">
        <v>918</v>
      </c>
      <c r="D445" s="5" t="s">
        <v>1609</v>
      </c>
      <c r="E445" s="5" t="s">
        <v>1940</v>
      </c>
      <c r="F445" s="21">
        <v>37.546300000000002</v>
      </c>
      <c r="G445" s="753">
        <v>0</v>
      </c>
      <c r="H445" s="21">
        <f>F445*AO445</f>
        <v>0</v>
      </c>
      <c r="I445" s="21">
        <f>F445*AP445</f>
        <v>0</v>
      </c>
      <c r="J445" s="21">
        <f>F445*G445</f>
        <v>0</v>
      </c>
      <c r="K445" s="21">
        <v>0</v>
      </c>
      <c r="L445" s="21">
        <f>F445*K445</f>
        <v>0</v>
      </c>
      <c r="M445" s="34" t="s">
        <v>1961</v>
      </c>
      <c r="Z445" s="39">
        <f>IF(AQ445="5",BJ445,0)</f>
        <v>0</v>
      </c>
      <c r="AB445" s="39">
        <f>IF(AQ445="1",BH445,0)</f>
        <v>0</v>
      </c>
      <c r="AC445" s="39">
        <f>IF(AQ445="1",BI445,0)</f>
        <v>0</v>
      </c>
      <c r="AD445" s="39">
        <f>IF(AQ445="7",BH445,0)</f>
        <v>0</v>
      </c>
      <c r="AE445" s="39">
        <f>IF(AQ445="7",BI445,0)</f>
        <v>0</v>
      </c>
      <c r="AF445" s="39">
        <f>IF(AQ445="2",BH445,0)</f>
        <v>0</v>
      </c>
      <c r="AG445" s="39">
        <f>IF(AQ445="2",BI445,0)</f>
        <v>0</v>
      </c>
      <c r="AH445" s="39">
        <f>IF(AQ445="0",BJ445,0)</f>
        <v>0</v>
      </c>
      <c r="AI445" s="30"/>
      <c r="AJ445" s="21">
        <f>IF(AN445=0,J445,0)</f>
        <v>0</v>
      </c>
      <c r="AK445" s="21">
        <f>IF(AN445=15,J445,0)</f>
        <v>0</v>
      </c>
      <c r="AL445" s="21">
        <f>IF(AN445=21,J445,0)</f>
        <v>0</v>
      </c>
      <c r="AN445" s="39">
        <v>21</v>
      </c>
      <c r="AO445" s="39">
        <f>G445*0</f>
        <v>0</v>
      </c>
      <c r="AP445" s="39">
        <f>G445*(1-0)</f>
        <v>0</v>
      </c>
      <c r="AQ445" s="34" t="s">
        <v>11</v>
      </c>
      <c r="AV445" s="39">
        <f>AW445+AX445</f>
        <v>0</v>
      </c>
      <c r="AW445" s="39">
        <f>F445*AO445</f>
        <v>0</v>
      </c>
      <c r="AX445" s="39">
        <f>F445*AP445</f>
        <v>0</v>
      </c>
      <c r="AY445" s="40" t="s">
        <v>2008</v>
      </c>
      <c r="AZ445" s="40" t="s">
        <v>2038</v>
      </c>
      <c r="BA445" s="30" t="s">
        <v>2045</v>
      </c>
      <c r="BC445" s="39">
        <f>AW445+AX445</f>
        <v>0</v>
      </c>
      <c r="BD445" s="39">
        <f>G445/(100-BE445)*100</f>
        <v>0</v>
      </c>
      <c r="BE445" s="39">
        <v>0</v>
      </c>
      <c r="BF445" s="39">
        <f>L445</f>
        <v>0</v>
      </c>
      <c r="BH445" s="21">
        <f>F445*AO445</f>
        <v>0</v>
      </c>
      <c r="BI445" s="21">
        <f>F445*AP445</f>
        <v>0</v>
      </c>
      <c r="BJ445" s="21">
        <f>F445*G445</f>
        <v>0</v>
      </c>
    </row>
    <row r="446" spans="1:62">
      <c r="A446" s="6" t="s">
        <v>323</v>
      </c>
      <c r="B446" s="6"/>
      <c r="C446" s="6" t="s">
        <v>919</v>
      </c>
      <c r="D446" s="6" t="s">
        <v>5834</v>
      </c>
      <c r="E446" s="6" t="s">
        <v>1941</v>
      </c>
      <c r="F446" s="22">
        <v>0.66759000000000002</v>
      </c>
      <c r="G446" s="754">
        <v>0</v>
      </c>
      <c r="H446" s="22">
        <f>F446*AO446</f>
        <v>0</v>
      </c>
      <c r="I446" s="22">
        <f>F446*AP446</f>
        <v>0</v>
      </c>
      <c r="J446" s="22">
        <f>F446*G446</f>
        <v>0</v>
      </c>
      <c r="K446" s="22">
        <v>4.4999999999999997E-3</v>
      </c>
      <c r="L446" s="22">
        <f>F446*K446</f>
        <v>3.0041549999999997E-3</v>
      </c>
      <c r="M446" s="35" t="s">
        <v>1960</v>
      </c>
      <c r="Z446" s="39">
        <f>IF(AQ446="5",BJ446,0)</f>
        <v>0</v>
      </c>
      <c r="AB446" s="39">
        <f>IF(AQ446="1",BH446,0)</f>
        <v>0</v>
      </c>
      <c r="AC446" s="39">
        <f>IF(AQ446="1",BI446,0)</f>
        <v>0</v>
      </c>
      <c r="AD446" s="39">
        <f>IF(AQ446="7",BH446,0)</f>
        <v>0</v>
      </c>
      <c r="AE446" s="39">
        <f>IF(AQ446="7",BI446,0)</f>
        <v>0</v>
      </c>
      <c r="AF446" s="39">
        <f>IF(AQ446="2",BH446,0)</f>
        <v>0</v>
      </c>
      <c r="AG446" s="39">
        <f>IF(AQ446="2",BI446,0)</f>
        <v>0</v>
      </c>
      <c r="AH446" s="39">
        <f>IF(AQ446="0",BJ446,0)</f>
        <v>0</v>
      </c>
      <c r="AI446" s="30"/>
      <c r="AJ446" s="22">
        <f>IF(AN446=0,J446,0)</f>
        <v>0</v>
      </c>
      <c r="AK446" s="22">
        <f>IF(AN446=15,J446,0)</f>
        <v>0</v>
      </c>
      <c r="AL446" s="22">
        <f>IF(AN446=21,J446,0)</f>
        <v>0</v>
      </c>
      <c r="AN446" s="39">
        <v>21</v>
      </c>
      <c r="AO446" s="39">
        <f>G446*1</f>
        <v>0</v>
      </c>
      <c r="AP446" s="39">
        <f>G446*(1-1)</f>
        <v>0</v>
      </c>
      <c r="AQ446" s="35" t="s">
        <v>11</v>
      </c>
      <c r="AV446" s="39">
        <f>AW446+AX446</f>
        <v>0</v>
      </c>
      <c r="AW446" s="39">
        <f>F446*AO446</f>
        <v>0</v>
      </c>
      <c r="AX446" s="39">
        <f>F446*AP446</f>
        <v>0</v>
      </c>
      <c r="AY446" s="40" t="s">
        <v>2008</v>
      </c>
      <c r="AZ446" s="40" t="s">
        <v>2038</v>
      </c>
      <c r="BA446" s="30" t="s">
        <v>2045</v>
      </c>
      <c r="BC446" s="39">
        <f>AW446+AX446</f>
        <v>0</v>
      </c>
      <c r="BD446" s="39">
        <f>G446/(100-BE446)*100</f>
        <v>0</v>
      </c>
      <c r="BE446" s="39">
        <v>0</v>
      </c>
      <c r="BF446" s="39">
        <f>L446</f>
        <v>3.0041549999999997E-3</v>
      </c>
      <c r="BH446" s="22">
        <f>F446*AO446</f>
        <v>0</v>
      </c>
      <c r="BI446" s="22">
        <f>F446*AP446</f>
        <v>0</v>
      </c>
      <c r="BJ446" s="22">
        <f>F446*G446</f>
        <v>0</v>
      </c>
    </row>
    <row r="447" spans="1:62">
      <c r="A447" s="5" t="s">
        <v>324</v>
      </c>
      <c r="B447" s="5"/>
      <c r="C447" s="5" t="s">
        <v>920</v>
      </c>
      <c r="D447" s="5" t="s">
        <v>1611</v>
      </c>
      <c r="E447" s="5" t="s">
        <v>1945</v>
      </c>
      <c r="F447" s="753">
        <v>0</v>
      </c>
      <c r="G447" s="753">
        <v>0</v>
      </c>
      <c r="H447" s="21">
        <f>F447*AO447</f>
        <v>0</v>
      </c>
      <c r="I447" s="21">
        <f>F447*AP447</f>
        <v>0</v>
      </c>
      <c r="J447" s="21">
        <f>F447*G447</f>
        <v>0</v>
      </c>
      <c r="K447" s="21">
        <v>0</v>
      </c>
      <c r="L447" s="21">
        <f>F447*K447</f>
        <v>0</v>
      </c>
      <c r="M447" s="34" t="s">
        <v>1961</v>
      </c>
      <c r="Z447" s="39">
        <f>IF(AQ447="5",BJ447,0)</f>
        <v>0</v>
      </c>
      <c r="AB447" s="39">
        <f>IF(AQ447="1",BH447,0)</f>
        <v>0</v>
      </c>
      <c r="AC447" s="39">
        <f>IF(AQ447="1",BI447,0)</f>
        <v>0</v>
      </c>
      <c r="AD447" s="39">
        <f>IF(AQ447="7",BH447,0)</f>
        <v>0</v>
      </c>
      <c r="AE447" s="39">
        <f>IF(AQ447="7",BI447,0)</f>
        <v>0</v>
      </c>
      <c r="AF447" s="39">
        <f>IF(AQ447="2",BH447,0)</f>
        <v>0</v>
      </c>
      <c r="AG447" s="39">
        <f>IF(AQ447="2",BI447,0)</f>
        <v>0</v>
      </c>
      <c r="AH447" s="39">
        <f>IF(AQ447="0",BJ447,0)</f>
        <v>0</v>
      </c>
      <c r="AI447" s="30"/>
      <c r="AJ447" s="21">
        <f>IF(AN447=0,J447,0)</f>
        <v>0</v>
      </c>
      <c r="AK447" s="21">
        <f>IF(AN447=15,J447,0)</f>
        <v>0</v>
      </c>
      <c r="AL447" s="21">
        <f>IF(AN447=21,J447,0)</f>
        <v>0</v>
      </c>
      <c r="AN447" s="39">
        <v>21</v>
      </c>
      <c r="AO447" s="39">
        <f>G447*0</f>
        <v>0</v>
      </c>
      <c r="AP447" s="39">
        <f>G447*(1-0)</f>
        <v>0</v>
      </c>
      <c r="AQ447" s="34" t="s">
        <v>9</v>
      </c>
      <c r="AV447" s="39">
        <f>AW447+AX447</f>
        <v>0</v>
      </c>
      <c r="AW447" s="39">
        <f>F447*AO447</f>
        <v>0</v>
      </c>
      <c r="AX447" s="39">
        <f>F447*AP447</f>
        <v>0</v>
      </c>
      <c r="AY447" s="40" t="s">
        <v>2008</v>
      </c>
      <c r="AZ447" s="40" t="s">
        <v>2038</v>
      </c>
      <c r="BA447" s="30" t="s">
        <v>2045</v>
      </c>
      <c r="BC447" s="39">
        <f>AW447+AX447</f>
        <v>0</v>
      </c>
      <c r="BD447" s="39">
        <f>G447/(100-BE447)*100</f>
        <v>0</v>
      </c>
      <c r="BE447" s="39">
        <v>0</v>
      </c>
      <c r="BF447" s="39">
        <f>L447</f>
        <v>0</v>
      </c>
      <c r="BH447" s="21">
        <f>F447*AO447</f>
        <v>0</v>
      </c>
      <c r="BI447" s="21">
        <f>F447*AP447</f>
        <v>0</v>
      </c>
      <c r="BJ447" s="21">
        <f>F447*G447</f>
        <v>0</v>
      </c>
    </row>
    <row r="448" spans="1:62">
      <c r="A448" s="4"/>
      <c r="B448" s="14"/>
      <c r="C448" s="14" t="s">
        <v>921</v>
      </c>
      <c r="D448" s="14" t="s">
        <v>1612</v>
      </c>
      <c r="E448" s="4" t="s">
        <v>4</v>
      </c>
      <c r="F448" s="4" t="s">
        <v>4</v>
      </c>
      <c r="G448" s="4" t="s">
        <v>4</v>
      </c>
      <c r="H448" s="42">
        <f>SUM(H449:H458)</f>
        <v>0</v>
      </c>
      <c r="I448" s="42">
        <f>SUM(I449:I458)</f>
        <v>0</v>
      </c>
      <c r="J448" s="42">
        <f>SUM(J449:J458)</f>
        <v>0</v>
      </c>
      <c r="K448" s="30"/>
      <c r="L448" s="42">
        <f>SUM(L449:L458)</f>
        <v>9.0510000000000007E-2</v>
      </c>
      <c r="M448" s="30"/>
      <c r="AI448" s="30"/>
      <c r="AS448" s="42">
        <f>SUM(AJ449:AJ458)</f>
        <v>0</v>
      </c>
      <c r="AT448" s="42">
        <f>SUM(AK449:AK458)</f>
        <v>0</v>
      </c>
      <c r="AU448" s="42">
        <f>SUM(AL449:AL458)</f>
        <v>0</v>
      </c>
    </row>
    <row r="449" spans="1:62">
      <c r="A449" s="5" t="s">
        <v>325</v>
      </c>
      <c r="B449" s="5"/>
      <c r="C449" s="5" t="s">
        <v>922</v>
      </c>
      <c r="D449" s="5" t="s">
        <v>1613</v>
      </c>
      <c r="E449" s="5" t="s">
        <v>1943</v>
      </c>
      <c r="F449" s="21">
        <v>2</v>
      </c>
      <c r="G449" s="753">
        <v>0</v>
      </c>
      <c r="H449" s="21">
        <f>F449*AO449</f>
        <v>0</v>
      </c>
      <c r="I449" s="21">
        <f>F449*AP449</f>
        <v>0</v>
      </c>
      <c r="J449" s="21">
        <f>F449*G449</f>
        <v>0</v>
      </c>
      <c r="K449" s="21">
        <v>2.5170000000000001E-2</v>
      </c>
      <c r="L449" s="21">
        <f>F449*K449</f>
        <v>5.0340000000000003E-2</v>
      </c>
      <c r="M449" s="34" t="s">
        <v>1961</v>
      </c>
      <c r="Z449" s="39">
        <f>IF(AQ449="5",BJ449,0)</f>
        <v>0</v>
      </c>
      <c r="AB449" s="39">
        <f>IF(AQ449="1",BH449,0)</f>
        <v>0</v>
      </c>
      <c r="AC449" s="39">
        <f>IF(AQ449="1",BI449,0)</f>
        <v>0</v>
      </c>
      <c r="AD449" s="39">
        <f>IF(AQ449="7",BH449,0)</f>
        <v>0</v>
      </c>
      <c r="AE449" s="39">
        <f>IF(AQ449="7",BI449,0)</f>
        <v>0</v>
      </c>
      <c r="AF449" s="39">
        <f>IF(AQ449="2",BH449,0)</f>
        <v>0</v>
      </c>
      <c r="AG449" s="39">
        <f>IF(AQ449="2",BI449,0)</f>
        <v>0</v>
      </c>
      <c r="AH449" s="39">
        <f>IF(AQ449="0",BJ449,0)</f>
        <v>0</v>
      </c>
      <c r="AI449" s="30"/>
      <c r="AJ449" s="21">
        <f>IF(AN449=0,J449,0)</f>
        <v>0</v>
      </c>
      <c r="AK449" s="21">
        <f>IF(AN449=15,J449,0)</f>
        <v>0</v>
      </c>
      <c r="AL449" s="21">
        <f>IF(AN449=21,J449,0)</f>
        <v>0</v>
      </c>
      <c r="AN449" s="39">
        <v>21</v>
      </c>
      <c r="AO449" s="39">
        <f>G449*0</f>
        <v>0</v>
      </c>
      <c r="AP449" s="39">
        <f>G449*(1-0)</f>
        <v>0</v>
      </c>
      <c r="AQ449" s="34" t="s">
        <v>11</v>
      </c>
      <c r="AV449" s="39">
        <f>AW449+AX449</f>
        <v>0</v>
      </c>
      <c r="AW449" s="39">
        <f>F449*AO449</f>
        <v>0</v>
      </c>
      <c r="AX449" s="39">
        <f>F449*AP449</f>
        <v>0</v>
      </c>
      <c r="AY449" s="40" t="s">
        <v>2009</v>
      </c>
      <c r="AZ449" s="40" t="s">
        <v>2039</v>
      </c>
      <c r="BA449" s="30" t="s">
        <v>2045</v>
      </c>
      <c r="BC449" s="39">
        <f>AW449+AX449</f>
        <v>0</v>
      </c>
      <c r="BD449" s="39">
        <f>G449/(100-BE449)*100</f>
        <v>0</v>
      </c>
      <c r="BE449" s="39">
        <v>0</v>
      </c>
      <c r="BF449" s="39">
        <f>L449</f>
        <v>5.0340000000000003E-2</v>
      </c>
      <c r="BH449" s="21">
        <f>F449*AO449</f>
        <v>0</v>
      </c>
      <c r="BI449" s="21">
        <f>F449*AP449</f>
        <v>0</v>
      </c>
      <c r="BJ449" s="21">
        <f>F449*G449</f>
        <v>0</v>
      </c>
    </row>
    <row r="450" spans="1:62">
      <c r="A450" s="5" t="s">
        <v>326</v>
      </c>
      <c r="B450" s="5"/>
      <c r="C450" s="5" t="s">
        <v>923</v>
      </c>
      <c r="D450" s="5" t="s">
        <v>1614</v>
      </c>
      <c r="E450" s="5" t="s">
        <v>1938</v>
      </c>
      <c r="F450" s="21">
        <v>1</v>
      </c>
      <c r="G450" s="753">
        <v>0</v>
      </c>
      <c r="H450" s="21">
        <f>F450*AO450</f>
        <v>0</v>
      </c>
      <c r="I450" s="21">
        <f>F450*AP450</f>
        <v>0</v>
      </c>
      <c r="J450" s="21">
        <f>F450*G450</f>
        <v>0</v>
      </c>
      <c r="K450" s="21">
        <v>0</v>
      </c>
      <c r="L450" s="21">
        <f>F450*K450</f>
        <v>0</v>
      </c>
      <c r="M450" s="34" t="s">
        <v>1960</v>
      </c>
      <c r="Z450" s="39">
        <f>IF(AQ450="5",BJ450,0)</f>
        <v>0</v>
      </c>
      <c r="AB450" s="39">
        <f>IF(AQ450="1",BH450,0)</f>
        <v>0</v>
      </c>
      <c r="AC450" s="39">
        <f>IF(AQ450="1",BI450,0)</f>
        <v>0</v>
      </c>
      <c r="AD450" s="39">
        <f>IF(AQ450="7",BH450,0)</f>
        <v>0</v>
      </c>
      <c r="AE450" s="39">
        <f>IF(AQ450="7",BI450,0)</f>
        <v>0</v>
      </c>
      <c r="AF450" s="39">
        <f>IF(AQ450="2",BH450,0)</f>
        <v>0</v>
      </c>
      <c r="AG450" s="39">
        <f>IF(AQ450="2",BI450,0)</f>
        <v>0</v>
      </c>
      <c r="AH450" s="39">
        <f>IF(AQ450="0",BJ450,0)</f>
        <v>0</v>
      </c>
      <c r="AI450" s="30"/>
      <c r="AJ450" s="21">
        <f>IF(AN450=0,J450,0)</f>
        <v>0</v>
      </c>
      <c r="AK450" s="21">
        <f>IF(AN450=15,J450,0)</f>
        <v>0</v>
      </c>
      <c r="AL450" s="21">
        <f>IF(AN450=21,J450,0)</f>
        <v>0</v>
      </c>
      <c r="AN450" s="39">
        <v>21</v>
      </c>
      <c r="AO450" s="39">
        <f>G450*0.708343824837496</f>
        <v>0</v>
      </c>
      <c r="AP450" s="39">
        <f>G450*(1-0.708343824837496)</f>
        <v>0</v>
      </c>
      <c r="AQ450" s="34" t="s">
        <v>11</v>
      </c>
      <c r="AV450" s="39">
        <f>AW450+AX450</f>
        <v>0</v>
      </c>
      <c r="AW450" s="39">
        <f>F450*AO450</f>
        <v>0</v>
      </c>
      <c r="AX450" s="39">
        <f>F450*AP450</f>
        <v>0</v>
      </c>
      <c r="AY450" s="40" t="s">
        <v>2009</v>
      </c>
      <c r="AZ450" s="40" t="s">
        <v>2039</v>
      </c>
      <c r="BA450" s="30" t="s">
        <v>2045</v>
      </c>
      <c r="BC450" s="39">
        <f>AW450+AX450</f>
        <v>0</v>
      </c>
      <c r="BD450" s="39">
        <f>G450/(100-BE450)*100</f>
        <v>0</v>
      </c>
      <c r="BE450" s="39">
        <v>0</v>
      </c>
      <c r="BF450" s="39">
        <f>L450</f>
        <v>0</v>
      </c>
      <c r="BH450" s="21">
        <f>F450*AO450</f>
        <v>0</v>
      </c>
      <c r="BI450" s="21">
        <f>F450*AP450</f>
        <v>0</v>
      </c>
      <c r="BJ450" s="21">
        <f>F450*G450</f>
        <v>0</v>
      </c>
    </row>
    <row r="451" spans="1:62">
      <c r="C451" s="16" t="s">
        <v>609</v>
      </c>
      <c r="D451" s="919" t="s">
        <v>1615</v>
      </c>
      <c r="E451" s="920"/>
      <c r="F451" s="920"/>
      <c r="G451" s="920"/>
      <c r="H451" s="920"/>
      <c r="I451" s="920"/>
      <c r="J451" s="920"/>
      <c r="K451" s="920"/>
      <c r="L451" s="920"/>
      <c r="M451" s="920"/>
    </row>
    <row r="452" spans="1:62">
      <c r="A452" s="5" t="s">
        <v>327</v>
      </c>
      <c r="B452" s="5"/>
      <c r="C452" s="5" t="s">
        <v>924</v>
      </c>
      <c r="D452" s="5" t="s">
        <v>1616</v>
      </c>
      <c r="E452" s="5" t="s">
        <v>1938</v>
      </c>
      <c r="F452" s="21">
        <v>1</v>
      </c>
      <c r="G452" s="753">
        <v>0</v>
      </c>
      <c r="H452" s="21">
        <f>F452*AO452</f>
        <v>0</v>
      </c>
      <c r="I452" s="21">
        <f>F452*AP452</f>
        <v>0</v>
      </c>
      <c r="J452" s="21">
        <f>F452*G452</f>
        <v>0</v>
      </c>
      <c r="K452" s="21">
        <v>0</v>
      </c>
      <c r="L452" s="21">
        <f>F452*K452</f>
        <v>0</v>
      </c>
      <c r="M452" s="34" t="s">
        <v>1960</v>
      </c>
      <c r="Z452" s="39">
        <f>IF(AQ452="5",BJ452,0)</f>
        <v>0</v>
      </c>
      <c r="AB452" s="39">
        <f>IF(AQ452="1",BH452,0)</f>
        <v>0</v>
      </c>
      <c r="AC452" s="39">
        <f>IF(AQ452="1",BI452,0)</f>
        <v>0</v>
      </c>
      <c r="AD452" s="39">
        <f>IF(AQ452="7",BH452,0)</f>
        <v>0</v>
      </c>
      <c r="AE452" s="39">
        <f>IF(AQ452="7",BI452,0)</f>
        <v>0</v>
      </c>
      <c r="AF452" s="39">
        <f>IF(AQ452="2",BH452,0)</f>
        <v>0</v>
      </c>
      <c r="AG452" s="39">
        <f>IF(AQ452="2",BI452,0)</f>
        <v>0</v>
      </c>
      <c r="AH452" s="39">
        <f>IF(AQ452="0",BJ452,0)</f>
        <v>0</v>
      </c>
      <c r="AI452" s="30"/>
      <c r="AJ452" s="21">
        <f>IF(AN452=0,J452,0)</f>
        <v>0</v>
      </c>
      <c r="AK452" s="21">
        <f>IF(AN452=15,J452,0)</f>
        <v>0</v>
      </c>
      <c r="AL452" s="21">
        <f>IF(AN452=21,J452,0)</f>
        <v>0</v>
      </c>
      <c r="AN452" s="39">
        <v>21</v>
      </c>
      <c r="AO452" s="39">
        <f>G452*0.708343689609038</f>
        <v>0</v>
      </c>
      <c r="AP452" s="39">
        <f>G452*(1-0.708343689609038)</f>
        <v>0</v>
      </c>
      <c r="AQ452" s="34" t="s">
        <v>11</v>
      </c>
      <c r="AV452" s="39">
        <f>AW452+AX452</f>
        <v>0</v>
      </c>
      <c r="AW452" s="39">
        <f>F452*AO452</f>
        <v>0</v>
      </c>
      <c r="AX452" s="39">
        <f>F452*AP452</f>
        <v>0</v>
      </c>
      <c r="AY452" s="40" t="s">
        <v>2009</v>
      </c>
      <c r="AZ452" s="40" t="s">
        <v>2039</v>
      </c>
      <c r="BA452" s="30" t="s">
        <v>2045</v>
      </c>
      <c r="BC452" s="39">
        <f>AW452+AX452</f>
        <v>0</v>
      </c>
      <c r="BD452" s="39">
        <f>G452/(100-BE452)*100</f>
        <v>0</v>
      </c>
      <c r="BE452" s="39">
        <v>0</v>
      </c>
      <c r="BF452" s="39">
        <f>L452</f>
        <v>0</v>
      </c>
      <c r="BH452" s="21">
        <f>F452*AO452</f>
        <v>0</v>
      </c>
      <c r="BI452" s="21">
        <f>F452*AP452</f>
        <v>0</v>
      </c>
      <c r="BJ452" s="21">
        <f>F452*G452</f>
        <v>0</v>
      </c>
    </row>
    <row r="453" spans="1:62">
      <c r="C453" s="16" t="s">
        <v>609</v>
      </c>
      <c r="D453" s="919" t="s">
        <v>1617</v>
      </c>
      <c r="E453" s="920"/>
      <c r="F453" s="920"/>
      <c r="G453" s="920"/>
      <c r="H453" s="920"/>
      <c r="I453" s="920"/>
      <c r="J453" s="920"/>
      <c r="K453" s="920"/>
      <c r="L453" s="920"/>
      <c r="M453" s="920"/>
    </row>
    <row r="454" spans="1:62">
      <c r="A454" s="5" t="s">
        <v>328</v>
      </c>
      <c r="B454" s="5"/>
      <c r="C454" s="5" t="s">
        <v>925</v>
      </c>
      <c r="D454" s="5" t="s">
        <v>1618</v>
      </c>
      <c r="E454" s="5" t="s">
        <v>1938</v>
      </c>
      <c r="F454" s="21">
        <v>1</v>
      </c>
      <c r="G454" s="753">
        <v>0</v>
      </c>
      <c r="H454" s="21">
        <f>F454*AO454</f>
        <v>0</v>
      </c>
      <c r="I454" s="21">
        <f>F454*AP454</f>
        <v>0</v>
      </c>
      <c r="J454" s="21">
        <f>F454*G454</f>
        <v>0</v>
      </c>
      <c r="K454" s="21">
        <v>0</v>
      </c>
      <c r="L454" s="21">
        <f>F454*K454</f>
        <v>0</v>
      </c>
      <c r="M454" s="34" t="s">
        <v>1960</v>
      </c>
      <c r="Z454" s="39">
        <f>IF(AQ454="5",BJ454,0)</f>
        <v>0</v>
      </c>
      <c r="AB454" s="39">
        <f>IF(AQ454="1",BH454,0)</f>
        <v>0</v>
      </c>
      <c r="AC454" s="39">
        <f>IF(AQ454="1",BI454,0)</f>
        <v>0</v>
      </c>
      <c r="AD454" s="39">
        <f>IF(AQ454="7",BH454,0)</f>
        <v>0</v>
      </c>
      <c r="AE454" s="39">
        <f>IF(AQ454="7",BI454,0)</f>
        <v>0</v>
      </c>
      <c r="AF454" s="39">
        <f>IF(AQ454="2",BH454,0)</f>
        <v>0</v>
      </c>
      <c r="AG454" s="39">
        <f>IF(AQ454="2",BI454,0)</f>
        <v>0</v>
      </c>
      <c r="AH454" s="39">
        <f>IF(AQ454="0",BJ454,0)</f>
        <v>0</v>
      </c>
      <c r="AI454" s="30"/>
      <c r="AJ454" s="21">
        <f>IF(AN454=0,J454,0)</f>
        <v>0</v>
      </c>
      <c r="AK454" s="21">
        <f>IF(AN454=15,J454,0)</f>
        <v>0</v>
      </c>
      <c r="AL454" s="21">
        <f>IF(AN454=21,J454,0)</f>
        <v>0</v>
      </c>
      <c r="AN454" s="39">
        <v>21</v>
      </c>
      <c r="AO454" s="39">
        <f>G454*0.70834348272323</f>
        <v>0</v>
      </c>
      <c r="AP454" s="39">
        <f>G454*(1-0.70834348272323)</f>
        <v>0</v>
      </c>
      <c r="AQ454" s="34" t="s">
        <v>11</v>
      </c>
      <c r="AV454" s="39">
        <f>AW454+AX454</f>
        <v>0</v>
      </c>
      <c r="AW454" s="39">
        <f>F454*AO454</f>
        <v>0</v>
      </c>
      <c r="AX454" s="39">
        <f>F454*AP454</f>
        <v>0</v>
      </c>
      <c r="AY454" s="40" t="s">
        <v>2009</v>
      </c>
      <c r="AZ454" s="40" t="s">
        <v>2039</v>
      </c>
      <c r="BA454" s="30" t="s">
        <v>2045</v>
      </c>
      <c r="BC454" s="39">
        <f>AW454+AX454</f>
        <v>0</v>
      </c>
      <c r="BD454" s="39">
        <f>G454/(100-BE454)*100</f>
        <v>0</v>
      </c>
      <c r="BE454" s="39">
        <v>0</v>
      </c>
      <c r="BF454" s="39">
        <f>L454</f>
        <v>0</v>
      </c>
      <c r="BH454" s="21">
        <f>F454*AO454</f>
        <v>0</v>
      </c>
      <c r="BI454" s="21">
        <f>F454*AP454</f>
        <v>0</v>
      </c>
      <c r="BJ454" s="21">
        <f>F454*G454</f>
        <v>0</v>
      </c>
    </row>
    <row r="455" spans="1:62">
      <c r="C455" s="16" t="s">
        <v>609</v>
      </c>
      <c r="D455" s="919" t="s">
        <v>1617</v>
      </c>
      <c r="E455" s="920"/>
      <c r="F455" s="920"/>
      <c r="G455" s="920"/>
      <c r="H455" s="920"/>
      <c r="I455" s="920"/>
      <c r="J455" s="920"/>
      <c r="K455" s="920"/>
      <c r="L455" s="920"/>
      <c r="M455" s="920"/>
    </row>
    <row r="456" spans="1:62">
      <c r="A456" s="5" t="s">
        <v>329</v>
      </c>
      <c r="B456" s="5"/>
      <c r="C456" s="5" t="s">
        <v>926</v>
      </c>
      <c r="D456" s="5" t="s">
        <v>1619</v>
      </c>
      <c r="E456" s="5" t="s">
        <v>1939</v>
      </c>
      <c r="F456" s="21">
        <v>11</v>
      </c>
      <c r="G456" s="753">
        <v>0</v>
      </c>
      <c r="H456" s="21">
        <f>F456*AO456</f>
        <v>0</v>
      </c>
      <c r="I456" s="21">
        <f>F456*AP456</f>
        <v>0</v>
      </c>
      <c r="J456" s="21">
        <f>F456*G456</f>
        <v>0</v>
      </c>
      <c r="K456" s="21">
        <v>1.31E-3</v>
      </c>
      <c r="L456" s="21">
        <f>F456*K456</f>
        <v>1.4409999999999999E-2</v>
      </c>
      <c r="M456" s="34" t="s">
        <v>1961</v>
      </c>
      <c r="Z456" s="39">
        <f>IF(AQ456="5",BJ456,0)</f>
        <v>0</v>
      </c>
      <c r="AB456" s="39">
        <f>IF(AQ456="1",BH456,0)</f>
        <v>0</v>
      </c>
      <c r="AC456" s="39">
        <f>IF(AQ456="1",BI456,0)</f>
        <v>0</v>
      </c>
      <c r="AD456" s="39">
        <f>IF(AQ456="7",BH456,0)</f>
        <v>0</v>
      </c>
      <c r="AE456" s="39">
        <f>IF(AQ456="7",BI456,0)</f>
        <v>0</v>
      </c>
      <c r="AF456" s="39">
        <f>IF(AQ456="2",BH456,0)</f>
        <v>0</v>
      </c>
      <c r="AG456" s="39">
        <f>IF(AQ456="2",BI456,0)</f>
        <v>0</v>
      </c>
      <c r="AH456" s="39">
        <f>IF(AQ456="0",BJ456,0)</f>
        <v>0</v>
      </c>
      <c r="AI456" s="30"/>
      <c r="AJ456" s="21">
        <f>IF(AN456=0,J456,0)</f>
        <v>0</v>
      </c>
      <c r="AK456" s="21">
        <f>IF(AN456=15,J456,0)</f>
        <v>0</v>
      </c>
      <c r="AL456" s="21">
        <f>IF(AN456=21,J456,0)</f>
        <v>0</v>
      </c>
      <c r="AN456" s="39">
        <v>21</v>
      </c>
      <c r="AO456" s="39">
        <f>G456*0.409955022488756</f>
        <v>0</v>
      </c>
      <c r="AP456" s="39">
        <f>G456*(1-0.409955022488756)</f>
        <v>0</v>
      </c>
      <c r="AQ456" s="34" t="s">
        <v>11</v>
      </c>
      <c r="AV456" s="39">
        <f>AW456+AX456</f>
        <v>0</v>
      </c>
      <c r="AW456" s="39">
        <f>F456*AO456</f>
        <v>0</v>
      </c>
      <c r="AX456" s="39">
        <f>F456*AP456</f>
        <v>0</v>
      </c>
      <c r="AY456" s="40" t="s">
        <v>2009</v>
      </c>
      <c r="AZ456" s="40" t="s">
        <v>2039</v>
      </c>
      <c r="BA456" s="30" t="s">
        <v>2045</v>
      </c>
      <c r="BC456" s="39">
        <f>AW456+AX456</f>
        <v>0</v>
      </c>
      <c r="BD456" s="39">
        <f>G456/(100-BE456)*100</f>
        <v>0</v>
      </c>
      <c r="BE456" s="39">
        <v>0</v>
      </c>
      <c r="BF456" s="39">
        <f>L456</f>
        <v>1.4409999999999999E-2</v>
      </c>
      <c r="BH456" s="21">
        <f>F456*AO456</f>
        <v>0</v>
      </c>
      <c r="BI456" s="21">
        <f>F456*AP456</f>
        <v>0</v>
      </c>
      <c r="BJ456" s="21">
        <f>F456*G456</f>
        <v>0</v>
      </c>
    </row>
    <row r="457" spans="1:62">
      <c r="A457" s="5" t="s">
        <v>330</v>
      </c>
      <c r="B457" s="5"/>
      <c r="C457" s="5" t="s">
        <v>927</v>
      </c>
      <c r="D457" s="5" t="s">
        <v>1620</v>
      </c>
      <c r="E457" s="5" t="s">
        <v>1939</v>
      </c>
      <c r="F457" s="21">
        <v>16</v>
      </c>
      <c r="G457" s="753">
        <v>0</v>
      </c>
      <c r="H457" s="21">
        <f>F457*AO457</f>
        <v>0</v>
      </c>
      <c r="I457" s="21">
        <f>F457*AP457</f>
        <v>0</v>
      </c>
      <c r="J457" s="21">
        <f>F457*G457</f>
        <v>0</v>
      </c>
      <c r="K457" s="21">
        <v>1.6100000000000001E-3</v>
      </c>
      <c r="L457" s="21">
        <f>F457*K457</f>
        <v>2.5760000000000002E-2</v>
      </c>
      <c r="M457" s="34" t="s">
        <v>1961</v>
      </c>
      <c r="Z457" s="39">
        <f>IF(AQ457="5",BJ457,0)</f>
        <v>0</v>
      </c>
      <c r="AB457" s="39">
        <f>IF(AQ457="1",BH457,0)</f>
        <v>0</v>
      </c>
      <c r="AC457" s="39">
        <f>IF(AQ457="1",BI457,0)</f>
        <v>0</v>
      </c>
      <c r="AD457" s="39">
        <f>IF(AQ457="7",BH457,0)</f>
        <v>0</v>
      </c>
      <c r="AE457" s="39">
        <f>IF(AQ457="7",BI457,0)</f>
        <v>0</v>
      </c>
      <c r="AF457" s="39">
        <f>IF(AQ457="2",BH457,0)</f>
        <v>0</v>
      </c>
      <c r="AG457" s="39">
        <f>IF(AQ457="2",BI457,0)</f>
        <v>0</v>
      </c>
      <c r="AH457" s="39">
        <f>IF(AQ457="0",BJ457,0)</f>
        <v>0</v>
      </c>
      <c r="AI457" s="30"/>
      <c r="AJ457" s="21">
        <f>IF(AN457=0,J457,0)</f>
        <v>0</v>
      </c>
      <c r="AK457" s="21">
        <f>IF(AN457=15,J457,0)</f>
        <v>0</v>
      </c>
      <c r="AL457" s="21">
        <f>IF(AN457=21,J457,0)</f>
        <v>0</v>
      </c>
      <c r="AN457" s="39">
        <v>21</v>
      </c>
      <c r="AO457" s="39">
        <f>G457*0.643333333333333</f>
        <v>0</v>
      </c>
      <c r="AP457" s="39">
        <f>G457*(1-0.643333333333333)</f>
        <v>0</v>
      </c>
      <c r="AQ457" s="34" t="s">
        <v>11</v>
      </c>
      <c r="AV457" s="39">
        <f>AW457+AX457</f>
        <v>0</v>
      </c>
      <c r="AW457" s="39">
        <f>F457*AO457</f>
        <v>0</v>
      </c>
      <c r="AX457" s="39">
        <f>F457*AP457</f>
        <v>0</v>
      </c>
      <c r="AY457" s="40" t="s">
        <v>2009</v>
      </c>
      <c r="AZ457" s="40" t="s">
        <v>2039</v>
      </c>
      <c r="BA457" s="30" t="s">
        <v>2045</v>
      </c>
      <c r="BC457" s="39">
        <f>AW457+AX457</f>
        <v>0</v>
      </c>
      <c r="BD457" s="39">
        <f>G457/(100-BE457)*100</f>
        <v>0</v>
      </c>
      <c r="BE457" s="39">
        <v>0</v>
      </c>
      <c r="BF457" s="39">
        <f>L457</f>
        <v>2.5760000000000002E-2</v>
      </c>
      <c r="BH457" s="21">
        <f>F457*AO457</f>
        <v>0</v>
      </c>
      <c r="BI457" s="21">
        <f>F457*AP457</f>
        <v>0</v>
      </c>
      <c r="BJ457" s="21">
        <f>F457*G457</f>
        <v>0</v>
      </c>
    </row>
    <row r="458" spans="1:62">
      <c r="A458" s="5" t="s">
        <v>331</v>
      </c>
      <c r="B458" s="5"/>
      <c r="C458" s="5" t="s">
        <v>928</v>
      </c>
      <c r="D458" s="5" t="s">
        <v>1621</v>
      </c>
      <c r="E458" s="5" t="s">
        <v>1945</v>
      </c>
      <c r="F458" s="753">
        <v>0</v>
      </c>
      <c r="G458" s="753">
        <v>0</v>
      </c>
      <c r="H458" s="21">
        <f>F458*AO458</f>
        <v>0</v>
      </c>
      <c r="I458" s="21">
        <f>F458*AP458</f>
        <v>0</v>
      </c>
      <c r="J458" s="21">
        <f>F458*G458</f>
        <v>0</v>
      </c>
      <c r="K458" s="21">
        <v>0</v>
      </c>
      <c r="L458" s="21">
        <f>F458*K458</f>
        <v>0</v>
      </c>
      <c r="M458" s="34" t="s">
        <v>1961</v>
      </c>
      <c r="Z458" s="39">
        <f>IF(AQ458="5",BJ458,0)</f>
        <v>0</v>
      </c>
      <c r="AB458" s="39">
        <f>IF(AQ458="1",BH458,0)</f>
        <v>0</v>
      </c>
      <c r="AC458" s="39">
        <f>IF(AQ458="1",BI458,0)</f>
        <v>0</v>
      </c>
      <c r="AD458" s="39">
        <f>IF(AQ458="7",BH458,0)</f>
        <v>0</v>
      </c>
      <c r="AE458" s="39">
        <f>IF(AQ458="7",BI458,0)</f>
        <v>0</v>
      </c>
      <c r="AF458" s="39">
        <f>IF(AQ458="2",BH458,0)</f>
        <v>0</v>
      </c>
      <c r="AG458" s="39">
        <f>IF(AQ458="2",BI458,0)</f>
        <v>0</v>
      </c>
      <c r="AH458" s="39">
        <f>IF(AQ458="0",BJ458,0)</f>
        <v>0</v>
      </c>
      <c r="AI458" s="30"/>
      <c r="AJ458" s="21">
        <f>IF(AN458=0,J458,0)</f>
        <v>0</v>
      </c>
      <c r="AK458" s="21">
        <f>IF(AN458=15,J458,0)</f>
        <v>0</v>
      </c>
      <c r="AL458" s="21">
        <f>IF(AN458=21,J458,0)</f>
        <v>0</v>
      </c>
      <c r="AN458" s="39">
        <v>21</v>
      </c>
      <c r="AO458" s="39">
        <f>G458*0</f>
        <v>0</v>
      </c>
      <c r="AP458" s="39">
        <f>G458*(1-0)</f>
        <v>0</v>
      </c>
      <c r="AQ458" s="34" t="s">
        <v>9</v>
      </c>
      <c r="AV458" s="39">
        <f>AW458+AX458</f>
        <v>0</v>
      </c>
      <c r="AW458" s="39">
        <f>F458*AO458</f>
        <v>0</v>
      </c>
      <c r="AX458" s="39">
        <f>F458*AP458</f>
        <v>0</v>
      </c>
      <c r="AY458" s="40" t="s">
        <v>2009</v>
      </c>
      <c r="AZ458" s="40" t="s">
        <v>2039</v>
      </c>
      <c r="BA458" s="30" t="s">
        <v>2045</v>
      </c>
      <c r="BC458" s="39">
        <f>AW458+AX458</f>
        <v>0</v>
      </c>
      <c r="BD458" s="39">
        <f>G458/(100-BE458)*100</f>
        <v>0</v>
      </c>
      <c r="BE458" s="39">
        <v>0</v>
      </c>
      <c r="BF458" s="39">
        <f>L458</f>
        <v>0</v>
      </c>
      <c r="BH458" s="21">
        <f>F458*AO458</f>
        <v>0</v>
      </c>
      <c r="BI458" s="21">
        <f>F458*AP458</f>
        <v>0</v>
      </c>
      <c r="BJ458" s="21">
        <f>F458*G458</f>
        <v>0</v>
      </c>
    </row>
    <row r="459" spans="1:62">
      <c r="A459" s="4"/>
      <c r="B459" s="14"/>
      <c r="C459" s="14" t="s">
        <v>929</v>
      </c>
      <c r="D459" s="14" t="s">
        <v>1622</v>
      </c>
      <c r="E459" s="4" t="s">
        <v>4</v>
      </c>
      <c r="F459" s="4" t="s">
        <v>4</v>
      </c>
      <c r="G459" s="4" t="s">
        <v>4</v>
      </c>
      <c r="H459" s="42">
        <f>SUM(H460:H485)</f>
        <v>0</v>
      </c>
      <c r="I459" s="42">
        <f>SUM(I460:I485)</f>
        <v>0</v>
      </c>
      <c r="J459" s="42">
        <f>SUM(J460:J485)</f>
        <v>0</v>
      </c>
      <c r="K459" s="30"/>
      <c r="L459" s="42">
        <f>SUM(L460:L485)</f>
        <v>0.12609000000000001</v>
      </c>
      <c r="M459" s="30"/>
      <c r="AI459" s="30"/>
      <c r="AS459" s="42">
        <f>SUM(AJ460:AJ485)</f>
        <v>0</v>
      </c>
      <c r="AT459" s="42">
        <f>SUM(AK460:AK485)</f>
        <v>0</v>
      </c>
      <c r="AU459" s="42">
        <f>SUM(AL460:AL485)</f>
        <v>0</v>
      </c>
    </row>
    <row r="460" spans="1:62">
      <c r="A460" s="5" t="s">
        <v>332</v>
      </c>
      <c r="B460" s="5"/>
      <c r="C460" s="5" t="s">
        <v>930</v>
      </c>
      <c r="D460" s="5" t="s">
        <v>1623</v>
      </c>
      <c r="E460" s="5" t="s">
        <v>1938</v>
      </c>
      <c r="F460" s="21">
        <v>3</v>
      </c>
      <c r="G460" s="753">
        <v>0</v>
      </c>
      <c r="H460" s="21">
        <f t="shared" ref="H460:H465" si="362">F460*AO460</f>
        <v>0</v>
      </c>
      <c r="I460" s="21">
        <f t="shared" ref="I460:I465" si="363">F460*AP460</f>
        <v>0</v>
      </c>
      <c r="J460" s="21">
        <f t="shared" ref="J460:J465" si="364">F460*G460</f>
        <v>0</v>
      </c>
      <c r="K460" s="21">
        <v>2.0600000000000002E-3</v>
      </c>
      <c r="L460" s="21">
        <f t="shared" ref="L460:L465" si="365">F460*K460</f>
        <v>6.1800000000000006E-3</v>
      </c>
      <c r="M460" s="34" t="s">
        <v>1960</v>
      </c>
      <c r="Z460" s="39">
        <f t="shared" ref="Z460:Z465" si="366">IF(AQ460="5",BJ460,0)</f>
        <v>0</v>
      </c>
      <c r="AB460" s="39">
        <f t="shared" ref="AB460:AB465" si="367">IF(AQ460="1",BH460,0)</f>
        <v>0</v>
      </c>
      <c r="AC460" s="39">
        <f t="shared" ref="AC460:AC465" si="368">IF(AQ460="1",BI460,0)</f>
        <v>0</v>
      </c>
      <c r="AD460" s="39">
        <f t="shared" ref="AD460:AD465" si="369">IF(AQ460="7",BH460,0)</f>
        <v>0</v>
      </c>
      <c r="AE460" s="39">
        <f t="shared" ref="AE460:AE465" si="370">IF(AQ460="7",BI460,0)</f>
        <v>0</v>
      </c>
      <c r="AF460" s="39">
        <f t="shared" ref="AF460:AF465" si="371">IF(AQ460="2",BH460,0)</f>
        <v>0</v>
      </c>
      <c r="AG460" s="39">
        <f t="shared" ref="AG460:AG465" si="372">IF(AQ460="2",BI460,0)</f>
        <v>0</v>
      </c>
      <c r="AH460" s="39">
        <f t="shared" ref="AH460:AH465" si="373">IF(AQ460="0",BJ460,0)</f>
        <v>0</v>
      </c>
      <c r="AI460" s="30"/>
      <c r="AJ460" s="21">
        <f t="shared" ref="AJ460:AJ465" si="374">IF(AN460=0,J460,0)</f>
        <v>0</v>
      </c>
      <c r="AK460" s="21">
        <f t="shared" ref="AK460:AK465" si="375">IF(AN460=15,J460,0)</f>
        <v>0</v>
      </c>
      <c r="AL460" s="21">
        <f t="shared" ref="AL460:AL465" si="376">IF(AN460=21,J460,0)</f>
        <v>0</v>
      </c>
      <c r="AN460" s="39">
        <v>21</v>
      </c>
      <c r="AO460" s="39">
        <f>G460*0.920955555555556</f>
        <v>0</v>
      </c>
      <c r="AP460" s="39">
        <f>G460*(1-0.920955555555556)</f>
        <v>0</v>
      </c>
      <c r="AQ460" s="34" t="s">
        <v>11</v>
      </c>
      <c r="AV460" s="39">
        <f t="shared" ref="AV460:AV465" si="377">AW460+AX460</f>
        <v>0</v>
      </c>
      <c r="AW460" s="39">
        <f t="shared" ref="AW460:AW465" si="378">F460*AO460</f>
        <v>0</v>
      </c>
      <c r="AX460" s="39">
        <f t="shared" ref="AX460:AX465" si="379">F460*AP460</f>
        <v>0</v>
      </c>
      <c r="AY460" s="40" t="s">
        <v>2010</v>
      </c>
      <c r="AZ460" s="40" t="s">
        <v>2039</v>
      </c>
      <c r="BA460" s="30" t="s">
        <v>2045</v>
      </c>
      <c r="BC460" s="39">
        <f t="shared" ref="BC460:BC465" si="380">AW460+AX460</f>
        <v>0</v>
      </c>
      <c r="BD460" s="39">
        <f t="shared" ref="BD460:BD465" si="381">G460/(100-BE460)*100</f>
        <v>0</v>
      </c>
      <c r="BE460" s="39">
        <v>0</v>
      </c>
      <c r="BF460" s="39">
        <f t="shared" ref="BF460:BF465" si="382">L460</f>
        <v>6.1800000000000006E-3</v>
      </c>
      <c r="BH460" s="21">
        <f t="shared" ref="BH460:BH465" si="383">F460*AO460</f>
        <v>0</v>
      </c>
      <c r="BI460" s="21">
        <f t="shared" ref="BI460:BI465" si="384">F460*AP460</f>
        <v>0</v>
      </c>
      <c r="BJ460" s="21">
        <f t="shared" ref="BJ460:BJ465" si="385">F460*G460</f>
        <v>0</v>
      </c>
    </row>
    <row r="461" spans="1:62">
      <c r="A461" s="5" t="s">
        <v>333</v>
      </c>
      <c r="B461" s="5"/>
      <c r="C461" s="5" t="s">
        <v>931</v>
      </c>
      <c r="D461" s="5" t="s">
        <v>1624</v>
      </c>
      <c r="E461" s="5" t="s">
        <v>1938</v>
      </c>
      <c r="F461" s="21">
        <v>11</v>
      </c>
      <c r="G461" s="753">
        <v>0</v>
      </c>
      <c r="H461" s="21">
        <f t="shared" si="362"/>
        <v>0</v>
      </c>
      <c r="I461" s="21">
        <f t="shared" si="363"/>
        <v>0</v>
      </c>
      <c r="J461" s="21">
        <f t="shared" si="364"/>
        <v>0</v>
      </c>
      <c r="K461" s="21">
        <v>2.5999999999999998E-4</v>
      </c>
      <c r="L461" s="21">
        <f t="shared" si="365"/>
        <v>2.8599999999999997E-3</v>
      </c>
      <c r="M461" s="34" t="s">
        <v>1961</v>
      </c>
      <c r="Z461" s="39">
        <f t="shared" si="366"/>
        <v>0</v>
      </c>
      <c r="AB461" s="39">
        <f t="shared" si="367"/>
        <v>0</v>
      </c>
      <c r="AC461" s="39">
        <f t="shared" si="368"/>
        <v>0</v>
      </c>
      <c r="AD461" s="39">
        <f t="shared" si="369"/>
        <v>0</v>
      </c>
      <c r="AE461" s="39">
        <f t="shared" si="370"/>
        <v>0</v>
      </c>
      <c r="AF461" s="39">
        <f t="shared" si="371"/>
        <v>0</v>
      </c>
      <c r="AG461" s="39">
        <f t="shared" si="372"/>
        <v>0</v>
      </c>
      <c r="AH461" s="39">
        <f t="shared" si="373"/>
        <v>0</v>
      </c>
      <c r="AI461" s="30"/>
      <c r="AJ461" s="21">
        <f t="shared" si="374"/>
        <v>0</v>
      </c>
      <c r="AK461" s="21">
        <f t="shared" si="375"/>
        <v>0</v>
      </c>
      <c r="AL461" s="21">
        <f t="shared" si="376"/>
        <v>0</v>
      </c>
      <c r="AN461" s="39">
        <v>21</v>
      </c>
      <c r="AO461" s="39">
        <f>G461*0.784114164097247</f>
        <v>0</v>
      </c>
      <c r="AP461" s="39">
        <f>G461*(1-0.784114164097247)</f>
        <v>0</v>
      </c>
      <c r="AQ461" s="34" t="s">
        <v>11</v>
      </c>
      <c r="AV461" s="39">
        <f t="shared" si="377"/>
        <v>0</v>
      </c>
      <c r="AW461" s="39">
        <f t="shared" si="378"/>
        <v>0</v>
      </c>
      <c r="AX461" s="39">
        <f t="shared" si="379"/>
        <v>0</v>
      </c>
      <c r="AY461" s="40" t="s">
        <v>2010</v>
      </c>
      <c r="AZ461" s="40" t="s">
        <v>2039</v>
      </c>
      <c r="BA461" s="30" t="s">
        <v>2045</v>
      </c>
      <c r="BC461" s="39">
        <f t="shared" si="380"/>
        <v>0</v>
      </c>
      <c r="BD461" s="39">
        <f t="shared" si="381"/>
        <v>0</v>
      </c>
      <c r="BE461" s="39">
        <v>0</v>
      </c>
      <c r="BF461" s="39">
        <f t="shared" si="382"/>
        <v>2.8599999999999997E-3</v>
      </c>
      <c r="BH461" s="21">
        <f t="shared" si="383"/>
        <v>0</v>
      </c>
      <c r="BI461" s="21">
        <f t="shared" si="384"/>
        <v>0</v>
      </c>
      <c r="BJ461" s="21">
        <f t="shared" si="385"/>
        <v>0</v>
      </c>
    </row>
    <row r="462" spans="1:62">
      <c r="A462" s="5" t="s">
        <v>334</v>
      </c>
      <c r="B462" s="5"/>
      <c r="C462" s="5" t="s">
        <v>932</v>
      </c>
      <c r="D462" s="5" t="s">
        <v>1625</v>
      </c>
      <c r="E462" s="5" t="s">
        <v>1938</v>
      </c>
      <c r="F462" s="21">
        <v>32</v>
      </c>
      <c r="G462" s="753">
        <v>0</v>
      </c>
      <c r="H462" s="21">
        <f t="shared" si="362"/>
        <v>0</v>
      </c>
      <c r="I462" s="21">
        <f t="shared" si="363"/>
        <v>0</v>
      </c>
      <c r="J462" s="21">
        <f t="shared" si="364"/>
        <v>0</v>
      </c>
      <c r="K462" s="21">
        <v>2.0600000000000002E-3</v>
      </c>
      <c r="L462" s="21">
        <f t="shared" si="365"/>
        <v>6.5920000000000006E-2</v>
      </c>
      <c r="M462" s="34" t="s">
        <v>1961</v>
      </c>
      <c r="Z462" s="39">
        <f t="shared" si="366"/>
        <v>0</v>
      </c>
      <c r="AB462" s="39">
        <f t="shared" si="367"/>
        <v>0</v>
      </c>
      <c r="AC462" s="39">
        <f t="shared" si="368"/>
        <v>0</v>
      </c>
      <c r="AD462" s="39">
        <f t="shared" si="369"/>
        <v>0</v>
      </c>
      <c r="AE462" s="39">
        <f t="shared" si="370"/>
        <v>0</v>
      </c>
      <c r="AF462" s="39">
        <f t="shared" si="371"/>
        <v>0</v>
      </c>
      <c r="AG462" s="39">
        <f t="shared" si="372"/>
        <v>0</v>
      </c>
      <c r="AH462" s="39">
        <f t="shared" si="373"/>
        <v>0</v>
      </c>
      <c r="AI462" s="30"/>
      <c r="AJ462" s="21">
        <f t="shared" si="374"/>
        <v>0</v>
      </c>
      <c r="AK462" s="21">
        <f t="shared" si="375"/>
        <v>0</v>
      </c>
      <c r="AL462" s="21">
        <f t="shared" si="376"/>
        <v>0</v>
      </c>
      <c r="AN462" s="39">
        <v>21</v>
      </c>
      <c r="AO462" s="39">
        <f>G462*0.928097345132743</f>
        <v>0</v>
      </c>
      <c r="AP462" s="39">
        <f>G462*(1-0.928097345132743)</f>
        <v>0</v>
      </c>
      <c r="AQ462" s="34" t="s">
        <v>11</v>
      </c>
      <c r="AV462" s="39">
        <f t="shared" si="377"/>
        <v>0</v>
      </c>
      <c r="AW462" s="39">
        <f t="shared" si="378"/>
        <v>0</v>
      </c>
      <c r="AX462" s="39">
        <f t="shared" si="379"/>
        <v>0</v>
      </c>
      <c r="AY462" s="40" t="s">
        <v>2010</v>
      </c>
      <c r="AZ462" s="40" t="s">
        <v>2039</v>
      </c>
      <c r="BA462" s="30" t="s">
        <v>2045</v>
      </c>
      <c r="BC462" s="39">
        <f t="shared" si="380"/>
        <v>0</v>
      </c>
      <c r="BD462" s="39">
        <f t="shared" si="381"/>
        <v>0</v>
      </c>
      <c r="BE462" s="39">
        <v>0</v>
      </c>
      <c r="BF462" s="39">
        <f t="shared" si="382"/>
        <v>6.5920000000000006E-2</v>
      </c>
      <c r="BH462" s="21">
        <f t="shared" si="383"/>
        <v>0</v>
      </c>
      <c r="BI462" s="21">
        <f t="shared" si="384"/>
        <v>0</v>
      </c>
      <c r="BJ462" s="21">
        <f t="shared" si="385"/>
        <v>0</v>
      </c>
    </row>
    <row r="463" spans="1:62">
      <c r="A463" s="5" t="s">
        <v>335</v>
      </c>
      <c r="B463" s="5"/>
      <c r="C463" s="5" t="s">
        <v>933</v>
      </c>
      <c r="D463" s="5" t="s">
        <v>1626</v>
      </c>
      <c r="E463" s="5" t="s">
        <v>1938</v>
      </c>
      <c r="F463" s="21">
        <v>11</v>
      </c>
      <c r="G463" s="753">
        <v>0</v>
      </c>
      <c r="H463" s="21">
        <f t="shared" si="362"/>
        <v>0</v>
      </c>
      <c r="I463" s="21">
        <f t="shared" si="363"/>
        <v>0</v>
      </c>
      <c r="J463" s="21">
        <f t="shared" si="364"/>
        <v>0</v>
      </c>
      <c r="K463" s="21">
        <v>1.6000000000000001E-4</v>
      </c>
      <c r="L463" s="21">
        <f t="shared" si="365"/>
        <v>1.7600000000000001E-3</v>
      </c>
      <c r="M463" s="34" t="s">
        <v>1961</v>
      </c>
      <c r="Z463" s="39">
        <f t="shared" si="366"/>
        <v>0</v>
      </c>
      <c r="AB463" s="39">
        <f t="shared" si="367"/>
        <v>0</v>
      </c>
      <c r="AC463" s="39">
        <f t="shared" si="368"/>
        <v>0</v>
      </c>
      <c r="AD463" s="39">
        <f t="shared" si="369"/>
        <v>0</v>
      </c>
      <c r="AE463" s="39">
        <f t="shared" si="370"/>
        <v>0</v>
      </c>
      <c r="AF463" s="39">
        <f t="shared" si="371"/>
        <v>0</v>
      </c>
      <c r="AG463" s="39">
        <f t="shared" si="372"/>
        <v>0</v>
      </c>
      <c r="AH463" s="39">
        <f t="shared" si="373"/>
        <v>0</v>
      </c>
      <c r="AI463" s="30"/>
      <c r="AJ463" s="21">
        <f t="shared" si="374"/>
        <v>0</v>
      </c>
      <c r="AK463" s="21">
        <f t="shared" si="375"/>
        <v>0</v>
      </c>
      <c r="AL463" s="21">
        <f t="shared" si="376"/>
        <v>0</v>
      </c>
      <c r="AN463" s="39">
        <v>21</v>
      </c>
      <c r="AO463" s="39">
        <f>G463*0.903659976387249</f>
        <v>0</v>
      </c>
      <c r="AP463" s="39">
        <f>G463*(1-0.903659976387249)</f>
        <v>0</v>
      </c>
      <c r="AQ463" s="34" t="s">
        <v>11</v>
      </c>
      <c r="AV463" s="39">
        <f t="shared" si="377"/>
        <v>0</v>
      </c>
      <c r="AW463" s="39">
        <f t="shared" si="378"/>
        <v>0</v>
      </c>
      <c r="AX463" s="39">
        <f t="shared" si="379"/>
        <v>0</v>
      </c>
      <c r="AY463" s="40" t="s">
        <v>2010</v>
      </c>
      <c r="AZ463" s="40" t="s">
        <v>2039</v>
      </c>
      <c r="BA463" s="30" t="s">
        <v>2045</v>
      </c>
      <c r="BC463" s="39">
        <f t="shared" si="380"/>
        <v>0</v>
      </c>
      <c r="BD463" s="39">
        <f t="shared" si="381"/>
        <v>0</v>
      </c>
      <c r="BE463" s="39">
        <v>0</v>
      </c>
      <c r="BF463" s="39">
        <f t="shared" si="382"/>
        <v>1.7600000000000001E-3</v>
      </c>
      <c r="BH463" s="21">
        <f t="shared" si="383"/>
        <v>0</v>
      </c>
      <c r="BI463" s="21">
        <f t="shared" si="384"/>
        <v>0</v>
      </c>
      <c r="BJ463" s="21">
        <f t="shared" si="385"/>
        <v>0</v>
      </c>
    </row>
    <row r="464" spans="1:62">
      <c r="A464" s="5" t="s">
        <v>336</v>
      </c>
      <c r="B464" s="5"/>
      <c r="C464" s="5" t="s">
        <v>934</v>
      </c>
      <c r="D464" s="5" t="s">
        <v>1627</v>
      </c>
      <c r="E464" s="5" t="s">
        <v>1938</v>
      </c>
      <c r="F464" s="21">
        <v>9</v>
      </c>
      <c r="G464" s="753">
        <v>0</v>
      </c>
      <c r="H464" s="21">
        <f t="shared" si="362"/>
        <v>0</v>
      </c>
      <c r="I464" s="21">
        <f t="shared" si="363"/>
        <v>0</v>
      </c>
      <c r="J464" s="21">
        <f t="shared" si="364"/>
        <v>0</v>
      </c>
      <c r="K464" s="21">
        <v>3.0000000000000001E-5</v>
      </c>
      <c r="L464" s="21">
        <f t="shared" si="365"/>
        <v>2.7E-4</v>
      </c>
      <c r="M464" s="34" t="s">
        <v>1960</v>
      </c>
      <c r="Z464" s="39">
        <f t="shared" si="366"/>
        <v>0</v>
      </c>
      <c r="AB464" s="39">
        <f t="shared" si="367"/>
        <v>0</v>
      </c>
      <c r="AC464" s="39">
        <f t="shared" si="368"/>
        <v>0</v>
      </c>
      <c r="AD464" s="39">
        <f t="shared" si="369"/>
        <v>0</v>
      </c>
      <c r="AE464" s="39">
        <f t="shared" si="370"/>
        <v>0</v>
      </c>
      <c r="AF464" s="39">
        <f t="shared" si="371"/>
        <v>0</v>
      </c>
      <c r="AG464" s="39">
        <f t="shared" si="372"/>
        <v>0</v>
      </c>
      <c r="AH464" s="39">
        <f t="shared" si="373"/>
        <v>0</v>
      </c>
      <c r="AI464" s="30"/>
      <c r="AJ464" s="21">
        <f t="shared" si="374"/>
        <v>0</v>
      </c>
      <c r="AK464" s="21">
        <f t="shared" si="375"/>
        <v>0</v>
      </c>
      <c r="AL464" s="21">
        <f t="shared" si="376"/>
        <v>0</v>
      </c>
      <c r="AN464" s="39">
        <v>21</v>
      </c>
      <c r="AO464" s="39">
        <f>G464*0.0649275362318841</f>
        <v>0</v>
      </c>
      <c r="AP464" s="39">
        <f>G464*(1-0.0649275362318841)</f>
        <v>0</v>
      </c>
      <c r="AQ464" s="34" t="s">
        <v>11</v>
      </c>
      <c r="AV464" s="39">
        <f t="shared" si="377"/>
        <v>0</v>
      </c>
      <c r="AW464" s="39">
        <f t="shared" si="378"/>
        <v>0</v>
      </c>
      <c r="AX464" s="39">
        <f t="shared" si="379"/>
        <v>0</v>
      </c>
      <c r="AY464" s="40" t="s">
        <v>2010</v>
      </c>
      <c r="AZ464" s="40" t="s">
        <v>2039</v>
      </c>
      <c r="BA464" s="30" t="s">
        <v>2045</v>
      </c>
      <c r="BC464" s="39">
        <f t="shared" si="380"/>
        <v>0</v>
      </c>
      <c r="BD464" s="39">
        <f t="shared" si="381"/>
        <v>0</v>
      </c>
      <c r="BE464" s="39">
        <v>0</v>
      </c>
      <c r="BF464" s="39">
        <f t="shared" si="382"/>
        <v>2.7E-4</v>
      </c>
      <c r="BH464" s="21">
        <f t="shared" si="383"/>
        <v>0</v>
      </c>
      <c r="BI464" s="21">
        <f t="shared" si="384"/>
        <v>0</v>
      </c>
      <c r="BJ464" s="21">
        <f t="shared" si="385"/>
        <v>0</v>
      </c>
    </row>
    <row r="465" spans="1:62">
      <c r="A465" s="5" t="s">
        <v>337</v>
      </c>
      <c r="B465" s="5"/>
      <c r="C465" s="5" t="s">
        <v>935</v>
      </c>
      <c r="D465" s="5" t="s">
        <v>1628</v>
      </c>
      <c r="E465" s="5" t="s">
        <v>1938</v>
      </c>
      <c r="F465" s="21">
        <v>8</v>
      </c>
      <c r="G465" s="753">
        <v>0</v>
      </c>
      <c r="H465" s="21">
        <f t="shared" si="362"/>
        <v>0</v>
      </c>
      <c r="I465" s="21">
        <f t="shared" si="363"/>
        <v>0</v>
      </c>
      <c r="J465" s="21">
        <f t="shared" si="364"/>
        <v>0</v>
      </c>
      <c r="K465" s="21">
        <v>3.0000000000000001E-5</v>
      </c>
      <c r="L465" s="21">
        <f t="shared" si="365"/>
        <v>2.4000000000000001E-4</v>
      </c>
      <c r="M465" s="34" t="s">
        <v>1960</v>
      </c>
      <c r="Z465" s="39">
        <f t="shared" si="366"/>
        <v>0</v>
      </c>
      <c r="AB465" s="39">
        <f t="shared" si="367"/>
        <v>0</v>
      </c>
      <c r="AC465" s="39">
        <f t="shared" si="368"/>
        <v>0</v>
      </c>
      <c r="AD465" s="39">
        <f t="shared" si="369"/>
        <v>0</v>
      </c>
      <c r="AE465" s="39">
        <f t="shared" si="370"/>
        <v>0</v>
      </c>
      <c r="AF465" s="39">
        <f t="shared" si="371"/>
        <v>0</v>
      </c>
      <c r="AG465" s="39">
        <f t="shared" si="372"/>
        <v>0</v>
      </c>
      <c r="AH465" s="39">
        <f t="shared" si="373"/>
        <v>0</v>
      </c>
      <c r="AI465" s="30"/>
      <c r="AJ465" s="21">
        <f t="shared" si="374"/>
        <v>0</v>
      </c>
      <c r="AK465" s="21">
        <f t="shared" si="375"/>
        <v>0</v>
      </c>
      <c r="AL465" s="21">
        <f t="shared" si="376"/>
        <v>0</v>
      </c>
      <c r="AN465" s="39">
        <v>21</v>
      </c>
      <c r="AO465" s="39">
        <f>G465*0.064928</f>
        <v>0</v>
      </c>
      <c r="AP465" s="39">
        <f>G465*(1-0.064928)</f>
        <v>0</v>
      </c>
      <c r="AQ465" s="34" t="s">
        <v>11</v>
      </c>
      <c r="AV465" s="39">
        <f t="shared" si="377"/>
        <v>0</v>
      </c>
      <c r="AW465" s="39">
        <f t="shared" si="378"/>
        <v>0</v>
      </c>
      <c r="AX465" s="39">
        <f t="shared" si="379"/>
        <v>0</v>
      </c>
      <c r="AY465" s="40" t="s">
        <v>2010</v>
      </c>
      <c r="AZ465" s="40" t="s">
        <v>2039</v>
      </c>
      <c r="BA465" s="30" t="s">
        <v>2045</v>
      </c>
      <c r="BC465" s="39">
        <f t="shared" si="380"/>
        <v>0</v>
      </c>
      <c r="BD465" s="39">
        <f t="shared" si="381"/>
        <v>0</v>
      </c>
      <c r="BE465" s="39">
        <v>0</v>
      </c>
      <c r="BF465" s="39">
        <f t="shared" si="382"/>
        <v>2.4000000000000001E-4</v>
      </c>
      <c r="BH465" s="21">
        <f t="shared" si="383"/>
        <v>0</v>
      </c>
      <c r="BI465" s="21">
        <f t="shared" si="384"/>
        <v>0</v>
      </c>
      <c r="BJ465" s="21">
        <f t="shared" si="385"/>
        <v>0</v>
      </c>
    </row>
    <row r="466" spans="1:62" ht="25.65" customHeight="1">
      <c r="C466" s="17" t="s">
        <v>605</v>
      </c>
      <c r="D466" s="917" t="s">
        <v>1629</v>
      </c>
      <c r="E466" s="918"/>
      <c r="F466" s="918"/>
      <c r="G466" s="918"/>
      <c r="H466" s="918"/>
      <c r="I466" s="918"/>
      <c r="J466" s="918"/>
      <c r="K466" s="918"/>
      <c r="L466" s="918"/>
      <c r="M466" s="918"/>
    </row>
    <row r="467" spans="1:62">
      <c r="A467" s="5" t="s">
        <v>338</v>
      </c>
      <c r="B467" s="5"/>
      <c r="C467" s="5" t="s">
        <v>936</v>
      </c>
      <c r="D467" s="5" t="s">
        <v>1630</v>
      </c>
      <c r="E467" s="5" t="s">
        <v>1938</v>
      </c>
      <c r="F467" s="21">
        <v>11</v>
      </c>
      <c r="G467" s="753">
        <v>0</v>
      </c>
      <c r="H467" s="21">
        <f>F467*AO467</f>
        <v>0</v>
      </c>
      <c r="I467" s="21">
        <f>F467*AP467</f>
        <v>0</v>
      </c>
      <c r="J467" s="21">
        <f>F467*G467</f>
        <v>0</v>
      </c>
      <c r="K467" s="21">
        <v>0</v>
      </c>
      <c r="L467" s="21">
        <f>F467*K467</f>
        <v>0</v>
      </c>
      <c r="M467" s="34" t="s">
        <v>1960</v>
      </c>
      <c r="Z467" s="39">
        <f>IF(AQ467="5",BJ467,0)</f>
        <v>0</v>
      </c>
      <c r="AB467" s="39">
        <f>IF(AQ467="1",BH467,0)</f>
        <v>0</v>
      </c>
      <c r="AC467" s="39">
        <f>IF(AQ467="1",BI467,0)</f>
        <v>0</v>
      </c>
      <c r="AD467" s="39">
        <f>IF(AQ467="7",BH467,0)</f>
        <v>0</v>
      </c>
      <c r="AE467" s="39">
        <f>IF(AQ467="7",BI467,0)</f>
        <v>0</v>
      </c>
      <c r="AF467" s="39">
        <f>IF(AQ467="2",BH467,0)</f>
        <v>0</v>
      </c>
      <c r="AG467" s="39">
        <f>IF(AQ467="2",BI467,0)</f>
        <v>0</v>
      </c>
      <c r="AH467" s="39">
        <f>IF(AQ467="0",BJ467,0)</f>
        <v>0</v>
      </c>
      <c r="AI467" s="30"/>
      <c r="AJ467" s="21">
        <f>IF(AN467=0,J467,0)</f>
        <v>0</v>
      </c>
      <c r="AK467" s="21">
        <f>IF(AN467=15,J467,0)</f>
        <v>0</v>
      </c>
      <c r="AL467" s="21">
        <f>IF(AN467=21,J467,0)</f>
        <v>0</v>
      </c>
      <c r="AN467" s="39">
        <v>21</v>
      </c>
      <c r="AO467" s="39">
        <f>G467*0.06495</f>
        <v>0</v>
      </c>
      <c r="AP467" s="39">
        <f>G467*(1-0.06495)</f>
        <v>0</v>
      </c>
      <c r="AQ467" s="34" t="s">
        <v>11</v>
      </c>
      <c r="AV467" s="39">
        <f>AW467+AX467</f>
        <v>0</v>
      </c>
      <c r="AW467" s="39">
        <f>F467*AO467</f>
        <v>0</v>
      </c>
      <c r="AX467" s="39">
        <f>F467*AP467</f>
        <v>0</v>
      </c>
      <c r="AY467" s="40" t="s">
        <v>2010</v>
      </c>
      <c r="AZ467" s="40" t="s">
        <v>2039</v>
      </c>
      <c r="BA467" s="30" t="s">
        <v>2045</v>
      </c>
      <c r="BC467" s="39">
        <f>AW467+AX467</f>
        <v>0</v>
      </c>
      <c r="BD467" s="39">
        <f>G467/(100-BE467)*100</f>
        <v>0</v>
      </c>
      <c r="BE467" s="39">
        <v>0</v>
      </c>
      <c r="BF467" s="39">
        <f>L467</f>
        <v>0</v>
      </c>
      <c r="BH467" s="21">
        <f>F467*AO467</f>
        <v>0</v>
      </c>
      <c r="BI467" s="21">
        <f>F467*AP467</f>
        <v>0</v>
      </c>
      <c r="BJ467" s="21">
        <f>F467*G467</f>
        <v>0</v>
      </c>
    </row>
    <row r="468" spans="1:62" ht="25.65" customHeight="1">
      <c r="C468" s="17" t="s">
        <v>605</v>
      </c>
      <c r="D468" s="917" t="s">
        <v>1629</v>
      </c>
      <c r="E468" s="918"/>
      <c r="F468" s="918"/>
      <c r="G468" s="918"/>
      <c r="H468" s="918"/>
      <c r="I468" s="918"/>
      <c r="J468" s="918"/>
      <c r="K468" s="918"/>
      <c r="L468" s="918"/>
      <c r="M468" s="918"/>
    </row>
    <row r="469" spans="1:62">
      <c r="A469" s="5" t="s">
        <v>339</v>
      </c>
      <c r="B469" s="5"/>
      <c r="C469" s="5" t="s">
        <v>937</v>
      </c>
      <c r="D469" s="5" t="s">
        <v>1631</v>
      </c>
      <c r="E469" s="5" t="s">
        <v>1938</v>
      </c>
      <c r="F469" s="21">
        <v>4</v>
      </c>
      <c r="G469" s="753">
        <v>0</v>
      </c>
      <c r="H469" s="21">
        <f>F469*AO469</f>
        <v>0</v>
      </c>
      <c r="I469" s="21">
        <f>F469*AP469</f>
        <v>0</v>
      </c>
      <c r="J469" s="21">
        <f>F469*G469</f>
        <v>0</v>
      </c>
      <c r="K469" s="21">
        <v>0</v>
      </c>
      <c r="L469" s="21">
        <f>F469*K469</f>
        <v>0</v>
      </c>
      <c r="M469" s="34" t="s">
        <v>1960</v>
      </c>
      <c r="Z469" s="39">
        <f>IF(AQ469="5",BJ469,0)</f>
        <v>0</v>
      </c>
      <c r="AB469" s="39">
        <f>IF(AQ469="1",BH469,0)</f>
        <v>0</v>
      </c>
      <c r="AC469" s="39">
        <f>IF(AQ469="1",BI469,0)</f>
        <v>0</v>
      </c>
      <c r="AD469" s="39">
        <f>IF(AQ469="7",BH469,0)</f>
        <v>0</v>
      </c>
      <c r="AE469" s="39">
        <f>IF(AQ469="7",BI469,0)</f>
        <v>0</v>
      </c>
      <c r="AF469" s="39">
        <f>IF(AQ469="2",BH469,0)</f>
        <v>0</v>
      </c>
      <c r="AG469" s="39">
        <f>IF(AQ469="2",BI469,0)</f>
        <v>0</v>
      </c>
      <c r="AH469" s="39">
        <f>IF(AQ469="0",BJ469,0)</f>
        <v>0</v>
      </c>
      <c r="AI469" s="30"/>
      <c r="AJ469" s="21">
        <f>IF(AN469=0,J469,0)</f>
        <v>0</v>
      </c>
      <c r="AK469" s="21">
        <f>IF(AN469=15,J469,0)</f>
        <v>0</v>
      </c>
      <c r="AL469" s="21">
        <f>IF(AN469=21,J469,0)</f>
        <v>0</v>
      </c>
      <c r="AN469" s="39">
        <v>21</v>
      </c>
      <c r="AO469" s="39">
        <f>G469*0.06496</f>
        <v>0</v>
      </c>
      <c r="AP469" s="39">
        <f>G469*(1-0.06496)</f>
        <v>0</v>
      </c>
      <c r="AQ469" s="34" t="s">
        <v>11</v>
      </c>
      <c r="AV469" s="39">
        <f>AW469+AX469</f>
        <v>0</v>
      </c>
      <c r="AW469" s="39">
        <f>F469*AO469</f>
        <v>0</v>
      </c>
      <c r="AX469" s="39">
        <f>F469*AP469</f>
        <v>0</v>
      </c>
      <c r="AY469" s="40" t="s">
        <v>2010</v>
      </c>
      <c r="AZ469" s="40" t="s">
        <v>2039</v>
      </c>
      <c r="BA469" s="30" t="s">
        <v>2045</v>
      </c>
      <c r="BC469" s="39">
        <f>AW469+AX469</f>
        <v>0</v>
      </c>
      <c r="BD469" s="39">
        <f>G469/(100-BE469)*100</f>
        <v>0</v>
      </c>
      <c r="BE469" s="39">
        <v>0</v>
      </c>
      <c r="BF469" s="39">
        <f>L469</f>
        <v>0</v>
      </c>
      <c r="BH469" s="21">
        <f>F469*AO469</f>
        <v>0</v>
      </c>
      <c r="BI469" s="21">
        <f>F469*AP469</f>
        <v>0</v>
      </c>
      <c r="BJ469" s="21">
        <f>F469*G469</f>
        <v>0</v>
      </c>
    </row>
    <row r="470" spans="1:62" ht="25.65" customHeight="1">
      <c r="C470" s="17" t="s">
        <v>605</v>
      </c>
      <c r="D470" s="917" t="s">
        <v>1629</v>
      </c>
      <c r="E470" s="918"/>
      <c r="F470" s="918"/>
      <c r="G470" s="918"/>
      <c r="H470" s="918"/>
      <c r="I470" s="918"/>
      <c r="J470" s="918"/>
      <c r="K470" s="918"/>
      <c r="L470" s="918"/>
      <c r="M470" s="918"/>
    </row>
    <row r="471" spans="1:62">
      <c r="A471" s="5" t="s">
        <v>340</v>
      </c>
      <c r="B471" s="5"/>
      <c r="C471" s="5" t="s">
        <v>938</v>
      </c>
      <c r="D471" s="5" t="s">
        <v>1632</v>
      </c>
      <c r="E471" s="5" t="s">
        <v>1938</v>
      </c>
      <c r="F471" s="21">
        <v>4</v>
      </c>
      <c r="G471" s="753">
        <v>0</v>
      </c>
      <c r="H471" s="21">
        <f>F471*AO471</f>
        <v>0</v>
      </c>
      <c r="I471" s="21">
        <f>F471*AP471</f>
        <v>0</v>
      </c>
      <c r="J471" s="21">
        <f>F471*G471</f>
        <v>0</v>
      </c>
      <c r="K471" s="21">
        <v>0</v>
      </c>
      <c r="L471" s="21">
        <f>F471*K471</f>
        <v>0</v>
      </c>
      <c r="M471" s="34" t="s">
        <v>1960</v>
      </c>
      <c r="Z471" s="39">
        <f>IF(AQ471="5",BJ471,0)</f>
        <v>0</v>
      </c>
      <c r="AB471" s="39">
        <f>IF(AQ471="1",BH471,0)</f>
        <v>0</v>
      </c>
      <c r="AC471" s="39">
        <f>IF(AQ471="1",BI471,0)</f>
        <v>0</v>
      </c>
      <c r="AD471" s="39">
        <f>IF(AQ471="7",BH471,0)</f>
        <v>0</v>
      </c>
      <c r="AE471" s="39">
        <f>IF(AQ471="7",BI471,0)</f>
        <v>0</v>
      </c>
      <c r="AF471" s="39">
        <f>IF(AQ471="2",BH471,0)</f>
        <v>0</v>
      </c>
      <c r="AG471" s="39">
        <f>IF(AQ471="2",BI471,0)</f>
        <v>0</v>
      </c>
      <c r="AH471" s="39">
        <f>IF(AQ471="0",BJ471,0)</f>
        <v>0</v>
      </c>
      <c r="AI471" s="30"/>
      <c r="AJ471" s="21">
        <f>IF(AN471=0,J471,0)</f>
        <v>0</v>
      </c>
      <c r="AK471" s="21">
        <f>IF(AN471=15,J471,0)</f>
        <v>0</v>
      </c>
      <c r="AL471" s="21">
        <f>IF(AN471=21,J471,0)</f>
        <v>0</v>
      </c>
      <c r="AN471" s="39">
        <v>21</v>
      </c>
      <c r="AO471" s="39">
        <f>G471*0.064952380952381</f>
        <v>0</v>
      </c>
      <c r="AP471" s="39">
        <f>G471*(1-0.064952380952381)</f>
        <v>0</v>
      </c>
      <c r="AQ471" s="34" t="s">
        <v>11</v>
      </c>
      <c r="AV471" s="39">
        <f>AW471+AX471</f>
        <v>0</v>
      </c>
      <c r="AW471" s="39">
        <f>F471*AO471</f>
        <v>0</v>
      </c>
      <c r="AX471" s="39">
        <f>F471*AP471</f>
        <v>0</v>
      </c>
      <c r="AY471" s="40" t="s">
        <v>2010</v>
      </c>
      <c r="AZ471" s="40" t="s">
        <v>2039</v>
      </c>
      <c r="BA471" s="30" t="s">
        <v>2045</v>
      </c>
      <c r="BC471" s="39">
        <f>AW471+AX471</f>
        <v>0</v>
      </c>
      <c r="BD471" s="39">
        <f>G471/(100-BE471)*100</f>
        <v>0</v>
      </c>
      <c r="BE471" s="39">
        <v>0</v>
      </c>
      <c r="BF471" s="39">
        <f>L471</f>
        <v>0</v>
      </c>
      <c r="BH471" s="21">
        <f>F471*AO471</f>
        <v>0</v>
      </c>
      <c r="BI471" s="21">
        <f>F471*AP471</f>
        <v>0</v>
      </c>
      <c r="BJ471" s="21">
        <f>F471*G471</f>
        <v>0</v>
      </c>
    </row>
    <row r="472" spans="1:62" ht="25.65" customHeight="1">
      <c r="C472" s="17" t="s">
        <v>605</v>
      </c>
      <c r="D472" s="917" t="s">
        <v>1629</v>
      </c>
      <c r="E472" s="918"/>
      <c r="F472" s="918"/>
      <c r="G472" s="918"/>
      <c r="H472" s="918"/>
      <c r="I472" s="918"/>
      <c r="J472" s="918"/>
      <c r="K472" s="918"/>
      <c r="L472" s="918"/>
      <c r="M472" s="918"/>
    </row>
    <row r="473" spans="1:62">
      <c r="A473" s="5" t="s">
        <v>341</v>
      </c>
      <c r="B473" s="5"/>
      <c r="C473" s="5" t="s">
        <v>939</v>
      </c>
      <c r="D473" s="5" t="s">
        <v>1633</v>
      </c>
      <c r="E473" s="5" t="s">
        <v>1938</v>
      </c>
      <c r="F473" s="21">
        <v>4</v>
      </c>
      <c r="G473" s="753">
        <v>0</v>
      </c>
      <c r="H473" s="21">
        <f>F473*AO473</f>
        <v>0</v>
      </c>
      <c r="I473" s="21">
        <f>F473*AP473</f>
        <v>0</v>
      </c>
      <c r="J473" s="21">
        <f>F473*G473</f>
        <v>0</v>
      </c>
      <c r="K473" s="21">
        <v>5.5999999999999995E-4</v>
      </c>
      <c r="L473" s="21">
        <f>F473*K473</f>
        <v>2.2399999999999998E-3</v>
      </c>
      <c r="M473" s="34" t="s">
        <v>1961</v>
      </c>
      <c r="Z473" s="39">
        <f>IF(AQ473="5",BJ473,0)</f>
        <v>0</v>
      </c>
      <c r="AB473" s="39">
        <f>IF(AQ473="1",BH473,0)</f>
        <v>0</v>
      </c>
      <c r="AC473" s="39">
        <f>IF(AQ473="1",BI473,0)</f>
        <v>0</v>
      </c>
      <c r="AD473" s="39">
        <f>IF(AQ473="7",BH473,0)</f>
        <v>0</v>
      </c>
      <c r="AE473" s="39">
        <f>IF(AQ473="7",BI473,0)</f>
        <v>0</v>
      </c>
      <c r="AF473" s="39">
        <f>IF(AQ473="2",BH473,0)</f>
        <v>0</v>
      </c>
      <c r="AG473" s="39">
        <f>IF(AQ473="2",BI473,0)</f>
        <v>0</v>
      </c>
      <c r="AH473" s="39">
        <f>IF(AQ473="0",BJ473,0)</f>
        <v>0</v>
      </c>
      <c r="AI473" s="30"/>
      <c r="AJ473" s="21">
        <f>IF(AN473=0,J473,0)</f>
        <v>0</v>
      </c>
      <c r="AK473" s="21">
        <f>IF(AN473=15,J473,0)</f>
        <v>0</v>
      </c>
      <c r="AL473" s="21">
        <f>IF(AN473=21,J473,0)</f>
        <v>0</v>
      </c>
      <c r="AN473" s="39">
        <v>21</v>
      </c>
      <c r="AO473" s="39">
        <f>G473*0.836566666666667</f>
        <v>0</v>
      </c>
      <c r="AP473" s="39">
        <f>G473*(1-0.836566666666667)</f>
        <v>0</v>
      </c>
      <c r="AQ473" s="34" t="s">
        <v>11</v>
      </c>
      <c r="AV473" s="39">
        <f>AW473+AX473</f>
        <v>0</v>
      </c>
      <c r="AW473" s="39">
        <f>F473*AO473</f>
        <v>0</v>
      </c>
      <c r="AX473" s="39">
        <f>F473*AP473</f>
        <v>0</v>
      </c>
      <c r="AY473" s="40" t="s">
        <v>2010</v>
      </c>
      <c r="AZ473" s="40" t="s">
        <v>2039</v>
      </c>
      <c r="BA473" s="30" t="s">
        <v>2045</v>
      </c>
      <c r="BC473" s="39">
        <f>AW473+AX473</f>
        <v>0</v>
      </c>
      <c r="BD473" s="39">
        <f>G473/(100-BE473)*100</f>
        <v>0</v>
      </c>
      <c r="BE473" s="39">
        <v>0</v>
      </c>
      <c r="BF473" s="39">
        <f>L473</f>
        <v>2.2399999999999998E-3</v>
      </c>
      <c r="BH473" s="21">
        <f>F473*AO473</f>
        <v>0</v>
      </c>
      <c r="BI473" s="21">
        <f>F473*AP473</f>
        <v>0</v>
      </c>
      <c r="BJ473" s="21">
        <f>F473*G473</f>
        <v>0</v>
      </c>
    </row>
    <row r="474" spans="1:62">
      <c r="A474" s="5" t="s">
        <v>342</v>
      </c>
      <c r="B474" s="5"/>
      <c r="C474" s="5" t="s">
        <v>940</v>
      </c>
      <c r="D474" s="5" t="s">
        <v>1634</v>
      </c>
      <c r="E474" s="5" t="s">
        <v>1938</v>
      </c>
      <c r="F474" s="21">
        <v>37</v>
      </c>
      <c r="G474" s="753">
        <v>0</v>
      </c>
      <c r="H474" s="21">
        <f>F474*AO474</f>
        <v>0</v>
      </c>
      <c r="I474" s="21">
        <f>F474*AP474</f>
        <v>0</v>
      </c>
      <c r="J474" s="21">
        <f>F474*G474</f>
        <v>0</v>
      </c>
      <c r="K474" s="21">
        <v>1.2600000000000001E-3</v>
      </c>
      <c r="L474" s="21">
        <f>F474*K474</f>
        <v>4.6620000000000002E-2</v>
      </c>
      <c r="M474" s="34" t="s">
        <v>1961</v>
      </c>
      <c r="Z474" s="39">
        <f>IF(AQ474="5",BJ474,0)</f>
        <v>0</v>
      </c>
      <c r="AB474" s="39">
        <f>IF(AQ474="1",BH474,0)</f>
        <v>0</v>
      </c>
      <c r="AC474" s="39">
        <f>IF(AQ474="1",BI474,0)</f>
        <v>0</v>
      </c>
      <c r="AD474" s="39">
        <f>IF(AQ474="7",BH474,0)</f>
        <v>0</v>
      </c>
      <c r="AE474" s="39">
        <f>IF(AQ474="7",BI474,0)</f>
        <v>0</v>
      </c>
      <c r="AF474" s="39">
        <f>IF(AQ474="2",BH474,0)</f>
        <v>0</v>
      </c>
      <c r="AG474" s="39">
        <f>IF(AQ474="2",BI474,0)</f>
        <v>0</v>
      </c>
      <c r="AH474" s="39">
        <f>IF(AQ474="0",BJ474,0)</f>
        <v>0</v>
      </c>
      <c r="AI474" s="30"/>
      <c r="AJ474" s="21">
        <f>IF(AN474=0,J474,0)</f>
        <v>0</v>
      </c>
      <c r="AK474" s="21">
        <f>IF(AN474=15,J474,0)</f>
        <v>0</v>
      </c>
      <c r="AL474" s="21">
        <f>IF(AN474=21,J474,0)</f>
        <v>0</v>
      </c>
      <c r="AN474" s="39">
        <v>21</v>
      </c>
      <c r="AO474" s="39">
        <f>G474*0.918902752267753</f>
        <v>0</v>
      </c>
      <c r="AP474" s="39">
        <f>G474*(1-0.918902752267753)</f>
        <v>0</v>
      </c>
      <c r="AQ474" s="34" t="s">
        <v>11</v>
      </c>
      <c r="AV474" s="39">
        <f>AW474+AX474</f>
        <v>0</v>
      </c>
      <c r="AW474" s="39">
        <f>F474*AO474</f>
        <v>0</v>
      </c>
      <c r="AX474" s="39">
        <f>F474*AP474</f>
        <v>0</v>
      </c>
      <c r="AY474" s="40" t="s">
        <v>2010</v>
      </c>
      <c r="AZ474" s="40" t="s">
        <v>2039</v>
      </c>
      <c r="BA474" s="30" t="s">
        <v>2045</v>
      </c>
      <c r="BC474" s="39">
        <f>AW474+AX474</f>
        <v>0</v>
      </c>
      <c r="BD474" s="39">
        <f>G474/(100-BE474)*100</f>
        <v>0</v>
      </c>
      <c r="BE474" s="39">
        <v>0</v>
      </c>
      <c r="BF474" s="39">
        <f>L474</f>
        <v>4.6620000000000002E-2</v>
      </c>
      <c r="BH474" s="21">
        <f>F474*AO474</f>
        <v>0</v>
      </c>
      <c r="BI474" s="21">
        <f>F474*AP474</f>
        <v>0</v>
      </c>
      <c r="BJ474" s="21">
        <f>F474*G474</f>
        <v>0</v>
      </c>
    </row>
    <row r="475" spans="1:62">
      <c r="A475" s="5" t="s">
        <v>343</v>
      </c>
      <c r="B475" s="5"/>
      <c r="C475" s="5" t="s">
        <v>941</v>
      </c>
      <c r="D475" s="5" t="s">
        <v>1635</v>
      </c>
      <c r="E475" s="5" t="s">
        <v>1938</v>
      </c>
      <c r="F475" s="21">
        <v>1</v>
      </c>
      <c r="G475" s="753">
        <v>0</v>
      </c>
      <c r="H475" s="21">
        <f>F475*AO475</f>
        <v>0</v>
      </c>
      <c r="I475" s="21">
        <f>F475*AP475</f>
        <v>0</v>
      </c>
      <c r="J475" s="21">
        <f>F475*G475</f>
        <v>0</v>
      </c>
      <c r="K475" s="21">
        <v>0</v>
      </c>
      <c r="L475" s="21">
        <f>F475*K475</f>
        <v>0</v>
      </c>
      <c r="M475" s="34" t="s">
        <v>1960</v>
      </c>
      <c r="Z475" s="39">
        <f>IF(AQ475="5",BJ475,0)</f>
        <v>0</v>
      </c>
      <c r="AB475" s="39">
        <f>IF(AQ475="1",BH475,0)</f>
        <v>0</v>
      </c>
      <c r="AC475" s="39">
        <f>IF(AQ475="1",BI475,0)</f>
        <v>0</v>
      </c>
      <c r="AD475" s="39">
        <f>IF(AQ475="7",BH475,0)</f>
        <v>0</v>
      </c>
      <c r="AE475" s="39">
        <f>IF(AQ475="7",BI475,0)</f>
        <v>0</v>
      </c>
      <c r="AF475" s="39">
        <f>IF(AQ475="2",BH475,0)</f>
        <v>0</v>
      </c>
      <c r="AG475" s="39">
        <f>IF(AQ475="2",BI475,0)</f>
        <v>0</v>
      </c>
      <c r="AH475" s="39">
        <f>IF(AQ475="0",BJ475,0)</f>
        <v>0</v>
      </c>
      <c r="AI475" s="30"/>
      <c r="AJ475" s="21">
        <f>IF(AN475=0,J475,0)</f>
        <v>0</v>
      </c>
      <c r="AK475" s="21">
        <f>IF(AN475=15,J475,0)</f>
        <v>0</v>
      </c>
      <c r="AL475" s="21">
        <f>IF(AN475=21,J475,0)</f>
        <v>0</v>
      </c>
      <c r="AN475" s="39">
        <v>21</v>
      </c>
      <c r="AO475" s="39">
        <f>G475*0.064952</f>
        <v>0</v>
      </c>
      <c r="AP475" s="39">
        <f>G475*(1-0.064952)</f>
        <v>0</v>
      </c>
      <c r="AQ475" s="34" t="s">
        <v>11</v>
      </c>
      <c r="AV475" s="39">
        <f>AW475+AX475</f>
        <v>0</v>
      </c>
      <c r="AW475" s="39">
        <f>F475*AO475</f>
        <v>0</v>
      </c>
      <c r="AX475" s="39">
        <f>F475*AP475</f>
        <v>0</v>
      </c>
      <c r="AY475" s="40" t="s">
        <v>2010</v>
      </c>
      <c r="AZ475" s="40" t="s">
        <v>2039</v>
      </c>
      <c r="BA475" s="30" t="s">
        <v>2045</v>
      </c>
      <c r="BC475" s="39">
        <f>AW475+AX475</f>
        <v>0</v>
      </c>
      <c r="BD475" s="39">
        <f>G475/(100-BE475)*100</f>
        <v>0</v>
      </c>
      <c r="BE475" s="39">
        <v>0</v>
      </c>
      <c r="BF475" s="39">
        <f>L475</f>
        <v>0</v>
      </c>
      <c r="BH475" s="21">
        <f>F475*AO475</f>
        <v>0</v>
      </c>
      <c r="BI475" s="21">
        <f>F475*AP475</f>
        <v>0</v>
      </c>
      <c r="BJ475" s="21">
        <f>F475*G475</f>
        <v>0</v>
      </c>
    </row>
    <row r="476" spans="1:62" ht="25.65" customHeight="1">
      <c r="C476" s="17" t="s">
        <v>605</v>
      </c>
      <c r="D476" s="917" t="s">
        <v>1629</v>
      </c>
      <c r="E476" s="918"/>
      <c r="F476" s="918"/>
      <c r="G476" s="918"/>
      <c r="H476" s="918"/>
      <c r="I476" s="918"/>
      <c r="J476" s="918"/>
      <c r="K476" s="918"/>
      <c r="L476" s="918"/>
      <c r="M476" s="918"/>
    </row>
    <row r="477" spans="1:62">
      <c r="A477" s="5" t="s">
        <v>344</v>
      </c>
      <c r="B477" s="5"/>
      <c r="C477" s="5" t="s">
        <v>942</v>
      </c>
      <c r="D477" s="5" t="s">
        <v>1636</v>
      </c>
      <c r="E477" s="5" t="s">
        <v>1938</v>
      </c>
      <c r="F477" s="21">
        <v>1</v>
      </c>
      <c r="G477" s="753">
        <v>0</v>
      </c>
      <c r="H477" s="21">
        <f>F477*AO477</f>
        <v>0</v>
      </c>
      <c r="I477" s="21">
        <f>F477*AP477</f>
        <v>0</v>
      </c>
      <c r="J477" s="21">
        <f>F477*G477</f>
        <v>0</v>
      </c>
      <c r="K477" s="21">
        <v>0</v>
      </c>
      <c r="L477" s="21">
        <f>F477*K477</f>
        <v>0</v>
      </c>
      <c r="M477" s="34" t="s">
        <v>1960</v>
      </c>
      <c r="Z477" s="39">
        <f>IF(AQ477="5",BJ477,0)</f>
        <v>0</v>
      </c>
      <c r="AB477" s="39">
        <f>IF(AQ477="1",BH477,0)</f>
        <v>0</v>
      </c>
      <c r="AC477" s="39">
        <f>IF(AQ477="1",BI477,0)</f>
        <v>0</v>
      </c>
      <c r="AD477" s="39">
        <f>IF(AQ477="7",BH477,0)</f>
        <v>0</v>
      </c>
      <c r="AE477" s="39">
        <f>IF(AQ477="7",BI477,0)</f>
        <v>0</v>
      </c>
      <c r="AF477" s="39">
        <f>IF(AQ477="2",BH477,0)</f>
        <v>0</v>
      </c>
      <c r="AG477" s="39">
        <f>IF(AQ477="2",BI477,0)</f>
        <v>0</v>
      </c>
      <c r="AH477" s="39">
        <f>IF(AQ477="0",BJ477,0)</f>
        <v>0</v>
      </c>
      <c r="AI477" s="30"/>
      <c r="AJ477" s="21">
        <f>IF(AN477=0,J477,0)</f>
        <v>0</v>
      </c>
      <c r="AK477" s="21">
        <f>IF(AN477=15,J477,0)</f>
        <v>0</v>
      </c>
      <c r="AL477" s="21">
        <f>IF(AN477=21,J477,0)</f>
        <v>0</v>
      </c>
      <c r="AN477" s="39">
        <v>21</v>
      </c>
      <c r="AO477" s="39">
        <f>G477*0.064952</f>
        <v>0</v>
      </c>
      <c r="AP477" s="39">
        <f>G477*(1-0.064952)</f>
        <v>0</v>
      </c>
      <c r="AQ477" s="34" t="s">
        <v>11</v>
      </c>
      <c r="AV477" s="39">
        <f>AW477+AX477</f>
        <v>0</v>
      </c>
      <c r="AW477" s="39">
        <f>F477*AO477</f>
        <v>0</v>
      </c>
      <c r="AX477" s="39">
        <f>F477*AP477</f>
        <v>0</v>
      </c>
      <c r="AY477" s="40" t="s">
        <v>2010</v>
      </c>
      <c r="AZ477" s="40" t="s">
        <v>2039</v>
      </c>
      <c r="BA477" s="30" t="s">
        <v>2045</v>
      </c>
      <c r="BC477" s="39">
        <f>AW477+AX477</f>
        <v>0</v>
      </c>
      <c r="BD477" s="39">
        <f>G477/(100-BE477)*100</f>
        <v>0</v>
      </c>
      <c r="BE477" s="39">
        <v>0</v>
      </c>
      <c r="BF477" s="39">
        <f>L477</f>
        <v>0</v>
      </c>
      <c r="BH477" s="21">
        <f>F477*AO477</f>
        <v>0</v>
      </c>
      <c r="BI477" s="21">
        <f>F477*AP477</f>
        <v>0</v>
      </c>
      <c r="BJ477" s="21">
        <f>F477*G477</f>
        <v>0</v>
      </c>
    </row>
    <row r="478" spans="1:62" ht="25.65" customHeight="1">
      <c r="C478" s="17" t="s">
        <v>605</v>
      </c>
      <c r="D478" s="917" t="s">
        <v>1629</v>
      </c>
      <c r="E478" s="918"/>
      <c r="F478" s="918"/>
      <c r="G478" s="918"/>
      <c r="H478" s="918"/>
      <c r="I478" s="918"/>
      <c r="J478" s="918"/>
      <c r="K478" s="918"/>
      <c r="L478" s="918"/>
      <c r="M478" s="918"/>
    </row>
    <row r="479" spans="1:62">
      <c r="A479" s="5" t="s">
        <v>345</v>
      </c>
      <c r="B479" s="5"/>
      <c r="C479" s="5" t="s">
        <v>943</v>
      </c>
      <c r="D479" s="5" t="s">
        <v>1637</v>
      </c>
      <c r="E479" s="5" t="s">
        <v>1938</v>
      </c>
      <c r="F479" s="21">
        <v>1</v>
      </c>
      <c r="G479" s="753">
        <v>0</v>
      </c>
      <c r="H479" s="21">
        <f>F479*AO479</f>
        <v>0</v>
      </c>
      <c r="I479" s="21">
        <f>F479*AP479</f>
        <v>0</v>
      </c>
      <c r="J479" s="21">
        <f>F479*G479</f>
        <v>0</v>
      </c>
      <c r="K479" s="21">
        <v>0</v>
      </c>
      <c r="L479" s="21">
        <f>F479*K479</f>
        <v>0</v>
      </c>
      <c r="M479" s="34" t="s">
        <v>1960</v>
      </c>
      <c r="Z479" s="39">
        <f>IF(AQ479="5",BJ479,0)</f>
        <v>0</v>
      </c>
      <c r="AB479" s="39">
        <f>IF(AQ479="1",BH479,0)</f>
        <v>0</v>
      </c>
      <c r="AC479" s="39">
        <f>IF(AQ479="1",BI479,0)</f>
        <v>0</v>
      </c>
      <c r="AD479" s="39">
        <f>IF(AQ479="7",BH479,0)</f>
        <v>0</v>
      </c>
      <c r="AE479" s="39">
        <f>IF(AQ479="7",BI479,0)</f>
        <v>0</v>
      </c>
      <c r="AF479" s="39">
        <f>IF(AQ479="2",BH479,0)</f>
        <v>0</v>
      </c>
      <c r="AG479" s="39">
        <f>IF(AQ479="2",BI479,0)</f>
        <v>0</v>
      </c>
      <c r="AH479" s="39">
        <f>IF(AQ479="0",BJ479,0)</f>
        <v>0</v>
      </c>
      <c r="AI479" s="30"/>
      <c r="AJ479" s="21">
        <f>IF(AN479=0,J479,0)</f>
        <v>0</v>
      </c>
      <c r="AK479" s="21">
        <f>IF(AN479=15,J479,0)</f>
        <v>0</v>
      </c>
      <c r="AL479" s="21">
        <f>IF(AN479=21,J479,0)</f>
        <v>0</v>
      </c>
      <c r="AN479" s="39">
        <v>21</v>
      </c>
      <c r="AO479" s="39">
        <f>G479*0.06496</f>
        <v>0</v>
      </c>
      <c r="AP479" s="39">
        <f>G479*(1-0.06496)</f>
        <v>0</v>
      </c>
      <c r="AQ479" s="34" t="s">
        <v>11</v>
      </c>
      <c r="AV479" s="39">
        <f>AW479+AX479</f>
        <v>0</v>
      </c>
      <c r="AW479" s="39">
        <f>F479*AO479</f>
        <v>0</v>
      </c>
      <c r="AX479" s="39">
        <f>F479*AP479</f>
        <v>0</v>
      </c>
      <c r="AY479" s="40" t="s">
        <v>2010</v>
      </c>
      <c r="AZ479" s="40" t="s">
        <v>2039</v>
      </c>
      <c r="BA479" s="30" t="s">
        <v>2045</v>
      </c>
      <c r="BC479" s="39">
        <f>AW479+AX479</f>
        <v>0</v>
      </c>
      <c r="BD479" s="39">
        <f>G479/(100-BE479)*100</f>
        <v>0</v>
      </c>
      <c r="BE479" s="39">
        <v>0</v>
      </c>
      <c r="BF479" s="39">
        <f>L479</f>
        <v>0</v>
      </c>
      <c r="BH479" s="21">
        <f>F479*AO479</f>
        <v>0</v>
      </c>
      <c r="BI479" s="21">
        <f>F479*AP479</f>
        <v>0</v>
      </c>
      <c r="BJ479" s="21">
        <f>F479*G479</f>
        <v>0</v>
      </c>
    </row>
    <row r="480" spans="1:62" ht="25.65" customHeight="1">
      <c r="C480" s="17" t="s">
        <v>605</v>
      </c>
      <c r="D480" s="917" t="s">
        <v>1629</v>
      </c>
      <c r="E480" s="918"/>
      <c r="F480" s="918"/>
      <c r="G480" s="918"/>
      <c r="H480" s="918"/>
      <c r="I480" s="918"/>
      <c r="J480" s="918"/>
      <c r="K480" s="918"/>
      <c r="L480" s="918"/>
      <c r="M480" s="918"/>
    </row>
    <row r="481" spans="1:62">
      <c r="A481" s="5" t="s">
        <v>346</v>
      </c>
      <c r="B481" s="5"/>
      <c r="C481" s="5" t="s">
        <v>944</v>
      </c>
      <c r="D481" s="5" t="s">
        <v>1638</v>
      </c>
      <c r="E481" s="5" t="s">
        <v>1938</v>
      </c>
      <c r="F481" s="21">
        <v>22</v>
      </c>
      <c r="G481" s="753">
        <v>0</v>
      </c>
      <c r="H481" s="21">
        <f>F481*AO481</f>
        <v>0</v>
      </c>
      <c r="I481" s="21">
        <f>F481*AP481</f>
        <v>0</v>
      </c>
      <c r="J481" s="21">
        <f>F481*G481</f>
        <v>0</v>
      </c>
      <c r="K481" s="21">
        <v>0</v>
      </c>
      <c r="L481" s="21">
        <f>F481*K481</f>
        <v>0</v>
      </c>
      <c r="M481" s="34" t="s">
        <v>1960</v>
      </c>
      <c r="Z481" s="39">
        <f>IF(AQ481="5",BJ481,0)</f>
        <v>0</v>
      </c>
      <c r="AB481" s="39">
        <f>IF(AQ481="1",BH481,0)</f>
        <v>0</v>
      </c>
      <c r="AC481" s="39">
        <f>IF(AQ481="1",BI481,0)</f>
        <v>0</v>
      </c>
      <c r="AD481" s="39">
        <f>IF(AQ481="7",BH481,0)</f>
        <v>0</v>
      </c>
      <c r="AE481" s="39">
        <f>IF(AQ481="7",BI481,0)</f>
        <v>0</v>
      </c>
      <c r="AF481" s="39">
        <f>IF(AQ481="2",BH481,0)</f>
        <v>0</v>
      </c>
      <c r="AG481" s="39">
        <f>IF(AQ481="2",BI481,0)</f>
        <v>0</v>
      </c>
      <c r="AH481" s="39">
        <f>IF(AQ481="0",BJ481,0)</f>
        <v>0</v>
      </c>
      <c r="AI481" s="30"/>
      <c r="AJ481" s="21">
        <f>IF(AN481=0,J481,0)</f>
        <v>0</v>
      </c>
      <c r="AK481" s="21">
        <f>IF(AN481=15,J481,0)</f>
        <v>0</v>
      </c>
      <c r="AL481" s="21">
        <f>IF(AN481=21,J481,0)</f>
        <v>0</v>
      </c>
      <c r="AN481" s="39">
        <v>21</v>
      </c>
      <c r="AO481" s="39">
        <f>G481*0.0649565217391304</f>
        <v>0</v>
      </c>
      <c r="AP481" s="39">
        <f>G481*(1-0.0649565217391304)</f>
        <v>0</v>
      </c>
      <c r="AQ481" s="34" t="s">
        <v>11</v>
      </c>
      <c r="AV481" s="39">
        <f>AW481+AX481</f>
        <v>0</v>
      </c>
      <c r="AW481" s="39">
        <f>F481*AO481</f>
        <v>0</v>
      </c>
      <c r="AX481" s="39">
        <f>F481*AP481</f>
        <v>0</v>
      </c>
      <c r="AY481" s="40" t="s">
        <v>2010</v>
      </c>
      <c r="AZ481" s="40" t="s">
        <v>2039</v>
      </c>
      <c r="BA481" s="30" t="s">
        <v>2045</v>
      </c>
      <c r="BC481" s="39">
        <f>AW481+AX481</f>
        <v>0</v>
      </c>
      <c r="BD481" s="39">
        <f>G481/(100-BE481)*100</f>
        <v>0</v>
      </c>
      <c r="BE481" s="39">
        <v>0</v>
      </c>
      <c r="BF481" s="39">
        <f>L481</f>
        <v>0</v>
      </c>
      <c r="BH481" s="21">
        <f>F481*AO481</f>
        <v>0</v>
      </c>
      <c r="BI481" s="21">
        <f>F481*AP481</f>
        <v>0</v>
      </c>
      <c r="BJ481" s="21">
        <f>F481*G481</f>
        <v>0</v>
      </c>
    </row>
    <row r="482" spans="1:62" ht="25.65" customHeight="1">
      <c r="C482" s="17" t="s">
        <v>605</v>
      </c>
      <c r="D482" s="917" t="s">
        <v>1629</v>
      </c>
      <c r="E482" s="918"/>
      <c r="F482" s="918"/>
      <c r="G482" s="918"/>
      <c r="H482" s="918"/>
      <c r="I482" s="918"/>
      <c r="J482" s="918"/>
      <c r="K482" s="918"/>
      <c r="L482" s="918"/>
      <c r="M482" s="918"/>
    </row>
    <row r="483" spans="1:62">
      <c r="A483" s="5" t="s">
        <v>347</v>
      </c>
      <c r="B483" s="5"/>
      <c r="C483" s="5" t="s">
        <v>945</v>
      </c>
      <c r="D483" s="5" t="s">
        <v>1639</v>
      </c>
      <c r="E483" s="5" t="s">
        <v>1938</v>
      </c>
      <c r="F483" s="21">
        <v>2</v>
      </c>
      <c r="G483" s="753">
        <v>0</v>
      </c>
      <c r="H483" s="21">
        <f>F483*AO483</f>
        <v>0</v>
      </c>
      <c r="I483" s="21">
        <f>F483*AP483</f>
        <v>0</v>
      </c>
      <c r="J483" s="21">
        <f>F483*G483</f>
        <v>0</v>
      </c>
      <c r="K483" s="21">
        <v>0</v>
      </c>
      <c r="L483" s="21">
        <f>F483*K483</f>
        <v>0</v>
      </c>
      <c r="M483" s="34" t="s">
        <v>1960</v>
      </c>
      <c r="Z483" s="39">
        <f>IF(AQ483="5",BJ483,0)</f>
        <v>0</v>
      </c>
      <c r="AB483" s="39">
        <f>IF(AQ483="1",BH483,0)</f>
        <v>0</v>
      </c>
      <c r="AC483" s="39">
        <f>IF(AQ483="1",BI483,0)</f>
        <v>0</v>
      </c>
      <c r="AD483" s="39">
        <f>IF(AQ483="7",BH483,0)</f>
        <v>0</v>
      </c>
      <c r="AE483" s="39">
        <f>IF(AQ483="7",BI483,0)</f>
        <v>0</v>
      </c>
      <c r="AF483" s="39">
        <f>IF(AQ483="2",BH483,0)</f>
        <v>0</v>
      </c>
      <c r="AG483" s="39">
        <f>IF(AQ483="2",BI483,0)</f>
        <v>0</v>
      </c>
      <c r="AH483" s="39">
        <f>IF(AQ483="0",BJ483,0)</f>
        <v>0</v>
      </c>
      <c r="AI483" s="30"/>
      <c r="AJ483" s="21">
        <f>IF(AN483=0,J483,0)</f>
        <v>0</v>
      </c>
      <c r="AK483" s="21">
        <f>IF(AN483=15,J483,0)</f>
        <v>0</v>
      </c>
      <c r="AL483" s="21">
        <f>IF(AN483=21,J483,0)</f>
        <v>0</v>
      </c>
      <c r="AN483" s="39">
        <v>21</v>
      </c>
      <c r="AO483" s="39">
        <f>G483*0.0649575757575758</f>
        <v>0</v>
      </c>
      <c r="AP483" s="39">
        <f>G483*(1-0.0649575757575758)</f>
        <v>0</v>
      </c>
      <c r="AQ483" s="34" t="s">
        <v>11</v>
      </c>
      <c r="AV483" s="39">
        <f>AW483+AX483</f>
        <v>0</v>
      </c>
      <c r="AW483" s="39">
        <f>F483*AO483</f>
        <v>0</v>
      </c>
      <c r="AX483" s="39">
        <f>F483*AP483</f>
        <v>0</v>
      </c>
      <c r="AY483" s="40" t="s">
        <v>2010</v>
      </c>
      <c r="AZ483" s="40" t="s">
        <v>2039</v>
      </c>
      <c r="BA483" s="30" t="s">
        <v>2045</v>
      </c>
      <c r="BC483" s="39">
        <f>AW483+AX483</f>
        <v>0</v>
      </c>
      <c r="BD483" s="39">
        <f>G483/(100-BE483)*100</f>
        <v>0</v>
      </c>
      <c r="BE483" s="39">
        <v>0</v>
      </c>
      <c r="BF483" s="39">
        <f>L483</f>
        <v>0</v>
      </c>
      <c r="BH483" s="21">
        <f>F483*AO483</f>
        <v>0</v>
      </c>
      <c r="BI483" s="21">
        <f>F483*AP483</f>
        <v>0</v>
      </c>
      <c r="BJ483" s="21">
        <f>F483*G483</f>
        <v>0</v>
      </c>
    </row>
    <row r="484" spans="1:62" ht="25.65" customHeight="1">
      <c r="C484" s="17" t="s">
        <v>605</v>
      </c>
      <c r="D484" s="917" t="s">
        <v>1629</v>
      </c>
      <c r="E484" s="918"/>
      <c r="F484" s="918"/>
      <c r="G484" s="918"/>
      <c r="H484" s="918"/>
      <c r="I484" s="918"/>
      <c r="J484" s="918"/>
      <c r="K484" s="918"/>
      <c r="L484" s="918"/>
      <c r="M484" s="918"/>
    </row>
    <row r="485" spans="1:62">
      <c r="A485" s="5" t="s">
        <v>348</v>
      </c>
      <c r="B485" s="5"/>
      <c r="C485" s="5" t="s">
        <v>946</v>
      </c>
      <c r="D485" s="5" t="s">
        <v>1640</v>
      </c>
      <c r="E485" s="5" t="s">
        <v>1945</v>
      </c>
      <c r="F485" s="753">
        <v>0</v>
      </c>
      <c r="G485" s="753">
        <v>0</v>
      </c>
      <c r="H485" s="21">
        <f>F485*AO485</f>
        <v>0</v>
      </c>
      <c r="I485" s="21">
        <f>F485*AP485</f>
        <v>0</v>
      </c>
      <c r="J485" s="21">
        <f>F485*G485</f>
        <v>0</v>
      </c>
      <c r="K485" s="21">
        <v>0</v>
      </c>
      <c r="L485" s="21">
        <f>F485*K485</f>
        <v>0</v>
      </c>
      <c r="M485" s="34" t="s">
        <v>1961</v>
      </c>
      <c r="Z485" s="39">
        <f>IF(AQ485="5",BJ485,0)</f>
        <v>0</v>
      </c>
      <c r="AB485" s="39">
        <f>IF(AQ485="1",BH485,0)</f>
        <v>0</v>
      </c>
      <c r="AC485" s="39">
        <f>IF(AQ485="1",BI485,0)</f>
        <v>0</v>
      </c>
      <c r="AD485" s="39">
        <f>IF(AQ485="7",BH485,0)</f>
        <v>0</v>
      </c>
      <c r="AE485" s="39">
        <f>IF(AQ485="7",BI485,0)</f>
        <v>0</v>
      </c>
      <c r="AF485" s="39">
        <f>IF(AQ485="2",BH485,0)</f>
        <v>0</v>
      </c>
      <c r="AG485" s="39">
        <f>IF(AQ485="2",BI485,0)</f>
        <v>0</v>
      </c>
      <c r="AH485" s="39">
        <f>IF(AQ485="0",BJ485,0)</f>
        <v>0</v>
      </c>
      <c r="AI485" s="30"/>
      <c r="AJ485" s="21">
        <f>IF(AN485=0,J485,0)</f>
        <v>0</v>
      </c>
      <c r="AK485" s="21">
        <f>IF(AN485=15,J485,0)</f>
        <v>0</v>
      </c>
      <c r="AL485" s="21">
        <f>IF(AN485=21,J485,0)</f>
        <v>0</v>
      </c>
      <c r="AN485" s="39">
        <v>21</v>
      </c>
      <c r="AO485" s="39">
        <f>G485*0</f>
        <v>0</v>
      </c>
      <c r="AP485" s="39">
        <f>G485*(1-0)</f>
        <v>0</v>
      </c>
      <c r="AQ485" s="34" t="s">
        <v>9</v>
      </c>
      <c r="AV485" s="39">
        <f>AW485+AX485</f>
        <v>0</v>
      </c>
      <c r="AW485" s="39">
        <f>F485*AO485</f>
        <v>0</v>
      </c>
      <c r="AX485" s="39">
        <f>F485*AP485</f>
        <v>0</v>
      </c>
      <c r="AY485" s="40" t="s">
        <v>2010</v>
      </c>
      <c r="AZ485" s="40" t="s">
        <v>2039</v>
      </c>
      <c r="BA485" s="30" t="s">
        <v>2045</v>
      </c>
      <c r="BC485" s="39">
        <f>AW485+AX485</f>
        <v>0</v>
      </c>
      <c r="BD485" s="39">
        <f>G485/(100-BE485)*100</f>
        <v>0</v>
      </c>
      <c r="BE485" s="39">
        <v>0</v>
      </c>
      <c r="BF485" s="39">
        <f>L485</f>
        <v>0</v>
      </c>
      <c r="BH485" s="21">
        <f>F485*AO485</f>
        <v>0</v>
      </c>
      <c r="BI485" s="21">
        <f>F485*AP485</f>
        <v>0</v>
      </c>
      <c r="BJ485" s="21">
        <f>F485*G485</f>
        <v>0</v>
      </c>
    </row>
    <row r="486" spans="1:62">
      <c r="A486" s="4"/>
      <c r="B486" s="14"/>
      <c r="C486" s="14" t="s">
        <v>947</v>
      </c>
      <c r="D486" s="14" t="s">
        <v>1641</v>
      </c>
      <c r="E486" s="4" t="s">
        <v>4</v>
      </c>
      <c r="F486" s="4" t="s">
        <v>4</v>
      </c>
      <c r="G486" s="4" t="s">
        <v>4</v>
      </c>
      <c r="H486" s="42">
        <f>SUM(H487:H489)</f>
        <v>0</v>
      </c>
      <c r="I486" s="42">
        <f>SUM(I487:I489)</f>
        <v>0</v>
      </c>
      <c r="J486" s="42">
        <f>SUM(J487:J489)</f>
        <v>0</v>
      </c>
      <c r="K486" s="30"/>
      <c r="L486" s="42">
        <f>SUM(L487:L489)</f>
        <v>8.1699999999999995E-2</v>
      </c>
      <c r="M486" s="30"/>
      <c r="AI486" s="30"/>
      <c r="AS486" s="42">
        <f>SUM(AJ487:AJ489)</f>
        <v>0</v>
      </c>
      <c r="AT486" s="42">
        <f>SUM(AK487:AK489)</f>
        <v>0</v>
      </c>
      <c r="AU486" s="42">
        <f>SUM(AL487:AL489)</f>
        <v>0</v>
      </c>
    </row>
    <row r="487" spans="1:62">
      <c r="A487" s="5" t="s">
        <v>349</v>
      </c>
      <c r="B487" s="5"/>
      <c r="C487" s="5" t="s">
        <v>948</v>
      </c>
      <c r="D487" s="5" t="s">
        <v>1642</v>
      </c>
      <c r="E487" s="5" t="s">
        <v>1939</v>
      </c>
      <c r="F487" s="21">
        <v>10</v>
      </c>
      <c r="G487" s="755">
        <v>0</v>
      </c>
      <c r="H487" s="21">
        <f>F487*AO487</f>
        <v>0</v>
      </c>
      <c r="I487" s="21">
        <f>F487*AP487</f>
        <v>0</v>
      </c>
      <c r="J487" s="21">
        <f>F487*G487</f>
        <v>0</v>
      </c>
      <c r="K487" s="21">
        <v>5.5900000000000004E-3</v>
      </c>
      <c r="L487" s="21">
        <f>F487*K487</f>
        <v>5.5900000000000005E-2</v>
      </c>
      <c r="M487" s="34" t="s">
        <v>1961</v>
      </c>
      <c r="Z487" s="39">
        <f>IF(AQ487="5",BJ487,0)</f>
        <v>0</v>
      </c>
      <c r="AB487" s="39">
        <f>IF(AQ487="1",BH487,0)</f>
        <v>0</v>
      </c>
      <c r="AC487" s="39">
        <f>IF(AQ487="1",BI487,0)</f>
        <v>0</v>
      </c>
      <c r="AD487" s="39">
        <f>IF(AQ487="7",BH487,0)</f>
        <v>0</v>
      </c>
      <c r="AE487" s="39">
        <f>IF(AQ487="7",BI487,0)</f>
        <v>0</v>
      </c>
      <c r="AF487" s="39">
        <f>IF(AQ487="2",BH487,0)</f>
        <v>0</v>
      </c>
      <c r="AG487" s="39">
        <f>IF(AQ487="2",BI487,0)</f>
        <v>0</v>
      </c>
      <c r="AH487" s="39">
        <f>IF(AQ487="0",BJ487,0)</f>
        <v>0</v>
      </c>
      <c r="AI487" s="30"/>
      <c r="AJ487" s="21">
        <f>IF(AN487=0,J487,0)</f>
        <v>0</v>
      </c>
      <c r="AK487" s="21">
        <f>IF(AN487=15,J487,0)</f>
        <v>0</v>
      </c>
      <c r="AL487" s="21">
        <f>IF(AN487=21,J487,0)</f>
        <v>0</v>
      </c>
      <c r="AN487" s="39">
        <v>21</v>
      </c>
      <c r="AO487" s="39">
        <f>G487*0.42517571884984</f>
        <v>0</v>
      </c>
      <c r="AP487" s="39">
        <f>G487*(1-0.42517571884984)</f>
        <v>0</v>
      </c>
      <c r="AQ487" s="34" t="s">
        <v>11</v>
      </c>
      <c r="AV487" s="39">
        <f>AW487+AX487</f>
        <v>0</v>
      </c>
      <c r="AW487" s="39">
        <f>F487*AO487</f>
        <v>0</v>
      </c>
      <c r="AX487" s="39">
        <f>F487*AP487</f>
        <v>0</v>
      </c>
      <c r="AY487" s="40" t="s">
        <v>2011</v>
      </c>
      <c r="AZ487" s="40" t="s">
        <v>2040</v>
      </c>
      <c r="BA487" s="30" t="s">
        <v>2045</v>
      </c>
      <c r="BC487" s="39">
        <f>AW487+AX487</f>
        <v>0</v>
      </c>
      <c r="BD487" s="39">
        <f>G487/(100-BE487)*100</f>
        <v>0</v>
      </c>
      <c r="BE487" s="39">
        <v>0</v>
      </c>
      <c r="BF487" s="39">
        <f>L487</f>
        <v>5.5900000000000005E-2</v>
      </c>
      <c r="BH487" s="21">
        <f>F487*AO487</f>
        <v>0</v>
      </c>
      <c r="BI487" s="21">
        <f>F487*AP487</f>
        <v>0</v>
      </c>
      <c r="BJ487" s="21">
        <f>F487*G487</f>
        <v>0</v>
      </c>
    </row>
    <row r="488" spans="1:62">
      <c r="A488" s="5" t="s">
        <v>350</v>
      </c>
      <c r="B488" s="5"/>
      <c r="C488" s="5" t="s">
        <v>949</v>
      </c>
      <c r="D488" s="5" t="s">
        <v>1643</v>
      </c>
      <c r="E488" s="5" t="s">
        <v>1939</v>
      </c>
      <c r="F488" s="21">
        <v>10</v>
      </c>
      <c r="G488" s="753">
        <v>0</v>
      </c>
      <c r="H488" s="21">
        <f>F488*AO488</f>
        <v>0</v>
      </c>
      <c r="I488" s="21">
        <f>F488*AP488</f>
        <v>0</v>
      </c>
      <c r="J488" s="21">
        <f>F488*G488</f>
        <v>0</v>
      </c>
      <c r="K488" s="21">
        <v>2.5799999999999998E-3</v>
      </c>
      <c r="L488" s="21">
        <f>F488*K488</f>
        <v>2.5799999999999997E-2</v>
      </c>
      <c r="M488" s="34" t="s">
        <v>1961</v>
      </c>
      <c r="Z488" s="39">
        <f>IF(AQ488="5",BJ488,0)</f>
        <v>0</v>
      </c>
      <c r="AB488" s="39">
        <f>IF(AQ488="1",BH488,0)</f>
        <v>0</v>
      </c>
      <c r="AC488" s="39">
        <f>IF(AQ488="1",BI488,0)</f>
        <v>0</v>
      </c>
      <c r="AD488" s="39">
        <f>IF(AQ488="7",BH488,0)</f>
        <v>0</v>
      </c>
      <c r="AE488" s="39">
        <f>IF(AQ488="7",BI488,0)</f>
        <v>0</v>
      </c>
      <c r="AF488" s="39">
        <f>IF(AQ488="2",BH488,0)</f>
        <v>0</v>
      </c>
      <c r="AG488" s="39">
        <f>IF(AQ488="2",BI488,0)</f>
        <v>0</v>
      </c>
      <c r="AH488" s="39">
        <f>IF(AQ488="0",BJ488,0)</f>
        <v>0</v>
      </c>
      <c r="AI488" s="30"/>
      <c r="AJ488" s="21">
        <f>IF(AN488=0,J488,0)</f>
        <v>0</v>
      </c>
      <c r="AK488" s="21">
        <f>IF(AN488=15,J488,0)</f>
        <v>0</v>
      </c>
      <c r="AL488" s="21">
        <f>IF(AN488=21,J488,0)</f>
        <v>0</v>
      </c>
      <c r="AN488" s="39">
        <v>21</v>
      </c>
      <c r="AO488" s="39">
        <f>G488*0.191360691144708</f>
        <v>0</v>
      </c>
      <c r="AP488" s="39">
        <f>G488*(1-0.191360691144708)</f>
        <v>0</v>
      </c>
      <c r="AQ488" s="34" t="s">
        <v>11</v>
      </c>
      <c r="AV488" s="39">
        <f>AW488+AX488</f>
        <v>0</v>
      </c>
      <c r="AW488" s="39">
        <f>F488*AO488</f>
        <v>0</v>
      </c>
      <c r="AX488" s="39">
        <f>F488*AP488</f>
        <v>0</v>
      </c>
      <c r="AY488" s="40" t="s">
        <v>2011</v>
      </c>
      <c r="AZ488" s="40" t="s">
        <v>2040</v>
      </c>
      <c r="BA488" s="30" t="s">
        <v>2045</v>
      </c>
      <c r="BC488" s="39">
        <f>AW488+AX488</f>
        <v>0</v>
      </c>
      <c r="BD488" s="39">
        <f>G488/(100-BE488)*100</f>
        <v>0</v>
      </c>
      <c r="BE488" s="39">
        <v>0</v>
      </c>
      <c r="BF488" s="39">
        <f>L488</f>
        <v>2.5799999999999997E-2</v>
      </c>
      <c r="BH488" s="21">
        <f>F488*AO488</f>
        <v>0</v>
      </c>
      <c r="BI488" s="21">
        <f>F488*AP488</f>
        <v>0</v>
      </c>
      <c r="BJ488" s="21">
        <f>F488*G488</f>
        <v>0</v>
      </c>
    </row>
    <row r="489" spans="1:62">
      <c r="A489" s="5" t="s">
        <v>351</v>
      </c>
      <c r="B489" s="5"/>
      <c r="C489" s="5" t="s">
        <v>950</v>
      </c>
      <c r="D489" s="5" t="s">
        <v>1644</v>
      </c>
      <c r="E489" s="5" t="s">
        <v>1945</v>
      </c>
      <c r="F489" s="753">
        <v>0</v>
      </c>
      <c r="G489" s="753">
        <v>0</v>
      </c>
      <c r="H489" s="21">
        <f>F489*AO489</f>
        <v>0</v>
      </c>
      <c r="I489" s="21">
        <f>F489*AP489</f>
        <v>0</v>
      </c>
      <c r="J489" s="21">
        <f>F489*G489</f>
        <v>0</v>
      </c>
      <c r="K489" s="21">
        <v>0</v>
      </c>
      <c r="L489" s="21">
        <f>F489*K489</f>
        <v>0</v>
      </c>
      <c r="M489" s="34" t="s">
        <v>1961</v>
      </c>
      <c r="Z489" s="39">
        <f>IF(AQ489="5",BJ489,0)</f>
        <v>0</v>
      </c>
      <c r="AB489" s="39">
        <f>IF(AQ489="1",BH489,0)</f>
        <v>0</v>
      </c>
      <c r="AC489" s="39">
        <f>IF(AQ489="1",BI489,0)</f>
        <v>0</v>
      </c>
      <c r="AD489" s="39">
        <f>IF(AQ489="7",BH489,0)</f>
        <v>0</v>
      </c>
      <c r="AE489" s="39">
        <f>IF(AQ489="7",BI489,0)</f>
        <v>0</v>
      </c>
      <c r="AF489" s="39">
        <f>IF(AQ489="2",BH489,0)</f>
        <v>0</v>
      </c>
      <c r="AG489" s="39">
        <f>IF(AQ489="2",BI489,0)</f>
        <v>0</v>
      </c>
      <c r="AH489" s="39">
        <f>IF(AQ489="0",BJ489,0)</f>
        <v>0</v>
      </c>
      <c r="AI489" s="30"/>
      <c r="AJ489" s="21">
        <f>IF(AN489=0,J489,0)</f>
        <v>0</v>
      </c>
      <c r="AK489" s="21">
        <f>IF(AN489=15,J489,0)</f>
        <v>0</v>
      </c>
      <c r="AL489" s="21">
        <f>IF(AN489=21,J489,0)</f>
        <v>0</v>
      </c>
      <c r="AN489" s="39">
        <v>21</v>
      </c>
      <c r="AO489" s="39">
        <f>G489*0</f>
        <v>0</v>
      </c>
      <c r="AP489" s="39">
        <f>G489*(1-0)</f>
        <v>0</v>
      </c>
      <c r="AQ489" s="34" t="s">
        <v>9</v>
      </c>
      <c r="AV489" s="39">
        <f>AW489+AX489</f>
        <v>0</v>
      </c>
      <c r="AW489" s="39">
        <f>F489*AO489</f>
        <v>0</v>
      </c>
      <c r="AX489" s="39">
        <f>F489*AP489</f>
        <v>0</v>
      </c>
      <c r="AY489" s="40" t="s">
        <v>2011</v>
      </c>
      <c r="AZ489" s="40" t="s">
        <v>2040</v>
      </c>
      <c r="BA489" s="30" t="s">
        <v>2045</v>
      </c>
      <c r="BC489" s="39">
        <f>AW489+AX489</f>
        <v>0</v>
      </c>
      <c r="BD489" s="39">
        <f>G489/(100-BE489)*100</f>
        <v>0</v>
      </c>
      <c r="BE489" s="39">
        <v>0</v>
      </c>
      <c r="BF489" s="39">
        <f>L489</f>
        <v>0</v>
      </c>
      <c r="BH489" s="21">
        <f>F489*AO489</f>
        <v>0</v>
      </c>
      <c r="BI489" s="21">
        <f>F489*AP489</f>
        <v>0</v>
      </c>
      <c r="BJ489" s="21">
        <f>F489*G489</f>
        <v>0</v>
      </c>
    </row>
    <row r="490" spans="1:62">
      <c r="A490" s="4"/>
      <c r="B490" s="14"/>
      <c r="C490" s="14" t="s">
        <v>951</v>
      </c>
      <c r="D490" s="14" t="s">
        <v>1645</v>
      </c>
      <c r="E490" s="4" t="s">
        <v>4</v>
      </c>
      <c r="F490" s="4" t="s">
        <v>4</v>
      </c>
      <c r="G490" s="4"/>
      <c r="H490" s="42">
        <f>SUM(H491:H493)</f>
        <v>0</v>
      </c>
      <c r="I490" s="42">
        <f>SUM(I491:I493)</f>
        <v>0</v>
      </c>
      <c r="J490" s="42">
        <f>SUM(J491:J493)</f>
        <v>0</v>
      </c>
      <c r="K490" s="30"/>
      <c r="L490" s="42">
        <f>SUM(L491:L493)</f>
        <v>5.0120000000000005E-2</v>
      </c>
      <c r="M490" s="30"/>
      <c r="AI490" s="30"/>
      <c r="AS490" s="42">
        <f>SUM(AJ491:AJ493)</f>
        <v>0</v>
      </c>
      <c r="AT490" s="42">
        <f>SUM(AK491:AK493)</f>
        <v>0</v>
      </c>
      <c r="AU490" s="42">
        <f>SUM(AL491:AL493)</f>
        <v>0</v>
      </c>
    </row>
    <row r="491" spans="1:62">
      <c r="A491" s="5" t="s">
        <v>352</v>
      </c>
      <c r="B491" s="5"/>
      <c r="C491" s="5" t="s">
        <v>952</v>
      </c>
      <c r="D491" s="5" t="s">
        <v>1646</v>
      </c>
      <c r="E491" s="5" t="s">
        <v>1943</v>
      </c>
      <c r="F491" s="21">
        <v>2</v>
      </c>
      <c r="G491" s="753">
        <v>0</v>
      </c>
      <c r="H491" s="21">
        <f>F491*AO491</f>
        <v>0</v>
      </c>
      <c r="I491" s="21">
        <f>F491*AP491</f>
        <v>0</v>
      </c>
      <c r="J491" s="21">
        <f>F491*G491</f>
        <v>0</v>
      </c>
      <c r="K491" s="21">
        <v>2.5010000000000001E-2</v>
      </c>
      <c r="L491" s="21">
        <f>F491*K491</f>
        <v>5.0020000000000002E-2</v>
      </c>
      <c r="M491" s="34" t="s">
        <v>1961</v>
      </c>
      <c r="Z491" s="39">
        <f>IF(AQ491="5",BJ491,0)</f>
        <v>0</v>
      </c>
      <c r="AB491" s="39">
        <f>IF(AQ491="1",BH491,0)</f>
        <v>0</v>
      </c>
      <c r="AC491" s="39">
        <f>IF(AQ491="1",BI491,0)</f>
        <v>0</v>
      </c>
      <c r="AD491" s="39">
        <f>IF(AQ491="7",BH491,0)</f>
        <v>0</v>
      </c>
      <c r="AE491" s="39">
        <f>IF(AQ491="7",BI491,0)</f>
        <v>0</v>
      </c>
      <c r="AF491" s="39">
        <f>IF(AQ491="2",BH491,0)</f>
        <v>0</v>
      </c>
      <c r="AG491" s="39">
        <f>IF(AQ491="2",BI491,0)</f>
        <v>0</v>
      </c>
      <c r="AH491" s="39">
        <f>IF(AQ491="0",BJ491,0)</f>
        <v>0</v>
      </c>
      <c r="AI491" s="30"/>
      <c r="AJ491" s="21">
        <f>IF(AN491=0,J491,0)</f>
        <v>0</v>
      </c>
      <c r="AK491" s="21">
        <f>IF(AN491=15,J491,0)</f>
        <v>0</v>
      </c>
      <c r="AL491" s="21">
        <f>IF(AN491=21,J491,0)</f>
        <v>0</v>
      </c>
      <c r="AN491" s="39">
        <v>21</v>
      </c>
      <c r="AO491" s="39">
        <f>G491*0.127797833935018</f>
        <v>0</v>
      </c>
      <c r="AP491" s="39">
        <f>G491*(1-0.127797833935018)</f>
        <v>0</v>
      </c>
      <c r="AQ491" s="34" t="s">
        <v>11</v>
      </c>
      <c r="AV491" s="39">
        <f>AW491+AX491</f>
        <v>0</v>
      </c>
      <c r="AW491" s="39">
        <f>F491*AO491</f>
        <v>0</v>
      </c>
      <c r="AX491" s="39">
        <f>F491*AP491</f>
        <v>0</v>
      </c>
      <c r="AY491" s="40" t="s">
        <v>2012</v>
      </c>
      <c r="AZ491" s="40" t="s">
        <v>2040</v>
      </c>
      <c r="BA491" s="30" t="s">
        <v>2045</v>
      </c>
      <c r="BC491" s="39">
        <f>AW491+AX491</f>
        <v>0</v>
      </c>
      <c r="BD491" s="39">
        <f>G491/(100-BE491)*100</f>
        <v>0</v>
      </c>
      <c r="BE491" s="39">
        <v>0</v>
      </c>
      <c r="BF491" s="39">
        <f>L491</f>
        <v>5.0020000000000002E-2</v>
      </c>
      <c r="BH491" s="21">
        <f>F491*AO491</f>
        <v>0</v>
      </c>
      <c r="BI491" s="21">
        <f>F491*AP491</f>
        <v>0</v>
      </c>
      <c r="BJ491" s="21">
        <f>F491*G491</f>
        <v>0</v>
      </c>
    </row>
    <row r="492" spans="1:62">
      <c r="A492" s="5" t="s">
        <v>353</v>
      </c>
      <c r="B492" s="5"/>
      <c r="C492" s="5" t="s">
        <v>953</v>
      </c>
      <c r="D492" s="5" t="s">
        <v>1647</v>
      </c>
      <c r="E492" s="5" t="s">
        <v>1943</v>
      </c>
      <c r="F492" s="21">
        <v>2</v>
      </c>
      <c r="G492" s="753">
        <v>0</v>
      </c>
      <c r="H492" s="21">
        <f>F492*AO492</f>
        <v>0</v>
      </c>
      <c r="I492" s="21">
        <f>F492*AP492</f>
        <v>0</v>
      </c>
      <c r="J492" s="21">
        <f>F492*G492</f>
        <v>0</v>
      </c>
      <c r="K492" s="21">
        <v>5.0000000000000002E-5</v>
      </c>
      <c r="L492" s="21">
        <f>F492*K492</f>
        <v>1E-4</v>
      </c>
      <c r="M492" s="34" t="s">
        <v>1961</v>
      </c>
      <c r="Z492" s="39">
        <f>IF(AQ492="5",BJ492,0)</f>
        <v>0</v>
      </c>
      <c r="AB492" s="39">
        <f>IF(AQ492="1",BH492,0)</f>
        <v>0</v>
      </c>
      <c r="AC492" s="39">
        <f>IF(AQ492="1",BI492,0)</f>
        <v>0</v>
      </c>
      <c r="AD492" s="39">
        <f>IF(AQ492="7",BH492,0)</f>
        <v>0</v>
      </c>
      <c r="AE492" s="39">
        <f>IF(AQ492="7",BI492,0)</f>
        <v>0</v>
      </c>
      <c r="AF492" s="39">
        <f>IF(AQ492="2",BH492,0)</f>
        <v>0</v>
      </c>
      <c r="AG492" s="39">
        <f>IF(AQ492="2",BI492,0)</f>
        <v>0</v>
      </c>
      <c r="AH492" s="39">
        <f>IF(AQ492="0",BJ492,0)</f>
        <v>0</v>
      </c>
      <c r="AI492" s="30"/>
      <c r="AJ492" s="21">
        <f>IF(AN492=0,J492,0)</f>
        <v>0</v>
      </c>
      <c r="AK492" s="21">
        <f>IF(AN492=15,J492,0)</f>
        <v>0</v>
      </c>
      <c r="AL492" s="21">
        <f>IF(AN492=21,J492,0)</f>
        <v>0</v>
      </c>
      <c r="AN492" s="39">
        <v>21</v>
      </c>
      <c r="AO492" s="39">
        <f>G492*0.0364525993883792</f>
        <v>0</v>
      </c>
      <c r="AP492" s="39">
        <f>G492*(1-0.0364525993883792)</f>
        <v>0</v>
      </c>
      <c r="AQ492" s="34" t="s">
        <v>11</v>
      </c>
      <c r="AV492" s="39">
        <f>AW492+AX492</f>
        <v>0</v>
      </c>
      <c r="AW492" s="39">
        <f>F492*AO492</f>
        <v>0</v>
      </c>
      <c r="AX492" s="39">
        <f>F492*AP492</f>
        <v>0</v>
      </c>
      <c r="AY492" s="40" t="s">
        <v>2012</v>
      </c>
      <c r="AZ492" s="40" t="s">
        <v>2040</v>
      </c>
      <c r="BA492" s="30" t="s">
        <v>2045</v>
      </c>
      <c r="BC492" s="39">
        <f>AW492+AX492</f>
        <v>0</v>
      </c>
      <c r="BD492" s="39">
        <f>G492/(100-BE492)*100</f>
        <v>0</v>
      </c>
      <c r="BE492" s="39">
        <v>0</v>
      </c>
      <c r="BF492" s="39">
        <f>L492</f>
        <v>1E-4</v>
      </c>
      <c r="BH492" s="21">
        <f>F492*AO492</f>
        <v>0</v>
      </c>
      <c r="BI492" s="21">
        <f>F492*AP492</f>
        <v>0</v>
      </c>
      <c r="BJ492" s="21">
        <f>F492*G492</f>
        <v>0</v>
      </c>
    </row>
    <row r="493" spans="1:62">
      <c r="A493" s="5" t="s">
        <v>354</v>
      </c>
      <c r="B493" s="5"/>
      <c r="C493" s="5" t="s">
        <v>954</v>
      </c>
      <c r="D493" s="5" t="s">
        <v>1648</v>
      </c>
      <c r="E493" s="5" t="s">
        <v>1945</v>
      </c>
      <c r="F493" s="753">
        <v>0</v>
      </c>
      <c r="G493" s="753">
        <v>0</v>
      </c>
      <c r="H493" s="21">
        <f>F493*AO493</f>
        <v>0</v>
      </c>
      <c r="I493" s="21">
        <f>F493*AP493</f>
        <v>0</v>
      </c>
      <c r="J493" s="21">
        <f>F493*G493</f>
        <v>0</v>
      </c>
      <c r="K493" s="21">
        <v>0</v>
      </c>
      <c r="L493" s="21">
        <f>F493*K493</f>
        <v>0</v>
      </c>
      <c r="M493" s="34" t="s">
        <v>1961</v>
      </c>
      <c r="Z493" s="39">
        <f>IF(AQ493="5",BJ493,0)</f>
        <v>0</v>
      </c>
      <c r="AB493" s="39">
        <f>IF(AQ493="1",BH493,0)</f>
        <v>0</v>
      </c>
      <c r="AC493" s="39">
        <f>IF(AQ493="1",BI493,0)</f>
        <v>0</v>
      </c>
      <c r="AD493" s="39">
        <f>IF(AQ493="7",BH493,0)</f>
        <v>0</v>
      </c>
      <c r="AE493" s="39">
        <f>IF(AQ493="7",BI493,0)</f>
        <v>0</v>
      </c>
      <c r="AF493" s="39">
        <f>IF(AQ493="2",BH493,0)</f>
        <v>0</v>
      </c>
      <c r="AG493" s="39">
        <f>IF(AQ493="2",BI493,0)</f>
        <v>0</v>
      </c>
      <c r="AH493" s="39">
        <f>IF(AQ493="0",BJ493,0)</f>
        <v>0</v>
      </c>
      <c r="AI493" s="30"/>
      <c r="AJ493" s="21">
        <f>IF(AN493=0,J493,0)</f>
        <v>0</v>
      </c>
      <c r="AK493" s="21">
        <f>IF(AN493=15,J493,0)</f>
        <v>0</v>
      </c>
      <c r="AL493" s="21">
        <f>IF(AN493=21,J493,0)</f>
        <v>0</v>
      </c>
      <c r="AN493" s="39">
        <v>21</v>
      </c>
      <c r="AO493" s="39">
        <f>G493*0</f>
        <v>0</v>
      </c>
      <c r="AP493" s="39">
        <f>G493*(1-0)</f>
        <v>0</v>
      </c>
      <c r="AQ493" s="34" t="s">
        <v>9</v>
      </c>
      <c r="AV493" s="39">
        <f>AW493+AX493</f>
        <v>0</v>
      </c>
      <c r="AW493" s="39">
        <f>F493*AO493</f>
        <v>0</v>
      </c>
      <c r="AX493" s="39">
        <f>F493*AP493</f>
        <v>0</v>
      </c>
      <c r="AY493" s="40" t="s">
        <v>2012</v>
      </c>
      <c r="AZ493" s="40" t="s">
        <v>2040</v>
      </c>
      <c r="BA493" s="30" t="s">
        <v>2045</v>
      </c>
      <c r="BC493" s="39">
        <f>AW493+AX493</f>
        <v>0</v>
      </c>
      <c r="BD493" s="39">
        <f>G493/(100-BE493)*100</f>
        <v>0</v>
      </c>
      <c r="BE493" s="39">
        <v>0</v>
      </c>
      <c r="BF493" s="39">
        <f>L493</f>
        <v>0</v>
      </c>
      <c r="BH493" s="21">
        <f>F493*AO493</f>
        <v>0</v>
      </c>
      <c r="BI493" s="21">
        <f>F493*AP493</f>
        <v>0</v>
      </c>
      <c r="BJ493" s="21">
        <f>F493*G493</f>
        <v>0</v>
      </c>
    </row>
    <row r="494" spans="1:62">
      <c r="A494" s="4"/>
      <c r="B494" s="14"/>
      <c r="C494" s="14" t="s">
        <v>955</v>
      </c>
      <c r="D494" s="14" t="s">
        <v>1649</v>
      </c>
      <c r="E494" s="4" t="s">
        <v>4</v>
      </c>
      <c r="F494" s="4" t="s">
        <v>4</v>
      </c>
      <c r="G494" s="4"/>
      <c r="H494" s="42">
        <f>SUM(H495:H496)</f>
        <v>0</v>
      </c>
      <c r="I494" s="42">
        <f>SUM(I495:I496)</f>
        <v>0</v>
      </c>
      <c r="J494" s="42">
        <f>SUM(J495:J496)</f>
        <v>0</v>
      </c>
      <c r="K494" s="30"/>
      <c r="L494" s="42">
        <f>SUM(L495:L496)</f>
        <v>0</v>
      </c>
      <c r="M494" s="30"/>
      <c r="AI494" s="30"/>
      <c r="AS494" s="42">
        <f>SUM(AJ495:AJ496)</f>
        <v>0</v>
      </c>
      <c r="AT494" s="42">
        <f>SUM(AK495:AK496)</f>
        <v>0</v>
      </c>
      <c r="AU494" s="42">
        <f>SUM(AL495:AL496)</f>
        <v>0</v>
      </c>
    </row>
    <row r="495" spans="1:62">
      <c r="A495" s="5" t="s">
        <v>355</v>
      </c>
      <c r="B495" s="5"/>
      <c r="C495" s="5" t="s">
        <v>956</v>
      </c>
      <c r="D495" s="5" t="s">
        <v>1650</v>
      </c>
      <c r="E495" s="5" t="s">
        <v>1940</v>
      </c>
      <c r="F495" s="21">
        <v>96.427499999999995</v>
      </c>
      <c r="G495" s="753">
        <v>0</v>
      </c>
      <c r="H495" s="21">
        <f>F495*AO495</f>
        <v>0</v>
      </c>
      <c r="I495" s="21">
        <f>F495*AP495</f>
        <v>0</v>
      </c>
      <c r="J495" s="21">
        <f>F495*G495</f>
        <v>0</v>
      </c>
      <c r="K495" s="21">
        <v>0</v>
      </c>
      <c r="L495" s="21">
        <f>F495*K495</f>
        <v>0</v>
      </c>
      <c r="M495" s="34" t="s">
        <v>1960</v>
      </c>
      <c r="Z495" s="39">
        <f>IF(AQ495="5",BJ495,0)</f>
        <v>0</v>
      </c>
      <c r="AB495" s="39">
        <f>IF(AQ495="1",BH495,0)</f>
        <v>0</v>
      </c>
      <c r="AC495" s="39">
        <f>IF(AQ495="1",BI495,0)</f>
        <v>0</v>
      </c>
      <c r="AD495" s="39">
        <f>IF(AQ495="7",BH495,0)</f>
        <v>0</v>
      </c>
      <c r="AE495" s="39">
        <f>IF(AQ495="7",BI495,0)</f>
        <v>0</v>
      </c>
      <c r="AF495" s="39">
        <f>IF(AQ495="2",BH495,0)</f>
        <v>0</v>
      </c>
      <c r="AG495" s="39">
        <f>IF(AQ495="2",BI495,0)</f>
        <v>0</v>
      </c>
      <c r="AH495" s="39">
        <f>IF(AQ495="0",BJ495,0)</f>
        <v>0</v>
      </c>
      <c r="AI495" s="30"/>
      <c r="AJ495" s="21">
        <f>IF(AN495=0,J495,0)</f>
        <v>0</v>
      </c>
      <c r="AK495" s="21">
        <f>IF(AN495=15,J495,0)</f>
        <v>0</v>
      </c>
      <c r="AL495" s="21">
        <f>IF(AN495=21,J495,0)</f>
        <v>0</v>
      </c>
      <c r="AN495" s="39">
        <v>21</v>
      </c>
      <c r="AO495" s="39">
        <f>G495*0</f>
        <v>0</v>
      </c>
      <c r="AP495" s="39">
        <f>G495*(1-0)</f>
        <v>0</v>
      </c>
      <c r="AQ495" s="34" t="s">
        <v>11</v>
      </c>
      <c r="AV495" s="39">
        <f>AW495+AX495</f>
        <v>0</v>
      </c>
      <c r="AW495" s="39">
        <f>F495*AO495</f>
        <v>0</v>
      </c>
      <c r="AX495" s="39">
        <f>F495*AP495</f>
        <v>0</v>
      </c>
      <c r="AY495" s="40" t="s">
        <v>2013</v>
      </c>
      <c r="AZ495" s="40" t="s">
        <v>2041</v>
      </c>
      <c r="BA495" s="30" t="s">
        <v>2045</v>
      </c>
      <c r="BC495" s="39">
        <f>AW495+AX495</f>
        <v>0</v>
      </c>
      <c r="BD495" s="39">
        <f>G495/(100-BE495)*100</f>
        <v>0</v>
      </c>
      <c r="BE495" s="39">
        <v>0</v>
      </c>
      <c r="BF495" s="39">
        <f>L495</f>
        <v>0</v>
      </c>
      <c r="BH495" s="21">
        <f>F495*AO495</f>
        <v>0</v>
      </c>
      <c r="BI495" s="21">
        <f>F495*AP495</f>
        <v>0</v>
      </c>
      <c r="BJ495" s="21">
        <f>F495*G495</f>
        <v>0</v>
      </c>
    </row>
    <row r="496" spans="1:62">
      <c r="A496" s="5" t="s">
        <v>356</v>
      </c>
      <c r="B496" s="5"/>
      <c r="C496" s="5" t="s">
        <v>957</v>
      </c>
      <c r="D496" s="5" t="s">
        <v>1651</v>
      </c>
      <c r="E496" s="5" t="s">
        <v>1945</v>
      </c>
      <c r="F496" s="753">
        <v>0</v>
      </c>
      <c r="G496" s="753">
        <v>0</v>
      </c>
      <c r="H496" s="21">
        <f>F496*AO496</f>
        <v>0</v>
      </c>
      <c r="I496" s="21">
        <f>F496*AP496</f>
        <v>0</v>
      </c>
      <c r="J496" s="21">
        <f>F496*G496</f>
        <v>0</v>
      </c>
      <c r="K496" s="21">
        <v>0</v>
      </c>
      <c r="L496" s="21">
        <f>F496*K496</f>
        <v>0</v>
      </c>
      <c r="M496" s="34" t="s">
        <v>1961</v>
      </c>
      <c r="Z496" s="39">
        <f>IF(AQ496="5",BJ496,0)</f>
        <v>0</v>
      </c>
      <c r="AB496" s="39">
        <f>IF(AQ496="1",BH496,0)</f>
        <v>0</v>
      </c>
      <c r="AC496" s="39">
        <f>IF(AQ496="1",BI496,0)</f>
        <v>0</v>
      </c>
      <c r="AD496" s="39">
        <f>IF(AQ496="7",BH496,0)</f>
        <v>0</v>
      </c>
      <c r="AE496" s="39">
        <f>IF(AQ496="7",BI496,0)</f>
        <v>0</v>
      </c>
      <c r="AF496" s="39">
        <f>IF(AQ496="2",BH496,0)</f>
        <v>0</v>
      </c>
      <c r="AG496" s="39">
        <f>IF(AQ496="2",BI496,0)</f>
        <v>0</v>
      </c>
      <c r="AH496" s="39">
        <f>IF(AQ496="0",BJ496,0)</f>
        <v>0</v>
      </c>
      <c r="AI496" s="30"/>
      <c r="AJ496" s="21">
        <f>IF(AN496=0,J496,0)</f>
        <v>0</v>
      </c>
      <c r="AK496" s="21">
        <f>IF(AN496=15,J496,0)</f>
        <v>0</v>
      </c>
      <c r="AL496" s="21">
        <f>IF(AN496=21,J496,0)</f>
        <v>0</v>
      </c>
      <c r="AN496" s="39">
        <v>21</v>
      </c>
      <c r="AO496" s="39">
        <f>G496*0</f>
        <v>0</v>
      </c>
      <c r="AP496" s="39">
        <f>G496*(1-0)</f>
        <v>0</v>
      </c>
      <c r="AQ496" s="34" t="s">
        <v>9</v>
      </c>
      <c r="AV496" s="39">
        <f>AW496+AX496</f>
        <v>0</v>
      </c>
      <c r="AW496" s="39">
        <f>F496*AO496</f>
        <v>0</v>
      </c>
      <c r="AX496" s="39">
        <f>F496*AP496</f>
        <v>0</v>
      </c>
      <c r="AY496" s="40" t="s">
        <v>2013</v>
      </c>
      <c r="AZ496" s="40" t="s">
        <v>2041</v>
      </c>
      <c r="BA496" s="30" t="s">
        <v>2045</v>
      </c>
      <c r="BC496" s="39">
        <f>AW496+AX496</f>
        <v>0</v>
      </c>
      <c r="BD496" s="39">
        <f>G496/(100-BE496)*100</f>
        <v>0</v>
      </c>
      <c r="BE496" s="39">
        <v>0</v>
      </c>
      <c r="BF496" s="39">
        <f>L496</f>
        <v>0</v>
      </c>
      <c r="BH496" s="21">
        <f>F496*AO496</f>
        <v>0</v>
      </c>
      <c r="BI496" s="21">
        <f>F496*AP496</f>
        <v>0</v>
      </c>
      <c r="BJ496" s="21">
        <f>F496*G496</f>
        <v>0</v>
      </c>
    </row>
    <row r="497" spans="1:62">
      <c r="A497" s="4"/>
      <c r="B497" s="14"/>
      <c r="C497" s="14" t="s">
        <v>958</v>
      </c>
      <c r="D497" s="14" t="s">
        <v>1652</v>
      </c>
      <c r="E497" s="4" t="s">
        <v>4</v>
      </c>
      <c r="F497" s="4" t="s">
        <v>4</v>
      </c>
      <c r="G497" s="4" t="s">
        <v>4</v>
      </c>
      <c r="H497" s="42">
        <f>SUM(H498:H537)</f>
        <v>0</v>
      </c>
      <c r="I497" s="42">
        <f>SUM(I498:I537)</f>
        <v>0</v>
      </c>
      <c r="J497" s="42">
        <f>SUM(J498:J537)</f>
        <v>0</v>
      </c>
      <c r="K497" s="30"/>
      <c r="L497" s="42">
        <f>SUM(L498:L537)</f>
        <v>1.5751150000000005</v>
      </c>
      <c r="M497" s="30"/>
      <c r="AI497" s="30"/>
      <c r="AS497" s="42">
        <f>SUM(AJ498:AJ537)</f>
        <v>0</v>
      </c>
      <c r="AT497" s="42">
        <f>SUM(AK498:AK537)</f>
        <v>0</v>
      </c>
      <c r="AU497" s="42">
        <f>SUM(AL498:AL537)</f>
        <v>0</v>
      </c>
    </row>
    <row r="498" spans="1:62">
      <c r="A498" s="5" t="s">
        <v>357</v>
      </c>
      <c r="B498" s="5"/>
      <c r="C498" s="5" t="s">
        <v>959</v>
      </c>
      <c r="D498" s="5" t="s">
        <v>1653</v>
      </c>
      <c r="E498" s="5" t="s">
        <v>1939</v>
      </c>
      <c r="F498" s="21">
        <v>47.4</v>
      </c>
      <c r="G498" s="753">
        <v>0</v>
      </c>
      <c r="H498" s="21">
        <f>F498*AO498</f>
        <v>0</v>
      </c>
      <c r="I498" s="21">
        <f>F498*AP498</f>
        <v>0</v>
      </c>
      <c r="J498" s="21">
        <f>F498*G498</f>
        <v>0</v>
      </c>
      <c r="K498" s="21">
        <v>2.3800000000000002E-3</v>
      </c>
      <c r="L498" s="21">
        <f>F498*K498</f>
        <v>0.11281200000000001</v>
      </c>
      <c r="M498" s="34" t="s">
        <v>1960</v>
      </c>
      <c r="Z498" s="39">
        <f>IF(AQ498="5",BJ498,0)</f>
        <v>0</v>
      </c>
      <c r="AB498" s="39">
        <f>IF(AQ498="1",BH498,0)</f>
        <v>0</v>
      </c>
      <c r="AC498" s="39">
        <f>IF(AQ498="1",BI498,0)</f>
        <v>0</v>
      </c>
      <c r="AD498" s="39">
        <f>IF(AQ498="7",BH498,0)</f>
        <v>0</v>
      </c>
      <c r="AE498" s="39">
        <f>IF(AQ498="7",BI498,0)</f>
        <v>0</v>
      </c>
      <c r="AF498" s="39">
        <f>IF(AQ498="2",BH498,0)</f>
        <v>0</v>
      </c>
      <c r="AG498" s="39">
        <f>IF(AQ498="2",BI498,0)</f>
        <v>0</v>
      </c>
      <c r="AH498" s="39">
        <f>IF(AQ498="0",BJ498,0)</f>
        <v>0</v>
      </c>
      <c r="AI498" s="30"/>
      <c r="AJ498" s="21">
        <f>IF(AN498=0,J498,0)</f>
        <v>0</v>
      </c>
      <c r="AK498" s="21">
        <f>IF(AN498=15,J498,0)</f>
        <v>0</v>
      </c>
      <c r="AL498" s="21">
        <f>IF(AN498=21,J498,0)</f>
        <v>0</v>
      </c>
      <c r="AN498" s="39">
        <v>21</v>
      </c>
      <c r="AO498" s="39">
        <f>G498*0.188018867924528</f>
        <v>0</v>
      </c>
      <c r="AP498" s="39">
        <f>G498*(1-0.188018867924528)</f>
        <v>0</v>
      </c>
      <c r="AQ498" s="34" t="s">
        <v>11</v>
      </c>
      <c r="AV498" s="39">
        <f>AW498+AX498</f>
        <v>0</v>
      </c>
      <c r="AW498" s="39">
        <f>F498*AO498</f>
        <v>0</v>
      </c>
      <c r="AX498" s="39">
        <f>F498*AP498</f>
        <v>0</v>
      </c>
      <c r="AY498" s="40" t="s">
        <v>2014</v>
      </c>
      <c r="AZ498" s="40" t="s">
        <v>2041</v>
      </c>
      <c r="BA498" s="30" t="s">
        <v>2045</v>
      </c>
      <c r="BC498" s="39">
        <f>AW498+AX498</f>
        <v>0</v>
      </c>
      <c r="BD498" s="39">
        <f>G498/(100-BE498)*100</f>
        <v>0</v>
      </c>
      <c r="BE498" s="39">
        <v>0</v>
      </c>
      <c r="BF498" s="39">
        <f>L498</f>
        <v>0.11281200000000001</v>
      </c>
      <c r="BH498" s="21">
        <f>F498*AO498</f>
        <v>0</v>
      </c>
      <c r="BI498" s="21">
        <f>F498*AP498</f>
        <v>0</v>
      </c>
      <c r="BJ498" s="21">
        <f>F498*G498</f>
        <v>0</v>
      </c>
    </row>
    <row r="499" spans="1:62">
      <c r="C499" s="16" t="s">
        <v>609</v>
      </c>
      <c r="D499" s="919" t="s">
        <v>1654</v>
      </c>
      <c r="E499" s="920"/>
      <c r="F499" s="920"/>
      <c r="G499" s="920"/>
      <c r="H499" s="920"/>
      <c r="I499" s="920"/>
      <c r="J499" s="920"/>
      <c r="K499" s="920"/>
      <c r="L499" s="920"/>
      <c r="M499" s="920"/>
    </row>
    <row r="500" spans="1:62">
      <c r="A500" s="5" t="s">
        <v>358</v>
      </c>
      <c r="B500" s="5"/>
      <c r="C500" s="5" t="s">
        <v>960</v>
      </c>
      <c r="D500" s="5" t="s">
        <v>1655</v>
      </c>
      <c r="E500" s="5" t="s">
        <v>1939</v>
      </c>
      <c r="F500" s="21">
        <v>10.6</v>
      </c>
      <c r="G500" s="753">
        <v>0</v>
      </c>
      <c r="H500" s="21">
        <f>F500*AO500</f>
        <v>0</v>
      </c>
      <c r="I500" s="21">
        <f>F500*AP500</f>
        <v>0</v>
      </c>
      <c r="J500" s="21">
        <f>F500*G500</f>
        <v>0</v>
      </c>
      <c r="K500" s="21">
        <v>2.3800000000000002E-3</v>
      </c>
      <c r="L500" s="21">
        <f>F500*K500</f>
        <v>2.5228E-2</v>
      </c>
      <c r="M500" s="34" t="s">
        <v>1960</v>
      </c>
      <c r="Z500" s="39">
        <f>IF(AQ500="5",BJ500,0)</f>
        <v>0</v>
      </c>
      <c r="AB500" s="39">
        <f>IF(AQ500="1",BH500,0)</f>
        <v>0</v>
      </c>
      <c r="AC500" s="39">
        <f>IF(AQ500="1",BI500,0)</f>
        <v>0</v>
      </c>
      <c r="AD500" s="39">
        <f>IF(AQ500="7",BH500,0)</f>
        <v>0</v>
      </c>
      <c r="AE500" s="39">
        <f>IF(AQ500="7",BI500,0)</f>
        <v>0</v>
      </c>
      <c r="AF500" s="39">
        <f>IF(AQ500="2",BH500,0)</f>
        <v>0</v>
      </c>
      <c r="AG500" s="39">
        <f>IF(AQ500="2",BI500,0)</f>
        <v>0</v>
      </c>
      <c r="AH500" s="39">
        <f>IF(AQ500="0",BJ500,0)</f>
        <v>0</v>
      </c>
      <c r="AI500" s="30"/>
      <c r="AJ500" s="21">
        <f>IF(AN500=0,J500,0)</f>
        <v>0</v>
      </c>
      <c r="AK500" s="21">
        <f>IF(AN500=15,J500,0)</f>
        <v>0</v>
      </c>
      <c r="AL500" s="21">
        <f>IF(AN500=21,J500,0)</f>
        <v>0</v>
      </c>
      <c r="AN500" s="39">
        <v>21</v>
      </c>
      <c r="AO500" s="39">
        <f>G500*0.188022088353414</f>
        <v>0</v>
      </c>
      <c r="AP500" s="39">
        <f>G500*(1-0.188022088353414)</f>
        <v>0</v>
      </c>
      <c r="AQ500" s="34" t="s">
        <v>11</v>
      </c>
      <c r="AV500" s="39">
        <f>AW500+AX500</f>
        <v>0</v>
      </c>
      <c r="AW500" s="39">
        <f>F500*AO500</f>
        <v>0</v>
      </c>
      <c r="AX500" s="39">
        <f>F500*AP500</f>
        <v>0</v>
      </c>
      <c r="AY500" s="40" t="s">
        <v>2014</v>
      </c>
      <c r="AZ500" s="40" t="s">
        <v>2041</v>
      </c>
      <c r="BA500" s="30" t="s">
        <v>2045</v>
      </c>
      <c r="BC500" s="39">
        <f>AW500+AX500</f>
        <v>0</v>
      </c>
      <c r="BD500" s="39">
        <f>G500/(100-BE500)*100</f>
        <v>0</v>
      </c>
      <c r="BE500" s="39">
        <v>0</v>
      </c>
      <c r="BF500" s="39">
        <f>L500</f>
        <v>2.5228E-2</v>
      </c>
      <c r="BH500" s="21">
        <f>F500*AO500</f>
        <v>0</v>
      </c>
      <c r="BI500" s="21">
        <f>F500*AP500</f>
        <v>0</v>
      </c>
      <c r="BJ500" s="21">
        <f>F500*G500</f>
        <v>0</v>
      </c>
    </row>
    <row r="501" spans="1:62">
      <c r="C501" s="16" t="s">
        <v>609</v>
      </c>
      <c r="D501" s="919" t="s">
        <v>1654</v>
      </c>
      <c r="E501" s="920"/>
      <c r="F501" s="920"/>
      <c r="G501" s="920"/>
      <c r="H501" s="920"/>
      <c r="I501" s="920"/>
      <c r="J501" s="920"/>
      <c r="K501" s="920"/>
      <c r="L501" s="920"/>
      <c r="M501" s="920"/>
    </row>
    <row r="502" spans="1:62">
      <c r="A502" s="5" t="s">
        <v>359</v>
      </c>
      <c r="B502" s="5"/>
      <c r="C502" s="5" t="s">
        <v>961</v>
      </c>
      <c r="D502" s="5" t="s">
        <v>1656</v>
      </c>
      <c r="E502" s="5" t="s">
        <v>1939</v>
      </c>
      <c r="F502" s="21">
        <v>11</v>
      </c>
      <c r="G502" s="753">
        <v>0</v>
      </c>
      <c r="H502" s="21">
        <f>F502*AO502</f>
        <v>0</v>
      </c>
      <c r="I502" s="21">
        <f>F502*AP502</f>
        <v>0</v>
      </c>
      <c r="J502" s="21">
        <f>F502*G502</f>
        <v>0</v>
      </c>
      <c r="K502" s="21">
        <v>2.3800000000000002E-3</v>
      </c>
      <c r="L502" s="21">
        <f>F502*K502</f>
        <v>2.6180000000000002E-2</v>
      </c>
      <c r="M502" s="34" t="s">
        <v>1960</v>
      </c>
      <c r="Z502" s="39">
        <f>IF(AQ502="5",BJ502,0)</f>
        <v>0</v>
      </c>
      <c r="AB502" s="39">
        <f>IF(AQ502="1",BH502,0)</f>
        <v>0</v>
      </c>
      <c r="AC502" s="39">
        <f>IF(AQ502="1",BI502,0)</f>
        <v>0</v>
      </c>
      <c r="AD502" s="39">
        <f>IF(AQ502="7",BH502,0)</f>
        <v>0</v>
      </c>
      <c r="AE502" s="39">
        <f>IF(AQ502="7",BI502,0)</f>
        <v>0</v>
      </c>
      <c r="AF502" s="39">
        <f>IF(AQ502="2",BH502,0)</f>
        <v>0</v>
      </c>
      <c r="AG502" s="39">
        <f>IF(AQ502="2",BI502,0)</f>
        <v>0</v>
      </c>
      <c r="AH502" s="39">
        <f>IF(AQ502="0",BJ502,0)</f>
        <v>0</v>
      </c>
      <c r="AI502" s="30"/>
      <c r="AJ502" s="21">
        <f>IF(AN502=0,J502,0)</f>
        <v>0</v>
      </c>
      <c r="AK502" s="21">
        <f>IF(AN502=15,J502,0)</f>
        <v>0</v>
      </c>
      <c r="AL502" s="21">
        <f>IF(AN502=21,J502,0)</f>
        <v>0</v>
      </c>
      <c r="AN502" s="39">
        <v>21</v>
      </c>
      <c r="AO502" s="39">
        <f>G502*0.188025718608169</f>
        <v>0</v>
      </c>
      <c r="AP502" s="39">
        <f>G502*(1-0.188025718608169)</f>
        <v>0</v>
      </c>
      <c r="AQ502" s="34" t="s">
        <v>11</v>
      </c>
      <c r="AV502" s="39">
        <f>AW502+AX502</f>
        <v>0</v>
      </c>
      <c r="AW502" s="39">
        <f>F502*AO502</f>
        <v>0</v>
      </c>
      <c r="AX502" s="39">
        <f>F502*AP502</f>
        <v>0</v>
      </c>
      <c r="AY502" s="40" t="s">
        <v>2014</v>
      </c>
      <c r="AZ502" s="40" t="s">
        <v>2041</v>
      </c>
      <c r="BA502" s="30" t="s">
        <v>2045</v>
      </c>
      <c r="BC502" s="39">
        <f>AW502+AX502</f>
        <v>0</v>
      </c>
      <c r="BD502" s="39">
        <f>G502/(100-BE502)*100</f>
        <v>0</v>
      </c>
      <c r="BE502" s="39">
        <v>0</v>
      </c>
      <c r="BF502" s="39">
        <f>L502</f>
        <v>2.6180000000000002E-2</v>
      </c>
      <c r="BH502" s="21">
        <f>F502*AO502</f>
        <v>0</v>
      </c>
      <c r="BI502" s="21">
        <f>F502*AP502</f>
        <v>0</v>
      </c>
      <c r="BJ502" s="21">
        <f>F502*G502</f>
        <v>0</v>
      </c>
    </row>
    <row r="503" spans="1:62">
      <c r="C503" s="16" t="s">
        <v>609</v>
      </c>
      <c r="D503" s="919" t="s">
        <v>1654</v>
      </c>
      <c r="E503" s="920"/>
      <c r="F503" s="920"/>
      <c r="G503" s="920"/>
      <c r="H503" s="920"/>
      <c r="I503" s="920"/>
      <c r="J503" s="920"/>
      <c r="K503" s="920"/>
      <c r="L503" s="920"/>
      <c r="M503" s="920"/>
    </row>
    <row r="504" spans="1:62">
      <c r="A504" s="5" t="s">
        <v>360</v>
      </c>
      <c r="B504" s="5"/>
      <c r="C504" s="5" t="s">
        <v>962</v>
      </c>
      <c r="D504" s="5" t="s">
        <v>1657</v>
      </c>
      <c r="E504" s="5" t="s">
        <v>1939</v>
      </c>
      <c r="F504" s="21">
        <v>3.1</v>
      </c>
      <c r="G504" s="753">
        <v>0</v>
      </c>
      <c r="H504" s="21">
        <f>F504*AO504</f>
        <v>0</v>
      </c>
      <c r="I504" s="21">
        <f>F504*AP504</f>
        <v>0</v>
      </c>
      <c r="J504" s="21">
        <f>F504*G504</f>
        <v>0</v>
      </c>
      <c r="K504" s="21">
        <v>2.3800000000000002E-3</v>
      </c>
      <c r="L504" s="21">
        <f>F504*K504</f>
        <v>7.3780000000000009E-3</v>
      </c>
      <c r="M504" s="34" t="s">
        <v>1960</v>
      </c>
      <c r="Z504" s="39">
        <f>IF(AQ504="5",BJ504,0)</f>
        <v>0</v>
      </c>
      <c r="AB504" s="39">
        <f>IF(AQ504="1",BH504,0)</f>
        <v>0</v>
      </c>
      <c r="AC504" s="39">
        <f>IF(AQ504="1",BI504,0)</f>
        <v>0</v>
      </c>
      <c r="AD504" s="39">
        <f>IF(AQ504="7",BH504,0)</f>
        <v>0</v>
      </c>
      <c r="AE504" s="39">
        <f>IF(AQ504="7",BI504,0)</f>
        <v>0</v>
      </c>
      <c r="AF504" s="39">
        <f>IF(AQ504="2",BH504,0)</f>
        <v>0</v>
      </c>
      <c r="AG504" s="39">
        <f>IF(AQ504="2",BI504,0)</f>
        <v>0</v>
      </c>
      <c r="AH504" s="39">
        <f>IF(AQ504="0",BJ504,0)</f>
        <v>0</v>
      </c>
      <c r="AI504" s="30"/>
      <c r="AJ504" s="21">
        <f>IF(AN504=0,J504,0)</f>
        <v>0</v>
      </c>
      <c r="AK504" s="21">
        <f>IF(AN504=15,J504,0)</f>
        <v>0</v>
      </c>
      <c r="AL504" s="21">
        <f>IF(AN504=21,J504,0)</f>
        <v>0</v>
      </c>
      <c r="AN504" s="39">
        <v>21</v>
      </c>
      <c r="AO504" s="39">
        <f>G504*0.188022088353414</f>
        <v>0</v>
      </c>
      <c r="AP504" s="39">
        <f>G504*(1-0.188022088353414)</f>
        <v>0</v>
      </c>
      <c r="AQ504" s="34" t="s">
        <v>11</v>
      </c>
      <c r="AV504" s="39">
        <f>AW504+AX504</f>
        <v>0</v>
      </c>
      <c r="AW504" s="39">
        <f>F504*AO504</f>
        <v>0</v>
      </c>
      <c r="AX504" s="39">
        <f>F504*AP504</f>
        <v>0</v>
      </c>
      <c r="AY504" s="40" t="s">
        <v>2014</v>
      </c>
      <c r="AZ504" s="40" t="s">
        <v>2041</v>
      </c>
      <c r="BA504" s="30" t="s">
        <v>2045</v>
      </c>
      <c r="BC504" s="39">
        <f>AW504+AX504</f>
        <v>0</v>
      </c>
      <c r="BD504" s="39">
        <f>G504/(100-BE504)*100</f>
        <v>0</v>
      </c>
      <c r="BE504" s="39">
        <v>0</v>
      </c>
      <c r="BF504" s="39">
        <f>L504</f>
        <v>7.3780000000000009E-3</v>
      </c>
      <c r="BH504" s="21">
        <f>F504*AO504</f>
        <v>0</v>
      </c>
      <c r="BI504" s="21">
        <f>F504*AP504</f>
        <v>0</v>
      </c>
      <c r="BJ504" s="21">
        <f>F504*G504</f>
        <v>0</v>
      </c>
    </row>
    <row r="505" spans="1:62">
      <c r="C505" s="16" t="s">
        <v>609</v>
      </c>
      <c r="D505" s="919" t="s">
        <v>1654</v>
      </c>
      <c r="E505" s="920"/>
      <c r="F505" s="920"/>
      <c r="G505" s="920"/>
      <c r="H505" s="920"/>
      <c r="I505" s="920"/>
      <c r="J505" s="920"/>
      <c r="K505" s="920"/>
      <c r="L505" s="920"/>
      <c r="M505" s="920"/>
    </row>
    <row r="506" spans="1:62">
      <c r="A506" s="5" t="s">
        <v>361</v>
      </c>
      <c r="B506" s="5"/>
      <c r="C506" s="5" t="s">
        <v>963</v>
      </c>
      <c r="D506" s="5" t="s">
        <v>1658</v>
      </c>
      <c r="E506" s="5" t="s">
        <v>1939</v>
      </c>
      <c r="F506" s="21">
        <v>3.15</v>
      </c>
      <c r="G506" s="753">
        <v>0</v>
      </c>
      <c r="H506" s="21">
        <f>F506*AO506</f>
        <v>0</v>
      </c>
      <c r="I506" s="21">
        <f>F506*AP506</f>
        <v>0</v>
      </c>
      <c r="J506" s="21">
        <f>F506*G506</f>
        <v>0</v>
      </c>
      <c r="K506" s="21">
        <v>2.3800000000000002E-3</v>
      </c>
      <c r="L506" s="21">
        <f>F506*K506</f>
        <v>7.4970000000000002E-3</v>
      </c>
      <c r="M506" s="34" t="s">
        <v>1960</v>
      </c>
      <c r="Z506" s="39">
        <f>IF(AQ506="5",BJ506,0)</f>
        <v>0</v>
      </c>
      <c r="AB506" s="39">
        <f>IF(AQ506="1",BH506,0)</f>
        <v>0</v>
      </c>
      <c r="AC506" s="39">
        <f>IF(AQ506="1",BI506,0)</f>
        <v>0</v>
      </c>
      <c r="AD506" s="39">
        <f>IF(AQ506="7",BH506,0)</f>
        <v>0</v>
      </c>
      <c r="AE506" s="39">
        <f>IF(AQ506="7",BI506,0)</f>
        <v>0</v>
      </c>
      <c r="AF506" s="39">
        <f>IF(AQ506="2",BH506,0)</f>
        <v>0</v>
      </c>
      <c r="AG506" s="39">
        <f>IF(AQ506="2",BI506,0)</f>
        <v>0</v>
      </c>
      <c r="AH506" s="39">
        <f>IF(AQ506="0",BJ506,0)</f>
        <v>0</v>
      </c>
      <c r="AI506" s="30"/>
      <c r="AJ506" s="21">
        <f>IF(AN506=0,J506,0)</f>
        <v>0</v>
      </c>
      <c r="AK506" s="21">
        <f>IF(AN506=15,J506,0)</f>
        <v>0</v>
      </c>
      <c r="AL506" s="21">
        <f>IF(AN506=21,J506,0)</f>
        <v>0</v>
      </c>
      <c r="AN506" s="39">
        <v>21</v>
      </c>
      <c r="AO506" s="39">
        <f>G506*0.188022088353414</f>
        <v>0</v>
      </c>
      <c r="AP506" s="39">
        <f>G506*(1-0.188022088353414)</f>
        <v>0</v>
      </c>
      <c r="AQ506" s="34" t="s">
        <v>11</v>
      </c>
      <c r="AV506" s="39">
        <f>AW506+AX506</f>
        <v>0</v>
      </c>
      <c r="AW506" s="39">
        <f>F506*AO506</f>
        <v>0</v>
      </c>
      <c r="AX506" s="39">
        <f>F506*AP506</f>
        <v>0</v>
      </c>
      <c r="AY506" s="40" t="s">
        <v>2014</v>
      </c>
      <c r="AZ506" s="40" t="s">
        <v>2041</v>
      </c>
      <c r="BA506" s="30" t="s">
        <v>2045</v>
      </c>
      <c r="BC506" s="39">
        <f>AW506+AX506</f>
        <v>0</v>
      </c>
      <c r="BD506" s="39">
        <f>G506/(100-BE506)*100</f>
        <v>0</v>
      </c>
      <c r="BE506" s="39">
        <v>0</v>
      </c>
      <c r="BF506" s="39">
        <f>L506</f>
        <v>7.4970000000000002E-3</v>
      </c>
      <c r="BH506" s="21">
        <f>F506*AO506</f>
        <v>0</v>
      </c>
      <c r="BI506" s="21">
        <f>F506*AP506</f>
        <v>0</v>
      </c>
      <c r="BJ506" s="21">
        <f>F506*G506</f>
        <v>0</v>
      </c>
    </row>
    <row r="507" spans="1:62">
      <c r="C507" s="16" t="s">
        <v>609</v>
      </c>
      <c r="D507" s="919" t="s">
        <v>1654</v>
      </c>
      <c r="E507" s="920"/>
      <c r="F507" s="920"/>
      <c r="G507" s="920"/>
      <c r="H507" s="920"/>
      <c r="I507" s="920"/>
      <c r="J507" s="920"/>
      <c r="K507" s="920"/>
      <c r="L507" s="920"/>
      <c r="M507" s="920"/>
    </row>
    <row r="508" spans="1:62">
      <c r="A508" s="5" t="s">
        <v>362</v>
      </c>
      <c r="B508" s="5"/>
      <c r="C508" s="5" t="s">
        <v>964</v>
      </c>
      <c r="D508" s="5" t="s">
        <v>1659</v>
      </c>
      <c r="E508" s="5" t="s">
        <v>1939</v>
      </c>
      <c r="F508" s="21">
        <v>11.6</v>
      </c>
      <c r="G508" s="753">
        <v>0</v>
      </c>
      <c r="H508" s="21">
        <f>F508*AO508</f>
        <v>0</v>
      </c>
      <c r="I508" s="21">
        <f>F508*AP508</f>
        <v>0</v>
      </c>
      <c r="J508" s="21">
        <f>F508*G508</f>
        <v>0</v>
      </c>
      <c r="K508" s="21">
        <v>2.3800000000000002E-3</v>
      </c>
      <c r="L508" s="21">
        <f>F508*K508</f>
        <v>2.7608000000000001E-2</v>
      </c>
      <c r="M508" s="34" t="s">
        <v>1960</v>
      </c>
      <c r="Z508" s="39">
        <f>IF(AQ508="5",BJ508,0)</f>
        <v>0</v>
      </c>
      <c r="AB508" s="39">
        <f>IF(AQ508="1",BH508,0)</f>
        <v>0</v>
      </c>
      <c r="AC508" s="39">
        <f>IF(AQ508="1",BI508,0)</f>
        <v>0</v>
      </c>
      <c r="AD508" s="39">
        <f>IF(AQ508="7",BH508,0)</f>
        <v>0</v>
      </c>
      <c r="AE508" s="39">
        <f>IF(AQ508="7",BI508,0)</f>
        <v>0</v>
      </c>
      <c r="AF508" s="39">
        <f>IF(AQ508="2",BH508,0)</f>
        <v>0</v>
      </c>
      <c r="AG508" s="39">
        <f>IF(AQ508="2",BI508,0)</f>
        <v>0</v>
      </c>
      <c r="AH508" s="39">
        <f>IF(AQ508="0",BJ508,0)</f>
        <v>0</v>
      </c>
      <c r="AI508" s="30"/>
      <c r="AJ508" s="21">
        <f>IF(AN508=0,J508,0)</f>
        <v>0</v>
      </c>
      <c r="AK508" s="21">
        <f>IF(AN508=15,J508,0)</f>
        <v>0</v>
      </c>
      <c r="AL508" s="21">
        <f>IF(AN508=21,J508,0)</f>
        <v>0</v>
      </c>
      <c r="AN508" s="39">
        <v>21</v>
      </c>
      <c r="AO508" s="39">
        <f>G508*0.188017057569296</f>
        <v>0</v>
      </c>
      <c r="AP508" s="39">
        <f>G508*(1-0.188017057569296)</f>
        <v>0</v>
      </c>
      <c r="AQ508" s="34" t="s">
        <v>11</v>
      </c>
      <c r="AV508" s="39">
        <f>AW508+AX508</f>
        <v>0</v>
      </c>
      <c r="AW508" s="39">
        <f>F508*AO508</f>
        <v>0</v>
      </c>
      <c r="AX508" s="39">
        <f>F508*AP508</f>
        <v>0</v>
      </c>
      <c r="AY508" s="40" t="s">
        <v>2014</v>
      </c>
      <c r="AZ508" s="40" t="s">
        <v>2041</v>
      </c>
      <c r="BA508" s="30" t="s">
        <v>2045</v>
      </c>
      <c r="BC508" s="39">
        <f>AW508+AX508</f>
        <v>0</v>
      </c>
      <c r="BD508" s="39">
        <f>G508/(100-BE508)*100</f>
        <v>0</v>
      </c>
      <c r="BE508" s="39">
        <v>0</v>
      </c>
      <c r="BF508" s="39">
        <f>L508</f>
        <v>2.7608000000000001E-2</v>
      </c>
      <c r="BH508" s="21">
        <f>F508*AO508</f>
        <v>0</v>
      </c>
      <c r="BI508" s="21">
        <f>F508*AP508</f>
        <v>0</v>
      </c>
      <c r="BJ508" s="21">
        <f>F508*G508</f>
        <v>0</v>
      </c>
    </row>
    <row r="509" spans="1:62">
      <c r="C509" s="16" t="s">
        <v>609</v>
      </c>
      <c r="D509" s="919" t="s">
        <v>1654</v>
      </c>
      <c r="E509" s="920"/>
      <c r="F509" s="920"/>
      <c r="G509" s="920"/>
      <c r="H509" s="920"/>
      <c r="I509" s="920"/>
      <c r="J509" s="920"/>
      <c r="K509" s="920"/>
      <c r="L509" s="920"/>
      <c r="M509" s="920"/>
    </row>
    <row r="510" spans="1:62">
      <c r="A510" s="5" t="s">
        <v>363</v>
      </c>
      <c r="B510" s="5"/>
      <c r="C510" s="5" t="s">
        <v>965</v>
      </c>
      <c r="D510" s="5" t="s">
        <v>1660</v>
      </c>
      <c r="E510" s="5" t="s">
        <v>1939</v>
      </c>
      <c r="F510" s="21">
        <v>11.6</v>
      </c>
      <c r="G510" s="753">
        <v>0</v>
      </c>
      <c r="H510" s="21">
        <f>F510*AO510</f>
        <v>0</v>
      </c>
      <c r="I510" s="21">
        <f>F510*AP510</f>
        <v>0</v>
      </c>
      <c r="J510" s="21">
        <f>F510*G510</f>
        <v>0</v>
      </c>
      <c r="K510" s="21">
        <v>2.3800000000000002E-3</v>
      </c>
      <c r="L510" s="21">
        <f>F510*K510</f>
        <v>2.7608000000000001E-2</v>
      </c>
      <c r="M510" s="34" t="s">
        <v>1960</v>
      </c>
      <c r="Z510" s="39">
        <f>IF(AQ510="5",BJ510,0)</f>
        <v>0</v>
      </c>
      <c r="AB510" s="39">
        <f>IF(AQ510="1",BH510,0)</f>
        <v>0</v>
      </c>
      <c r="AC510" s="39">
        <f>IF(AQ510="1",BI510,0)</f>
        <v>0</v>
      </c>
      <c r="AD510" s="39">
        <f>IF(AQ510="7",BH510,0)</f>
        <v>0</v>
      </c>
      <c r="AE510" s="39">
        <f>IF(AQ510="7",BI510,0)</f>
        <v>0</v>
      </c>
      <c r="AF510" s="39">
        <f>IF(AQ510="2",BH510,0)</f>
        <v>0</v>
      </c>
      <c r="AG510" s="39">
        <f>IF(AQ510="2",BI510,0)</f>
        <v>0</v>
      </c>
      <c r="AH510" s="39">
        <f>IF(AQ510="0",BJ510,0)</f>
        <v>0</v>
      </c>
      <c r="AI510" s="30"/>
      <c r="AJ510" s="21">
        <f>IF(AN510=0,J510,0)</f>
        <v>0</v>
      </c>
      <c r="AK510" s="21">
        <f>IF(AN510=15,J510,0)</f>
        <v>0</v>
      </c>
      <c r="AL510" s="21">
        <f>IF(AN510=21,J510,0)</f>
        <v>0</v>
      </c>
      <c r="AN510" s="39">
        <v>21</v>
      </c>
      <c r="AO510" s="39">
        <f>G510*0.188010680907877</f>
        <v>0</v>
      </c>
      <c r="AP510" s="39">
        <f>G510*(1-0.188010680907877)</f>
        <v>0</v>
      </c>
      <c r="AQ510" s="34" t="s">
        <v>11</v>
      </c>
      <c r="AV510" s="39">
        <f>AW510+AX510</f>
        <v>0</v>
      </c>
      <c r="AW510" s="39">
        <f>F510*AO510</f>
        <v>0</v>
      </c>
      <c r="AX510" s="39">
        <f>F510*AP510</f>
        <v>0</v>
      </c>
      <c r="AY510" s="40" t="s">
        <v>2014</v>
      </c>
      <c r="AZ510" s="40" t="s">
        <v>2041</v>
      </c>
      <c r="BA510" s="30" t="s">
        <v>2045</v>
      </c>
      <c r="BC510" s="39">
        <f>AW510+AX510</f>
        <v>0</v>
      </c>
      <c r="BD510" s="39">
        <f>G510/(100-BE510)*100</f>
        <v>0</v>
      </c>
      <c r="BE510" s="39">
        <v>0</v>
      </c>
      <c r="BF510" s="39">
        <f>L510</f>
        <v>2.7608000000000001E-2</v>
      </c>
      <c r="BH510" s="21">
        <f>F510*AO510</f>
        <v>0</v>
      </c>
      <c r="BI510" s="21">
        <f>F510*AP510</f>
        <v>0</v>
      </c>
      <c r="BJ510" s="21">
        <f>F510*G510</f>
        <v>0</v>
      </c>
    </row>
    <row r="511" spans="1:62">
      <c r="C511" s="16" t="s">
        <v>609</v>
      </c>
      <c r="D511" s="919" t="s">
        <v>1654</v>
      </c>
      <c r="E511" s="920"/>
      <c r="F511" s="920"/>
      <c r="G511" s="920"/>
      <c r="H511" s="920"/>
      <c r="I511" s="920"/>
      <c r="J511" s="920"/>
      <c r="K511" s="920"/>
      <c r="L511" s="920"/>
      <c r="M511" s="920"/>
    </row>
    <row r="512" spans="1:62">
      <c r="A512" s="5" t="s">
        <v>364</v>
      </c>
      <c r="B512" s="5"/>
      <c r="C512" s="5" t="s">
        <v>966</v>
      </c>
      <c r="D512" s="5" t="s">
        <v>1661</v>
      </c>
      <c r="E512" s="5" t="s">
        <v>1939</v>
      </c>
      <c r="F512" s="21">
        <v>4.8</v>
      </c>
      <c r="G512" s="753">
        <v>0</v>
      </c>
      <c r="H512" s="21">
        <f>F512*AO512</f>
        <v>0</v>
      </c>
      <c r="I512" s="21">
        <f>F512*AP512</f>
        <v>0</v>
      </c>
      <c r="J512" s="21">
        <f>F512*G512</f>
        <v>0</v>
      </c>
      <c r="K512" s="21">
        <v>2.3800000000000002E-3</v>
      </c>
      <c r="L512" s="21">
        <f>F512*K512</f>
        <v>1.1424E-2</v>
      </c>
      <c r="M512" s="34" t="s">
        <v>1960</v>
      </c>
      <c r="Z512" s="39">
        <f>IF(AQ512="5",BJ512,0)</f>
        <v>0</v>
      </c>
      <c r="AB512" s="39">
        <f>IF(AQ512="1",BH512,0)</f>
        <v>0</v>
      </c>
      <c r="AC512" s="39">
        <f>IF(AQ512="1",BI512,0)</f>
        <v>0</v>
      </c>
      <c r="AD512" s="39">
        <f>IF(AQ512="7",BH512,0)</f>
        <v>0</v>
      </c>
      <c r="AE512" s="39">
        <f>IF(AQ512="7",BI512,0)</f>
        <v>0</v>
      </c>
      <c r="AF512" s="39">
        <f>IF(AQ512="2",BH512,0)</f>
        <v>0</v>
      </c>
      <c r="AG512" s="39">
        <f>IF(AQ512="2",BI512,0)</f>
        <v>0</v>
      </c>
      <c r="AH512" s="39">
        <f>IF(AQ512="0",BJ512,0)</f>
        <v>0</v>
      </c>
      <c r="AI512" s="30"/>
      <c r="AJ512" s="21">
        <f>IF(AN512=0,J512,0)</f>
        <v>0</v>
      </c>
      <c r="AK512" s="21">
        <f>IF(AN512=15,J512,0)</f>
        <v>0</v>
      </c>
      <c r="AL512" s="21">
        <f>IF(AN512=21,J512,0)</f>
        <v>0</v>
      </c>
      <c r="AN512" s="39">
        <v>21</v>
      </c>
      <c r="AO512" s="39">
        <f>G512*0.188019639934534</f>
        <v>0</v>
      </c>
      <c r="AP512" s="39">
        <f>G512*(1-0.188019639934534)</f>
        <v>0</v>
      </c>
      <c r="AQ512" s="34" t="s">
        <v>11</v>
      </c>
      <c r="AV512" s="39">
        <f>AW512+AX512</f>
        <v>0</v>
      </c>
      <c r="AW512" s="39">
        <f>F512*AO512</f>
        <v>0</v>
      </c>
      <c r="AX512" s="39">
        <f>F512*AP512</f>
        <v>0</v>
      </c>
      <c r="AY512" s="40" t="s">
        <v>2014</v>
      </c>
      <c r="AZ512" s="40" t="s">
        <v>2041</v>
      </c>
      <c r="BA512" s="30" t="s">
        <v>2045</v>
      </c>
      <c r="BC512" s="39">
        <f>AW512+AX512</f>
        <v>0</v>
      </c>
      <c r="BD512" s="39">
        <f>G512/(100-BE512)*100</f>
        <v>0</v>
      </c>
      <c r="BE512" s="39">
        <v>0</v>
      </c>
      <c r="BF512" s="39">
        <f>L512</f>
        <v>1.1424E-2</v>
      </c>
      <c r="BH512" s="21">
        <f>F512*AO512</f>
        <v>0</v>
      </c>
      <c r="BI512" s="21">
        <f>F512*AP512</f>
        <v>0</v>
      </c>
      <c r="BJ512" s="21">
        <f>F512*G512</f>
        <v>0</v>
      </c>
    </row>
    <row r="513" spans="1:62">
      <c r="C513" s="16" t="s">
        <v>609</v>
      </c>
      <c r="D513" s="919" t="s">
        <v>1654</v>
      </c>
      <c r="E513" s="920"/>
      <c r="F513" s="920"/>
      <c r="G513" s="920"/>
      <c r="H513" s="920"/>
      <c r="I513" s="920"/>
      <c r="J513" s="920"/>
      <c r="K513" s="920"/>
      <c r="L513" s="920"/>
      <c r="M513" s="920"/>
    </row>
    <row r="514" spans="1:62">
      <c r="A514" s="5" t="s">
        <v>365</v>
      </c>
      <c r="B514" s="5"/>
      <c r="C514" s="5" t="s">
        <v>967</v>
      </c>
      <c r="D514" s="5" t="s">
        <v>1662</v>
      </c>
      <c r="E514" s="5" t="s">
        <v>1939</v>
      </c>
      <c r="F514" s="21">
        <v>236.4</v>
      </c>
      <c r="G514" s="753">
        <v>0</v>
      </c>
      <c r="H514" s="21">
        <f>F514*AO514</f>
        <v>0</v>
      </c>
      <c r="I514" s="21">
        <f>F514*AP514</f>
        <v>0</v>
      </c>
      <c r="J514" s="21">
        <f>F514*G514</f>
        <v>0</v>
      </c>
      <c r="K514" s="21">
        <v>2.3800000000000002E-3</v>
      </c>
      <c r="L514" s="21">
        <f>F514*K514</f>
        <v>0.56263200000000002</v>
      </c>
      <c r="M514" s="34" t="s">
        <v>1960</v>
      </c>
      <c r="Z514" s="39">
        <f>IF(AQ514="5",BJ514,0)</f>
        <v>0</v>
      </c>
      <c r="AB514" s="39">
        <f>IF(AQ514="1",BH514,0)</f>
        <v>0</v>
      </c>
      <c r="AC514" s="39">
        <f>IF(AQ514="1",BI514,0)</f>
        <v>0</v>
      </c>
      <c r="AD514" s="39">
        <f>IF(AQ514="7",BH514,0)</f>
        <v>0</v>
      </c>
      <c r="AE514" s="39">
        <f>IF(AQ514="7",BI514,0)</f>
        <v>0</v>
      </c>
      <c r="AF514" s="39">
        <f>IF(AQ514="2",BH514,0)</f>
        <v>0</v>
      </c>
      <c r="AG514" s="39">
        <f>IF(AQ514="2",BI514,0)</f>
        <v>0</v>
      </c>
      <c r="AH514" s="39">
        <f>IF(AQ514="0",BJ514,0)</f>
        <v>0</v>
      </c>
      <c r="AI514" s="30"/>
      <c r="AJ514" s="21">
        <f>IF(AN514=0,J514,0)</f>
        <v>0</v>
      </c>
      <c r="AK514" s="21">
        <f>IF(AN514=15,J514,0)</f>
        <v>0</v>
      </c>
      <c r="AL514" s="21">
        <f>IF(AN514=21,J514,0)</f>
        <v>0</v>
      </c>
      <c r="AN514" s="39">
        <v>21</v>
      </c>
      <c r="AO514" s="39">
        <f>G514*0.188011869436202</f>
        <v>0</v>
      </c>
      <c r="AP514" s="39">
        <f>G514*(1-0.188011869436202)</f>
        <v>0</v>
      </c>
      <c r="AQ514" s="34" t="s">
        <v>11</v>
      </c>
      <c r="AV514" s="39">
        <f>AW514+AX514</f>
        <v>0</v>
      </c>
      <c r="AW514" s="39">
        <f>F514*AO514</f>
        <v>0</v>
      </c>
      <c r="AX514" s="39">
        <f>F514*AP514</f>
        <v>0</v>
      </c>
      <c r="AY514" s="40" t="s">
        <v>2014</v>
      </c>
      <c r="AZ514" s="40" t="s">
        <v>2041</v>
      </c>
      <c r="BA514" s="30" t="s">
        <v>2045</v>
      </c>
      <c r="BC514" s="39">
        <f>AW514+AX514</f>
        <v>0</v>
      </c>
      <c r="BD514" s="39">
        <f>G514/(100-BE514)*100</f>
        <v>0</v>
      </c>
      <c r="BE514" s="39">
        <v>0</v>
      </c>
      <c r="BF514" s="39">
        <f>L514</f>
        <v>0.56263200000000002</v>
      </c>
      <c r="BH514" s="21">
        <f>F514*AO514</f>
        <v>0</v>
      </c>
      <c r="BI514" s="21">
        <f>F514*AP514</f>
        <v>0</v>
      </c>
      <c r="BJ514" s="21">
        <f>F514*G514</f>
        <v>0</v>
      </c>
    </row>
    <row r="515" spans="1:62">
      <c r="C515" s="16" t="s">
        <v>609</v>
      </c>
      <c r="D515" s="919" t="s">
        <v>1654</v>
      </c>
      <c r="E515" s="920"/>
      <c r="F515" s="920"/>
      <c r="G515" s="920"/>
      <c r="H515" s="920"/>
      <c r="I515" s="920"/>
      <c r="J515" s="920"/>
      <c r="K515" s="920"/>
      <c r="L515" s="920"/>
      <c r="M515" s="920"/>
    </row>
    <row r="516" spans="1:62">
      <c r="A516" s="5" t="s">
        <v>366</v>
      </c>
      <c r="B516" s="5"/>
      <c r="C516" s="5" t="s">
        <v>968</v>
      </c>
      <c r="D516" s="5" t="s">
        <v>1663</v>
      </c>
      <c r="E516" s="5" t="s">
        <v>1939</v>
      </c>
      <c r="F516" s="21">
        <v>108.4</v>
      </c>
      <c r="G516" s="753">
        <v>0</v>
      </c>
      <c r="H516" s="21">
        <f>F516*AO516</f>
        <v>0</v>
      </c>
      <c r="I516" s="21">
        <f>F516*AP516</f>
        <v>0</v>
      </c>
      <c r="J516" s="21">
        <f>F516*G516</f>
        <v>0</v>
      </c>
      <c r="K516" s="21">
        <v>2.3800000000000002E-3</v>
      </c>
      <c r="L516" s="21">
        <f>F516*K516</f>
        <v>0.25799200000000005</v>
      </c>
      <c r="M516" s="34" t="s">
        <v>1960</v>
      </c>
      <c r="Z516" s="39">
        <f>IF(AQ516="5",BJ516,0)</f>
        <v>0</v>
      </c>
      <c r="AB516" s="39">
        <f>IF(AQ516="1",BH516,0)</f>
        <v>0</v>
      </c>
      <c r="AC516" s="39">
        <f>IF(AQ516="1",BI516,0)</f>
        <v>0</v>
      </c>
      <c r="AD516" s="39">
        <f>IF(AQ516="7",BH516,0)</f>
        <v>0</v>
      </c>
      <c r="AE516" s="39">
        <f>IF(AQ516="7",BI516,0)</f>
        <v>0</v>
      </c>
      <c r="AF516" s="39">
        <f>IF(AQ516="2",BH516,0)</f>
        <v>0</v>
      </c>
      <c r="AG516" s="39">
        <f>IF(AQ516="2",BI516,0)</f>
        <v>0</v>
      </c>
      <c r="AH516" s="39">
        <f>IF(AQ516="0",BJ516,0)</f>
        <v>0</v>
      </c>
      <c r="AI516" s="30"/>
      <c r="AJ516" s="21">
        <f>IF(AN516=0,J516,0)</f>
        <v>0</v>
      </c>
      <c r="AK516" s="21">
        <f>IF(AN516=15,J516,0)</f>
        <v>0</v>
      </c>
      <c r="AL516" s="21">
        <f>IF(AN516=21,J516,0)</f>
        <v>0</v>
      </c>
      <c r="AN516" s="39">
        <v>21</v>
      </c>
      <c r="AO516" s="39">
        <f>G516*0.188011869436202</f>
        <v>0</v>
      </c>
      <c r="AP516" s="39">
        <f>G516*(1-0.188011869436202)</f>
        <v>0</v>
      </c>
      <c r="AQ516" s="34" t="s">
        <v>11</v>
      </c>
      <c r="AV516" s="39">
        <f>AW516+AX516</f>
        <v>0</v>
      </c>
      <c r="AW516" s="39">
        <f>F516*AO516</f>
        <v>0</v>
      </c>
      <c r="AX516" s="39">
        <f>F516*AP516</f>
        <v>0</v>
      </c>
      <c r="AY516" s="40" t="s">
        <v>2014</v>
      </c>
      <c r="AZ516" s="40" t="s">
        <v>2041</v>
      </c>
      <c r="BA516" s="30" t="s">
        <v>2045</v>
      </c>
      <c r="BC516" s="39">
        <f>AW516+AX516</f>
        <v>0</v>
      </c>
      <c r="BD516" s="39">
        <f>G516/(100-BE516)*100</f>
        <v>0</v>
      </c>
      <c r="BE516" s="39">
        <v>0</v>
      </c>
      <c r="BF516" s="39">
        <f>L516</f>
        <v>0.25799200000000005</v>
      </c>
      <c r="BH516" s="21">
        <f>F516*AO516</f>
        <v>0</v>
      </c>
      <c r="BI516" s="21">
        <f>F516*AP516</f>
        <v>0</v>
      </c>
      <c r="BJ516" s="21">
        <f>F516*G516</f>
        <v>0</v>
      </c>
    </row>
    <row r="517" spans="1:62">
      <c r="C517" s="16" t="s">
        <v>609</v>
      </c>
      <c r="D517" s="919" t="s">
        <v>1654</v>
      </c>
      <c r="E517" s="920"/>
      <c r="F517" s="920"/>
      <c r="G517" s="920"/>
      <c r="H517" s="920"/>
      <c r="I517" s="920"/>
      <c r="J517" s="920"/>
      <c r="K517" s="920"/>
      <c r="L517" s="920"/>
      <c r="M517" s="920"/>
    </row>
    <row r="518" spans="1:62">
      <c r="A518" s="5" t="s">
        <v>367</v>
      </c>
      <c r="B518" s="5"/>
      <c r="C518" s="5" t="s">
        <v>969</v>
      </c>
      <c r="D518" s="5" t="s">
        <v>1664</v>
      </c>
      <c r="E518" s="5" t="s">
        <v>1939</v>
      </c>
      <c r="F518" s="21">
        <v>6.5</v>
      </c>
      <c r="G518" s="753">
        <v>0</v>
      </c>
      <c r="H518" s="21">
        <f>F518*AO518</f>
        <v>0</v>
      </c>
      <c r="I518" s="21">
        <f>F518*AP518</f>
        <v>0</v>
      </c>
      <c r="J518" s="21">
        <f>F518*G518</f>
        <v>0</v>
      </c>
      <c r="K518" s="21">
        <v>2.3800000000000002E-3</v>
      </c>
      <c r="L518" s="21">
        <f>F518*K518</f>
        <v>1.5470000000000001E-2</v>
      </c>
      <c r="M518" s="34" t="s">
        <v>1960</v>
      </c>
      <c r="Z518" s="39">
        <f>IF(AQ518="5",BJ518,0)</f>
        <v>0</v>
      </c>
      <c r="AB518" s="39">
        <f>IF(AQ518="1",BH518,0)</f>
        <v>0</v>
      </c>
      <c r="AC518" s="39">
        <f>IF(AQ518="1",BI518,0)</f>
        <v>0</v>
      </c>
      <c r="AD518" s="39">
        <f>IF(AQ518="7",BH518,0)</f>
        <v>0</v>
      </c>
      <c r="AE518" s="39">
        <f>IF(AQ518="7",BI518,0)</f>
        <v>0</v>
      </c>
      <c r="AF518" s="39">
        <f>IF(AQ518="2",BH518,0)</f>
        <v>0</v>
      </c>
      <c r="AG518" s="39">
        <f>IF(AQ518="2",BI518,0)</f>
        <v>0</v>
      </c>
      <c r="AH518" s="39">
        <f>IF(AQ518="0",BJ518,0)</f>
        <v>0</v>
      </c>
      <c r="AI518" s="30"/>
      <c r="AJ518" s="21">
        <f>IF(AN518=0,J518,0)</f>
        <v>0</v>
      </c>
      <c r="AK518" s="21">
        <f>IF(AN518=15,J518,0)</f>
        <v>0</v>
      </c>
      <c r="AL518" s="21">
        <f>IF(AN518=21,J518,0)</f>
        <v>0</v>
      </c>
      <c r="AN518" s="39">
        <v>21</v>
      </c>
      <c r="AO518" s="39">
        <f>G518*0.18802825191289</f>
        <v>0</v>
      </c>
      <c r="AP518" s="39">
        <f>G518*(1-0.18802825191289)</f>
        <v>0</v>
      </c>
      <c r="AQ518" s="34" t="s">
        <v>11</v>
      </c>
      <c r="AV518" s="39">
        <f>AW518+AX518</f>
        <v>0</v>
      </c>
      <c r="AW518" s="39">
        <f>F518*AO518</f>
        <v>0</v>
      </c>
      <c r="AX518" s="39">
        <f>F518*AP518</f>
        <v>0</v>
      </c>
      <c r="AY518" s="40" t="s">
        <v>2014</v>
      </c>
      <c r="AZ518" s="40" t="s">
        <v>2041</v>
      </c>
      <c r="BA518" s="30" t="s">
        <v>2045</v>
      </c>
      <c r="BC518" s="39">
        <f>AW518+AX518</f>
        <v>0</v>
      </c>
      <c r="BD518" s="39">
        <f>G518/(100-BE518)*100</f>
        <v>0</v>
      </c>
      <c r="BE518" s="39">
        <v>0</v>
      </c>
      <c r="BF518" s="39">
        <f>L518</f>
        <v>1.5470000000000001E-2</v>
      </c>
      <c r="BH518" s="21">
        <f>F518*AO518</f>
        <v>0</v>
      </c>
      <c r="BI518" s="21">
        <f>F518*AP518</f>
        <v>0</v>
      </c>
      <c r="BJ518" s="21">
        <f>F518*G518</f>
        <v>0</v>
      </c>
    </row>
    <row r="519" spans="1:62">
      <c r="C519" s="16" t="s">
        <v>609</v>
      </c>
      <c r="D519" s="919" t="s">
        <v>1654</v>
      </c>
      <c r="E519" s="920"/>
      <c r="F519" s="920"/>
      <c r="G519" s="920"/>
      <c r="H519" s="920"/>
      <c r="I519" s="920"/>
      <c r="J519" s="920"/>
      <c r="K519" s="920"/>
      <c r="L519" s="920"/>
      <c r="M519" s="920"/>
    </row>
    <row r="520" spans="1:62">
      <c r="A520" s="5" t="s">
        <v>368</v>
      </c>
      <c r="B520" s="5"/>
      <c r="C520" s="5" t="s">
        <v>970</v>
      </c>
      <c r="D520" s="5" t="s">
        <v>1665</v>
      </c>
      <c r="E520" s="5" t="s">
        <v>1939</v>
      </c>
      <c r="F520" s="21">
        <v>6.2</v>
      </c>
      <c r="G520" s="753">
        <v>0</v>
      </c>
      <c r="H520" s="21">
        <f>F520*AO520</f>
        <v>0</v>
      </c>
      <c r="I520" s="21">
        <f>F520*AP520</f>
        <v>0</v>
      </c>
      <c r="J520" s="21">
        <f>F520*G520</f>
        <v>0</v>
      </c>
      <c r="K520" s="21">
        <v>2.3800000000000002E-3</v>
      </c>
      <c r="L520" s="21">
        <f>F520*K520</f>
        <v>1.4756000000000002E-2</v>
      </c>
      <c r="M520" s="34" t="s">
        <v>1960</v>
      </c>
      <c r="Z520" s="39">
        <f>IF(AQ520="5",BJ520,0)</f>
        <v>0</v>
      </c>
      <c r="AB520" s="39">
        <f>IF(AQ520="1",BH520,0)</f>
        <v>0</v>
      </c>
      <c r="AC520" s="39">
        <f>IF(AQ520="1",BI520,0)</f>
        <v>0</v>
      </c>
      <c r="AD520" s="39">
        <f>IF(AQ520="7",BH520,0)</f>
        <v>0</v>
      </c>
      <c r="AE520" s="39">
        <f>IF(AQ520="7",BI520,0)</f>
        <v>0</v>
      </c>
      <c r="AF520" s="39">
        <f>IF(AQ520="2",BH520,0)</f>
        <v>0</v>
      </c>
      <c r="AG520" s="39">
        <f>IF(AQ520="2",BI520,0)</f>
        <v>0</v>
      </c>
      <c r="AH520" s="39">
        <f>IF(AQ520="0",BJ520,0)</f>
        <v>0</v>
      </c>
      <c r="AI520" s="30"/>
      <c r="AJ520" s="21">
        <f>IF(AN520=0,J520,0)</f>
        <v>0</v>
      </c>
      <c r="AK520" s="21">
        <f>IF(AN520=15,J520,0)</f>
        <v>0</v>
      </c>
      <c r="AL520" s="21">
        <f>IF(AN520=21,J520,0)</f>
        <v>0</v>
      </c>
      <c r="AN520" s="39">
        <v>21</v>
      </c>
      <c r="AO520" s="39">
        <f>G520*0.188023391812865</f>
        <v>0</v>
      </c>
      <c r="AP520" s="39">
        <f>G520*(1-0.188023391812865)</f>
        <v>0</v>
      </c>
      <c r="AQ520" s="34" t="s">
        <v>11</v>
      </c>
      <c r="AV520" s="39">
        <f>AW520+AX520</f>
        <v>0</v>
      </c>
      <c r="AW520" s="39">
        <f>F520*AO520</f>
        <v>0</v>
      </c>
      <c r="AX520" s="39">
        <f>F520*AP520</f>
        <v>0</v>
      </c>
      <c r="AY520" s="40" t="s">
        <v>2014</v>
      </c>
      <c r="AZ520" s="40" t="s">
        <v>2041</v>
      </c>
      <c r="BA520" s="30" t="s">
        <v>2045</v>
      </c>
      <c r="BC520" s="39">
        <f>AW520+AX520</f>
        <v>0</v>
      </c>
      <c r="BD520" s="39">
        <f>G520/(100-BE520)*100</f>
        <v>0</v>
      </c>
      <c r="BE520" s="39">
        <v>0</v>
      </c>
      <c r="BF520" s="39">
        <f>L520</f>
        <v>1.4756000000000002E-2</v>
      </c>
      <c r="BH520" s="21">
        <f>F520*AO520</f>
        <v>0</v>
      </c>
      <c r="BI520" s="21">
        <f>F520*AP520</f>
        <v>0</v>
      </c>
      <c r="BJ520" s="21">
        <f>F520*G520</f>
        <v>0</v>
      </c>
    </row>
    <row r="521" spans="1:62">
      <c r="C521" s="16" t="s">
        <v>609</v>
      </c>
      <c r="D521" s="919" t="s">
        <v>1654</v>
      </c>
      <c r="E521" s="920"/>
      <c r="F521" s="920"/>
      <c r="G521" s="920"/>
      <c r="H521" s="920"/>
      <c r="I521" s="920"/>
      <c r="J521" s="920"/>
      <c r="K521" s="920"/>
      <c r="L521" s="920"/>
      <c r="M521" s="920"/>
    </row>
    <row r="522" spans="1:62">
      <c r="A522" s="5" t="s">
        <v>369</v>
      </c>
      <c r="B522" s="5"/>
      <c r="C522" s="5" t="s">
        <v>971</v>
      </c>
      <c r="D522" s="5" t="s">
        <v>1666</v>
      </c>
      <c r="E522" s="5" t="s">
        <v>1939</v>
      </c>
      <c r="F522" s="21">
        <v>5.5</v>
      </c>
      <c r="G522" s="753">
        <v>0</v>
      </c>
      <c r="H522" s="21">
        <f>F522*AO522</f>
        <v>0</v>
      </c>
      <c r="I522" s="21">
        <f>F522*AP522</f>
        <v>0</v>
      </c>
      <c r="J522" s="21">
        <f>F522*G522</f>
        <v>0</v>
      </c>
      <c r="K522" s="21">
        <v>2.3800000000000002E-3</v>
      </c>
      <c r="L522" s="21">
        <f>F522*K522</f>
        <v>1.3090000000000001E-2</v>
      </c>
      <c r="M522" s="34" t="s">
        <v>1960</v>
      </c>
      <c r="Z522" s="39">
        <f>IF(AQ522="5",BJ522,0)</f>
        <v>0</v>
      </c>
      <c r="AB522" s="39">
        <f>IF(AQ522="1",BH522,0)</f>
        <v>0</v>
      </c>
      <c r="AC522" s="39">
        <f>IF(AQ522="1",BI522,0)</f>
        <v>0</v>
      </c>
      <c r="AD522" s="39">
        <f>IF(AQ522="7",BH522,0)</f>
        <v>0</v>
      </c>
      <c r="AE522" s="39">
        <f>IF(AQ522="7",BI522,0)</f>
        <v>0</v>
      </c>
      <c r="AF522" s="39">
        <f>IF(AQ522="2",BH522,0)</f>
        <v>0</v>
      </c>
      <c r="AG522" s="39">
        <f>IF(AQ522="2",BI522,0)</f>
        <v>0</v>
      </c>
      <c r="AH522" s="39">
        <f>IF(AQ522="0",BJ522,0)</f>
        <v>0</v>
      </c>
      <c r="AI522" s="30"/>
      <c r="AJ522" s="21">
        <f>IF(AN522=0,J522,0)</f>
        <v>0</v>
      </c>
      <c r="AK522" s="21">
        <f>IF(AN522=15,J522,0)</f>
        <v>0</v>
      </c>
      <c r="AL522" s="21">
        <f>IF(AN522=21,J522,0)</f>
        <v>0</v>
      </c>
      <c r="AN522" s="39">
        <v>21</v>
      </c>
      <c r="AO522" s="39">
        <f>G522*0.188010610079576</f>
        <v>0</v>
      </c>
      <c r="AP522" s="39">
        <f>G522*(1-0.188010610079576)</f>
        <v>0</v>
      </c>
      <c r="AQ522" s="34" t="s">
        <v>11</v>
      </c>
      <c r="AV522" s="39">
        <f>AW522+AX522</f>
        <v>0</v>
      </c>
      <c r="AW522" s="39">
        <f>F522*AO522</f>
        <v>0</v>
      </c>
      <c r="AX522" s="39">
        <f>F522*AP522</f>
        <v>0</v>
      </c>
      <c r="AY522" s="40" t="s">
        <v>2014</v>
      </c>
      <c r="AZ522" s="40" t="s">
        <v>2041</v>
      </c>
      <c r="BA522" s="30" t="s">
        <v>2045</v>
      </c>
      <c r="BC522" s="39">
        <f>AW522+AX522</f>
        <v>0</v>
      </c>
      <c r="BD522" s="39">
        <f>G522/(100-BE522)*100</f>
        <v>0</v>
      </c>
      <c r="BE522" s="39">
        <v>0</v>
      </c>
      <c r="BF522" s="39">
        <f>L522</f>
        <v>1.3090000000000001E-2</v>
      </c>
      <c r="BH522" s="21">
        <f>F522*AO522</f>
        <v>0</v>
      </c>
      <c r="BI522" s="21">
        <f>F522*AP522</f>
        <v>0</v>
      </c>
      <c r="BJ522" s="21">
        <f>F522*G522</f>
        <v>0</v>
      </c>
    </row>
    <row r="523" spans="1:62">
      <c r="C523" s="16" t="s">
        <v>609</v>
      </c>
      <c r="D523" s="919" t="s">
        <v>1654</v>
      </c>
      <c r="E523" s="920"/>
      <c r="F523" s="920"/>
      <c r="G523" s="920"/>
      <c r="H523" s="920"/>
      <c r="I523" s="920"/>
      <c r="J523" s="920"/>
      <c r="K523" s="920"/>
      <c r="L523" s="920"/>
      <c r="M523" s="920"/>
    </row>
    <row r="524" spans="1:62">
      <c r="A524" s="5" t="s">
        <v>370</v>
      </c>
      <c r="B524" s="5"/>
      <c r="C524" s="5" t="s">
        <v>972</v>
      </c>
      <c r="D524" s="5" t="s">
        <v>1667</v>
      </c>
      <c r="E524" s="5" t="s">
        <v>1939</v>
      </c>
      <c r="F524" s="21">
        <v>6.5</v>
      </c>
      <c r="G524" s="753">
        <v>0</v>
      </c>
      <c r="H524" s="21">
        <f>F524*AO524</f>
        <v>0</v>
      </c>
      <c r="I524" s="21">
        <f>F524*AP524</f>
        <v>0</v>
      </c>
      <c r="J524" s="21">
        <f>F524*G524</f>
        <v>0</v>
      </c>
      <c r="K524" s="21">
        <v>2.3800000000000002E-3</v>
      </c>
      <c r="L524" s="21">
        <f>F524*K524</f>
        <v>1.5470000000000001E-2</v>
      </c>
      <c r="M524" s="34" t="s">
        <v>1960</v>
      </c>
      <c r="Z524" s="39">
        <f>IF(AQ524="5",BJ524,0)</f>
        <v>0</v>
      </c>
      <c r="AB524" s="39">
        <f>IF(AQ524="1",BH524,0)</f>
        <v>0</v>
      </c>
      <c r="AC524" s="39">
        <f>IF(AQ524="1",BI524,0)</f>
        <v>0</v>
      </c>
      <c r="AD524" s="39">
        <f>IF(AQ524="7",BH524,0)</f>
        <v>0</v>
      </c>
      <c r="AE524" s="39">
        <f>IF(AQ524="7",BI524,0)</f>
        <v>0</v>
      </c>
      <c r="AF524" s="39">
        <f>IF(AQ524="2",BH524,0)</f>
        <v>0</v>
      </c>
      <c r="AG524" s="39">
        <f>IF(AQ524="2",BI524,0)</f>
        <v>0</v>
      </c>
      <c r="AH524" s="39">
        <f>IF(AQ524="0",BJ524,0)</f>
        <v>0</v>
      </c>
      <c r="AI524" s="30"/>
      <c r="AJ524" s="21">
        <f>IF(AN524=0,J524,0)</f>
        <v>0</v>
      </c>
      <c r="AK524" s="21">
        <f>IF(AN524=15,J524,0)</f>
        <v>0</v>
      </c>
      <c r="AL524" s="21">
        <f>IF(AN524=21,J524,0)</f>
        <v>0</v>
      </c>
      <c r="AN524" s="39">
        <v>21</v>
      </c>
      <c r="AO524" s="39">
        <f>G524*0.188031651829871</f>
        <v>0</v>
      </c>
      <c r="AP524" s="39">
        <f>G524*(1-0.188031651829871)</f>
        <v>0</v>
      </c>
      <c r="AQ524" s="34" t="s">
        <v>11</v>
      </c>
      <c r="AV524" s="39">
        <f>AW524+AX524</f>
        <v>0</v>
      </c>
      <c r="AW524" s="39">
        <f>F524*AO524</f>
        <v>0</v>
      </c>
      <c r="AX524" s="39">
        <f>F524*AP524</f>
        <v>0</v>
      </c>
      <c r="AY524" s="40" t="s">
        <v>2014</v>
      </c>
      <c r="AZ524" s="40" t="s">
        <v>2041</v>
      </c>
      <c r="BA524" s="30" t="s">
        <v>2045</v>
      </c>
      <c r="BC524" s="39">
        <f>AW524+AX524</f>
        <v>0</v>
      </c>
      <c r="BD524" s="39">
        <f>G524/(100-BE524)*100</f>
        <v>0</v>
      </c>
      <c r="BE524" s="39">
        <v>0</v>
      </c>
      <c r="BF524" s="39">
        <f>L524</f>
        <v>1.5470000000000001E-2</v>
      </c>
      <c r="BH524" s="21">
        <f>F524*AO524</f>
        <v>0</v>
      </c>
      <c r="BI524" s="21">
        <f>F524*AP524</f>
        <v>0</v>
      </c>
      <c r="BJ524" s="21">
        <f>F524*G524</f>
        <v>0</v>
      </c>
    </row>
    <row r="525" spans="1:62">
      <c r="C525" s="16" t="s">
        <v>609</v>
      </c>
      <c r="D525" s="919" t="s">
        <v>1654</v>
      </c>
      <c r="E525" s="920"/>
      <c r="F525" s="920"/>
      <c r="G525" s="920"/>
      <c r="H525" s="920"/>
      <c r="I525" s="920"/>
      <c r="J525" s="920"/>
      <c r="K525" s="920"/>
      <c r="L525" s="920"/>
      <c r="M525" s="920"/>
    </row>
    <row r="526" spans="1:62">
      <c r="A526" s="5" t="s">
        <v>371</v>
      </c>
      <c r="B526" s="5"/>
      <c r="C526" s="5" t="s">
        <v>973</v>
      </c>
      <c r="D526" s="5" t="s">
        <v>1668</v>
      </c>
      <c r="E526" s="5" t="s">
        <v>1939</v>
      </c>
      <c r="F526" s="21">
        <v>8.5</v>
      </c>
      <c r="G526" s="753">
        <v>0</v>
      </c>
      <c r="H526" s="21">
        <f>F526*AO526</f>
        <v>0</v>
      </c>
      <c r="I526" s="21">
        <f>F526*AP526</f>
        <v>0</v>
      </c>
      <c r="J526" s="21">
        <f>F526*G526</f>
        <v>0</v>
      </c>
      <c r="K526" s="21">
        <v>2.3800000000000002E-3</v>
      </c>
      <c r="L526" s="21">
        <f>F526*K526</f>
        <v>2.0230000000000001E-2</v>
      </c>
      <c r="M526" s="34" t="s">
        <v>1960</v>
      </c>
      <c r="Z526" s="39">
        <f>IF(AQ526="5",BJ526,0)</f>
        <v>0</v>
      </c>
      <c r="AB526" s="39">
        <f>IF(AQ526="1",BH526,0)</f>
        <v>0</v>
      </c>
      <c r="AC526" s="39">
        <f>IF(AQ526="1",BI526,0)</f>
        <v>0</v>
      </c>
      <c r="AD526" s="39">
        <f>IF(AQ526="7",BH526,0)</f>
        <v>0</v>
      </c>
      <c r="AE526" s="39">
        <f>IF(AQ526="7",BI526,0)</f>
        <v>0</v>
      </c>
      <c r="AF526" s="39">
        <f>IF(AQ526="2",BH526,0)</f>
        <v>0</v>
      </c>
      <c r="AG526" s="39">
        <f>IF(AQ526="2",BI526,0)</f>
        <v>0</v>
      </c>
      <c r="AH526" s="39">
        <f>IF(AQ526="0",BJ526,0)</f>
        <v>0</v>
      </c>
      <c r="AI526" s="30"/>
      <c r="AJ526" s="21">
        <f>IF(AN526=0,J526,0)</f>
        <v>0</v>
      </c>
      <c r="AK526" s="21">
        <f>IF(AN526=15,J526,0)</f>
        <v>0</v>
      </c>
      <c r="AL526" s="21">
        <f>IF(AN526=21,J526,0)</f>
        <v>0</v>
      </c>
      <c r="AN526" s="39">
        <v>21</v>
      </c>
      <c r="AO526" s="39">
        <f>G526*0.188025830258303</f>
        <v>0</v>
      </c>
      <c r="AP526" s="39">
        <f>G526*(1-0.188025830258303)</f>
        <v>0</v>
      </c>
      <c r="AQ526" s="34" t="s">
        <v>11</v>
      </c>
      <c r="AV526" s="39">
        <f>AW526+AX526</f>
        <v>0</v>
      </c>
      <c r="AW526" s="39">
        <f>F526*AO526</f>
        <v>0</v>
      </c>
      <c r="AX526" s="39">
        <f>F526*AP526</f>
        <v>0</v>
      </c>
      <c r="AY526" s="40" t="s">
        <v>2014</v>
      </c>
      <c r="AZ526" s="40" t="s">
        <v>2041</v>
      </c>
      <c r="BA526" s="30" t="s">
        <v>2045</v>
      </c>
      <c r="BC526" s="39">
        <f>AW526+AX526</f>
        <v>0</v>
      </c>
      <c r="BD526" s="39">
        <f>G526/(100-BE526)*100</f>
        <v>0</v>
      </c>
      <c r="BE526" s="39">
        <v>0</v>
      </c>
      <c r="BF526" s="39">
        <f>L526</f>
        <v>2.0230000000000001E-2</v>
      </c>
      <c r="BH526" s="21">
        <f>F526*AO526</f>
        <v>0</v>
      </c>
      <c r="BI526" s="21">
        <f>F526*AP526</f>
        <v>0</v>
      </c>
      <c r="BJ526" s="21">
        <f>F526*G526</f>
        <v>0</v>
      </c>
    </row>
    <row r="527" spans="1:62">
      <c r="C527" s="16" t="s">
        <v>609</v>
      </c>
      <c r="D527" s="919" t="s">
        <v>1654</v>
      </c>
      <c r="E527" s="920"/>
      <c r="F527" s="920"/>
      <c r="G527" s="920"/>
      <c r="H527" s="920"/>
      <c r="I527" s="920"/>
      <c r="J527" s="920"/>
      <c r="K527" s="920"/>
      <c r="L527" s="920"/>
      <c r="M527" s="920"/>
    </row>
    <row r="528" spans="1:62">
      <c r="A528" s="5" t="s">
        <v>372</v>
      </c>
      <c r="B528" s="5"/>
      <c r="C528" s="5" t="s">
        <v>974</v>
      </c>
      <c r="D528" s="5" t="s">
        <v>1669</v>
      </c>
      <c r="E528" s="5" t="s">
        <v>1943</v>
      </c>
      <c r="F528" s="21">
        <v>1</v>
      </c>
      <c r="G528" s="753">
        <v>0</v>
      </c>
      <c r="H528" s="21">
        <f>F528*AO528</f>
        <v>0</v>
      </c>
      <c r="I528" s="21">
        <f>F528*AP528</f>
        <v>0</v>
      </c>
      <c r="J528" s="21">
        <f>F528*G528</f>
        <v>0</v>
      </c>
      <c r="K528" s="21">
        <v>2.3800000000000002E-3</v>
      </c>
      <c r="L528" s="21">
        <f>F528*K528</f>
        <v>2.3800000000000002E-3</v>
      </c>
      <c r="M528" s="34" t="s">
        <v>1960</v>
      </c>
      <c r="Z528" s="39">
        <f>IF(AQ528="5",BJ528,0)</f>
        <v>0</v>
      </c>
      <c r="AB528" s="39">
        <f>IF(AQ528="1",BH528,0)</f>
        <v>0</v>
      </c>
      <c r="AC528" s="39">
        <f>IF(AQ528="1",BI528,0)</f>
        <v>0</v>
      </c>
      <c r="AD528" s="39">
        <f>IF(AQ528="7",BH528,0)</f>
        <v>0</v>
      </c>
      <c r="AE528" s="39">
        <f>IF(AQ528="7",BI528,0)</f>
        <v>0</v>
      </c>
      <c r="AF528" s="39">
        <f>IF(AQ528="2",BH528,0)</f>
        <v>0</v>
      </c>
      <c r="AG528" s="39">
        <f>IF(AQ528="2",BI528,0)</f>
        <v>0</v>
      </c>
      <c r="AH528" s="39">
        <f>IF(AQ528="0",BJ528,0)</f>
        <v>0</v>
      </c>
      <c r="AI528" s="30"/>
      <c r="AJ528" s="21">
        <f>IF(AN528=0,J528,0)</f>
        <v>0</v>
      </c>
      <c r="AK528" s="21">
        <f>IF(AN528=15,J528,0)</f>
        <v>0</v>
      </c>
      <c r="AL528" s="21">
        <f>IF(AN528=21,J528,0)</f>
        <v>0</v>
      </c>
      <c r="AN528" s="39">
        <v>21</v>
      </c>
      <c r="AO528" s="39">
        <f>G528*0.188019207683073</f>
        <v>0</v>
      </c>
      <c r="AP528" s="39">
        <f>G528*(1-0.188019207683073)</f>
        <v>0</v>
      </c>
      <c r="AQ528" s="34" t="s">
        <v>11</v>
      </c>
      <c r="AV528" s="39">
        <f>AW528+AX528</f>
        <v>0</v>
      </c>
      <c r="AW528" s="39">
        <f>F528*AO528</f>
        <v>0</v>
      </c>
      <c r="AX528" s="39">
        <f>F528*AP528</f>
        <v>0</v>
      </c>
      <c r="AY528" s="40" t="s">
        <v>2014</v>
      </c>
      <c r="AZ528" s="40" t="s">
        <v>2041</v>
      </c>
      <c r="BA528" s="30" t="s">
        <v>2045</v>
      </c>
      <c r="BC528" s="39">
        <f>AW528+AX528</f>
        <v>0</v>
      </c>
      <c r="BD528" s="39">
        <f>G528/(100-BE528)*100</f>
        <v>0</v>
      </c>
      <c r="BE528" s="39">
        <v>0</v>
      </c>
      <c r="BF528" s="39">
        <f>L528</f>
        <v>2.3800000000000002E-3</v>
      </c>
      <c r="BH528" s="21">
        <f>F528*AO528</f>
        <v>0</v>
      </c>
      <c r="BI528" s="21">
        <f>F528*AP528</f>
        <v>0</v>
      </c>
      <c r="BJ528" s="21">
        <f>F528*G528</f>
        <v>0</v>
      </c>
    </row>
    <row r="529" spans="1:62">
      <c r="C529" s="16" t="s">
        <v>609</v>
      </c>
      <c r="D529" s="919" t="s">
        <v>1654</v>
      </c>
      <c r="E529" s="920"/>
      <c r="F529" s="920"/>
      <c r="G529" s="920"/>
      <c r="H529" s="920"/>
      <c r="I529" s="920"/>
      <c r="J529" s="920"/>
      <c r="K529" s="920"/>
      <c r="L529" s="920"/>
      <c r="M529" s="920"/>
    </row>
    <row r="530" spans="1:62">
      <c r="A530" s="5" t="s">
        <v>373</v>
      </c>
      <c r="B530" s="5"/>
      <c r="C530" s="5" t="s">
        <v>975</v>
      </c>
      <c r="D530" s="5" t="s">
        <v>1670</v>
      </c>
      <c r="E530" s="5" t="s">
        <v>1939</v>
      </c>
      <c r="F530" s="21">
        <v>135</v>
      </c>
      <c r="G530" s="753">
        <v>0</v>
      </c>
      <c r="H530" s="21">
        <f>F530*AO530</f>
        <v>0</v>
      </c>
      <c r="I530" s="21">
        <f>F530*AP530</f>
        <v>0</v>
      </c>
      <c r="J530" s="21">
        <f>F530*G530</f>
        <v>0</v>
      </c>
      <c r="K530" s="21">
        <v>2.3800000000000002E-3</v>
      </c>
      <c r="L530" s="21">
        <f>F530*K530</f>
        <v>0.32130000000000003</v>
      </c>
      <c r="M530" s="34" t="s">
        <v>1960</v>
      </c>
      <c r="Z530" s="39">
        <f>IF(AQ530="5",BJ530,0)</f>
        <v>0</v>
      </c>
      <c r="AB530" s="39">
        <f>IF(AQ530="1",BH530,0)</f>
        <v>0</v>
      </c>
      <c r="AC530" s="39">
        <f>IF(AQ530="1",BI530,0)</f>
        <v>0</v>
      </c>
      <c r="AD530" s="39">
        <f>IF(AQ530="7",BH530,0)</f>
        <v>0</v>
      </c>
      <c r="AE530" s="39">
        <f>IF(AQ530="7",BI530,0)</f>
        <v>0</v>
      </c>
      <c r="AF530" s="39">
        <f>IF(AQ530="2",BH530,0)</f>
        <v>0</v>
      </c>
      <c r="AG530" s="39">
        <f>IF(AQ530="2",BI530,0)</f>
        <v>0</v>
      </c>
      <c r="AH530" s="39">
        <f>IF(AQ530="0",BJ530,0)</f>
        <v>0</v>
      </c>
      <c r="AI530" s="30"/>
      <c r="AJ530" s="21">
        <f>IF(AN530=0,J530,0)</f>
        <v>0</v>
      </c>
      <c r="AK530" s="21">
        <f>IF(AN530=15,J530,0)</f>
        <v>0</v>
      </c>
      <c r="AL530" s="21">
        <f>IF(AN530=21,J530,0)</f>
        <v>0</v>
      </c>
      <c r="AN530" s="39">
        <v>21</v>
      </c>
      <c r="AO530" s="39">
        <f>G530*0.188022727272727</f>
        <v>0</v>
      </c>
      <c r="AP530" s="39">
        <f>G530*(1-0.188022727272727)</f>
        <v>0</v>
      </c>
      <c r="AQ530" s="34" t="s">
        <v>11</v>
      </c>
      <c r="AV530" s="39">
        <f>AW530+AX530</f>
        <v>0</v>
      </c>
      <c r="AW530" s="39">
        <f>F530*AO530</f>
        <v>0</v>
      </c>
      <c r="AX530" s="39">
        <f>F530*AP530</f>
        <v>0</v>
      </c>
      <c r="AY530" s="40" t="s">
        <v>2014</v>
      </c>
      <c r="AZ530" s="40" t="s">
        <v>2041</v>
      </c>
      <c r="BA530" s="30" t="s">
        <v>2045</v>
      </c>
      <c r="BC530" s="39">
        <f>AW530+AX530</f>
        <v>0</v>
      </c>
      <c r="BD530" s="39">
        <f>G530/(100-BE530)*100</f>
        <v>0</v>
      </c>
      <c r="BE530" s="39">
        <v>0</v>
      </c>
      <c r="BF530" s="39">
        <f>L530</f>
        <v>0.32130000000000003</v>
      </c>
      <c r="BH530" s="21">
        <f>F530*AO530</f>
        <v>0</v>
      </c>
      <c r="BI530" s="21">
        <f>F530*AP530</f>
        <v>0</v>
      </c>
      <c r="BJ530" s="21">
        <f>F530*G530</f>
        <v>0</v>
      </c>
    </row>
    <row r="531" spans="1:62">
      <c r="C531" s="16" t="s">
        <v>609</v>
      </c>
      <c r="D531" s="919" t="s">
        <v>1654</v>
      </c>
      <c r="E531" s="920"/>
      <c r="F531" s="920"/>
      <c r="G531" s="920"/>
      <c r="H531" s="920"/>
      <c r="I531" s="920"/>
      <c r="J531" s="920"/>
      <c r="K531" s="920"/>
      <c r="L531" s="920"/>
      <c r="M531" s="920"/>
    </row>
    <row r="532" spans="1:62">
      <c r="A532" s="5" t="s">
        <v>374</v>
      </c>
      <c r="B532" s="5"/>
      <c r="C532" s="5" t="s">
        <v>976</v>
      </c>
      <c r="D532" s="5" t="s">
        <v>1671</v>
      </c>
      <c r="E532" s="5" t="s">
        <v>1943</v>
      </c>
      <c r="F532" s="21">
        <v>9</v>
      </c>
      <c r="G532" s="753">
        <v>0</v>
      </c>
      <c r="H532" s="21">
        <f>F532*AO532</f>
        <v>0</v>
      </c>
      <c r="I532" s="21">
        <f>F532*AP532</f>
        <v>0</v>
      </c>
      <c r="J532" s="21">
        <f>F532*G532</f>
        <v>0</v>
      </c>
      <c r="K532" s="21">
        <v>2.3800000000000002E-3</v>
      </c>
      <c r="L532" s="21">
        <f>F532*K532</f>
        <v>2.1420000000000002E-2</v>
      </c>
      <c r="M532" s="34" t="s">
        <v>1960</v>
      </c>
      <c r="Z532" s="39">
        <f>IF(AQ532="5",BJ532,0)</f>
        <v>0</v>
      </c>
      <c r="AB532" s="39">
        <f>IF(AQ532="1",BH532,0)</f>
        <v>0</v>
      </c>
      <c r="AC532" s="39">
        <f>IF(AQ532="1",BI532,0)</f>
        <v>0</v>
      </c>
      <c r="AD532" s="39">
        <f>IF(AQ532="7",BH532,0)</f>
        <v>0</v>
      </c>
      <c r="AE532" s="39">
        <f>IF(AQ532="7",BI532,0)</f>
        <v>0</v>
      </c>
      <c r="AF532" s="39">
        <f>IF(AQ532="2",BH532,0)</f>
        <v>0</v>
      </c>
      <c r="AG532" s="39">
        <f>IF(AQ532="2",BI532,0)</f>
        <v>0</v>
      </c>
      <c r="AH532" s="39">
        <f>IF(AQ532="0",BJ532,0)</f>
        <v>0</v>
      </c>
      <c r="AI532" s="30"/>
      <c r="AJ532" s="21">
        <f>IF(AN532=0,J532,0)</f>
        <v>0</v>
      </c>
      <c r="AK532" s="21">
        <f>IF(AN532=15,J532,0)</f>
        <v>0</v>
      </c>
      <c r="AL532" s="21">
        <f>IF(AN532=21,J532,0)</f>
        <v>0</v>
      </c>
      <c r="AN532" s="39">
        <v>21</v>
      </c>
      <c r="AO532" s="39">
        <f>G532*0.188020692757535</f>
        <v>0</v>
      </c>
      <c r="AP532" s="39">
        <f>G532*(1-0.188020692757535)</f>
        <v>0</v>
      </c>
      <c r="AQ532" s="34" t="s">
        <v>11</v>
      </c>
      <c r="AV532" s="39">
        <f>AW532+AX532</f>
        <v>0</v>
      </c>
      <c r="AW532" s="39">
        <f>F532*AO532</f>
        <v>0</v>
      </c>
      <c r="AX532" s="39">
        <f>F532*AP532</f>
        <v>0</v>
      </c>
      <c r="AY532" s="40" t="s">
        <v>2014</v>
      </c>
      <c r="AZ532" s="40" t="s">
        <v>2041</v>
      </c>
      <c r="BA532" s="30" t="s">
        <v>2045</v>
      </c>
      <c r="BC532" s="39">
        <f>AW532+AX532</f>
        <v>0</v>
      </c>
      <c r="BD532" s="39">
        <f>G532/(100-BE532)*100</f>
        <v>0</v>
      </c>
      <c r="BE532" s="39">
        <v>0</v>
      </c>
      <c r="BF532" s="39">
        <f>L532</f>
        <v>2.1420000000000002E-2</v>
      </c>
      <c r="BH532" s="21">
        <f>F532*AO532</f>
        <v>0</v>
      </c>
      <c r="BI532" s="21">
        <f>F532*AP532</f>
        <v>0</v>
      </c>
      <c r="BJ532" s="21">
        <f>F532*G532</f>
        <v>0</v>
      </c>
    </row>
    <row r="533" spans="1:62">
      <c r="C533" s="16" t="s">
        <v>609</v>
      </c>
      <c r="D533" s="919" t="s">
        <v>1654</v>
      </c>
      <c r="E533" s="920"/>
      <c r="F533" s="920"/>
      <c r="G533" s="920"/>
      <c r="H533" s="920"/>
      <c r="I533" s="920"/>
      <c r="J533" s="920"/>
      <c r="K533" s="920"/>
      <c r="L533" s="920"/>
      <c r="M533" s="920"/>
    </row>
    <row r="534" spans="1:62">
      <c r="A534" s="5" t="s">
        <v>375</v>
      </c>
      <c r="B534" s="5"/>
      <c r="C534" s="5" t="s">
        <v>977</v>
      </c>
      <c r="D534" s="5" t="s">
        <v>1672</v>
      </c>
      <c r="E534" s="5" t="s">
        <v>1939</v>
      </c>
      <c r="F534" s="21">
        <v>10</v>
      </c>
      <c r="G534" s="753">
        <v>0</v>
      </c>
      <c r="H534" s="21">
        <f>F534*AO534</f>
        <v>0</v>
      </c>
      <c r="I534" s="21">
        <f>F534*AP534</f>
        <v>0</v>
      </c>
      <c r="J534" s="21">
        <f>F534*G534</f>
        <v>0</v>
      </c>
      <c r="K534" s="21">
        <v>2.3800000000000002E-3</v>
      </c>
      <c r="L534" s="21">
        <f>F534*K534</f>
        <v>2.3800000000000002E-2</v>
      </c>
      <c r="M534" s="34" t="s">
        <v>1960</v>
      </c>
      <c r="Z534" s="39">
        <f>IF(AQ534="5",BJ534,0)</f>
        <v>0</v>
      </c>
      <c r="AB534" s="39">
        <f>IF(AQ534="1",BH534,0)</f>
        <v>0</v>
      </c>
      <c r="AC534" s="39">
        <f>IF(AQ534="1",BI534,0)</f>
        <v>0</v>
      </c>
      <c r="AD534" s="39">
        <f>IF(AQ534="7",BH534,0)</f>
        <v>0</v>
      </c>
      <c r="AE534" s="39">
        <f>IF(AQ534="7",BI534,0)</f>
        <v>0</v>
      </c>
      <c r="AF534" s="39">
        <f>IF(AQ534="2",BH534,0)</f>
        <v>0</v>
      </c>
      <c r="AG534" s="39">
        <f>IF(AQ534="2",BI534,0)</f>
        <v>0</v>
      </c>
      <c r="AH534" s="39">
        <f>IF(AQ534="0",BJ534,0)</f>
        <v>0</v>
      </c>
      <c r="AI534" s="30"/>
      <c r="AJ534" s="21">
        <f>IF(AN534=0,J534,0)</f>
        <v>0</v>
      </c>
      <c r="AK534" s="21">
        <f>IF(AN534=15,J534,0)</f>
        <v>0</v>
      </c>
      <c r="AL534" s="21">
        <f>IF(AN534=21,J534,0)</f>
        <v>0</v>
      </c>
      <c r="AN534" s="39">
        <v>21</v>
      </c>
      <c r="AO534" s="39">
        <f>G534*0.188014981273408</f>
        <v>0</v>
      </c>
      <c r="AP534" s="39">
        <f>G534*(1-0.188014981273408)</f>
        <v>0</v>
      </c>
      <c r="AQ534" s="34" t="s">
        <v>11</v>
      </c>
      <c r="AV534" s="39">
        <f>AW534+AX534</f>
        <v>0</v>
      </c>
      <c r="AW534" s="39">
        <f>F534*AO534</f>
        <v>0</v>
      </c>
      <c r="AX534" s="39">
        <f>F534*AP534</f>
        <v>0</v>
      </c>
      <c r="AY534" s="40" t="s">
        <v>2014</v>
      </c>
      <c r="AZ534" s="40" t="s">
        <v>2041</v>
      </c>
      <c r="BA534" s="30" t="s">
        <v>2045</v>
      </c>
      <c r="BC534" s="39">
        <f>AW534+AX534</f>
        <v>0</v>
      </c>
      <c r="BD534" s="39">
        <f>G534/(100-BE534)*100</f>
        <v>0</v>
      </c>
      <c r="BE534" s="39">
        <v>0</v>
      </c>
      <c r="BF534" s="39">
        <f>L534</f>
        <v>2.3800000000000002E-2</v>
      </c>
      <c r="BH534" s="21">
        <f>F534*AO534</f>
        <v>0</v>
      </c>
      <c r="BI534" s="21">
        <f>F534*AP534</f>
        <v>0</v>
      </c>
      <c r="BJ534" s="21">
        <f>F534*G534</f>
        <v>0</v>
      </c>
    </row>
    <row r="535" spans="1:62">
      <c r="C535" s="16" t="s">
        <v>609</v>
      </c>
      <c r="D535" s="919" t="s">
        <v>1654</v>
      </c>
      <c r="E535" s="920"/>
      <c r="F535" s="920"/>
      <c r="G535" s="920"/>
      <c r="H535" s="920"/>
      <c r="I535" s="920"/>
      <c r="J535" s="920"/>
      <c r="K535" s="920"/>
      <c r="L535" s="920"/>
      <c r="M535" s="920"/>
    </row>
    <row r="536" spans="1:62">
      <c r="A536" s="5" t="s">
        <v>376</v>
      </c>
      <c r="B536" s="5"/>
      <c r="C536" s="5" t="s">
        <v>978</v>
      </c>
      <c r="D536" s="5" t="s">
        <v>1673</v>
      </c>
      <c r="E536" s="5" t="s">
        <v>1939</v>
      </c>
      <c r="F536" s="21">
        <v>18</v>
      </c>
      <c r="G536" s="753">
        <v>0</v>
      </c>
      <c r="H536" s="21">
        <f>F536*AO536</f>
        <v>0</v>
      </c>
      <c r="I536" s="21">
        <f>F536*AP536</f>
        <v>0</v>
      </c>
      <c r="J536" s="21">
        <f>F536*G536</f>
        <v>0</v>
      </c>
      <c r="K536" s="21">
        <v>3.3800000000000002E-3</v>
      </c>
      <c r="L536" s="21">
        <f>F536*K536</f>
        <v>6.0840000000000005E-2</v>
      </c>
      <c r="M536" s="34" t="s">
        <v>1961</v>
      </c>
      <c r="Z536" s="39">
        <f>IF(AQ536="5",BJ536,0)</f>
        <v>0</v>
      </c>
      <c r="AB536" s="39">
        <f>IF(AQ536="1",BH536,0)</f>
        <v>0</v>
      </c>
      <c r="AC536" s="39">
        <f>IF(AQ536="1",BI536,0)</f>
        <v>0</v>
      </c>
      <c r="AD536" s="39">
        <f>IF(AQ536="7",BH536,0)</f>
        <v>0</v>
      </c>
      <c r="AE536" s="39">
        <f>IF(AQ536="7",BI536,0)</f>
        <v>0</v>
      </c>
      <c r="AF536" s="39">
        <f>IF(AQ536="2",BH536,0)</f>
        <v>0</v>
      </c>
      <c r="AG536" s="39">
        <f>IF(AQ536="2",BI536,0)</f>
        <v>0</v>
      </c>
      <c r="AH536" s="39">
        <f>IF(AQ536="0",BJ536,0)</f>
        <v>0</v>
      </c>
      <c r="AI536" s="30"/>
      <c r="AJ536" s="21">
        <f>IF(AN536=0,J536,0)</f>
        <v>0</v>
      </c>
      <c r="AK536" s="21">
        <f>IF(AN536=15,J536,0)</f>
        <v>0</v>
      </c>
      <c r="AL536" s="21">
        <f>IF(AN536=21,J536,0)</f>
        <v>0</v>
      </c>
      <c r="AN536" s="39">
        <v>21</v>
      </c>
      <c r="AO536" s="39">
        <f>G536*0</f>
        <v>0</v>
      </c>
      <c r="AP536" s="39">
        <f>G536*(1-0)</f>
        <v>0</v>
      </c>
      <c r="AQ536" s="34" t="s">
        <v>11</v>
      </c>
      <c r="AV536" s="39">
        <f>AW536+AX536</f>
        <v>0</v>
      </c>
      <c r="AW536" s="39">
        <f>F536*AO536</f>
        <v>0</v>
      </c>
      <c r="AX536" s="39">
        <f>F536*AP536</f>
        <v>0</v>
      </c>
      <c r="AY536" s="40" t="s">
        <v>2014</v>
      </c>
      <c r="AZ536" s="40" t="s">
        <v>2041</v>
      </c>
      <c r="BA536" s="30" t="s">
        <v>2045</v>
      </c>
      <c r="BC536" s="39">
        <f>AW536+AX536</f>
        <v>0</v>
      </c>
      <c r="BD536" s="39">
        <f>G536/(100-BE536)*100</f>
        <v>0</v>
      </c>
      <c r="BE536" s="39">
        <v>0</v>
      </c>
      <c r="BF536" s="39">
        <f>L536</f>
        <v>6.0840000000000005E-2</v>
      </c>
      <c r="BH536" s="21">
        <f>F536*AO536</f>
        <v>0</v>
      </c>
      <c r="BI536" s="21">
        <f>F536*AP536</f>
        <v>0</v>
      </c>
      <c r="BJ536" s="21">
        <f>F536*G536</f>
        <v>0</v>
      </c>
    </row>
    <row r="537" spans="1:62">
      <c r="A537" s="5" t="s">
        <v>377</v>
      </c>
      <c r="B537" s="5"/>
      <c r="C537" s="5" t="s">
        <v>979</v>
      </c>
      <c r="D537" s="5" t="s">
        <v>1674</v>
      </c>
      <c r="E537" s="5" t="s">
        <v>1945</v>
      </c>
      <c r="F537" s="753">
        <v>0</v>
      </c>
      <c r="G537" s="753">
        <v>0</v>
      </c>
      <c r="H537" s="21">
        <f>F537*AO537</f>
        <v>0</v>
      </c>
      <c r="I537" s="21">
        <f>F537*AP537</f>
        <v>0</v>
      </c>
      <c r="J537" s="21">
        <f>F537*G537</f>
        <v>0</v>
      </c>
      <c r="K537" s="21">
        <v>0</v>
      </c>
      <c r="L537" s="21">
        <f>F537*K537</f>
        <v>0</v>
      </c>
      <c r="M537" s="34" t="s">
        <v>1961</v>
      </c>
      <c r="Z537" s="39">
        <f>IF(AQ537="5",BJ537,0)</f>
        <v>0</v>
      </c>
      <c r="AB537" s="39">
        <f>IF(AQ537="1",BH537,0)</f>
        <v>0</v>
      </c>
      <c r="AC537" s="39">
        <f>IF(AQ537="1",BI537,0)</f>
        <v>0</v>
      </c>
      <c r="AD537" s="39">
        <f>IF(AQ537="7",BH537,0)</f>
        <v>0</v>
      </c>
      <c r="AE537" s="39">
        <f>IF(AQ537="7",BI537,0)</f>
        <v>0</v>
      </c>
      <c r="AF537" s="39">
        <f>IF(AQ537="2",BH537,0)</f>
        <v>0</v>
      </c>
      <c r="AG537" s="39">
        <f>IF(AQ537="2",BI537,0)</f>
        <v>0</v>
      </c>
      <c r="AH537" s="39">
        <f>IF(AQ537="0",BJ537,0)</f>
        <v>0</v>
      </c>
      <c r="AI537" s="30"/>
      <c r="AJ537" s="21">
        <f>IF(AN537=0,J537,0)</f>
        <v>0</v>
      </c>
      <c r="AK537" s="21">
        <f>IF(AN537=15,J537,0)</f>
        <v>0</v>
      </c>
      <c r="AL537" s="21">
        <f>IF(AN537=21,J537,0)</f>
        <v>0</v>
      </c>
      <c r="AN537" s="39">
        <v>21</v>
      </c>
      <c r="AO537" s="39">
        <f>G537*0</f>
        <v>0</v>
      </c>
      <c r="AP537" s="39">
        <f>G537*(1-0)</f>
        <v>0</v>
      </c>
      <c r="AQ537" s="34" t="s">
        <v>9</v>
      </c>
      <c r="AV537" s="39">
        <f>AW537+AX537</f>
        <v>0</v>
      </c>
      <c r="AW537" s="39">
        <f>F537*AO537</f>
        <v>0</v>
      </c>
      <c r="AX537" s="39">
        <f>F537*AP537</f>
        <v>0</v>
      </c>
      <c r="AY537" s="40" t="s">
        <v>2014</v>
      </c>
      <c r="AZ537" s="40" t="s">
        <v>2041</v>
      </c>
      <c r="BA537" s="30" t="s">
        <v>2045</v>
      </c>
      <c r="BC537" s="39">
        <f>AW537+AX537</f>
        <v>0</v>
      </c>
      <c r="BD537" s="39">
        <f>G537/(100-BE537)*100</f>
        <v>0</v>
      </c>
      <c r="BE537" s="39">
        <v>0</v>
      </c>
      <c r="BF537" s="39">
        <f>L537</f>
        <v>0</v>
      </c>
      <c r="BH537" s="21">
        <f>F537*AO537</f>
        <v>0</v>
      </c>
      <c r="BI537" s="21">
        <f>F537*AP537</f>
        <v>0</v>
      </c>
      <c r="BJ537" s="21">
        <f>F537*G537</f>
        <v>0</v>
      </c>
    </row>
    <row r="538" spans="1:62">
      <c r="A538" s="4"/>
      <c r="B538" s="14"/>
      <c r="C538" s="14" t="s">
        <v>980</v>
      </c>
      <c r="D538" s="14" t="s">
        <v>1675</v>
      </c>
      <c r="E538" s="4" t="s">
        <v>4</v>
      </c>
      <c r="F538" s="4" t="s">
        <v>4</v>
      </c>
      <c r="G538" s="4" t="s">
        <v>4</v>
      </c>
      <c r="H538" s="42">
        <f>SUM(H539:H539)</f>
        <v>0</v>
      </c>
      <c r="I538" s="42">
        <f>SUM(I539:I539)</f>
        <v>0</v>
      </c>
      <c r="J538" s="42">
        <f>SUM(J539:J539)</f>
        <v>0</v>
      </c>
      <c r="K538" s="30"/>
      <c r="L538" s="42">
        <f>SUM(L539:L539)</f>
        <v>3.91001814</v>
      </c>
      <c r="M538" s="30"/>
      <c r="AI538" s="30"/>
      <c r="AS538" s="42">
        <f>SUM(AJ539:AJ539)</f>
        <v>0</v>
      </c>
      <c r="AT538" s="42">
        <f>SUM(AK539:AK539)</f>
        <v>0</v>
      </c>
      <c r="AU538" s="42">
        <f>SUM(AL539:AL539)</f>
        <v>0</v>
      </c>
    </row>
    <row r="539" spans="1:62">
      <c r="A539" s="5" t="s">
        <v>378</v>
      </c>
      <c r="B539" s="5"/>
      <c r="C539" s="5" t="s">
        <v>981</v>
      </c>
      <c r="D539" s="5" t="s">
        <v>1676</v>
      </c>
      <c r="E539" s="5" t="s">
        <v>1940</v>
      </c>
      <c r="F539" s="21">
        <v>279.28701000000001</v>
      </c>
      <c r="G539" s="753">
        <v>0</v>
      </c>
      <c r="H539" s="21">
        <f>F539*AO539</f>
        <v>0</v>
      </c>
      <c r="I539" s="21">
        <f>F539*AP539</f>
        <v>0</v>
      </c>
      <c r="J539" s="21">
        <f>F539*G539</f>
        <v>0</v>
      </c>
      <c r="K539" s="21">
        <v>1.4E-2</v>
      </c>
      <c r="L539" s="21">
        <f>F539*K539</f>
        <v>3.91001814</v>
      </c>
      <c r="M539" s="34" t="s">
        <v>1961</v>
      </c>
      <c r="Z539" s="39">
        <f>IF(AQ539="5",BJ539,0)</f>
        <v>0</v>
      </c>
      <c r="AB539" s="39">
        <f>IF(AQ539="1",BH539,0)</f>
        <v>0</v>
      </c>
      <c r="AC539" s="39">
        <f>IF(AQ539="1",BI539,0)</f>
        <v>0</v>
      </c>
      <c r="AD539" s="39">
        <f>IF(AQ539="7",BH539,0)</f>
        <v>0</v>
      </c>
      <c r="AE539" s="39">
        <f>IF(AQ539="7",BI539,0)</f>
        <v>0</v>
      </c>
      <c r="AF539" s="39">
        <f>IF(AQ539="2",BH539,0)</f>
        <v>0</v>
      </c>
      <c r="AG539" s="39">
        <f>IF(AQ539="2",BI539,0)</f>
        <v>0</v>
      </c>
      <c r="AH539" s="39">
        <f>IF(AQ539="0",BJ539,0)</f>
        <v>0</v>
      </c>
      <c r="AI539" s="30"/>
      <c r="AJ539" s="21">
        <f>IF(AN539=0,J539,0)</f>
        <v>0</v>
      </c>
      <c r="AK539" s="21">
        <f>IF(AN539=15,J539,0)</f>
        <v>0</v>
      </c>
      <c r="AL539" s="21">
        <f>IF(AN539=21,J539,0)</f>
        <v>0</v>
      </c>
      <c r="AN539" s="39">
        <v>21</v>
      </c>
      <c r="AO539" s="39">
        <f>G539*0</f>
        <v>0</v>
      </c>
      <c r="AP539" s="39">
        <f>G539*(1-0)</f>
        <v>0</v>
      </c>
      <c r="AQ539" s="34" t="s">
        <v>11</v>
      </c>
      <c r="AV539" s="39">
        <f>AW539+AX539</f>
        <v>0</v>
      </c>
      <c r="AW539" s="39">
        <f>F539*AO539</f>
        <v>0</v>
      </c>
      <c r="AX539" s="39">
        <f>F539*AP539</f>
        <v>0</v>
      </c>
      <c r="AY539" s="40" t="s">
        <v>2015</v>
      </c>
      <c r="AZ539" s="40" t="s">
        <v>2041</v>
      </c>
      <c r="BA539" s="30" t="s">
        <v>2045</v>
      </c>
      <c r="BC539" s="39">
        <f>AW539+AX539</f>
        <v>0</v>
      </c>
      <c r="BD539" s="39">
        <f>G539/(100-BE539)*100</f>
        <v>0</v>
      </c>
      <c r="BE539" s="39">
        <v>0</v>
      </c>
      <c r="BF539" s="39">
        <f>L539</f>
        <v>3.91001814</v>
      </c>
      <c r="BH539" s="21">
        <f>F539*AO539</f>
        <v>0</v>
      </c>
      <c r="BI539" s="21">
        <f>F539*AP539</f>
        <v>0</v>
      </c>
      <c r="BJ539" s="21">
        <f>F539*G539</f>
        <v>0</v>
      </c>
    </row>
    <row r="540" spans="1:62">
      <c r="C540" s="17" t="s">
        <v>605</v>
      </c>
      <c r="D540" s="917" t="s">
        <v>1677</v>
      </c>
      <c r="E540" s="918"/>
      <c r="F540" s="918"/>
      <c r="G540" s="918"/>
      <c r="H540" s="918"/>
      <c r="I540" s="918"/>
      <c r="J540" s="918"/>
      <c r="K540" s="918"/>
      <c r="L540" s="918"/>
      <c r="M540" s="918"/>
    </row>
    <row r="541" spans="1:62">
      <c r="A541" s="4"/>
      <c r="B541" s="14"/>
      <c r="C541" s="14" t="s">
        <v>982</v>
      </c>
      <c r="D541" s="14" t="s">
        <v>1678</v>
      </c>
      <c r="E541" s="4" t="s">
        <v>4</v>
      </c>
      <c r="F541" s="4" t="s">
        <v>4</v>
      </c>
      <c r="G541" s="4" t="s">
        <v>4</v>
      </c>
      <c r="H541" s="42">
        <f>SUM(H542:H571)</f>
        <v>0</v>
      </c>
      <c r="I541" s="42">
        <f>SUM(I542:I571)</f>
        <v>0</v>
      </c>
      <c r="J541" s="42">
        <f>SUM(J542:J571)</f>
        <v>0</v>
      </c>
      <c r="K541" s="30"/>
      <c r="L541" s="42">
        <f>SUM(L542:L571)</f>
        <v>0.10014826360000001</v>
      </c>
      <c r="M541" s="30"/>
      <c r="AI541" s="30"/>
      <c r="AS541" s="42">
        <f>SUM(AJ542:AJ571)</f>
        <v>0</v>
      </c>
      <c r="AT541" s="42">
        <f>SUM(AK542:AK571)</f>
        <v>0</v>
      </c>
      <c r="AU541" s="42">
        <f>SUM(AL542:AL571)</f>
        <v>0</v>
      </c>
    </row>
    <row r="542" spans="1:62">
      <c r="A542" s="5" t="s">
        <v>379</v>
      </c>
      <c r="B542" s="5"/>
      <c r="C542" s="5" t="s">
        <v>983</v>
      </c>
      <c r="D542" s="5" t="s">
        <v>1679</v>
      </c>
      <c r="E542" s="5" t="s">
        <v>1940</v>
      </c>
      <c r="F542" s="21">
        <v>263.62243999999998</v>
      </c>
      <c r="G542" s="753">
        <v>0</v>
      </c>
      <c r="H542" s="21">
        <f>F542*AO542</f>
        <v>0</v>
      </c>
      <c r="I542" s="21">
        <f>F542*AP542</f>
        <v>0</v>
      </c>
      <c r="J542" s="21">
        <f>F542*G542</f>
        <v>0</v>
      </c>
      <c r="K542" s="21">
        <v>1.9000000000000001E-4</v>
      </c>
      <c r="L542" s="21">
        <f>F542*K542</f>
        <v>5.0088263600000002E-2</v>
      </c>
      <c r="M542" s="34" t="s">
        <v>1960</v>
      </c>
      <c r="O542">
        <f>0.95*G542</f>
        <v>0</v>
      </c>
      <c r="Z542" s="39">
        <f>IF(AQ542="5",BJ542,0)</f>
        <v>0</v>
      </c>
      <c r="AB542" s="39">
        <f>IF(AQ542="1",BH542,0)</f>
        <v>0</v>
      </c>
      <c r="AC542" s="39">
        <f>IF(AQ542="1",BI542,0)</f>
        <v>0</v>
      </c>
      <c r="AD542" s="39">
        <f>IF(AQ542="7",BH542,0)</f>
        <v>0</v>
      </c>
      <c r="AE542" s="39">
        <f>IF(AQ542="7",BI542,0)</f>
        <v>0</v>
      </c>
      <c r="AF542" s="39">
        <f>IF(AQ542="2",BH542,0)</f>
        <v>0</v>
      </c>
      <c r="AG542" s="39">
        <f>IF(AQ542="2",BI542,0)</f>
        <v>0</v>
      </c>
      <c r="AH542" s="39">
        <f>IF(AQ542="0",BJ542,0)</f>
        <v>0</v>
      </c>
      <c r="AI542" s="30"/>
      <c r="AJ542" s="21">
        <f>IF(AN542=0,J542,0)</f>
        <v>0</v>
      </c>
      <c r="AK542" s="21">
        <f>IF(AN542=15,J542,0)</f>
        <v>0</v>
      </c>
      <c r="AL542" s="21">
        <f>IF(AN542=21,J542,0)</f>
        <v>0</v>
      </c>
      <c r="AN542" s="39">
        <v>21</v>
      </c>
      <c r="AO542" s="39">
        <f>G542*0.015824073807294</f>
        <v>0</v>
      </c>
      <c r="AP542" s="39">
        <f>G542*(1-0.015824073807294)</f>
        <v>0</v>
      </c>
      <c r="AQ542" s="34" t="s">
        <v>11</v>
      </c>
      <c r="AV542" s="39">
        <f>AW542+AX542</f>
        <v>0</v>
      </c>
      <c r="AW542" s="39">
        <f>F542*AO542</f>
        <v>0</v>
      </c>
      <c r="AX542" s="39">
        <f>F542*AP542</f>
        <v>0</v>
      </c>
      <c r="AY542" s="40" t="s">
        <v>2016</v>
      </c>
      <c r="AZ542" s="40" t="s">
        <v>2041</v>
      </c>
      <c r="BA542" s="30" t="s">
        <v>2045</v>
      </c>
      <c r="BC542" s="39">
        <f>AW542+AX542</f>
        <v>0</v>
      </c>
      <c r="BD542" s="39">
        <f>G542/(100-BE542)*100</f>
        <v>0</v>
      </c>
      <c r="BE542" s="39">
        <v>0</v>
      </c>
      <c r="BF542" s="39">
        <f>L542</f>
        <v>5.0088263600000002E-2</v>
      </c>
      <c r="BH542" s="21">
        <f>F542*AO542</f>
        <v>0</v>
      </c>
      <c r="BI542" s="21">
        <f>F542*AP542</f>
        <v>0</v>
      </c>
      <c r="BJ542" s="21">
        <f>F542*G542</f>
        <v>0</v>
      </c>
    </row>
    <row r="543" spans="1:62">
      <c r="A543" s="5" t="s">
        <v>380</v>
      </c>
      <c r="B543" s="5"/>
      <c r="C543" s="5" t="s">
        <v>984</v>
      </c>
      <c r="D543" s="5" t="s">
        <v>1680</v>
      </c>
      <c r="E543" s="5" t="s">
        <v>1943</v>
      </c>
      <c r="F543" s="21">
        <v>4</v>
      </c>
      <c r="G543" s="753">
        <v>0</v>
      </c>
      <c r="H543" s="21">
        <f>F543*AO543</f>
        <v>0</v>
      </c>
      <c r="I543" s="21">
        <f>F543*AP543</f>
        <v>0</v>
      </c>
      <c r="J543" s="21">
        <f>F543*G543</f>
        <v>0</v>
      </c>
      <c r="K543" s="21">
        <v>1.0000000000000001E-5</v>
      </c>
      <c r="L543" s="21">
        <f>F543*K543</f>
        <v>4.0000000000000003E-5</v>
      </c>
      <c r="M543" s="34" t="s">
        <v>1961</v>
      </c>
      <c r="Z543" s="39">
        <f>IF(AQ543="5",BJ543,0)</f>
        <v>0</v>
      </c>
      <c r="AB543" s="39">
        <f>IF(AQ543="1",BH543,0)</f>
        <v>0</v>
      </c>
      <c r="AC543" s="39">
        <f>IF(AQ543="1",BI543,0)</f>
        <v>0</v>
      </c>
      <c r="AD543" s="39">
        <f>IF(AQ543="7",BH543,0)</f>
        <v>0</v>
      </c>
      <c r="AE543" s="39">
        <f>IF(AQ543="7",BI543,0)</f>
        <v>0</v>
      </c>
      <c r="AF543" s="39">
        <f>IF(AQ543="2",BH543,0)</f>
        <v>0</v>
      </c>
      <c r="AG543" s="39">
        <f>IF(AQ543="2",BI543,0)</f>
        <v>0</v>
      </c>
      <c r="AH543" s="39">
        <f>IF(AQ543="0",BJ543,0)</f>
        <v>0</v>
      </c>
      <c r="AI543" s="30"/>
      <c r="AJ543" s="21">
        <f>IF(AN543=0,J543,0)</f>
        <v>0</v>
      </c>
      <c r="AK543" s="21">
        <f>IF(AN543=15,J543,0)</f>
        <v>0</v>
      </c>
      <c r="AL543" s="21">
        <f>IF(AN543=21,J543,0)</f>
        <v>0</v>
      </c>
      <c r="AN543" s="39">
        <v>21</v>
      </c>
      <c r="AO543" s="39">
        <f>G543*0.0211836734693878</f>
        <v>0</v>
      </c>
      <c r="AP543" s="39">
        <f>G543*(1-0.0211836734693878)</f>
        <v>0</v>
      </c>
      <c r="AQ543" s="34" t="s">
        <v>11</v>
      </c>
      <c r="AV543" s="39">
        <f>AW543+AX543</f>
        <v>0</v>
      </c>
      <c r="AW543" s="39">
        <f>F543*AO543</f>
        <v>0</v>
      </c>
      <c r="AX543" s="39">
        <f>F543*AP543</f>
        <v>0</v>
      </c>
      <c r="AY543" s="40" t="s">
        <v>2016</v>
      </c>
      <c r="AZ543" s="40" t="s">
        <v>2041</v>
      </c>
      <c r="BA543" s="30" t="s">
        <v>2045</v>
      </c>
      <c r="BC543" s="39">
        <f>AW543+AX543</f>
        <v>0</v>
      </c>
      <c r="BD543" s="39">
        <f>G543/(100-BE543)*100</f>
        <v>0</v>
      </c>
      <c r="BE543" s="39">
        <v>0</v>
      </c>
      <c r="BF543" s="39">
        <f>L543</f>
        <v>4.0000000000000003E-5</v>
      </c>
      <c r="BH543" s="21">
        <f>F543*AO543</f>
        <v>0</v>
      </c>
      <c r="BI543" s="21">
        <f>F543*AP543</f>
        <v>0</v>
      </c>
      <c r="BJ543" s="21">
        <f>F543*G543</f>
        <v>0</v>
      </c>
    </row>
    <row r="544" spans="1:62">
      <c r="A544" s="6" t="s">
        <v>381</v>
      </c>
      <c r="B544" s="6"/>
      <c r="C544" s="6" t="s">
        <v>985</v>
      </c>
      <c r="D544" s="6" t="s">
        <v>1681</v>
      </c>
      <c r="E544" s="6" t="s">
        <v>1939</v>
      </c>
      <c r="F544" s="22">
        <v>4.3</v>
      </c>
      <c r="G544" s="754">
        <v>0</v>
      </c>
      <c r="H544" s="22">
        <f>F544*AO544</f>
        <v>0</v>
      </c>
      <c r="I544" s="22">
        <f>F544*AP544</f>
        <v>0</v>
      </c>
      <c r="J544" s="22">
        <f>F544*G544</f>
        <v>0</v>
      </c>
      <c r="K544" s="22">
        <v>2.5999999999999999E-3</v>
      </c>
      <c r="L544" s="22">
        <f>F544*K544</f>
        <v>1.1179999999999999E-2</v>
      </c>
      <c r="M544" s="35" t="s">
        <v>1961</v>
      </c>
      <c r="Z544" s="39">
        <f>IF(AQ544="5",BJ544,0)</f>
        <v>0</v>
      </c>
      <c r="AB544" s="39">
        <f>IF(AQ544="1",BH544,0)</f>
        <v>0</v>
      </c>
      <c r="AC544" s="39">
        <f>IF(AQ544="1",BI544,0)</f>
        <v>0</v>
      </c>
      <c r="AD544" s="39">
        <f>IF(AQ544="7",BH544,0)</f>
        <v>0</v>
      </c>
      <c r="AE544" s="39">
        <f>IF(AQ544="7",BI544,0)</f>
        <v>0</v>
      </c>
      <c r="AF544" s="39">
        <f>IF(AQ544="2",BH544,0)</f>
        <v>0</v>
      </c>
      <c r="AG544" s="39">
        <f>IF(AQ544="2",BI544,0)</f>
        <v>0</v>
      </c>
      <c r="AH544" s="39">
        <f>IF(AQ544="0",BJ544,0)</f>
        <v>0</v>
      </c>
      <c r="AI544" s="30"/>
      <c r="AJ544" s="22">
        <f>IF(AN544=0,J544,0)</f>
        <v>0</v>
      </c>
      <c r="AK544" s="22">
        <f>IF(AN544=15,J544,0)</f>
        <v>0</v>
      </c>
      <c r="AL544" s="22">
        <f>IF(AN544=21,J544,0)</f>
        <v>0</v>
      </c>
      <c r="AN544" s="39">
        <v>21</v>
      </c>
      <c r="AO544" s="39">
        <f>G544*1</f>
        <v>0</v>
      </c>
      <c r="AP544" s="39">
        <f>G544*(1-1)</f>
        <v>0</v>
      </c>
      <c r="AQ544" s="35" t="s">
        <v>11</v>
      </c>
      <c r="AV544" s="39">
        <f>AW544+AX544</f>
        <v>0</v>
      </c>
      <c r="AW544" s="39">
        <f>F544*AO544</f>
        <v>0</v>
      </c>
      <c r="AX544" s="39">
        <f>F544*AP544</f>
        <v>0</v>
      </c>
      <c r="AY544" s="40" t="s">
        <v>2016</v>
      </c>
      <c r="AZ544" s="40" t="s">
        <v>2041</v>
      </c>
      <c r="BA544" s="30" t="s">
        <v>2045</v>
      </c>
      <c r="BC544" s="39">
        <f>AW544+AX544</f>
        <v>0</v>
      </c>
      <c r="BD544" s="39">
        <f>G544/(100-BE544)*100</f>
        <v>0</v>
      </c>
      <c r="BE544" s="39">
        <v>0</v>
      </c>
      <c r="BF544" s="39">
        <f>L544</f>
        <v>1.1179999999999999E-2</v>
      </c>
      <c r="BH544" s="22">
        <f>F544*AO544</f>
        <v>0</v>
      </c>
      <c r="BI544" s="22">
        <f>F544*AP544</f>
        <v>0</v>
      </c>
      <c r="BJ544" s="22">
        <f>F544*G544</f>
        <v>0</v>
      </c>
    </row>
    <row r="545" spans="1:62" ht="77.099999999999994" customHeight="1">
      <c r="C545" s="17" t="s">
        <v>605</v>
      </c>
      <c r="D545" s="917" t="s">
        <v>1682</v>
      </c>
      <c r="E545" s="918"/>
      <c r="F545" s="918"/>
      <c r="G545" s="918"/>
      <c r="H545" s="918"/>
      <c r="I545" s="918"/>
      <c r="J545" s="918"/>
      <c r="K545" s="918"/>
      <c r="L545" s="918"/>
      <c r="M545" s="918"/>
    </row>
    <row r="546" spans="1:62">
      <c r="A546" s="6" t="s">
        <v>382</v>
      </c>
      <c r="B546" s="6"/>
      <c r="C546" s="6" t="s">
        <v>986</v>
      </c>
      <c r="D546" s="6" t="s">
        <v>1683</v>
      </c>
      <c r="E546" s="6" t="s">
        <v>1939</v>
      </c>
      <c r="F546" s="22">
        <v>1</v>
      </c>
      <c r="G546" s="754">
        <v>0</v>
      </c>
      <c r="H546" s="22">
        <f>F546*AO546</f>
        <v>0</v>
      </c>
      <c r="I546" s="22">
        <f>F546*AP546</f>
        <v>0</v>
      </c>
      <c r="J546" s="22">
        <f>F546*G546</f>
        <v>0</v>
      </c>
      <c r="K546" s="22">
        <v>3.8999999999999998E-3</v>
      </c>
      <c r="L546" s="22">
        <f>F546*K546</f>
        <v>3.8999999999999998E-3</v>
      </c>
      <c r="M546" s="35" t="s">
        <v>1961</v>
      </c>
      <c r="Z546" s="39">
        <f>IF(AQ546="5",BJ546,0)</f>
        <v>0</v>
      </c>
      <c r="AB546" s="39">
        <f>IF(AQ546="1",BH546,0)</f>
        <v>0</v>
      </c>
      <c r="AC546" s="39">
        <f>IF(AQ546="1",BI546,0)</f>
        <v>0</v>
      </c>
      <c r="AD546" s="39">
        <f>IF(AQ546="7",BH546,0)</f>
        <v>0</v>
      </c>
      <c r="AE546" s="39">
        <f>IF(AQ546="7",BI546,0)</f>
        <v>0</v>
      </c>
      <c r="AF546" s="39">
        <f>IF(AQ546="2",BH546,0)</f>
        <v>0</v>
      </c>
      <c r="AG546" s="39">
        <f>IF(AQ546="2",BI546,0)</f>
        <v>0</v>
      </c>
      <c r="AH546" s="39">
        <f>IF(AQ546="0",BJ546,0)</f>
        <v>0</v>
      </c>
      <c r="AI546" s="30"/>
      <c r="AJ546" s="22">
        <f>IF(AN546=0,J546,0)</f>
        <v>0</v>
      </c>
      <c r="AK546" s="22">
        <f>IF(AN546=15,J546,0)</f>
        <v>0</v>
      </c>
      <c r="AL546" s="22">
        <f>IF(AN546=21,J546,0)</f>
        <v>0</v>
      </c>
      <c r="AN546" s="39">
        <v>21</v>
      </c>
      <c r="AO546" s="39">
        <f>G546*1</f>
        <v>0</v>
      </c>
      <c r="AP546" s="39">
        <f>G546*(1-1)</f>
        <v>0</v>
      </c>
      <c r="AQ546" s="35" t="s">
        <v>11</v>
      </c>
      <c r="AV546" s="39">
        <f>AW546+AX546</f>
        <v>0</v>
      </c>
      <c r="AW546" s="39">
        <f>F546*AO546</f>
        <v>0</v>
      </c>
      <c r="AX546" s="39">
        <f>F546*AP546</f>
        <v>0</v>
      </c>
      <c r="AY546" s="40" t="s">
        <v>2016</v>
      </c>
      <c r="AZ546" s="40" t="s">
        <v>2041</v>
      </c>
      <c r="BA546" s="30" t="s">
        <v>2045</v>
      </c>
      <c r="BC546" s="39">
        <f>AW546+AX546</f>
        <v>0</v>
      </c>
      <c r="BD546" s="39">
        <f>G546/(100-BE546)*100</f>
        <v>0</v>
      </c>
      <c r="BE546" s="39">
        <v>0</v>
      </c>
      <c r="BF546" s="39">
        <f>L546</f>
        <v>3.8999999999999998E-3</v>
      </c>
      <c r="BH546" s="22">
        <f>F546*AO546</f>
        <v>0</v>
      </c>
      <c r="BI546" s="22">
        <f>F546*AP546</f>
        <v>0</v>
      </c>
      <c r="BJ546" s="22">
        <f>F546*G546</f>
        <v>0</v>
      </c>
    </row>
    <row r="547" spans="1:62" ht="77.099999999999994" customHeight="1">
      <c r="C547" s="17" t="s">
        <v>605</v>
      </c>
      <c r="D547" s="917" t="s">
        <v>1682</v>
      </c>
      <c r="E547" s="918"/>
      <c r="F547" s="918"/>
      <c r="G547" s="918"/>
      <c r="H547" s="918"/>
      <c r="I547" s="918"/>
      <c r="J547" s="918"/>
      <c r="K547" s="918"/>
      <c r="L547" s="918"/>
      <c r="M547" s="918"/>
    </row>
    <row r="548" spans="1:62">
      <c r="A548" s="5" t="s">
        <v>383</v>
      </c>
      <c r="B548" s="5"/>
      <c r="C548" s="5" t="s">
        <v>987</v>
      </c>
      <c r="D548" s="5" t="s">
        <v>1684</v>
      </c>
      <c r="E548" s="5" t="s">
        <v>1943</v>
      </c>
      <c r="F548" s="21">
        <v>3</v>
      </c>
      <c r="G548" s="753">
        <v>0</v>
      </c>
      <c r="H548" s="21">
        <f>F548*AO548</f>
        <v>0</v>
      </c>
      <c r="I548" s="21">
        <f>F548*AP548</f>
        <v>0</v>
      </c>
      <c r="J548" s="21">
        <f>F548*G548</f>
        <v>0</v>
      </c>
      <c r="K548" s="21">
        <v>2.0000000000000002E-5</v>
      </c>
      <c r="L548" s="21">
        <f>F548*K548</f>
        <v>6.0000000000000008E-5</v>
      </c>
      <c r="M548" s="34" t="s">
        <v>1961</v>
      </c>
      <c r="Z548" s="39">
        <f>IF(AQ548="5",BJ548,0)</f>
        <v>0</v>
      </c>
      <c r="AB548" s="39">
        <f>IF(AQ548="1",BH548,0)</f>
        <v>0</v>
      </c>
      <c r="AC548" s="39">
        <f>IF(AQ548="1",BI548,0)</f>
        <v>0</v>
      </c>
      <c r="AD548" s="39">
        <f>IF(AQ548="7",BH548,0)</f>
        <v>0</v>
      </c>
      <c r="AE548" s="39">
        <f>IF(AQ548="7",BI548,0)</f>
        <v>0</v>
      </c>
      <c r="AF548" s="39">
        <f>IF(AQ548="2",BH548,0)</f>
        <v>0</v>
      </c>
      <c r="AG548" s="39">
        <f>IF(AQ548="2",BI548,0)</f>
        <v>0</v>
      </c>
      <c r="AH548" s="39">
        <f>IF(AQ548="0",BJ548,0)</f>
        <v>0</v>
      </c>
      <c r="AI548" s="30"/>
      <c r="AJ548" s="21">
        <f>IF(AN548=0,J548,0)</f>
        <v>0</v>
      </c>
      <c r="AK548" s="21">
        <f>IF(AN548=15,J548,0)</f>
        <v>0</v>
      </c>
      <c r="AL548" s="21">
        <f>IF(AN548=21,J548,0)</f>
        <v>0</v>
      </c>
      <c r="AN548" s="39">
        <v>21</v>
      </c>
      <c r="AO548" s="39">
        <f>G548*0.0208748114630468</f>
        <v>0</v>
      </c>
      <c r="AP548" s="39">
        <f>G548*(1-0.0208748114630468)</f>
        <v>0</v>
      </c>
      <c r="AQ548" s="34" t="s">
        <v>11</v>
      </c>
      <c r="AV548" s="39">
        <f>AW548+AX548</f>
        <v>0</v>
      </c>
      <c r="AW548" s="39">
        <f>F548*AO548</f>
        <v>0</v>
      </c>
      <c r="AX548" s="39">
        <f>F548*AP548</f>
        <v>0</v>
      </c>
      <c r="AY548" s="40" t="s">
        <v>2016</v>
      </c>
      <c r="AZ548" s="40" t="s">
        <v>2041</v>
      </c>
      <c r="BA548" s="30" t="s">
        <v>2045</v>
      </c>
      <c r="BC548" s="39">
        <f>AW548+AX548</f>
        <v>0</v>
      </c>
      <c r="BD548" s="39">
        <f>G548/(100-BE548)*100</f>
        <v>0</v>
      </c>
      <c r="BE548" s="39">
        <v>0</v>
      </c>
      <c r="BF548" s="39">
        <f>L548</f>
        <v>6.0000000000000008E-5</v>
      </c>
      <c r="BH548" s="21">
        <f>F548*AO548</f>
        <v>0</v>
      </c>
      <c r="BI548" s="21">
        <f>F548*AP548</f>
        <v>0</v>
      </c>
      <c r="BJ548" s="21">
        <f>F548*G548</f>
        <v>0</v>
      </c>
    </row>
    <row r="549" spans="1:62">
      <c r="A549" s="6" t="s">
        <v>384</v>
      </c>
      <c r="B549" s="6"/>
      <c r="C549" s="6" t="s">
        <v>985</v>
      </c>
      <c r="D549" s="6" t="s">
        <v>1681</v>
      </c>
      <c r="E549" s="6" t="s">
        <v>1939</v>
      </c>
      <c r="F549" s="22">
        <v>5.9</v>
      </c>
      <c r="G549" s="754">
        <v>0</v>
      </c>
      <c r="H549" s="22">
        <f>F549*AO549</f>
        <v>0</v>
      </c>
      <c r="I549" s="22">
        <f>F549*AP549</f>
        <v>0</v>
      </c>
      <c r="J549" s="22">
        <f>F549*G549</f>
        <v>0</v>
      </c>
      <c r="K549" s="22">
        <v>2.5999999999999999E-3</v>
      </c>
      <c r="L549" s="22">
        <f>F549*K549</f>
        <v>1.5339999999999999E-2</v>
      </c>
      <c r="M549" s="35" t="s">
        <v>1961</v>
      </c>
      <c r="Z549" s="39">
        <f>IF(AQ549="5",BJ549,0)</f>
        <v>0</v>
      </c>
      <c r="AB549" s="39">
        <f>IF(AQ549="1",BH549,0)</f>
        <v>0</v>
      </c>
      <c r="AC549" s="39">
        <f>IF(AQ549="1",BI549,0)</f>
        <v>0</v>
      </c>
      <c r="AD549" s="39">
        <f>IF(AQ549="7",BH549,0)</f>
        <v>0</v>
      </c>
      <c r="AE549" s="39">
        <f>IF(AQ549="7",BI549,0)</f>
        <v>0</v>
      </c>
      <c r="AF549" s="39">
        <f>IF(AQ549="2",BH549,0)</f>
        <v>0</v>
      </c>
      <c r="AG549" s="39">
        <f>IF(AQ549="2",BI549,0)</f>
        <v>0</v>
      </c>
      <c r="AH549" s="39">
        <f>IF(AQ549="0",BJ549,0)</f>
        <v>0</v>
      </c>
      <c r="AI549" s="30"/>
      <c r="AJ549" s="22">
        <f>IF(AN549=0,J549,0)</f>
        <v>0</v>
      </c>
      <c r="AK549" s="22">
        <f>IF(AN549=15,J549,0)</f>
        <v>0</v>
      </c>
      <c r="AL549" s="22">
        <f>IF(AN549=21,J549,0)</f>
        <v>0</v>
      </c>
      <c r="AN549" s="39">
        <v>21</v>
      </c>
      <c r="AO549" s="39">
        <f>G549*1</f>
        <v>0</v>
      </c>
      <c r="AP549" s="39">
        <f>G549*(1-1)</f>
        <v>0</v>
      </c>
      <c r="AQ549" s="35" t="s">
        <v>11</v>
      </c>
      <c r="AV549" s="39">
        <f>AW549+AX549</f>
        <v>0</v>
      </c>
      <c r="AW549" s="39">
        <f>F549*AO549</f>
        <v>0</v>
      </c>
      <c r="AX549" s="39">
        <f>F549*AP549</f>
        <v>0</v>
      </c>
      <c r="AY549" s="40" t="s">
        <v>2016</v>
      </c>
      <c r="AZ549" s="40" t="s">
        <v>2041</v>
      </c>
      <c r="BA549" s="30" t="s">
        <v>2045</v>
      </c>
      <c r="BC549" s="39">
        <f>AW549+AX549</f>
        <v>0</v>
      </c>
      <c r="BD549" s="39">
        <f>G549/(100-BE549)*100</f>
        <v>0</v>
      </c>
      <c r="BE549" s="39">
        <v>0</v>
      </c>
      <c r="BF549" s="39">
        <f>L549</f>
        <v>1.5339999999999999E-2</v>
      </c>
      <c r="BH549" s="22">
        <f>F549*AO549</f>
        <v>0</v>
      </c>
      <c r="BI549" s="22">
        <f>F549*AP549</f>
        <v>0</v>
      </c>
      <c r="BJ549" s="22">
        <f>F549*G549</f>
        <v>0</v>
      </c>
    </row>
    <row r="550" spans="1:62" ht="77.099999999999994" customHeight="1">
      <c r="C550" s="17" t="s">
        <v>605</v>
      </c>
      <c r="D550" s="917" t="s">
        <v>1682</v>
      </c>
      <c r="E550" s="918"/>
      <c r="F550" s="918"/>
      <c r="G550" s="918"/>
      <c r="H550" s="918"/>
      <c r="I550" s="918"/>
      <c r="J550" s="918"/>
      <c r="K550" s="918"/>
      <c r="L550" s="918"/>
      <c r="M550" s="918"/>
    </row>
    <row r="551" spans="1:62">
      <c r="A551" s="5" t="s">
        <v>385</v>
      </c>
      <c r="B551" s="5"/>
      <c r="C551" s="5" t="s">
        <v>988</v>
      </c>
      <c r="D551" s="5" t="s">
        <v>1685</v>
      </c>
      <c r="E551" s="5" t="s">
        <v>1943</v>
      </c>
      <c r="F551" s="21">
        <v>2</v>
      </c>
      <c r="G551" s="753">
        <v>0</v>
      </c>
      <c r="H551" s="21">
        <f>F551*AO551</f>
        <v>0</v>
      </c>
      <c r="I551" s="21">
        <f>F551*AP551</f>
        <v>0</v>
      </c>
      <c r="J551" s="21">
        <f>F551*G551</f>
        <v>0</v>
      </c>
      <c r="K551" s="21">
        <v>2.0000000000000002E-5</v>
      </c>
      <c r="L551" s="21">
        <f>F551*K551</f>
        <v>4.0000000000000003E-5</v>
      </c>
      <c r="M551" s="34" t="s">
        <v>1961</v>
      </c>
      <c r="Z551" s="39">
        <f>IF(AQ551="5",BJ551,0)</f>
        <v>0</v>
      </c>
      <c r="AB551" s="39">
        <f>IF(AQ551="1",BH551,0)</f>
        <v>0</v>
      </c>
      <c r="AC551" s="39">
        <f>IF(AQ551="1",BI551,0)</f>
        <v>0</v>
      </c>
      <c r="AD551" s="39">
        <f>IF(AQ551="7",BH551,0)</f>
        <v>0</v>
      </c>
      <c r="AE551" s="39">
        <f>IF(AQ551="7",BI551,0)</f>
        <v>0</v>
      </c>
      <c r="AF551" s="39">
        <f>IF(AQ551="2",BH551,0)</f>
        <v>0</v>
      </c>
      <c r="AG551" s="39">
        <f>IF(AQ551="2",BI551,0)</f>
        <v>0</v>
      </c>
      <c r="AH551" s="39">
        <f>IF(AQ551="0",BJ551,0)</f>
        <v>0</v>
      </c>
      <c r="AI551" s="30"/>
      <c r="AJ551" s="21">
        <f>IF(AN551=0,J551,0)</f>
        <v>0</v>
      </c>
      <c r="AK551" s="21">
        <f>IF(AN551=15,J551,0)</f>
        <v>0</v>
      </c>
      <c r="AL551" s="21">
        <f>IF(AN551=21,J551,0)</f>
        <v>0</v>
      </c>
      <c r="AN551" s="39">
        <v>21</v>
      </c>
      <c r="AO551" s="39">
        <f>G551*0.0196401515151515</f>
        <v>0</v>
      </c>
      <c r="AP551" s="39">
        <f>G551*(1-0.0196401515151515)</f>
        <v>0</v>
      </c>
      <c r="AQ551" s="34" t="s">
        <v>11</v>
      </c>
      <c r="AV551" s="39">
        <f>AW551+AX551</f>
        <v>0</v>
      </c>
      <c r="AW551" s="39">
        <f>F551*AO551</f>
        <v>0</v>
      </c>
      <c r="AX551" s="39">
        <f>F551*AP551</f>
        <v>0</v>
      </c>
      <c r="AY551" s="40" t="s">
        <v>2016</v>
      </c>
      <c r="AZ551" s="40" t="s">
        <v>2041</v>
      </c>
      <c r="BA551" s="30" t="s">
        <v>2045</v>
      </c>
      <c r="BC551" s="39">
        <f>AW551+AX551</f>
        <v>0</v>
      </c>
      <c r="BD551" s="39">
        <f>G551/(100-BE551)*100</f>
        <v>0</v>
      </c>
      <c r="BE551" s="39">
        <v>0</v>
      </c>
      <c r="BF551" s="39">
        <f>L551</f>
        <v>4.0000000000000003E-5</v>
      </c>
      <c r="BH551" s="21">
        <f>F551*AO551</f>
        <v>0</v>
      </c>
      <c r="BI551" s="21">
        <f>F551*AP551</f>
        <v>0</v>
      </c>
      <c r="BJ551" s="21">
        <f>F551*G551</f>
        <v>0</v>
      </c>
    </row>
    <row r="552" spans="1:62">
      <c r="A552" s="6" t="s">
        <v>386</v>
      </c>
      <c r="B552" s="6"/>
      <c r="C552" s="6" t="s">
        <v>989</v>
      </c>
      <c r="D552" s="6" t="s">
        <v>1686</v>
      </c>
      <c r="E552" s="6" t="s">
        <v>1939</v>
      </c>
      <c r="F552" s="22">
        <v>3</v>
      </c>
      <c r="G552" s="754">
        <v>0</v>
      </c>
      <c r="H552" s="22">
        <f>F552*AO552</f>
        <v>0</v>
      </c>
      <c r="I552" s="22">
        <f>F552*AP552</f>
        <v>0</v>
      </c>
      <c r="J552" s="22">
        <f>F552*G552</f>
        <v>0</v>
      </c>
      <c r="K552" s="22">
        <v>6.4999999999999997E-3</v>
      </c>
      <c r="L552" s="22">
        <f>F552*K552</f>
        <v>1.95E-2</v>
      </c>
      <c r="M552" s="35" t="s">
        <v>1961</v>
      </c>
      <c r="Z552" s="39">
        <f>IF(AQ552="5",BJ552,0)</f>
        <v>0</v>
      </c>
      <c r="AB552" s="39">
        <f>IF(AQ552="1",BH552,0)</f>
        <v>0</v>
      </c>
      <c r="AC552" s="39">
        <f>IF(AQ552="1",BI552,0)</f>
        <v>0</v>
      </c>
      <c r="AD552" s="39">
        <f>IF(AQ552="7",BH552,0)</f>
        <v>0</v>
      </c>
      <c r="AE552" s="39">
        <f>IF(AQ552="7",BI552,0)</f>
        <v>0</v>
      </c>
      <c r="AF552" s="39">
        <f>IF(AQ552="2",BH552,0)</f>
        <v>0</v>
      </c>
      <c r="AG552" s="39">
        <f>IF(AQ552="2",BI552,0)</f>
        <v>0</v>
      </c>
      <c r="AH552" s="39">
        <f>IF(AQ552="0",BJ552,0)</f>
        <v>0</v>
      </c>
      <c r="AI552" s="30"/>
      <c r="AJ552" s="22">
        <f>IF(AN552=0,J552,0)</f>
        <v>0</v>
      </c>
      <c r="AK552" s="22">
        <f>IF(AN552=15,J552,0)</f>
        <v>0</v>
      </c>
      <c r="AL552" s="22">
        <f>IF(AN552=21,J552,0)</f>
        <v>0</v>
      </c>
      <c r="AN552" s="39">
        <v>21</v>
      </c>
      <c r="AO552" s="39">
        <f>G552*1</f>
        <v>0</v>
      </c>
      <c r="AP552" s="39">
        <f>G552*(1-1)</f>
        <v>0</v>
      </c>
      <c r="AQ552" s="35" t="s">
        <v>11</v>
      </c>
      <c r="AV552" s="39">
        <f>AW552+AX552</f>
        <v>0</v>
      </c>
      <c r="AW552" s="39">
        <f>F552*AO552</f>
        <v>0</v>
      </c>
      <c r="AX552" s="39">
        <f>F552*AP552</f>
        <v>0</v>
      </c>
      <c r="AY552" s="40" t="s">
        <v>2016</v>
      </c>
      <c r="AZ552" s="40" t="s">
        <v>2041</v>
      </c>
      <c r="BA552" s="30" t="s">
        <v>2045</v>
      </c>
      <c r="BC552" s="39">
        <f>AW552+AX552</f>
        <v>0</v>
      </c>
      <c r="BD552" s="39">
        <f>G552/(100-BE552)*100</f>
        <v>0</v>
      </c>
      <c r="BE552" s="39">
        <v>0</v>
      </c>
      <c r="BF552" s="39">
        <f>L552</f>
        <v>1.95E-2</v>
      </c>
      <c r="BH552" s="22">
        <f>F552*AO552</f>
        <v>0</v>
      </c>
      <c r="BI552" s="22">
        <f>F552*AP552</f>
        <v>0</v>
      </c>
      <c r="BJ552" s="22">
        <f>F552*G552</f>
        <v>0</v>
      </c>
    </row>
    <row r="553" spans="1:62" ht="77.099999999999994" customHeight="1">
      <c r="C553" s="17" t="s">
        <v>605</v>
      </c>
      <c r="D553" s="917" t="s">
        <v>1682</v>
      </c>
      <c r="E553" s="918"/>
      <c r="F553" s="918"/>
      <c r="G553" s="918"/>
      <c r="H553" s="918"/>
      <c r="I553" s="918"/>
      <c r="J553" s="918"/>
      <c r="K553" s="918"/>
      <c r="L553" s="918"/>
      <c r="M553" s="918"/>
    </row>
    <row r="554" spans="1:62">
      <c r="A554" s="5" t="s">
        <v>387</v>
      </c>
      <c r="B554" s="5"/>
      <c r="C554" s="5" t="s">
        <v>990</v>
      </c>
      <c r="D554" s="5" t="s">
        <v>1687</v>
      </c>
      <c r="E554" s="5" t="s">
        <v>1943</v>
      </c>
      <c r="F554" s="21">
        <v>2</v>
      </c>
      <c r="G554" s="753">
        <v>0</v>
      </c>
      <c r="H554" s="21">
        <f t="shared" ref="H554:H571" si="386">F554*AO554</f>
        <v>0</v>
      </c>
      <c r="I554" s="21">
        <f t="shared" ref="I554:I571" si="387">F554*AP554</f>
        <v>0</v>
      </c>
      <c r="J554" s="21">
        <f t="shared" ref="J554:J571" si="388">F554*G554</f>
        <v>0</v>
      </c>
      <c r="K554" s="21">
        <v>0</v>
      </c>
      <c r="L554" s="21">
        <f t="shared" ref="L554:L571" si="389">F554*K554</f>
        <v>0</v>
      </c>
      <c r="M554" s="34" t="s">
        <v>1960</v>
      </c>
      <c r="O554">
        <f t="shared" ref="O554:O571" si="390">0.95*G554</f>
        <v>0</v>
      </c>
      <c r="Z554" s="39">
        <f t="shared" ref="Z554:Z571" si="391">IF(AQ554="5",BJ554,0)</f>
        <v>0</v>
      </c>
      <c r="AB554" s="39">
        <f t="shared" ref="AB554:AB571" si="392">IF(AQ554="1",BH554,0)</f>
        <v>0</v>
      </c>
      <c r="AC554" s="39">
        <f t="shared" ref="AC554:AC571" si="393">IF(AQ554="1",BI554,0)</f>
        <v>0</v>
      </c>
      <c r="AD554" s="39">
        <f t="shared" ref="AD554:AD571" si="394">IF(AQ554="7",BH554,0)</f>
        <v>0</v>
      </c>
      <c r="AE554" s="39">
        <f t="shared" ref="AE554:AE571" si="395">IF(AQ554="7",BI554,0)</f>
        <v>0</v>
      </c>
      <c r="AF554" s="39">
        <f t="shared" ref="AF554:AF571" si="396">IF(AQ554="2",BH554,0)</f>
        <v>0</v>
      </c>
      <c r="AG554" s="39">
        <f t="shared" ref="AG554:AG571" si="397">IF(AQ554="2",BI554,0)</f>
        <v>0</v>
      </c>
      <c r="AH554" s="39">
        <f t="shared" ref="AH554:AH571" si="398">IF(AQ554="0",BJ554,0)</f>
        <v>0</v>
      </c>
      <c r="AI554" s="30"/>
      <c r="AJ554" s="21">
        <f t="shared" ref="AJ554:AJ571" si="399">IF(AN554=0,J554,0)</f>
        <v>0</v>
      </c>
      <c r="AK554" s="21">
        <f t="shared" ref="AK554:AK571" si="400">IF(AN554=15,J554,0)</f>
        <v>0</v>
      </c>
      <c r="AL554" s="21">
        <f t="shared" ref="AL554:AL571" si="401">IF(AN554=21,J554,0)</f>
        <v>0</v>
      </c>
      <c r="AN554" s="39">
        <v>21</v>
      </c>
      <c r="AO554" s="39">
        <f>G554*0</f>
        <v>0</v>
      </c>
      <c r="AP554" s="39">
        <f>G554*(1-0)</f>
        <v>0</v>
      </c>
      <c r="AQ554" s="34" t="s">
        <v>11</v>
      </c>
      <c r="AV554" s="39">
        <f t="shared" ref="AV554:AV571" si="402">AW554+AX554</f>
        <v>0</v>
      </c>
      <c r="AW554" s="39">
        <f t="shared" ref="AW554:AW571" si="403">F554*AO554</f>
        <v>0</v>
      </c>
      <c r="AX554" s="39">
        <f t="shared" ref="AX554:AX571" si="404">F554*AP554</f>
        <v>0</v>
      </c>
      <c r="AY554" s="40" t="s">
        <v>2016</v>
      </c>
      <c r="AZ554" s="40" t="s">
        <v>2041</v>
      </c>
      <c r="BA554" s="30" t="s">
        <v>2045</v>
      </c>
      <c r="BC554" s="39">
        <f t="shared" ref="BC554:BC571" si="405">AW554+AX554</f>
        <v>0</v>
      </c>
      <c r="BD554" s="39">
        <f t="shared" ref="BD554:BD571" si="406">G554/(100-BE554)*100</f>
        <v>0</v>
      </c>
      <c r="BE554" s="39">
        <v>0</v>
      </c>
      <c r="BF554" s="39">
        <f t="shared" ref="BF554:BF571" si="407">L554</f>
        <v>0</v>
      </c>
      <c r="BH554" s="21">
        <f t="shared" ref="BH554:BH571" si="408">F554*AO554</f>
        <v>0</v>
      </c>
      <c r="BI554" s="21">
        <f t="shared" ref="BI554:BI571" si="409">F554*AP554</f>
        <v>0</v>
      </c>
      <c r="BJ554" s="21">
        <f t="shared" ref="BJ554:BJ571" si="410">F554*G554</f>
        <v>0</v>
      </c>
    </row>
    <row r="555" spans="1:62">
      <c r="A555" s="5" t="s">
        <v>388</v>
      </c>
      <c r="B555" s="5"/>
      <c r="C555" s="5" t="s">
        <v>991</v>
      </c>
      <c r="D555" s="5" t="s">
        <v>1688</v>
      </c>
      <c r="E555" s="5" t="s">
        <v>1943</v>
      </c>
      <c r="F555" s="21">
        <v>1</v>
      </c>
      <c r="G555" s="753">
        <v>0</v>
      </c>
      <c r="H555" s="21">
        <f t="shared" si="386"/>
        <v>0</v>
      </c>
      <c r="I555" s="21">
        <f t="shared" si="387"/>
        <v>0</v>
      </c>
      <c r="J555" s="21">
        <f t="shared" si="388"/>
        <v>0</v>
      </c>
      <c r="K555" s="21">
        <v>0</v>
      </c>
      <c r="L555" s="21">
        <f t="shared" si="389"/>
        <v>0</v>
      </c>
      <c r="M555" s="34" t="s">
        <v>1960</v>
      </c>
      <c r="O555">
        <f t="shared" si="390"/>
        <v>0</v>
      </c>
      <c r="Z555" s="39">
        <f t="shared" si="391"/>
        <v>0</v>
      </c>
      <c r="AB555" s="39">
        <f t="shared" si="392"/>
        <v>0</v>
      </c>
      <c r="AC555" s="39">
        <f t="shared" si="393"/>
        <v>0</v>
      </c>
      <c r="AD555" s="39">
        <f t="shared" si="394"/>
        <v>0</v>
      </c>
      <c r="AE555" s="39">
        <f t="shared" si="395"/>
        <v>0</v>
      </c>
      <c r="AF555" s="39">
        <f t="shared" si="396"/>
        <v>0</v>
      </c>
      <c r="AG555" s="39">
        <f t="shared" si="397"/>
        <v>0</v>
      </c>
      <c r="AH555" s="39">
        <f t="shared" si="398"/>
        <v>0</v>
      </c>
      <c r="AI555" s="30"/>
      <c r="AJ555" s="21">
        <f t="shared" si="399"/>
        <v>0</v>
      </c>
      <c r="AK555" s="21">
        <f t="shared" si="400"/>
        <v>0</v>
      </c>
      <c r="AL555" s="21">
        <f t="shared" si="401"/>
        <v>0</v>
      </c>
      <c r="AN555" s="39">
        <v>21</v>
      </c>
      <c r="AO555" s="39">
        <f>G555*0</f>
        <v>0</v>
      </c>
      <c r="AP555" s="39">
        <f>G555*(1-0)</f>
        <v>0</v>
      </c>
      <c r="AQ555" s="34" t="s">
        <v>11</v>
      </c>
      <c r="AV555" s="39">
        <f t="shared" si="402"/>
        <v>0</v>
      </c>
      <c r="AW555" s="39">
        <f t="shared" si="403"/>
        <v>0</v>
      </c>
      <c r="AX555" s="39">
        <f t="shared" si="404"/>
        <v>0</v>
      </c>
      <c r="AY555" s="40" t="s">
        <v>2016</v>
      </c>
      <c r="AZ555" s="40" t="s">
        <v>2041</v>
      </c>
      <c r="BA555" s="30" t="s">
        <v>2045</v>
      </c>
      <c r="BC555" s="39">
        <f t="shared" si="405"/>
        <v>0</v>
      </c>
      <c r="BD555" s="39">
        <f t="shared" si="406"/>
        <v>0</v>
      </c>
      <c r="BE555" s="39">
        <v>0</v>
      </c>
      <c r="BF555" s="39">
        <f t="shared" si="407"/>
        <v>0</v>
      </c>
      <c r="BH555" s="21">
        <f t="shared" si="408"/>
        <v>0</v>
      </c>
      <c r="BI555" s="21">
        <f t="shared" si="409"/>
        <v>0</v>
      </c>
      <c r="BJ555" s="21">
        <f t="shared" si="410"/>
        <v>0</v>
      </c>
    </row>
    <row r="556" spans="1:62">
      <c r="A556" s="5" t="s">
        <v>389</v>
      </c>
      <c r="B556" s="5"/>
      <c r="C556" s="5" t="s">
        <v>992</v>
      </c>
      <c r="D556" s="5" t="s">
        <v>1689</v>
      </c>
      <c r="E556" s="5" t="s">
        <v>1943</v>
      </c>
      <c r="F556" s="21">
        <v>10</v>
      </c>
      <c r="G556" s="753">
        <v>0</v>
      </c>
      <c r="H556" s="21">
        <f t="shared" si="386"/>
        <v>0</v>
      </c>
      <c r="I556" s="21">
        <f t="shared" si="387"/>
        <v>0</v>
      </c>
      <c r="J556" s="21">
        <f t="shared" si="388"/>
        <v>0</v>
      </c>
      <c r="K556" s="21">
        <v>0</v>
      </c>
      <c r="L556" s="21">
        <f t="shared" si="389"/>
        <v>0</v>
      </c>
      <c r="M556" s="34" t="s">
        <v>1960</v>
      </c>
      <c r="O556">
        <f t="shared" si="390"/>
        <v>0</v>
      </c>
      <c r="Z556" s="39">
        <f t="shared" si="391"/>
        <v>0</v>
      </c>
      <c r="AB556" s="39">
        <f t="shared" si="392"/>
        <v>0</v>
      </c>
      <c r="AC556" s="39">
        <f t="shared" si="393"/>
        <v>0</v>
      </c>
      <c r="AD556" s="39">
        <f t="shared" si="394"/>
        <v>0</v>
      </c>
      <c r="AE556" s="39">
        <f t="shared" si="395"/>
        <v>0</v>
      </c>
      <c r="AF556" s="39">
        <f t="shared" si="396"/>
        <v>0</v>
      </c>
      <c r="AG556" s="39">
        <f t="shared" si="397"/>
        <v>0</v>
      </c>
      <c r="AH556" s="39">
        <f t="shared" si="398"/>
        <v>0</v>
      </c>
      <c r="AI556" s="30"/>
      <c r="AJ556" s="21">
        <f t="shared" si="399"/>
        <v>0</v>
      </c>
      <c r="AK556" s="21">
        <f t="shared" si="400"/>
        <v>0</v>
      </c>
      <c r="AL556" s="21">
        <f t="shared" si="401"/>
        <v>0</v>
      </c>
      <c r="AN556" s="39">
        <v>21</v>
      </c>
      <c r="AO556" s="39">
        <f>G556*0.00524375</f>
        <v>0</v>
      </c>
      <c r="AP556" s="39">
        <f>G556*(1-0.00524375)</f>
        <v>0</v>
      </c>
      <c r="AQ556" s="34" t="s">
        <v>11</v>
      </c>
      <c r="AV556" s="39">
        <f t="shared" si="402"/>
        <v>0</v>
      </c>
      <c r="AW556" s="39">
        <f t="shared" si="403"/>
        <v>0</v>
      </c>
      <c r="AX556" s="39">
        <f t="shared" si="404"/>
        <v>0</v>
      </c>
      <c r="AY556" s="40" t="s">
        <v>2016</v>
      </c>
      <c r="AZ556" s="40" t="s">
        <v>2041</v>
      </c>
      <c r="BA556" s="30" t="s">
        <v>2045</v>
      </c>
      <c r="BC556" s="39">
        <f t="shared" si="405"/>
        <v>0</v>
      </c>
      <c r="BD556" s="39">
        <f t="shared" si="406"/>
        <v>0</v>
      </c>
      <c r="BE556" s="39">
        <v>0</v>
      </c>
      <c r="BF556" s="39">
        <f t="shared" si="407"/>
        <v>0</v>
      </c>
      <c r="BH556" s="21">
        <f t="shared" si="408"/>
        <v>0</v>
      </c>
      <c r="BI556" s="21">
        <f t="shared" si="409"/>
        <v>0</v>
      </c>
      <c r="BJ556" s="21">
        <f t="shared" si="410"/>
        <v>0</v>
      </c>
    </row>
    <row r="557" spans="1:62">
      <c r="A557" s="5" t="s">
        <v>390</v>
      </c>
      <c r="B557" s="5"/>
      <c r="C557" s="5" t="s">
        <v>993</v>
      </c>
      <c r="D557" s="5" t="s">
        <v>1690</v>
      </c>
      <c r="E557" s="5" t="s">
        <v>1943</v>
      </c>
      <c r="F557" s="21">
        <v>2</v>
      </c>
      <c r="G557" s="753">
        <v>0</v>
      </c>
      <c r="H557" s="21">
        <f t="shared" si="386"/>
        <v>0</v>
      </c>
      <c r="I557" s="21">
        <f t="shared" si="387"/>
        <v>0</v>
      </c>
      <c r="J557" s="21">
        <f t="shared" si="388"/>
        <v>0</v>
      </c>
      <c r="K557" s="21">
        <v>0</v>
      </c>
      <c r="L557" s="21">
        <f t="shared" si="389"/>
        <v>0</v>
      </c>
      <c r="M557" s="34" t="s">
        <v>1960</v>
      </c>
      <c r="O557">
        <f t="shared" si="390"/>
        <v>0</v>
      </c>
      <c r="Z557" s="39">
        <f t="shared" si="391"/>
        <v>0</v>
      </c>
      <c r="AB557" s="39">
        <f t="shared" si="392"/>
        <v>0</v>
      </c>
      <c r="AC557" s="39">
        <f t="shared" si="393"/>
        <v>0</v>
      </c>
      <c r="AD557" s="39">
        <f t="shared" si="394"/>
        <v>0</v>
      </c>
      <c r="AE557" s="39">
        <f t="shared" si="395"/>
        <v>0</v>
      </c>
      <c r="AF557" s="39">
        <f t="shared" si="396"/>
        <v>0</v>
      </c>
      <c r="AG557" s="39">
        <f t="shared" si="397"/>
        <v>0</v>
      </c>
      <c r="AH557" s="39">
        <f t="shared" si="398"/>
        <v>0</v>
      </c>
      <c r="AI557" s="30"/>
      <c r="AJ557" s="21">
        <f t="shared" si="399"/>
        <v>0</v>
      </c>
      <c r="AK557" s="21">
        <f t="shared" si="400"/>
        <v>0</v>
      </c>
      <c r="AL557" s="21">
        <f t="shared" si="401"/>
        <v>0</v>
      </c>
      <c r="AN557" s="39">
        <v>21</v>
      </c>
      <c r="AO557" s="39">
        <f>G557*0.00524431818181818</f>
        <v>0</v>
      </c>
      <c r="AP557" s="39">
        <f>G557*(1-0.00524431818181818)</f>
        <v>0</v>
      </c>
      <c r="AQ557" s="34" t="s">
        <v>11</v>
      </c>
      <c r="AV557" s="39">
        <f t="shared" si="402"/>
        <v>0</v>
      </c>
      <c r="AW557" s="39">
        <f t="shared" si="403"/>
        <v>0</v>
      </c>
      <c r="AX557" s="39">
        <f t="shared" si="404"/>
        <v>0</v>
      </c>
      <c r="AY557" s="40" t="s">
        <v>2016</v>
      </c>
      <c r="AZ557" s="40" t="s">
        <v>2041</v>
      </c>
      <c r="BA557" s="30" t="s">
        <v>2045</v>
      </c>
      <c r="BC557" s="39">
        <f t="shared" si="405"/>
        <v>0</v>
      </c>
      <c r="BD557" s="39">
        <f t="shared" si="406"/>
        <v>0</v>
      </c>
      <c r="BE557" s="39">
        <v>0</v>
      </c>
      <c r="BF557" s="39">
        <f t="shared" si="407"/>
        <v>0</v>
      </c>
      <c r="BH557" s="21">
        <f t="shared" si="408"/>
        <v>0</v>
      </c>
      <c r="BI557" s="21">
        <f t="shared" si="409"/>
        <v>0</v>
      </c>
      <c r="BJ557" s="21">
        <f t="shared" si="410"/>
        <v>0</v>
      </c>
    </row>
    <row r="558" spans="1:62">
      <c r="A558" s="5" t="s">
        <v>391</v>
      </c>
      <c r="B558" s="5"/>
      <c r="C558" s="5" t="s">
        <v>994</v>
      </c>
      <c r="D558" s="5" t="s">
        <v>1691</v>
      </c>
      <c r="E558" s="5" t="s">
        <v>1943</v>
      </c>
      <c r="F558" s="21">
        <v>12</v>
      </c>
      <c r="G558" s="753">
        <v>0</v>
      </c>
      <c r="H558" s="21">
        <f t="shared" si="386"/>
        <v>0</v>
      </c>
      <c r="I558" s="21">
        <f t="shared" si="387"/>
        <v>0</v>
      </c>
      <c r="J558" s="21">
        <f t="shared" si="388"/>
        <v>0</v>
      </c>
      <c r="K558" s="21">
        <v>0</v>
      </c>
      <c r="L558" s="21">
        <f t="shared" si="389"/>
        <v>0</v>
      </c>
      <c r="M558" s="34" t="s">
        <v>1960</v>
      </c>
      <c r="O558">
        <f t="shared" si="390"/>
        <v>0</v>
      </c>
      <c r="Z558" s="39">
        <f t="shared" si="391"/>
        <v>0</v>
      </c>
      <c r="AB558" s="39">
        <f t="shared" si="392"/>
        <v>0</v>
      </c>
      <c r="AC558" s="39">
        <f t="shared" si="393"/>
        <v>0</v>
      </c>
      <c r="AD558" s="39">
        <f t="shared" si="394"/>
        <v>0</v>
      </c>
      <c r="AE558" s="39">
        <f t="shared" si="395"/>
        <v>0</v>
      </c>
      <c r="AF558" s="39">
        <f t="shared" si="396"/>
        <v>0</v>
      </c>
      <c r="AG558" s="39">
        <f t="shared" si="397"/>
        <v>0</v>
      </c>
      <c r="AH558" s="39">
        <f t="shared" si="398"/>
        <v>0</v>
      </c>
      <c r="AI558" s="30"/>
      <c r="AJ558" s="21">
        <f t="shared" si="399"/>
        <v>0</v>
      </c>
      <c r="AK558" s="21">
        <f t="shared" si="400"/>
        <v>0</v>
      </c>
      <c r="AL558" s="21">
        <f t="shared" si="401"/>
        <v>0</v>
      </c>
      <c r="AN558" s="39">
        <v>21</v>
      </c>
      <c r="AO558" s="39">
        <f>G558*0.00524422110552764</f>
        <v>0</v>
      </c>
      <c r="AP558" s="39">
        <f>G558*(1-0.00524422110552764)</f>
        <v>0</v>
      </c>
      <c r="AQ558" s="34" t="s">
        <v>11</v>
      </c>
      <c r="AV558" s="39">
        <f t="shared" si="402"/>
        <v>0</v>
      </c>
      <c r="AW558" s="39">
        <f t="shared" si="403"/>
        <v>0</v>
      </c>
      <c r="AX558" s="39">
        <f t="shared" si="404"/>
        <v>0</v>
      </c>
      <c r="AY558" s="40" t="s">
        <v>2016</v>
      </c>
      <c r="AZ558" s="40" t="s">
        <v>2041</v>
      </c>
      <c r="BA558" s="30" t="s">
        <v>2045</v>
      </c>
      <c r="BC558" s="39">
        <f t="shared" si="405"/>
        <v>0</v>
      </c>
      <c r="BD558" s="39">
        <f t="shared" si="406"/>
        <v>0</v>
      </c>
      <c r="BE558" s="39">
        <v>0</v>
      </c>
      <c r="BF558" s="39">
        <f t="shared" si="407"/>
        <v>0</v>
      </c>
      <c r="BH558" s="21">
        <f t="shared" si="408"/>
        <v>0</v>
      </c>
      <c r="BI558" s="21">
        <f t="shared" si="409"/>
        <v>0</v>
      </c>
      <c r="BJ558" s="21">
        <f t="shared" si="410"/>
        <v>0</v>
      </c>
    </row>
    <row r="559" spans="1:62">
      <c r="A559" s="5" t="s">
        <v>392</v>
      </c>
      <c r="B559" s="5"/>
      <c r="C559" s="5" t="s">
        <v>995</v>
      </c>
      <c r="D559" s="5" t="s">
        <v>1692</v>
      </c>
      <c r="E559" s="5" t="s">
        <v>1943</v>
      </c>
      <c r="F559" s="21">
        <v>1</v>
      </c>
      <c r="G559" s="753">
        <v>0</v>
      </c>
      <c r="H559" s="21">
        <f t="shared" si="386"/>
        <v>0</v>
      </c>
      <c r="I559" s="21">
        <f t="shared" si="387"/>
        <v>0</v>
      </c>
      <c r="J559" s="21">
        <f t="shared" si="388"/>
        <v>0</v>
      </c>
      <c r="K559" s="21">
        <v>0</v>
      </c>
      <c r="L559" s="21">
        <f t="shared" si="389"/>
        <v>0</v>
      </c>
      <c r="M559" s="34" t="s">
        <v>1960</v>
      </c>
      <c r="O559">
        <f t="shared" si="390"/>
        <v>0</v>
      </c>
      <c r="Z559" s="39">
        <f t="shared" si="391"/>
        <v>0</v>
      </c>
      <c r="AB559" s="39">
        <f t="shared" si="392"/>
        <v>0</v>
      </c>
      <c r="AC559" s="39">
        <f t="shared" si="393"/>
        <v>0</v>
      </c>
      <c r="AD559" s="39">
        <f t="shared" si="394"/>
        <v>0</v>
      </c>
      <c r="AE559" s="39">
        <f t="shared" si="395"/>
        <v>0</v>
      </c>
      <c r="AF559" s="39">
        <f t="shared" si="396"/>
        <v>0</v>
      </c>
      <c r="AG559" s="39">
        <f t="shared" si="397"/>
        <v>0</v>
      </c>
      <c r="AH559" s="39">
        <f t="shared" si="398"/>
        <v>0</v>
      </c>
      <c r="AI559" s="30"/>
      <c r="AJ559" s="21">
        <f t="shared" si="399"/>
        <v>0</v>
      </c>
      <c r="AK559" s="21">
        <f t="shared" si="400"/>
        <v>0</v>
      </c>
      <c r="AL559" s="21">
        <f t="shared" si="401"/>
        <v>0</v>
      </c>
      <c r="AN559" s="39">
        <v>21</v>
      </c>
      <c r="AO559" s="39">
        <f>G559*0.00524431818181818</f>
        <v>0</v>
      </c>
      <c r="AP559" s="39">
        <f>G559*(1-0.00524431818181818)</f>
        <v>0</v>
      </c>
      <c r="AQ559" s="34" t="s">
        <v>11</v>
      </c>
      <c r="AV559" s="39">
        <f t="shared" si="402"/>
        <v>0</v>
      </c>
      <c r="AW559" s="39">
        <f t="shared" si="403"/>
        <v>0</v>
      </c>
      <c r="AX559" s="39">
        <f t="shared" si="404"/>
        <v>0</v>
      </c>
      <c r="AY559" s="40" t="s">
        <v>2016</v>
      </c>
      <c r="AZ559" s="40" t="s">
        <v>2041</v>
      </c>
      <c r="BA559" s="30" t="s">
        <v>2045</v>
      </c>
      <c r="BC559" s="39">
        <f t="shared" si="405"/>
        <v>0</v>
      </c>
      <c r="BD559" s="39">
        <f t="shared" si="406"/>
        <v>0</v>
      </c>
      <c r="BE559" s="39">
        <v>0</v>
      </c>
      <c r="BF559" s="39">
        <f t="shared" si="407"/>
        <v>0</v>
      </c>
      <c r="BH559" s="21">
        <f t="shared" si="408"/>
        <v>0</v>
      </c>
      <c r="BI559" s="21">
        <f t="shared" si="409"/>
        <v>0</v>
      </c>
      <c r="BJ559" s="21">
        <f t="shared" si="410"/>
        <v>0</v>
      </c>
    </row>
    <row r="560" spans="1:62">
      <c r="A560" s="5" t="s">
        <v>393</v>
      </c>
      <c r="B560" s="5"/>
      <c r="C560" s="5" t="s">
        <v>996</v>
      </c>
      <c r="D560" s="5" t="s">
        <v>1693</v>
      </c>
      <c r="E560" s="5" t="s">
        <v>1943</v>
      </c>
      <c r="F560" s="21">
        <v>1</v>
      </c>
      <c r="G560" s="753">
        <v>0</v>
      </c>
      <c r="H560" s="21">
        <f t="shared" si="386"/>
        <v>0</v>
      </c>
      <c r="I560" s="21">
        <f t="shared" si="387"/>
        <v>0</v>
      </c>
      <c r="J560" s="21">
        <f t="shared" si="388"/>
        <v>0</v>
      </c>
      <c r="K560" s="21">
        <v>0</v>
      </c>
      <c r="L560" s="21">
        <f t="shared" si="389"/>
        <v>0</v>
      </c>
      <c r="M560" s="34" t="s">
        <v>1960</v>
      </c>
      <c r="O560">
        <f t="shared" si="390"/>
        <v>0</v>
      </c>
      <c r="Z560" s="39">
        <f t="shared" si="391"/>
        <v>0</v>
      </c>
      <c r="AB560" s="39">
        <f t="shared" si="392"/>
        <v>0</v>
      </c>
      <c r="AC560" s="39">
        <f t="shared" si="393"/>
        <v>0</v>
      </c>
      <c r="AD560" s="39">
        <f t="shared" si="394"/>
        <v>0</v>
      </c>
      <c r="AE560" s="39">
        <f t="shared" si="395"/>
        <v>0</v>
      </c>
      <c r="AF560" s="39">
        <f t="shared" si="396"/>
        <v>0</v>
      </c>
      <c r="AG560" s="39">
        <f t="shared" si="397"/>
        <v>0</v>
      </c>
      <c r="AH560" s="39">
        <f t="shared" si="398"/>
        <v>0</v>
      </c>
      <c r="AI560" s="30"/>
      <c r="AJ560" s="21">
        <f t="shared" si="399"/>
        <v>0</v>
      </c>
      <c r="AK560" s="21">
        <f t="shared" si="400"/>
        <v>0</v>
      </c>
      <c r="AL560" s="21">
        <f t="shared" si="401"/>
        <v>0</v>
      </c>
      <c r="AN560" s="39">
        <v>21</v>
      </c>
      <c r="AO560" s="39">
        <f>G560*0.00524431818181818</f>
        <v>0</v>
      </c>
      <c r="AP560" s="39">
        <f>G560*(1-0.00524431818181818)</f>
        <v>0</v>
      </c>
      <c r="AQ560" s="34" t="s">
        <v>11</v>
      </c>
      <c r="AV560" s="39">
        <f t="shared" si="402"/>
        <v>0</v>
      </c>
      <c r="AW560" s="39">
        <f t="shared" si="403"/>
        <v>0</v>
      </c>
      <c r="AX560" s="39">
        <f t="shared" si="404"/>
        <v>0</v>
      </c>
      <c r="AY560" s="40" t="s">
        <v>2016</v>
      </c>
      <c r="AZ560" s="40" t="s">
        <v>2041</v>
      </c>
      <c r="BA560" s="30" t="s">
        <v>2045</v>
      </c>
      <c r="BC560" s="39">
        <f t="shared" si="405"/>
        <v>0</v>
      </c>
      <c r="BD560" s="39">
        <f t="shared" si="406"/>
        <v>0</v>
      </c>
      <c r="BE560" s="39">
        <v>0</v>
      </c>
      <c r="BF560" s="39">
        <f t="shared" si="407"/>
        <v>0</v>
      </c>
      <c r="BH560" s="21">
        <f t="shared" si="408"/>
        <v>0</v>
      </c>
      <c r="BI560" s="21">
        <f t="shared" si="409"/>
        <v>0</v>
      </c>
      <c r="BJ560" s="21">
        <f t="shared" si="410"/>
        <v>0</v>
      </c>
    </row>
    <row r="561" spans="1:62">
      <c r="A561" s="5" t="s">
        <v>394</v>
      </c>
      <c r="B561" s="5"/>
      <c r="C561" s="5" t="s">
        <v>997</v>
      </c>
      <c r="D561" s="5" t="s">
        <v>1694</v>
      </c>
      <c r="E561" s="5" t="s">
        <v>1943</v>
      </c>
      <c r="F561" s="21">
        <v>1</v>
      </c>
      <c r="G561" s="753">
        <v>0</v>
      </c>
      <c r="H561" s="21">
        <f t="shared" si="386"/>
        <v>0</v>
      </c>
      <c r="I561" s="21">
        <f t="shared" si="387"/>
        <v>0</v>
      </c>
      <c r="J561" s="21">
        <f t="shared" si="388"/>
        <v>0</v>
      </c>
      <c r="K561" s="21">
        <v>0</v>
      </c>
      <c r="L561" s="21">
        <f t="shared" si="389"/>
        <v>0</v>
      </c>
      <c r="M561" s="34" t="s">
        <v>1960</v>
      </c>
      <c r="O561">
        <f t="shared" si="390"/>
        <v>0</v>
      </c>
      <c r="Z561" s="39">
        <f t="shared" si="391"/>
        <v>0</v>
      </c>
      <c r="AB561" s="39">
        <f t="shared" si="392"/>
        <v>0</v>
      </c>
      <c r="AC561" s="39">
        <f t="shared" si="393"/>
        <v>0</v>
      </c>
      <c r="AD561" s="39">
        <f t="shared" si="394"/>
        <v>0</v>
      </c>
      <c r="AE561" s="39">
        <f t="shared" si="395"/>
        <v>0</v>
      </c>
      <c r="AF561" s="39">
        <f t="shared" si="396"/>
        <v>0</v>
      </c>
      <c r="AG561" s="39">
        <f t="shared" si="397"/>
        <v>0</v>
      </c>
      <c r="AH561" s="39">
        <f t="shared" si="398"/>
        <v>0</v>
      </c>
      <c r="AI561" s="30"/>
      <c r="AJ561" s="21">
        <f t="shared" si="399"/>
        <v>0</v>
      </c>
      <c r="AK561" s="21">
        <f t="shared" si="400"/>
        <v>0</v>
      </c>
      <c r="AL561" s="21">
        <f t="shared" si="401"/>
        <v>0</v>
      </c>
      <c r="AN561" s="39">
        <v>21</v>
      </c>
      <c r="AO561" s="39">
        <f>G561*0.005242</f>
        <v>0</v>
      </c>
      <c r="AP561" s="39">
        <f>G561*(1-0.005242)</f>
        <v>0</v>
      </c>
      <c r="AQ561" s="34" t="s">
        <v>11</v>
      </c>
      <c r="AV561" s="39">
        <f t="shared" si="402"/>
        <v>0</v>
      </c>
      <c r="AW561" s="39">
        <f t="shared" si="403"/>
        <v>0</v>
      </c>
      <c r="AX561" s="39">
        <f t="shared" si="404"/>
        <v>0</v>
      </c>
      <c r="AY561" s="40" t="s">
        <v>2016</v>
      </c>
      <c r="AZ561" s="40" t="s">
        <v>2041</v>
      </c>
      <c r="BA561" s="30" t="s">
        <v>2045</v>
      </c>
      <c r="BC561" s="39">
        <f t="shared" si="405"/>
        <v>0</v>
      </c>
      <c r="BD561" s="39">
        <f t="shared" si="406"/>
        <v>0</v>
      </c>
      <c r="BE561" s="39">
        <v>0</v>
      </c>
      <c r="BF561" s="39">
        <f t="shared" si="407"/>
        <v>0</v>
      </c>
      <c r="BH561" s="21">
        <f t="shared" si="408"/>
        <v>0</v>
      </c>
      <c r="BI561" s="21">
        <f t="shared" si="409"/>
        <v>0</v>
      </c>
      <c r="BJ561" s="21">
        <f t="shared" si="410"/>
        <v>0</v>
      </c>
    </row>
    <row r="562" spans="1:62">
      <c r="A562" s="5" t="s">
        <v>395</v>
      </c>
      <c r="B562" s="5"/>
      <c r="C562" s="5" t="s">
        <v>998</v>
      </c>
      <c r="D562" s="5" t="s">
        <v>1695</v>
      </c>
      <c r="E562" s="5" t="s">
        <v>1943</v>
      </c>
      <c r="F562" s="21">
        <v>1</v>
      </c>
      <c r="G562" s="753">
        <v>0</v>
      </c>
      <c r="H562" s="21">
        <f t="shared" si="386"/>
        <v>0</v>
      </c>
      <c r="I562" s="21">
        <f t="shared" si="387"/>
        <v>0</v>
      </c>
      <c r="J562" s="21">
        <f t="shared" si="388"/>
        <v>0</v>
      </c>
      <c r="K562" s="21">
        <v>0</v>
      </c>
      <c r="L562" s="21">
        <f t="shared" si="389"/>
        <v>0</v>
      </c>
      <c r="M562" s="34" t="s">
        <v>1960</v>
      </c>
      <c r="O562">
        <f t="shared" si="390"/>
        <v>0</v>
      </c>
      <c r="Z562" s="39">
        <f t="shared" si="391"/>
        <v>0</v>
      </c>
      <c r="AB562" s="39">
        <f t="shared" si="392"/>
        <v>0</v>
      </c>
      <c r="AC562" s="39">
        <f t="shared" si="393"/>
        <v>0</v>
      </c>
      <c r="AD562" s="39">
        <f t="shared" si="394"/>
        <v>0</v>
      </c>
      <c r="AE562" s="39">
        <f t="shared" si="395"/>
        <v>0</v>
      </c>
      <c r="AF562" s="39">
        <f t="shared" si="396"/>
        <v>0</v>
      </c>
      <c r="AG562" s="39">
        <f t="shared" si="397"/>
        <v>0</v>
      </c>
      <c r="AH562" s="39">
        <f t="shared" si="398"/>
        <v>0</v>
      </c>
      <c r="AI562" s="30"/>
      <c r="AJ562" s="21">
        <f t="shared" si="399"/>
        <v>0</v>
      </c>
      <c r="AK562" s="21">
        <f t="shared" si="400"/>
        <v>0</v>
      </c>
      <c r="AL562" s="21">
        <f t="shared" si="401"/>
        <v>0</v>
      </c>
      <c r="AN562" s="39">
        <v>21</v>
      </c>
      <c r="AO562" s="39">
        <f>G562*0.0052421052631579</f>
        <v>0</v>
      </c>
      <c r="AP562" s="39">
        <f>G562*(1-0.0052421052631579)</f>
        <v>0</v>
      </c>
      <c r="AQ562" s="34" t="s">
        <v>11</v>
      </c>
      <c r="AV562" s="39">
        <f t="shared" si="402"/>
        <v>0</v>
      </c>
      <c r="AW562" s="39">
        <f t="shared" si="403"/>
        <v>0</v>
      </c>
      <c r="AX562" s="39">
        <f t="shared" si="404"/>
        <v>0</v>
      </c>
      <c r="AY562" s="40" t="s">
        <v>2016</v>
      </c>
      <c r="AZ562" s="40" t="s">
        <v>2041</v>
      </c>
      <c r="BA562" s="30" t="s">
        <v>2045</v>
      </c>
      <c r="BC562" s="39">
        <f t="shared" si="405"/>
        <v>0</v>
      </c>
      <c r="BD562" s="39">
        <f t="shared" si="406"/>
        <v>0</v>
      </c>
      <c r="BE562" s="39">
        <v>0</v>
      </c>
      <c r="BF562" s="39">
        <f t="shared" si="407"/>
        <v>0</v>
      </c>
      <c r="BH562" s="21">
        <f t="shared" si="408"/>
        <v>0</v>
      </c>
      <c r="BI562" s="21">
        <f t="shared" si="409"/>
        <v>0</v>
      </c>
      <c r="BJ562" s="21">
        <f t="shared" si="410"/>
        <v>0</v>
      </c>
    </row>
    <row r="563" spans="1:62">
      <c r="A563" s="5" t="s">
        <v>396</v>
      </c>
      <c r="B563" s="5"/>
      <c r="C563" s="5" t="s">
        <v>999</v>
      </c>
      <c r="D563" s="5" t="s">
        <v>1696</v>
      </c>
      <c r="E563" s="5" t="s">
        <v>1943</v>
      </c>
      <c r="F563" s="21">
        <v>1</v>
      </c>
      <c r="G563" s="753">
        <v>0</v>
      </c>
      <c r="H563" s="21">
        <f t="shared" si="386"/>
        <v>0</v>
      </c>
      <c r="I563" s="21">
        <f t="shared" si="387"/>
        <v>0</v>
      </c>
      <c r="J563" s="21">
        <f t="shared" si="388"/>
        <v>0</v>
      </c>
      <c r="K563" s="21">
        <v>0</v>
      </c>
      <c r="L563" s="21">
        <f t="shared" si="389"/>
        <v>0</v>
      </c>
      <c r="M563" s="34" t="s">
        <v>1960</v>
      </c>
      <c r="O563">
        <f t="shared" si="390"/>
        <v>0</v>
      </c>
      <c r="Z563" s="39">
        <f t="shared" si="391"/>
        <v>0</v>
      </c>
      <c r="AB563" s="39">
        <f t="shared" si="392"/>
        <v>0</v>
      </c>
      <c r="AC563" s="39">
        <f t="shared" si="393"/>
        <v>0</v>
      </c>
      <c r="AD563" s="39">
        <f t="shared" si="394"/>
        <v>0</v>
      </c>
      <c r="AE563" s="39">
        <f t="shared" si="395"/>
        <v>0</v>
      </c>
      <c r="AF563" s="39">
        <f t="shared" si="396"/>
        <v>0</v>
      </c>
      <c r="AG563" s="39">
        <f t="shared" si="397"/>
        <v>0</v>
      </c>
      <c r="AH563" s="39">
        <f t="shared" si="398"/>
        <v>0</v>
      </c>
      <c r="AI563" s="30"/>
      <c r="AJ563" s="21">
        <f t="shared" si="399"/>
        <v>0</v>
      </c>
      <c r="AK563" s="21">
        <f t="shared" si="400"/>
        <v>0</v>
      </c>
      <c r="AL563" s="21">
        <f t="shared" si="401"/>
        <v>0</v>
      </c>
      <c r="AN563" s="39">
        <v>21</v>
      </c>
      <c r="AO563" s="39">
        <f>G563*0.00524347826086956</f>
        <v>0</v>
      </c>
      <c r="AP563" s="39">
        <f>G563*(1-0.00524347826086956)</f>
        <v>0</v>
      </c>
      <c r="AQ563" s="34" t="s">
        <v>11</v>
      </c>
      <c r="AV563" s="39">
        <f t="shared" si="402"/>
        <v>0</v>
      </c>
      <c r="AW563" s="39">
        <f t="shared" si="403"/>
        <v>0</v>
      </c>
      <c r="AX563" s="39">
        <f t="shared" si="404"/>
        <v>0</v>
      </c>
      <c r="AY563" s="40" t="s">
        <v>2016</v>
      </c>
      <c r="AZ563" s="40" t="s">
        <v>2041</v>
      </c>
      <c r="BA563" s="30" t="s">
        <v>2045</v>
      </c>
      <c r="BC563" s="39">
        <f t="shared" si="405"/>
        <v>0</v>
      </c>
      <c r="BD563" s="39">
        <f t="shared" si="406"/>
        <v>0</v>
      </c>
      <c r="BE563" s="39">
        <v>0</v>
      </c>
      <c r="BF563" s="39">
        <f t="shared" si="407"/>
        <v>0</v>
      </c>
      <c r="BH563" s="21">
        <f t="shared" si="408"/>
        <v>0</v>
      </c>
      <c r="BI563" s="21">
        <f t="shared" si="409"/>
        <v>0</v>
      </c>
      <c r="BJ563" s="21">
        <f t="shared" si="410"/>
        <v>0</v>
      </c>
    </row>
    <row r="564" spans="1:62">
      <c r="A564" s="5" t="s">
        <v>397</v>
      </c>
      <c r="B564" s="5"/>
      <c r="C564" s="5" t="s">
        <v>1000</v>
      </c>
      <c r="D564" s="5" t="s">
        <v>1697</v>
      </c>
      <c r="E564" s="5" t="s">
        <v>1943</v>
      </c>
      <c r="F564" s="21">
        <v>7</v>
      </c>
      <c r="G564" s="753">
        <v>0</v>
      </c>
      <c r="H564" s="21">
        <f t="shared" si="386"/>
        <v>0</v>
      </c>
      <c r="I564" s="21">
        <f t="shared" si="387"/>
        <v>0</v>
      </c>
      <c r="J564" s="21">
        <f t="shared" si="388"/>
        <v>0</v>
      </c>
      <c r="K564" s="21">
        <v>0</v>
      </c>
      <c r="L564" s="21">
        <f t="shared" si="389"/>
        <v>0</v>
      </c>
      <c r="M564" s="34" t="s">
        <v>1960</v>
      </c>
      <c r="O564">
        <f t="shared" si="390"/>
        <v>0</v>
      </c>
      <c r="Z564" s="39">
        <f t="shared" si="391"/>
        <v>0</v>
      </c>
      <c r="AB564" s="39">
        <f t="shared" si="392"/>
        <v>0</v>
      </c>
      <c r="AC564" s="39">
        <f t="shared" si="393"/>
        <v>0</v>
      </c>
      <c r="AD564" s="39">
        <f t="shared" si="394"/>
        <v>0</v>
      </c>
      <c r="AE564" s="39">
        <f t="shared" si="395"/>
        <v>0</v>
      </c>
      <c r="AF564" s="39">
        <f t="shared" si="396"/>
        <v>0</v>
      </c>
      <c r="AG564" s="39">
        <f t="shared" si="397"/>
        <v>0</v>
      </c>
      <c r="AH564" s="39">
        <f t="shared" si="398"/>
        <v>0</v>
      </c>
      <c r="AI564" s="30"/>
      <c r="AJ564" s="21">
        <f t="shared" si="399"/>
        <v>0</v>
      </c>
      <c r="AK564" s="21">
        <f t="shared" si="400"/>
        <v>0</v>
      </c>
      <c r="AL564" s="21">
        <f t="shared" si="401"/>
        <v>0</v>
      </c>
      <c r="AN564" s="39">
        <v>21</v>
      </c>
      <c r="AO564" s="39">
        <f>G564*0.00524333333333333</f>
        <v>0</v>
      </c>
      <c r="AP564" s="39">
        <f>G564*(1-0.00524333333333333)</f>
        <v>0</v>
      </c>
      <c r="AQ564" s="34" t="s">
        <v>11</v>
      </c>
      <c r="AV564" s="39">
        <f t="shared" si="402"/>
        <v>0</v>
      </c>
      <c r="AW564" s="39">
        <f t="shared" si="403"/>
        <v>0</v>
      </c>
      <c r="AX564" s="39">
        <f t="shared" si="404"/>
        <v>0</v>
      </c>
      <c r="AY564" s="40" t="s">
        <v>2016</v>
      </c>
      <c r="AZ564" s="40" t="s">
        <v>2041</v>
      </c>
      <c r="BA564" s="30" t="s">
        <v>2045</v>
      </c>
      <c r="BC564" s="39">
        <f t="shared" si="405"/>
        <v>0</v>
      </c>
      <c r="BD564" s="39">
        <f t="shared" si="406"/>
        <v>0</v>
      </c>
      <c r="BE564" s="39">
        <v>0</v>
      </c>
      <c r="BF564" s="39">
        <f t="shared" si="407"/>
        <v>0</v>
      </c>
      <c r="BH564" s="21">
        <f t="shared" si="408"/>
        <v>0</v>
      </c>
      <c r="BI564" s="21">
        <f t="shared" si="409"/>
        <v>0</v>
      </c>
      <c r="BJ564" s="21">
        <f t="shared" si="410"/>
        <v>0</v>
      </c>
    </row>
    <row r="565" spans="1:62">
      <c r="A565" s="5" t="s">
        <v>398</v>
      </c>
      <c r="B565" s="5"/>
      <c r="C565" s="5" t="s">
        <v>1001</v>
      </c>
      <c r="D565" s="5" t="s">
        <v>1698</v>
      </c>
      <c r="E565" s="5" t="s">
        <v>1943</v>
      </c>
      <c r="F565" s="21">
        <v>1</v>
      </c>
      <c r="G565" s="753">
        <v>0</v>
      </c>
      <c r="H565" s="21">
        <f t="shared" si="386"/>
        <v>0</v>
      </c>
      <c r="I565" s="21">
        <f t="shared" si="387"/>
        <v>0</v>
      </c>
      <c r="J565" s="21">
        <f t="shared" si="388"/>
        <v>0</v>
      </c>
      <c r="K565" s="21">
        <v>0</v>
      </c>
      <c r="L565" s="21">
        <f t="shared" si="389"/>
        <v>0</v>
      </c>
      <c r="M565" s="34" t="s">
        <v>1960</v>
      </c>
      <c r="O565">
        <f t="shared" si="390"/>
        <v>0</v>
      </c>
      <c r="Z565" s="39">
        <f t="shared" si="391"/>
        <v>0</v>
      </c>
      <c r="AB565" s="39">
        <f t="shared" si="392"/>
        <v>0</v>
      </c>
      <c r="AC565" s="39">
        <f t="shared" si="393"/>
        <v>0</v>
      </c>
      <c r="AD565" s="39">
        <f t="shared" si="394"/>
        <v>0</v>
      </c>
      <c r="AE565" s="39">
        <f t="shared" si="395"/>
        <v>0</v>
      </c>
      <c r="AF565" s="39">
        <f t="shared" si="396"/>
        <v>0</v>
      </c>
      <c r="AG565" s="39">
        <f t="shared" si="397"/>
        <v>0</v>
      </c>
      <c r="AH565" s="39">
        <f t="shared" si="398"/>
        <v>0</v>
      </c>
      <c r="AI565" s="30"/>
      <c r="AJ565" s="21">
        <f t="shared" si="399"/>
        <v>0</v>
      </c>
      <c r="AK565" s="21">
        <f t="shared" si="400"/>
        <v>0</v>
      </c>
      <c r="AL565" s="21">
        <f t="shared" si="401"/>
        <v>0</v>
      </c>
      <c r="AN565" s="39">
        <v>21</v>
      </c>
      <c r="AO565" s="39">
        <f>G565*0.00524367208160181</f>
        <v>0</v>
      </c>
      <c r="AP565" s="39">
        <f>G565*(1-0.00524367208160181)</f>
        <v>0</v>
      </c>
      <c r="AQ565" s="34" t="s">
        <v>11</v>
      </c>
      <c r="AV565" s="39">
        <f t="shared" si="402"/>
        <v>0</v>
      </c>
      <c r="AW565" s="39">
        <f t="shared" si="403"/>
        <v>0</v>
      </c>
      <c r="AX565" s="39">
        <f t="shared" si="404"/>
        <v>0</v>
      </c>
      <c r="AY565" s="40" t="s">
        <v>2016</v>
      </c>
      <c r="AZ565" s="40" t="s">
        <v>2041</v>
      </c>
      <c r="BA565" s="30" t="s">
        <v>2045</v>
      </c>
      <c r="BC565" s="39">
        <f t="shared" si="405"/>
        <v>0</v>
      </c>
      <c r="BD565" s="39">
        <f t="shared" si="406"/>
        <v>0</v>
      </c>
      <c r="BE565" s="39">
        <v>0</v>
      </c>
      <c r="BF565" s="39">
        <f t="shared" si="407"/>
        <v>0</v>
      </c>
      <c r="BH565" s="21">
        <f t="shared" si="408"/>
        <v>0</v>
      </c>
      <c r="BI565" s="21">
        <f t="shared" si="409"/>
        <v>0</v>
      </c>
      <c r="BJ565" s="21">
        <f t="shared" si="410"/>
        <v>0</v>
      </c>
    </row>
    <row r="566" spans="1:62">
      <c r="A566" s="5" t="s">
        <v>399</v>
      </c>
      <c r="B566" s="5"/>
      <c r="C566" s="5" t="s">
        <v>1002</v>
      </c>
      <c r="D566" s="5" t="s">
        <v>1699</v>
      </c>
      <c r="E566" s="5" t="s">
        <v>1943</v>
      </c>
      <c r="F566" s="21">
        <v>2</v>
      </c>
      <c r="G566" s="753">
        <v>0</v>
      </c>
      <c r="H566" s="21">
        <f t="shared" si="386"/>
        <v>0</v>
      </c>
      <c r="I566" s="21">
        <f t="shared" si="387"/>
        <v>0</v>
      </c>
      <c r="J566" s="21">
        <f t="shared" si="388"/>
        <v>0</v>
      </c>
      <c r="K566" s="21">
        <v>0</v>
      </c>
      <c r="L566" s="21">
        <f t="shared" si="389"/>
        <v>0</v>
      </c>
      <c r="M566" s="34" t="s">
        <v>1960</v>
      </c>
      <c r="O566">
        <f t="shared" si="390"/>
        <v>0</v>
      </c>
      <c r="Z566" s="39">
        <f t="shared" si="391"/>
        <v>0</v>
      </c>
      <c r="AB566" s="39">
        <f t="shared" si="392"/>
        <v>0</v>
      </c>
      <c r="AC566" s="39">
        <f t="shared" si="393"/>
        <v>0</v>
      </c>
      <c r="AD566" s="39">
        <f t="shared" si="394"/>
        <v>0</v>
      </c>
      <c r="AE566" s="39">
        <f t="shared" si="395"/>
        <v>0</v>
      </c>
      <c r="AF566" s="39">
        <f t="shared" si="396"/>
        <v>0</v>
      </c>
      <c r="AG566" s="39">
        <f t="shared" si="397"/>
        <v>0</v>
      </c>
      <c r="AH566" s="39">
        <f t="shared" si="398"/>
        <v>0</v>
      </c>
      <c r="AI566" s="30"/>
      <c r="AJ566" s="21">
        <f t="shared" si="399"/>
        <v>0</v>
      </c>
      <c r="AK566" s="21">
        <f t="shared" si="400"/>
        <v>0</v>
      </c>
      <c r="AL566" s="21">
        <f t="shared" si="401"/>
        <v>0</v>
      </c>
      <c r="AN566" s="39">
        <v>21</v>
      </c>
      <c r="AO566" s="39">
        <f>G566*0.00524367208160181</f>
        <v>0</v>
      </c>
      <c r="AP566" s="39">
        <f>G566*(1-0.00524367208160181)</f>
        <v>0</v>
      </c>
      <c r="AQ566" s="34" t="s">
        <v>11</v>
      </c>
      <c r="AV566" s="39">
        <f t="shared" si="402"/>
        <v>0</v>
      </c>
      <c r="AW566" s="39">
        <f t="shared" si="403"/>
        <v>0</v>
      </c>
      <c r="AX566" s="39">
        <f t="shared" si="404"/>
        <v>0</v>
      </c>
      <c r="AY566" s="40" t="s">
        <v>2016</v>
      </c>
      <c r="AZ566" s="40" t="s">
        <v>2041</v>
      </c>
      <c r="BA566" s="30" t="s">
        <v>2045</v>
      </c>
      <c r="BC566" s="39">
        <f t="shared" si="405"/>
        <v>0</v>
      </c>
      <c r="BD566" s="39">
        <f t="shared" si="406"/>
        <v>0</v>
      </c>
      <c r="BE566" s="39">
        <v>0</v>
      </c>
      <c r="BF566" s="39">
        <f t="shared" si="407"/>
        <v>0</v>
      </c>
      <c r="BH566" s="21">
        <f t="shared" si="408"/>
        <v>0</v>
      </c>
      <c r="BI566" s="21">
        <f t="shared" si="409"/>
        <v>0</v>
      </c>
      <c r="BJ566" s="21">
        <f t="shared" si="410"/>
        <v>0</v>
      </c>
    </row>
    <row r="567" spans="1:62">
      <c r="A567" s="5" t="s">
        <v>400</v>
      </c>
      <c r="B567" s="5"/>
      <c r="C567" s="5" t="s">
        <v>1003</v>
      </c>
      <c r="D567" s="5" t="s">
        <v>1700</v>
      </c>
      <c r="E567" s="5" t="s">
        <v>1943</v>
      </c>
      <c r="F567" s="21">
        <v>1</v>
      </c>
      <c r="G567" s="753">
        <v>0</v>
      </c>
      <c r="H567" s="21">
        <f t="shared" si="386"/>
        <v>0</v>
      </c>
      <c r="I567" s="21">
        <f t="shared" si="387"/>
        <v>0</v>
      </c>
      <c r="J567" s="21">
        <f t="shared" si="388"/>
        <v>0</v>
      </c>
      <c r="K567" s="21">
        <v>0</v>
      </c>
      <c r="L567" s="21">
        <f t="shared" si="389"/>
        <v>0</v>
      </c>
      <c r="M567" s="34" t="s">
        <v>1960</v>
      </c>
      <c r="O567">
        <f t="shared" si="390"/>
        <v>0</v>
      </c>
      <c r="Z567" s="39">
        <f t="shared" si="391"/>
        <v>0</v>
      </c>
      <c r="AB567" s="39">
        <f t="shared" si="392"/>
        <v>0</v>
      </c>
      <c r="AC567" s="39">
        <f t="shared" si="393"/>
        <v>0</v>
      </c>
      <c r="AD567" s="39">
        <f t="shared" si="394"/>
        <v>0</v>
      </c>
      <c r="AE567" s="39">
        <f t="shared" si="395"/>
        <v>0</v>
      </c>
      <c r="AF567" s="39">
        <f t="shared" si="396"/>
        <v>0</v>
      </c>
      <c r="AG567" s="39">
        <f t="shared" si="397"/>
        <v>0</v>
      </c>
      <c r="AH567" s="39">
        <f t="shared" si="398"/>
        <v>0</v>
      </c>
      <c r="AI567" s="30"/>
      <c r="AJ567" s="21">
        <f t="shared" si="399"/>
        <v>0</v>
      </c>
      <c r="AK567" s="21">
        <f t="shared" si="400"/>
        <v>0</v>
      </c>
      <c r="AL567" s="21">
        <f t="shared" si="401"/>
        <v>0</v>
      </c>
      <c r="AN567" s="39">
        <v>21</v>
      </c>
      <c r="AO567" s="39">
        <f>G567*0.00524367208160181</f>
        <v>0</v>
      </c>
      <c r="AP567" s="39">
        <f>G567*(1-0.00524367208160181)</f>
        <v>0</v>
      </c>
      <c r="AQ567" s="34" t="s">
        <v>11</v>
      </c>
      <c r="AV567" s="39">
        <f t="shared" si="402"/>
        <v>0</v>
      </c>
      <c r="AW567" s="39">
        <f t="shared" si="403"/>
        <v>0</v>
      </c>
      <c r="AX567" s="39">
        <f t="shared" si="404"/>
        <v>0</v>
      </c>
      <c r="AY567" s="40" t="s">
        <v>2016</v>
      </c>
      <c r="AZ567" s="40" t="s">
        <v>2041</v>
      </c>
      <c r="BA567" s="30" t="s">
        <v>2045</v>
      </c>
      <c r="BC567" s="39">
        <f t="shared" si="405"/>
        <v>0</v>
      </c>
      <c r="BD567" s="39">
        <f t="shared" si="406"/>
        <v>0</v>
      </c>
      <c r="BE567" s="39">
        <v>0</v>
      </c>
      <c r="BF567" s="39">
        <f t="shared" si="407"/>
        <v>0</v>
      </c>
      <c r="BH567" s="21">
        <f t="shared" si="408"/>
        <v>0</v>
      </c>
      <c r="BI567" s="21">
        <f t="shared" si="409"/>
        <v>0</v>
      </c>
      <c r="BJ567" s="21">
        <f t="shared" si="410"/>
        <v>0</v>
      </c>
    </row>
    <row r="568" spans="1:62">
      <c r="A568" s="5" t="s">
        <v>401</v>
      </c>
      <c r="B568" s="5"/>
      <c r="C568" s="5" t="s">
        <v>1004</v>
      </c>
      <c r="D568" s="5" t="s">
        <v>1701</v>
      </c>
      <c r="E568" s="5" t="s">
        <v>1943</v>
      </c>
      <c r="F568" s="21">
        <v>1</v>
      </c>
      <c r="G568" s="753">
        <v>0</v>
      </c>
      <c r="H568" s="21">
        <f t="shared" si="386"/>
        <v>0</v>
      </c>
      <c r="I568" s="21">
        <f t="shared" si="387"/>
        <v>0</v>
      </c>
      <c r="J568" s="21">
        <f t="shared" si="388"/>
        <v>0</v>
      </c>
      <c r="K568" s="21">
        <v>0</v>
      </c>
      <c r="L568" s="21">
        <f t="shared" si="389"/>
        <v>0</v>
      </c>
      <c r="M568" s="34" t="s">
        <v>1960</v>
      </c>
      <c r="O568">
        <f t="shared" si="390"/>
        <v>0</v>
      </c>
      <c r="Z568" s="39">
        <f t="shared" si="391"/>
        <v>0</v>
      </c>
      <c r="AB568" s="39">
        <f t="shared" si="392"/>
        <v>0</v>
      </c>
      <c r="AC568" s="39">
        <f t="shared" si="393"/>
        <v>0</v>
      </c>
      <c r="AD568" s="39">
        <f t="shared" si="394"/>
        <v>0</v>
      </c>
      <c r="AE568" s="39">
        <f t="shared" si="395"/>
        <v>0</v>
      </c>
      <c r="AF568" s="39">
        <f t="shared" si="396"/>
        <v>0</v>
      </c>
      <c r="AG568" s="39">
        <f t="shared" si="397"/>
        <v>0</v>
      </c>
      <c r="AH568" s="39">
        <f t="shared" si="398"/>
        <v>0</v>
      </c>
      <c r="AI568" s="30"/>
      <c r="AJ568" s="21">
        <f t="shared" si="399"/>
        <v>0</v>
      </c>
      <c r="AK568" s="21">
        <f t="shared" si="400"/>
        <v>0</v>
      </c>
      <c r="AL568" s="21">
        <f t="shared" si="401"/>
        <v>0</v>
      </c>
      <c r="AN568" s="39">
        <v>21</v>
      </c>
      <c r="AO568" s="39">
        <f>G568*0.00524333333333333</f>
        <v>0</v>
      </c>
      <c r="AP568" s="39">
        <f>G568*(1-0.00524333333333333)</f>
        <v>0</v>
      </c>
      <c r="AQ568" s="34" t="s">
        <v>11</v>
      </c>
      <c r="AV568" s="39">
        <f t="shared" si="402"/>
        <v>0</v>
      </c>
      <c r="AW568" s="39">
        <f t="shared" si="403"/>
        <v>0</v>
      </c>
      <c r="AX568" s="39">
        <f t="shared" si="404"/>
        <v>0</v>
      </c>
      <c r="AY568" s="40" t="s">
        <v>2016</v>
      </c>
      <c r="AZ568" s="40" t="s">
        <v>2041</v>
      </c>
      <c r="BA568" s="30" t="s">
        <v>2045</v>
      </c>
      <c r="BC568" s="39">
        <f t="shared" si="405"/>
        <v>0</v>
      </c>
      <c r="BD568" s="39">
        <f t="shared" si="406"/>
        <v>0</v>
      </c>
      <c r="BE568" s="39">
        <v>0</v>
      </c>
      <c r="BF568" s="39">
        <f t="shared" si="407"/>
        <v>0</v>
      </c>
      <c r="BH568" s="21">
        <f t="shared" si="408"/>
        <v>0</v>
      </c>
      <c r="BI568" s="21">
        <f t="shared" si="409"/>
        <v>0</v>
      </c>
      <c r="BJ568" s="21">
        <f t="shared" si="410"/>
        <v>0</v>
      </c>
    </row>
    <row r="569" spans="1:62">
      <c r="A569" s="5" t="s">
        <v>402</v>
      </c>
      <c r="B569" s="5"/>
      <c r="C569" s="5" t="s">
        <v>1005</v>
      </c>
      <c r="D569" s="5" t="s">
        <v>1702</v>
      </c>
      <c r="E569" s="5" t="s">
        <v>1943</v>
      </c>
      <c r="F569" s="21">
        <v>1</v>
      </c>
      <c r="G569" s="753">
        <v>0</v>
      </c>
      <c r="H569" s="21">
        <f t="shared" si="386"/>
        <v>0</v>
      </c>
      <c r="I569" s="21">
        <f t="shared" si="387"/>
        <v>0</v>
      </c>
      <c r="J569" s="21">
        <f t="shared" si="388"/>
        <v>0</v>
      </c>
      <c r="K569" s="21">
        <v>0</v>
      </c>
      <c r="L569" s="21">
        <f t="shared" si="389"/>
        <v>0</v>
      </c>
      <c r="M569" s="34" t="s">
        <v>1960</v>
      </c>
      <c r="O569">
        <f t="shared" si="390"/>
        <v>0</v>
      </c>
      <c r="Z569" s="39">
        <f t="shared" si="391"/>
        <v>0</v>
      </c>
      <c r="AB569" s="39">
        <f t="shared" si="392"/>
        <v>0</v>
      </c>
      <c r="AC569" s="39">
        <f t="shared" si="393"/>
        <v>0</v>
      </c>
      <c r="AD569" s="39">
        <f t="shared" si="394"/>
        <v>0</v>
      </c>
      <c r="AE569" s="39">
        <f t="shared" si="395"/>
        <v>0</v>
      </c>
      <c r="AF569" s="39">
        <f t="shared" si="396"/>
        <v>0</v>
      </c>
      <c r="AG569" s="39">
        <f t="shared" si="397"/>
        <v>0</v>
      </c>
      <c r="AH569" s="39">
        <f t="shared" si="398"/>
        <v>0</v>
      </c>
      <c r="AI569" s="30"/>
      <c r="AJ569" s="21">
        <f t="shared" si="399"/>
        <v>0</v>
      </c>
      <c r="AK569" s="21">
        <f t="shared" si="400"/>
        <v>0</v>
      </c>
      <c r="AL569" s="21">
        <f t="shared" si="401"/>
        <v>0</v>
      </c>
      <c r="AN569" s="39">
        <v>21</v>
      </c>
      <c r="AO569" s="39">
        <f>G569*0.00524333333333333</f>
        <v>0</v>
      </c>
      <c r="AP569" s="39">
        <f>G569*(1-0.00524333333333333)</f>
        <v>0</v>
      </c>
      <c r="AQ569" s="34" t="s">
        <v>11</v>
      </c>
      <c r="AV569" s="39">
        <f t="shared" si="402"/>
        <v>0</v>
      </c>
      <c r="AW569" s="39">
        <f t="shared" si="403"/>
        <v>0</v>
      </c>
      <c r="AX569" s="39">
        <f t="shared" si="404"/>
        <v>0</v>
      </c>
      <c r="AY569" s="40" t="s">
        <v>2016</v>
      </c>
      <c r="AZ569" s="40" t="s">
        <v>2041</v>
      </c>
      <c r="BA569" s="30" t="s">
        <v>2045</v>
      </c>
      <c r="BC569" s="39">
        <f t="shared" si="405"/>
        <v>0</v>
      </c>
      <c r="BD569" s="39">
        <f t="shared" si="406"/>
        <v>0</v>
      </c>
      <c r="BE569" s="39">
        <v>0</v>
      </c>
      <c r="BF569" s="39">
        <f t="shared" si="407"/>
        <v>0</v>
      </c>
      <c r="BH569" s="21">
        <f t="shared" si="408"/>
        <v>0</v>
      </c>
      <c r="BI569" s="21">
        <f t="shared" si="409"/>
        <v>0</v>
      </c>
      <c r="BJ569" s="21">
        <f t="shared" si="410"/>
        <v>0</v>
      </c>
    </row>
    <row r="570" spans="1:62">
      <c r="A570" s="5" t="s">
        <v>403</v>
      </c>
      <c r="B570" s="5"/>
      <c r="C570" s="5" t="s">
        <v>1006</v>
      </c>
      <c r="D570" s="5" t="s">
        <v>1703</v>
      </c>
      <c r="E570" s="5" t="s">
        <v>1939</v>
      </c>
      <c r="F570" s="21">
        <v>8.1950000000000003</v>
      </c>
      <c r="G570" s="753">
        <v>0</v>
      </c>
      <c r="H570" s="21">
        <f t="shared" si="386"/>
        <v>0</v>
      </c>
      <c r="I570" s="21">
        <f t="shared" si="387"/>
        <v>0</v>
      </c>
      <c r="J570" s="21">
        <f t="shared" si="388"/>
        <v>0</v>
      </c>
      <c r="K570" s="21">
        <v>0</v>
      </c>
      <c r="L570" s="21">
        <f t="shared" si="389"/>
        <v>0</v>
      </c>
      <c r="M570" s="34" t="s">
        <v>1960</v>
      </c>
      <c r="O570">
        <f t="shared" si="390"/>
        <v>0</v>
      </c>
      <c r="Z570" s="39">
        <f t="shared" si="391"/>
        <v>0</v>
      </c>
      <c r="AB570" s="39">
        <f t="shared" si="392"/>
        <v>0</v>
      </c>
      <c r="AC570" s="39">
        <f t="shared" si="393"/>
        <v>0</v>
      </c>
      <c r="AD570" s="39">
        <f t="shared" si="394"/>
        <v>0</v>
      </c>
      <c r="AE570" s="39">
        <f t="shared" si="395"/>
        <v>0</v>
      </c>
      <c r="AF570" s="39">
        <f t="shared" si="396"/>
        <v>0</v>
      </c>
      <c r="AG570" s="39">
        <f t="shared" si="397"/>
        <v>0</v>
      </c>
      <c r="AH570" s="39">
        <f t="shared" si="398"/>
        <v>0</v>
      </c>
      <c r="AI570" s="30"/>
      <c r="AJ570" s="21">
        <f t="shared" si="399"/>
        <v>0</v>
      </c>
      <c r="AK570" s="21">
        <f t="shared" si="400"/>
        <v>0</v>
      </c>
      <c r="AL570" s="21">
        <f t="shared" si="401"/>
        <v>0</v>
      </c>
      <c r="AN570" s="39">
        <v>21</v>
      </c>
      <c r="AO570" s="39">
        <f>G570*0.00524545454545455</f>
        <v>0</v>
      </c>
      <c r="AP570" s="39">
        <f>G570*(1-0.00524545454545455)</f>
        <v>0</v>
      </c>
      <c r="AQ570" s="34" t="s">
        <v>11</v>
      </c>
      <c r="AV570" s="39">
        <f t="shared" si="402"/>
        <v>0</v>
      </c>
      <c r="AW570" s="39">
        <f t="shared" si="403"/>
        <v>0</v>
      </c>
      <c r="AX570" s="39">
        <f t="shared" si="404"/>
        <v>0</v>
      </c>
      <c r="AY570" s="40" t="s">
        <v>2016</v>
      </c>
      <c r="AZ570" s="40" t="s">
        <v>2041</v>
      </c>
      <c r="BA570" s="30" t="s">
        <v>2045</v>
      </c>
      <c r="BC570" s="39">
        <f t="shared" si="405"/>
        <v>0</v>
      </c>
      <c r="BD570" s="39">
        <f t="shared" si="406"/>
        <v>0</v>
      </c>
      <c r="BE570" s="39">
        <v>0</v>
      </c>
      <c r="BF570" s="39">
        <f t="shared" si="407"/>
        <v>0</v>
      </c>
      <c r="BH570" s="21">
        <f t="shared" si="408"/>
        <v>0</v>
      </c>
      <c r="BI570" s="21">
        <f t="shared" si="409"/>
        <v>0</v>
      </c>
      <c r="BJ570" s="21">
        <f t="shared" si="410"/>
        <v>0</v>
      </c>
    </row>
    <row r="571" spans="1:62">
      <c r="A571" s="5" t="s">
        <v>404</v>
      </c>
      <c r="B571" s="5"/>
      <c r="C571" s="5" t="s">
        <v>1007</v>
      </c>
      <c r="D571" s="5" t="s">
        <v>1704</v>
      </c>
      <c r="E571" s="5" t="s">
        <v>1945</v>
      </c>
      <c r="F571" s="753">
        <v>0</v>
      </c>
      <c r="G571" s="753">
        <v>0</v>
      </c>
      <c r="H571" s="21">
        <f t="shared" si="386"/>
        <v>0</v>
      </c>
      <c r="I571" s="21">
        <f t="shared" si="387"/>
        <v>0</v>
      </c>
      <c r="J571" s="21">
        <f t="shared" si="388"/>
        <v>0</v>
      </c>
      <c r="K571" s="21">
        <v>0</v>
      </c>
      <c r="L571" s="21">
        <f t="shared" si="389"/>
        <v>0</v>
      </c>
      <c r="M571" s="34" t="s">
        <v>1961</v>
      </c>
      <c r="O571">
        <f t="shared" si="390"/>
        <v>0</v>
      </c>
      <c r="Z571" s="39">
        <f t="shared" si="391"/>
        <v>0</v>
      </c>
      <c r="AB571" s="39">
        <f t="shared" si="392"/>
        <v>0</v>
      </c>
      <c r="AC571" s="39">
        <f t="shared" si="393"/>
        <v>0</v>
      </c>
      <c r="AD571" s="39">
        <f t="shared" si="394"/>
        <v>0</v>
      </c>
      <c r="AE571" s="39">
        <f t="shared" si="395"/>
        <v>0</v>
      </c>
      <c r="AF571" s="39">
        <f t="shared" si="396"/>
        <v>0</v>
      </c>
      <c r="AG571" s="39">
        <f t="shared" si="397"/>
        <v>0</v>
      </c>
      <c r="AH571" s="39">
        <f t="shared" si="398"/>
        <v>0</v>
      </c>
      <c r="AI571" s="30"/>
      <c r="AJ571" s="21">
        <f t="shared" si="399"/>
        <v>0</v>
      </c>
      <c r="AK571" s="21">
        <f t="shared" si="400"/>
        <v>0</v>
      </c>
      <c r="AL571" s="21">
        <f t="shared" si="401"/>
        <v>0</v>
      </c>
      <c r="AN571" s="39">
        <v>21</v>
      </c>
      <c r="AO571" s="39">
        <f>G571*0</f>
        <v>0</v>
      </c>
      <c r="AP571" s="39">
        <f>G571*(1-0)</f>
        <v>0</v>
      </c>
      <c r="AQ571" s="34" t="s">
        <v>9</v>
      </c>
      <c r="AV571" s="39">
        <f t="shared" si="402"/>
        <v>0</v>
      </c>
      <c r="AW571" s="39">
        <f t="shared" si="403"/>
        <v>0</v>
      </c>
      <c r="AX571" s="39">
        <f t="shared" si="404"/>
        <v>0</v>
      </c>
      <c r="AY571" s="40" t="s">
        <v>2016</v>
      </c>
      <c r="AZ571" s="40" t="s">
        <v>2041</v>
      </c>
      <c r="BA571" s="30" t="s">
        <v>2045</v>
      </c>
      <c r="BC571" s="39">
        <f t="shared" si="405"/>
        <v>0</v>
      </c>
      <c r="BD571" s="39">
        <f t="shared" si="406"/>
        <v>0</v>
      </c>
      <c r="BE571" s="39">
        <v>0</v>
      </c>
      <c r="BF571" s="39">
        <f t="shared" si="407"/>
        <v>0</v>
      </c>
      <c r="BH571" s="21">
        <f t="shared" si="408"/>
        <v>0</v>
      </c>
      <c r="BI571" s="21">
        <f t="shared" si="409"/>
        <v>0</v>
      </c>
      <c r="BJ571" s="21">
        <f t="shared" si="410"/>
        <v>0</v>
      </c>
    </row>
    <row r="572" spans="1:62">
      <c r="A572" s="4"/>
      <c r="B572" s="14"/>
      <c r="C572" s="14" t="s">
        <v>1008</v>
      </c>
      <c r="D572" s="14" t="s">
        <v>1705</v>
      </c>
      <c r="E572" s="4" t="s">
        <v>4</v>
      </c>
      <c r="F572" s="4"/>
      <c r="G572" s="4"/>
      <c r="H572" s="42">
        <f>SUM(H573:H658)</f>
        <v>0</v>
      </c>
      <c r="I572" s="42">
        <f>SUM(I573:I658)</f>
        <v>0</v>
      </c>
      <c r="J572" s="42">
        <f>SUM(J573:J658)</f>
        <v>0</v>
      </c>
      <c r="K572" s="30"/>
      <c r="L572" s="42">
        <f>SUM(L573:L658)</f>
        <v>3.8033216199999997</v>
      </c>
      <c r="M572" s="30"/>
      <c r="AI572" s="30"/>
      <c r="AS572" s="42">
        <f>SUM(AJ573:AJ658)</f>
        <v>0</v>
      </c>
      <c r="AT572" s="42">
        <f>SUM(AK573:AK658)</f>
        <v>0</v>
      </c>
      <c r="AU572" s="42">
        <f>SUM(AL573:AL658)</f>
        <v>0</v>
      </c>
    </row>
    <row r="573" spans="1:62">
      <c r="A573" s="5" t="s">
        <v>405</v>
      </c>
      <c r="B573" s="5"/>
      <c r="C573" s="5" t="s">
        <v>1009</v>
      </c>
      <c r="D573" s="5" t="s">
        <v>1706</v>
      </c>
      <c r="E573" s="5" t="s">
        <v>1940</v>
      </c>
      <c r="F573" s="21">
        <v>276.73</v>
      </c>
      <c r="G573" s="753">
        <v>0</v>
      </c>
      <c r="H573" s="21">
        <f>F573*AO573</f>
        <v>0</v>
      </c>
      <c r="I573" s="21">
        <f>F573*AP573</f>
        <v>0</v>
      </c>
      <c r="J573" s="21">
        <f>F573*G573</f>
        <v>0</v>
      </c>
      <c r="K573" s="21">
        <v>4.7299999999999998E-3</v>
      </c>
      <c r="L573" s="21">
        <f>F573*K573</f>
        <v>1.3089329000000001</v>
      </c>
      <c r="M573" s="34" t="s">
        <v>1960</v>
      </c>
      <c r="O573">
        <f>0.95*G573</f>
        <v>0</v>
      </c>
      <c r="Z573" s="39">
        <f>IF(AQ573="5",BJ573,0)</f>
        <v>0</v>
      </c>
      <c r="AB573" s="39">
        <f>IF(AQ573="1",BH573,0)</f>
        <v>0</v>
      </c>
      <c r="AC573" s="39">
        <f>IF(AQ573="1",BI573,0)</f>
        <v>0</v>
      </c>
      <c r="AD573" s="39">
        <f>IF(AQ573="7",BH573,0)</f>
        <v>0</v>
      </c>
      <c r="AE573" s="39">
        <f>IF(AQ573="7",BI573,0)</f>
        <v>0</v>
      </c>
      <c r="AF573" s="39">
        <f>IF(AQ573="2",BH573,0)</f>
        <v>0</v>
      </c>
      <c r="AG573" s="39">
        <f>IF(AQ573="2",BI573,0)</f>
        <v>0</v>
      </c>
      <c r="AH573" s="39">
        <f>IF(AQ573="0",BJ573,0)</f>
        <v>0</v>
      </c>
      <c r="AI573" s="30"/>
      <c r="AJ573" s="21">
        <f>IF(AN573=0,J573,0)</f>
        <v>0</v>
      </c>
      <c r="AK573" s="21">
        <f>IF(AN573=15,J573,0)</f>
        <v>0</v>
      </c>
      <c r="AL573" s="21">
        <f>IF(AN573=21,J573,0)</f>
        <v>0</v>
      </c>
      <c r="AN573" s="39">
        <v>21</v>
      </c>
      <c r="AO573" s="39">
        <f>G573*0.730489222199698</f>
        <v>0</v>
      </c>
      <c r="AP573" s="39">
        <f>G573*(1-0.730489222199698)</f>
        <v>0</v>
      </c>
      <c r="AQ573" s="34" t="s">
        <v>11</v>
      </c>
      <c r="AV573" s="39">
        <f>AW573+AX573</f>
        <v>0</v>
      </c>
      <c r="AW573" s="39">
        <f>F573*AO573</f>
        <v>0</v>
      </c>
      <c r="AX573" s="39">
        <f>F573*AP573</f>
        <v>0</v>
      </c>
      <c r="AY573" s="40" t="s">
        <v>2017</v>
      </c>
      <c r="AZ573" s="40" t="s">
        <v>2041</v>
      </c>
      <c r="BA573" s="30" t="s">
        <v>2045</v>
      </c>
      <c r="BC573" s="39">
        <f>AW573+AX573</f>
        <v>0</v>
      </c>
      <c r="BD573" s="39">
        <f>G573/(100-BE573)*100</f>
        <v>0</v>
      </c>
      <c r="BE573" s="39">
        <v>0</v>
      </c>
      <c r="BF573" s="39">
        <f>L573</f>
        <v>1.3089329000000001</v>
      </c>
      <c r="BH573" s="21">
        <f>F573*AO573</f>
        <v>0</v>
      </c>
      <c r="BI573" s="21">
        <f>F573*AP573</f>
        <v>0</v>
      </c>
      <c r="BJ573" s="21">
        <f>F573*G573</f>
        <v>0</v>
      </c>
    </row>
    <row r="574" spans="1:62">
      <c r="C574" s="16" t="s">
        <v>609</v>
      </c>
      <c r="D574" s="919" t="s">
        <v>1707</v>
      </c>
      <c r="E574" s="920"/>
      <c r="F574" s="920"/>
      <c r="G574" s="920"/>
      <c r="H574" s="920"/>
      <c r="I574" s="920"/>
      <c r="J574" s="920"/>
      <c r="K574" s="920"/>
      <c r="L574" s="920"/>
      <c r="M574" s="920"/>
    </row>
    <row r="575" spans="1:62">
      <c r="A575" s="5" t="s">
        <v>406</v>
      </c>
      <c r="B575" s="5"/>
      <c r="C575" s="5" t="s">
        <v>1010</v>
      </c>
      <c r="D575" s="5" t="s">
        <v>1708</v>
      </c>
      <c r="E575" s="5" t="s">
        <v>1940</v>
      </c>
      <c r="F575" s="21">
        <v>104.861</v>
      </c>
      <c r="G575" s="753">
        <v>0</v>
      </c>
      <c r="H575" s="21">
        <f>F575*AO575</f>
        <v>0</v>
      </c>
      <c r="I575" s="21">
        <f>F575*AP575</f>
        <v>0</v>
      </c>
      <c r="J575" s="21">
        <f>F575*G575</f>
        <v>0</v>
      </c>
      <c r="K575" s="21">
        <v>4.7299999999999998E-3</v>
      </c>
      <c r="L575" s="21">
        <f>F575*K575</f>
        <v>0.49599252999999999</v>
      </c>
      <c r="M575" s="34" t="s">
        <v>1960</v>
      </c>
      <c r="O575">
        <f>0.95*G575</f>
        <v>0</v>
      </c>
      <c r="Z575" s="39">
        <f>IF(AQ575="5",BJ575,0)</f>
        <v>0</v>
      </c>
      <c r="AB575" s="39">
        <f>IF(AQ575="1",BH575,0)</f>
        <v>0</v>
      </c>
      <c r="AC575" s="39">
        <f>IF(AQ575="1",BI575,0)</f>
        <v>0</v>
      </c>
      <c r="AD575" s="39">
        <f>IF(AQ575="7",BH575,0)</f>
        <v>0</v>
      </c>
      <c r="AE575" s="39">
        <f>IF(AQ575="7",BI575,0)</f>
        <v>0</v>
      </c>
      <c r="AF575" s="39">
        <f>IF(AQ575="2",BH575,0)</f>
        <v>0</v>
      </c>
      <c r="AG575" s="39">
        <f>IF(AQ575="2",BI575,0)</f>
        <v>0</v>
      </c>
      <c r="AH575" s="39">
        <f>IF(AQ575="0",BJ575,0)</f>
        <v>0</v>
      </c>
      <c r="AI575" s="30"/>
      <c r="AJ575" s="21">
        <f>IF(AN575=0,J575,0)</f>
        <v>0</v>
      </c>
      <c r="AK575" s="21">
        <f>IF(AN575=15,J575,0)</f>
        <v>0</v>
      </c>
      <c r="AL575" s="21">
        <f>IF(AN575=21,J575,0)</f>
        <v>0</v>
      </c>
      <c r="AN575" s="39">
        <v>21</v>
      </c>
      <c r="AO575" s="39">
        <f>G575*0.730497259641412</f>
        <v>0</v>
      </c>
      <c r="AP575" s="39">
        <f>G575*(1-0.730497259641412)</f>
        <v>0</v>
      </c>
      <c r="AQ575" s="34" t="s">
        <v>11</v>
      </c>
      <c r="AV575" s="39">
        <f>AW575+AX575</f>
        <v>0</v>
      </c>
      <c r="AW575" s="39">
        <f>F575*AO575</f>
        <v>0</v>
      </c>
      <c r="AX575" s="39">
        <f>F575*AP575</f>
        <v>0</v>
      </c>
      <c r="AY575" s="40" t="s">
        <v>2017</v>
      </c>
      <c r="AZ575" s="40" t="s">
        <v>2041</v>
      </c>
      <c r="BA575" s="30" t="s">
        <v>2045</v>
      </c>
      <c r="BC575" s="39">
        <f>AW575+AX575</f>
        <v>0</v>
      </c>
      <c r="BD575" s="39">
        <f>G575/(100-BE575)*100</f>
        <v>0</v>
      </c>
      <c r="BE575" s="39">
        <v>0</v>
      </c>
      <c r="BF575" s="39">
        <f>L575</f>
        <v>0.49599252999999999</v>
      </c>
      <c r="BH575" s="21">
        <f>F575*AO575</f>
        <v>0</v>
      </c>
      <c r="BI575" s="21">
        <f>F575*AP575</f>
        <v>0</v>
      </c>
      <c r="BJ575" s="21">
        <f>F575*G575</f>
        <v>0</v>
      </c>
    </row>
    <row r="576" spans="1:62">
      <c r="C576" s="16" t="s">
        <v>609</v>
      </c>
      <c r="D576" s="919" t="s">
        <v>1707</v>
      </c>
      <c r="E576" s="920"/>
      <c r="F576" s="920"/>
      <c r="G576" s="920"/>
      <c r="H576" s="920"/>
      <c r="I576" s="920"/>
      <c r="J576" s="920"/>
      <c r="K576" s="920"/>
      <c r="L576" s="920"/>
      <c r="M576" s="920"/>
    </row>
    <row r="577" spans="1:62">
      <c r="A577" s="5" t="s">
        <v>407</v>
      </c>
      <c r="B577" s="5"/>
      <c r="C577" s="5" t="s">
        <v>1011</v>
      </c>
      <c r="D577" s="5" t="s">
        <v>1709</v>
      </c>
      <c r="E577" s="5" t="s">
        <v>1940</v>
      </c>
      <c r="F577" s="21">
        <v>72.936999999999998</v>
      </c>
      <c r="G577" s="753">
        <v>0</v>
      </c>
      <c r="H577" s="21">
        <f>F577*AO577</f>
        <v>0</v>
      </c>
      <c r="I577" s="21">
        <f>F577*AP577</f>
        <v>0</v>
      </c>
      <c r="J577" s="21">
        <f>F577*G577</f>
        <v>0</v>
      </c>
      <c r="K577" s="21">
        <v>1.3699999999999999E-3</v>
      </c>
      <c r="L577" s="21">
        <f>F577*K577</f>
        <v>9.9923689999999996E-2</v>
      </c>
      <c r="M577" s="34" t="s">
        <v>1961</v>
      </c>
      <c r="Z577" s="39">
        <f>IF(AQ577="5",BJ577,0)</f>
        <v>0</v>
      </c>
      <c r="AB577" s="39">
        <f>IF(AQ577="1",BH577,0)</f>
        <v>0</v>
      </c>
      <c r="AC577" s="39">
        <f>IF(AQ577="1",BI577,0)</f>
        <v>0</v>
      </c>
      <c r="AD577" s="39">
        <f>IF(AQ577="7",BH577,0)</f>
        <v>0</v>
      </c>
      <c r="AE577" s="39">
        <f>IF(AQ577="7",BI577,0)</f>
        <v>0</v>
      </c>
      <c r="AF577" s="39">
        <f>IF(AQ577="2",BH577,0)</f>
        <v>0</v>
      </c>
      <c r="AG577" s="39">
        <f>IF(AQ577="2",BI577,0)</f>
        <v>0</v>
      </c>
      <c r="AH577" s="39">
        <f>IF(AQ577="0",BJ577,0)</f>
        <v>0</v>
      </c>
      <c r="AI577" s="30"/>
      <c r="AJ577" s="21">
        <f>IF(AN577=0,J577,0)</f>
        <v>0</v>
      </c>
      <c r="AK577" s="21">
        <f>IF(AN577=15,J577,0)</f>
        <v>0</v>
      </c>
      <c r="AL577" s="21">
        <f>IF(AN577=21,J577,0)</f>
        <v>0</v>
      </c>
      <c r="AN577" s="39">
        <v>21</v>
      </c>
      <c r="AO577" s="39">
        <f>G577*0.813639729660746</f>
        <v>0</v>
      </c>
      <c r="AP577" s="39">
        <f>G577*(1-0.813639729660746)</f>
        <v>0</v>
      </c>
      <c r="AQ577" s="34" t="s">
        <v>11</v>
      </c>
      <c r="AV577" s="39">
        <f>AW577+AX577</f>
        <v>0</v>
      </c>
      <c r="AW577" s="39">
        <f>F577*AO577</f>
        <v>0</v>
      </c>
      <c r="AX577" s="39">
        <f>F577*AP577</f>
        <v>0</v>
      </c>
      <c r="AY577" s="40" t="s">
        <v>2017</v>
      </c>
      <c r="AZ577" s="40" t="s">
        <v>2041</v>
      </c>
      <c r="BA577" s="30" t="s">
        <v>2045</v>
      </c>
      <c r="BC577" s="39">
        <f>AW577+AX577</f>
        <v>0</v>
      </c>
      <c r="BD577" s="39">
        <f>G577/(100-BE577)*100</f>
        <v>0</v>
      </c>
      <c r="BE577" s="39">
        <v>0</v>
      </c>
      <c r="BF577" s="39">
        <f>L577</f>
        <v>9.9923689999999996E-2</v>
      </c>
      <c r="BH577" s="21">
        <f>F577*AO577</f>
        <v>0</v>
      </c>
      <c r="BI577" s="21">
        <f>F577*AP577</f>
        <v>0</v>
      </c>
      <c r="BJ577" s="21">
        <f>F577*G577</f>
        <v>0</v>
      </c>
    </row>
    <row r="578" spans="1:62">
      <c r="C578" s="16" t="s">
        <v>609</v>
      </c>
      <c r="D578" s="919" t="s">
        <v>1707</v>
      </c>
      <c r="E578" s="920"/>
      <c r="F578" s="920"/>
      <c r="G578" s="920"/>
      <c r="H578" s="920"/>
      <c r="I578" s="920"/>
      <c r="J578" s="920"/>
      <c r="K578" s="920"/>
      <c r="L578" s="920"/>
      <c r="M578" s="920"/>
    </row>
    <row r="579" spans="1:62">
      <c r="A579" s="5" t="s">
        <v>408</v>
      </c>
      <c r="B579" s="5"/>
      <c r="C579" s="5" t="s">
        <v>1012</v>
      </c>
      <c r="D579" s="5" t="s">
        <v>1710</v>
      </c>
      <c r="E579" s="5" t="s">
        <v>1940</v>
      </c>
      <c r="F579" s="21">
        <v>391.447</v>
      </c>
      <c r="G579" s="753">
        <v>0</v>
      </c>
      <c r="H579" s="21">
        <f>F579*AO579</f>
        <v>0</v>
      </c>
      <c r="I579" s="21">
        <f>F579*AP579</f>
        <v>0</v>
      </c>
      <c r="J579" s="21">
        <f>F579*G579</f>
        <v>0</v>
      </c>
      <c r="K579" s="21">
        <v>4.1000000000000003E-3</v>
      </c>
      <c r="L579" s="21">
        <f>F579*K579</f>
        <v>1.6049327000000002</v>
      </c>
      <c r="M579" s="34" t="s">
        <v>1961</v>
      </c>
      <c r="Z579" s="39">
        <f>IF(AQ579="5",BJ579,0)</f>
        <v>0</v>
      </c>
      <c r="AB579" s="39">
        <f>IF(AQ579="1",BH579,0)</f>
        <v>0</v>
      </c>
      <c r="AC579" s="39">
        <f>IF(AQ579="1",BI579,0)</f>
        <v>0</v>
      </c>
      <c r="AD579" s="39">
        <f>IF(AQ579="7",BH579,0)</f>
        <v>0</v>
      </c>
      <c r="AE579" s="39">
        <f>IF(AQ579="7",BI579,0)</f>
        <v>0</v>
      </c>
      <c r="AF579" s="39">
        <f>IF(AQ579="2",BH579,0)</f>
        <v>0</v>
      </c>
      <c r="AG579" s="39">
        <f>IF(AQ579="2",BI579,0)</f>
        <v>0</v>
      </c>
      <c r="AH579" s="39">
        <f>IF(AQ579="0",BJ579,0)</f>
        <v>0</v>
      </c>
      <c r="AI579" s="30"/>
      <c r="AJ579" s="21">
        <f>IF(AN579=0,J579,0)</f>
        <v>0</v>
      </c>
      <c r="AK579" s="21">
        <f>IF(AN579=15,J579,0)</f>
        <v>0</v>
      </c>
      <c r="AL579" s="21">
        <f>IF(AN579=21,J579,0)</f>
        <v>0</v>
      </c>
      <c r="AN579" s="39">
        <v>21</v>
      </c>
      <c r="AO579" s="39">
        <f t="shared" ref="AO579:AO599" si="411">G579*0</f>
        <v>0</v>
      </c>
      <c r="AP579" s="39">
        <f>G579*(1-0.592466226442761)</f>
        <v>0</v>
      </c>
      <c r="AQ579" s="34" t="s">
        <v>11</v>
      </c>
      <c r="AV579" s="39">
        <f>AW579+AX579</f>
        <v>0</v>
      </c>
      <c r="AW579" s="39">
        <f>F579*AO579</f>
        <v>0</v>
      </c>
      <c r="AX579" s="39">
        <f>F579*AP579</f>
        <v>0</v>
      </c>
      <c r="AY579" s="40" t="s">
        <v>2017</v>
      </c>
      <c r="AZ579" s="40" t="s">
        <v>2041</v>
      </c>
      <c r="BA579" s="30" t="s">
        <v>2045</v>
      </c>
      <c r="BC579" s="39">
        <f>AW579+AX579</f>
        <v>0</v>
      </c>
      <c r="BD579" s="39">
        <f>G579/(100-BE579)*100</f>
        <v>0</v>
      </c>
      <c r="BE579" s="39">
        <v>0</v>
      </c>
      <c r="BF579" s="39">
        <f>L579</f>
        <v>1.6049327000000002</v>
      </c>
      <c r="BH579" s="21">
        <f>F579*AO579</f>
        <v>0</v>
      </c>
      <c r="BI579" s="21">
        <f>F579*AP579</f>
        <v>0</v>
      </c>
      <c r="BJ579" s="21">
        <f>F579*G579</f>
        <v>0</v>
      </c>
    </row>
    <row r="580" spans="1:62">
      <c r="C580" s="16" t="s">
        <v>609</v>
      </c>
      <c r="D580" s="919" t="s">
        <v>1707</v>
      </c>
      <c r="E580" s="920"/>
      <c r="F580" s="920"/>
      <c r="G580" s="920"/>
      <c r="H580" s="920"/>
      <c r="I580" s="920"/>
      <c r="J580" s="920"/>
      <c r="K580" s="920"/>
      <c r="L580" s="920"/>
      <c r="M580" s="920"/>
    </row>
    <row r="581" spans="1:62">
      <c r="A581" s="5" t="s">
        <v>409</v>
      </c>
      <c r="B581" s="5"/>
      <c r="C581" s="5" t="s">
        <v>1013</v>
      </c>
      <c r="D581" s="5" t="s">
        <v>5791</v>
      </c>
      <c r="E581" s="5" t="s">
        <v>1943</v>
      </c>
      <c r="F581" s="21">
        <v>1</v>
      </c>
      <c r="G581" s="753">
        <v>0</v>
      </c>
      <c r="H581" s="21">
        <f t="shared" ref="H581:H613" si="412">F581*AO581</f>
        <v>0</v>
      </c>
      <c r="I581" s="21">
        <f t="shared" ref="I581:I613" si="413">F581*AP581</f>
        <v>0</v>
      </c>
      <c r="J581" s="21">
        <f t="shared" ref="J581:J613" si="414">F581*G581</f>
        <v>0</v>
      </c>
      <c r="K581" s="21">
        <v>6.0000000000000002E-5</v>
      </c>
      <c r="L581" s="21">
        <f t="shared" ref="L581:L613" si="415">F581*K581</f>
        <v>6.0000000000000002E-5</v>
      </c>
      <c r="M581" s="34" t="s">
        <v>1960</v>
      </c>
      <c r="O581">
        <f t="shared" ref="O581:O613" si="416">0.95*G581</f>
        <v>0</v>
      </c>
      <c r="Z581" s="39">
        <f t="shared" ref="Z581:Z613" si="417">IF(AQ581="5",BJ581,0)</f>
        <v>0</v>
      </c>
      <c r="AB581" s="39">
        <f t="shared" ref="AB581:AB613" si="418">IF(AQ581="1",BH581,0)</f>
        <v>0</v>
      </c>
      <c r="AC581" s="39">
        <f t="shared" ref="AC581:AC613" si="419">IF(AQ581="1",BI581,0)</f>
        <v>0</v>
      </c>
      <c r="AD581" s="39">
        <f t="shared" ref="AD581:AD613" si="420">IF(AQ581="7",BH581,0)</f>
        <v>0</v>
      </c>
      <c r="AE581" s="39">
        <f t="shared" ref="AE581:AE613" si="421">IF(AQ581="7",BI581,0)</f>
        <v>0</v>
      </c>
      <c r="AF581" s="39">
        <f t="shared" ref="AF581:AF613" si="422">IF(AQ581="2",BH581,0)</f>
        <v>0</v>
      </c>
      <c r="AG581" s="39">
        <f t="shared" ref="AG581:AG613" si="423">IF(AQ581="2",BI581,0)</f>
        <v>0</v>
      </c>
      <c r="AH581" s="39">
        <f t="shared" ref="AH581:AH613" si="424">IF(AQ581="0",BJ581,0)</f>
        <v>0</v>
      </c>
      <c r="AI581" s="30"/>
      <c r="AJ581" s="21">
        <f t="shared" ref="AJ581:AJ613" si="425">IF(AN581=0,J581,0)</f>
        <v>0</v>
      </c>
      <c r="AK581" s="21">
        <f t="shared" ref="AK581:AK613" si="426">IF(AN581=15,J581,0)</f>
        <v>0</v>
      </c>
      <c r="AL581" s="21">
        <f t="shared" ref="AL581:AL613" si="427">IF(AN581=21,J581,0)</f>
        <v>0</v>
      </c>
      <c r="AN581" s="39">
        <v>21</v>
      </c>
      <c r="AO581" s="39">
        <f t="shared" si="411"/>
        <v>0</v>
      </c>
      <c r="AP581" s="39">
        <f>G581*(1-0.282867251461988)</f>
        <v>0</v>
      </c>
      <c r="AQ581" s="34" t="s">
        <v>11</v>
      </c>
      <c r="AV581" s="39">
        <f t="shared" ref="AV581:AV613" si="428">AW581+AX581</f>
        <v>0</v>
      </c>
      <c r="AW581" s="39">
        <f t="shared" ref="AW581:AW613" si="429">F581*AO581</f>
        <v>0</v>
      </c>
      <c r="AX581" s="39">
        <f t="shared" ref="AX581:AX613" si="430">F581*AP581</f>
        <v>0</v>
      </c>
      <c r="AY581" s="40" t="s">
        <v>2017</v>
      </c>
      <c r="AZ581" s="40" t="s">
        <v>2041</v>
      </c>
      <c r="BA581" s="30" t="s">
        <v>2045</v>
      </c>
      <c r="BC581" s="39">
        <f t="shared" ref="BC581:BC613" si="431">AW581+AX581</f>
        <v>0</v>
      </c>
      <c r="BD581" s="39">
        <f t="shared" ref="BD581:BD613" si="432">G581/(100-BE581)*100</f>
        <v>0</v>
      </c>
      <c r="BE581" s="39">
        <v>0</v>
      </c>
      <c r="BF581" s="39">
        <f t="shared" ref="BF581:BF613" si="433">L581</f>
        <v>6.0000000000000002E-5</v>
      </c>
      <c r="BH581" s="21">
        <f t="shared" ref="BH581:BH613" si="434">F581*AO581</f>
        <v>0</v>
      </c>
      <c r="BI581" s="21">
        <f t="shared" ref="BI581:BI613" si="435">F581*AP581</f>
        <v>0</v>
      </c>
      <c r="BJ581" s="21">
        <f t="shared" ref="BJ581:BJ613" si="436">F581*G581</f>
        <v>0</v>
      </c>
    </row>
    <row r="582" spans="1:62">
      <c r="A582" s="5" t="s">
        <v>410</v>
      </c>
      <c r="B582" s="5"/>
      <c r="C582" s="5" t="s">
        <v>1014</v>
      </c>
      <c r="D582" s="5" t="s">
        <v>5792</v>
      </c>
      <c r="E582" s="5" t="s">
        <v>1943</v>
      </c>
      <c r="F582" s="21">
        <v>1</v>
      </c>
      <c r="G582" s="753">
        <v>0</v>
      </c>
      <c r="H582" s="21">
        <f t="shared" si="412"/>
        <v>0</v>
      </c>
      <c r="I582" s="21">
        <f t="shared" si="413"/>
        <v>0</v>
      </c>
      <c r="J582" s="21">
        <f t="shared" si="414"/>
        <v>0</v>
      </c>
      <c r="K582" s="21">
        <v>6.0000000000000002E-5</v>
      </c>
      <c r="L582" s="21">
        <f t="shared" si="415"/>
        <v>6.0000000000000002E-5</v>
      </c>
      <c r="M582" s="34" t="s">
        <v>1960</v>
      </c>
      <c r="O582">
        <f t="shared" si="416"/>
        <v>0</v>
      </c>
      <c r="Z582" s="39">
        <f t="shared" si="417"/>
        <v>0</v>
      </c>
      <c r="AB582" s="39">
        <f t="shared" si="418"/>
        <v>0</v>
      </c>
      <c r="AC582" s="39">
        <f t="shared" si="419"/>
        <v>0</v>
      </c>
      <c r="AD582" s="39">
        <f t="shared" si="420"/>
        <v>0</v>
      </c>
      <c r="AE582" s="39">
        <f t="shared" si="421"/>
        <v>0</v>
      </c>
      <c r="AF582" s="39">
        <f t="shared" si="422"/>
        <v>0</v>
      </c>
      <c r="AG582" s="39">
        <f t="shared" si="423"/>
        <v>0</v>
      </c>
      <c r="AH582" s="39">
        <f t="shared" si="424"/>
        <v>0</v>
      </c>
      <c r="AI582" s="30"/>
      <c r="AJ582" s="21">
        <f t="shared" si="425"/>
        <v>0</v>
      </c>
      <c r="AK582" s="21">
        <f t="shared" si="426"/>
        <v>0</v>
      </c>
      <c r="AL582" s="21">
        <f t="shared" si="427"/>
        <v>0</v>
      </c>
      <c r="AN582" s="39">
        <v>21</v>
      </c>
      <c r="AO582" s="39">
        <f t="shared" si="411"/>
        <v>0</v>
      </c>
      <c r="AP582" s="39">
        <f>G582*(1-0.282867368421053)</f>
        <v>0</v>
      </c>
      <c r="AQ582" s="34" t="s">
        <v>11</v>
      </c>
      <c r="AV582" s="39">
        <f t="shared" si="428"/>
        <v>0</v>
      </c>
      <c r="AW582" s="39">
        <f t="shared" si="429"/>
        <v>0</v>
      </c>
      <c r="AX582" s="39">
        <f t="shared" si="430"/>
        <v>0</v>
      </c>
      <c r="AY582" s="40" t="s">
        <v>2017</v>
      </c>
      <c r="AZ582" s="40" t="s">
        <v>2041</v>
      </c>
      <c r="BA582" s="30" t="s">
        <v>2045</v>
      </c>
      <c r="BC582" s="39">
        <f t="shared" si="431"/>
        <v>0</v>
      </c>
      <c r="BD582" s="39">
        <f t="shared" si="432"/>
        <v>0</v>
      </c>
      <c r="BE582" s="39">
        <v>0</v>
      </c>
      <c r="BF582" s="39">
        <f t="shared" si="433"/>
        <v>6.0000000000000002E-5</v>
      </c>
      <c r="BH582" s="21">
        <f t="shared" si="434"/>
        <v>0</v>
      </c>
      <c r="BI582" s="21">
        <f t="shared" si="435"/>
        <v>0</v>
      </c>
      <c r="BJ582" s="21">
        <f t="shared" si="436"/>
        <v>0</v>
      </c>
    </row>
    <row r="583" spans="1:62">
      <c r="A583" s="5" t="s">
        <v>411</v>
      </c>
      <c r="B583" s="5"/>
      <c r="C583" s="5" t="s">
        <v>1015</v>
      </c>
      <c r="D583" s="5" t="s">
        <v>5793</v>
      </c>
      <c r="E583" s="5" t="s">
        <v>1943</v>
      </c>
      <c r="F583" s="21">
        <v>1</v>
      </c>
      <c r="G583" s="753">
        <v>0</v>
      </c>
      <c r="H583" s="21">
        <f t="shared" si="412"/>
        <v>0</v>
      </c>
      <c r="I583" s="21">
        <f t="shared" si="413"/>
        <v>0</v>
      </c>
      <c r="J583" s="21">
        <f t="shared" si="414"/>
        <v>0</v>
      </c>
      <c r="K583" s="21">
        <v>6.0000000000000002E-5</v>
      </c>
      <c r="L583" s="21">
        <f t="shared" si="415"/>
        <v>6.0000000000000002E-5</v>
      </c>
      <c r="M583" s="34" t="s">
        <v>1960</v>
      </c>
      <c r="O583">
        <f t="shared" si="416"/>
        <v>0</v>
      </c>
      <c r="Z583" s="39">
        <f t="shared" si="417"/>
        <v>0</v>
      </c>
      <c r="AB583" s="39">
        <f t="shared" si="418"/>
        <v>0</v>
      </c>
      <c r="AC583" s="39">
        <f t="shared" si="419"/>
        <v>0</v>
      </c>
      <c r="AD583" s="39">
        <f t="shared" si="420"/>
        <v>0</v>
      </c>
      <c r="AE583" s="39">
        <f t="shared" si="421"/>
        <v>0</v>
      </c>
      <c r="AF583" s="39">
        <f t="shared" si="422"/>
        <v>0</v>
      </c>
      <c r="AG583" s="39">
        <f t="shared" si="423"/>
        <v>0</v>
      </c>
      <c r="AH583" s="39">
        <f t="shared" si="424"/>
        <v>0</v>
      </c>
      <c r="AI583" s="30"/>
      <c r="AJ583" s="21">
        <f t="shared" si="425"/>
        <v>0</v>
      </c>
      <c r="AK583" s="21">
        <f t="shared" si="426"/>
        <v>0</v>
      </c>
      <c r="AL583" s="21">
        <f t="shared" si="427"/>
        <v>0</v>
      </c>
      <c r="AN583" s="39">
        <v>21</v>
      </c>
      <c r="AO583" s="39">
        <f t="shared" si="411"/>
        <v>0</v>
      </c>
      <c r="AP583" s="39">
        <f>G583*(1-0.282868055555556)</f>
        <v>0</v>
      </c>
      <c r="AQ583" s="34" t="s">
        <v>11</v>
      </c>
      <c r="AV583" s="39">
        <f t="shared" si="428"/>
        <v>0</v>
      </c>
      <c r="AW583" s="39">
        <f t="shared" si="429"/>
        <v>0</v>
      </c>
      <c r="AX583" s="39">
        <f t="shared" si="430"/>
        <v>0</v>
      </c>
      <c r="AY583" s="40" t="s">
        <v>2017</v>
      </c>
      <c r="AZ583" s="40" t="s">
        <v>2041</v>
      </c>
      <c r="BA583" s="30" t="s">
        <v>2045</v>
      </c>
      <c r="BC583" s="39">
        <f t="shared" si="431"/>
        <v>0</v>
      </c>
      <c r="BD583" s="39">
        <f t="shared" si="432"/>
        <v>0</v>
      </c>
      <c r="BE583" s="39">
        <v>0</v>
      </c>
      <c r="BF583" s="39">
        <f t="shared" si="433"/>
        <v>6.0000000000000002E-5</v>
      </c>
      <c r="BH583" s="21">
        <f t="shared" si="434"/>
        <v>0</v>
      </c>
      <c r="BI583" s="21">
        <f t="shared" si="435"/>
        <v>0</v>
      </c>
      <c r="BJ583" s="21">
        <f t="shared" si="436"/>
        <v>0</v>
      </c>
    </row>
    <row r="584" spans="1:62">
      <c r="A584" s="5" t="s">
        <v>412</v>
      </c>
      <c r="B584" s="5"/>
      <c r="C584" s="5" t="s">
        <v>1016</v>
      </c>
      <c r="D584" s="5" t="s">
        <v>5794</v>
      </c>
      <c r="E584" s="5" t="s">
        <v>1943</v>
      </c>
      <c r="F584" s="21">
        <v>1</v>
      </c>
      <c r="G584" s="753">
        <v>0</v>
      </c>
      <c r="H584" s="21">
        <f t="shared" si="412"/>
        <v>0</v>
      </c>
      <c r="I584" s="21">
        <f t="shared" si="413"/>
        <v>0</v>
      </c>
      <c r="J584" s="21">
        <f t="shared" si="414"/>
        <v>0</v>
      </c>
      <c r="K584" s="21">
        <v>6.0000000000000002E-5</v>
      </c>
      <c r="L584" s="21">
        <f t="shared" si="415"/>
        <v>6.0000000000000002E-5</v>
      </c>
      <c r="M584" s="34" t="s">
        <v>1960</v>
      </c>
      <c r="O584">
        <f t="shared" si="416"/>
        <v>0</v>
      </c>
      <c r="Z584" s="39">
        <f t="shared" si="417"/>
        <v>0</v>
      </c>
      <c r="AB584" s="39">
        <f t="shared" si="418"/>
        <v>0</v>
      </c>
      <c r="AC584" s="39">
        <f t="shared" si="419"/>
        <v>0</v>
      </c>
      <c r="AD584" s="39">
        <f t="shared" si="420"/>
        <v>0</v>
      </c>
      <c r="AE584" s="39">
        <f t="shared" si="421"/>
        <v>0</v>
      </c>
      <c r="AF584" s="39">
        <f t="shared" si="422"/>
        <v>0</v>
      </c>
      <c r="AG584" s="39">
        <f t="shared" si="423"/>
        <v>0</v>
      </c>
      <c r="AH584" s="39">
        <f t="shared" si="424"/>
        <v>0</v>
      </c>
      <c r="AI584" s="30"/>
      <c r="AJ584" s="21">
        <f t="shared" si="425"/>
        <v>0</v>
      </c>
      <c r="AK584" s="21">
        <f t="shared" si="426"/>
        <v>0</v>
      </c>
      <c r="AL584" s="21">
        <f t="shared" si="427"/>
        <v>0</v>
      </c>
      <c r="AN584" s="39">
        <v>21</v>
      </c>
      <c r="AO584" s="39">
        <f t="shared" si="411"/>
        <v>0</v>
      </c>
      <c r="AP584" s="39">
        <f>G584*(1-0.28286816829168)</f>
        <v>0</v>
      </c>
      <c r="AQ584" s="34" t="s">
        <v>11</v>
      </c>
      <c r="AV584" s="39">
        <f t="shared" si="428"/>
        <v>0</v>
      </c>
      <c r="AW584" s="39">
        <f t="shared" si="429"/>
        <v>0</v>
      </c>
      <c r="AX584" s="39">
        <f t="shared" si="430"/>
        <v>0</v>
      </c>
      <c r="AY584" s="40" t="s">
        <v>2017</v>
      </c>
      <c r="AZ584" s="40" t="s">
        <v>2041</v>
      </c>
      <c r="BA584" s="30" t="s">
        <v>2045</v>
      </c>
      <c r="BC584" s="39">
        <f t="shared" si="431"/>
        <v>0</v>
      </c>
      <c r="BD584" s="39">
        <f t="shared" si="432"/>
        <v>0</v>
      </c>
      <c r="BE584" s="39">
        <v>0</v>
      </c>
      <c r="BF584" s="39">
        <f t="shared" si="433"/>
        <v>6.0000000000000002E-5</v>
      </c>
      <c r="BH584" s="21">
        <f t="shared" si="434"/>
        <v>0</v>
      </c>
      <c r="BI584" s="21">
        <f t="shared" si="435"/>
        <v>0</v>
      </c>
      <c r="BJ584" s="21">
        <f t="shared" si="436"/>
        <v>0</v>
      </c>
    </row>
    <row r="585" spans="1:62">
      <c r="A585" s="5" t="s">
        <v>413</v>
      </c>
      <c r="B585" s="5"/>
      <c r="C585" s="5" t="s">
        <v>1017</v>
      </c>
      <c r="D585" s="5" t="s">
        <v>1715</v>
      </c>
      <c r="E585" s="5" t="s">
        <v>1943</v>
      </c>
      <c r="F585" s="21">
        <v>35</v>
      </c>
      <c r="G585" s="753">
        <v>0</v>
      </c>
      <c r="H585" s="21">
        <f t="shared" si="412"/>
        <v>0</v>
      </c>
      <c r="I585" s="21">
        <f t="shared" si="413"/>
        <v>0</v>
      </c>
      <c r="J585" s="21">
        <f t="shared" si="414"/>
        <v>0</v>
      </c>
      <c r="K585" s="21">
        <v>6.0000000000000002E-5</v>
      </c>
      <c r="L585" s="21">
        <f t="shared" si="415"/>
        <v>2.0999999999999999E-3</v>
      </c>
      <c r="M585" s="34" t="s">
        <v>1960</v>
      </c>
      <c r="O585">
        <f t="shared" si="416"/>
        <v>0</v>
      </c>
      <c r="Z585" s="39">
        <f t="shared" si="417"/>
        <v>0</v>
      </c>
      <c r="AB585" s="39">
        <f t="shared" si="418"/>
        <v>0</v>
      </c>
      <c r="AC585" s="39">
        <f t="shared" si="419"/>
        <v>0</v>
      </c>
      <c r="AD585" s="39">
        <f t="shared" si="420"/>
        <v>0</v>
      </c>
      <c r="AE585" s="39">
        <f t="shared" si="421"/>
        <v>0</v>
      </c>
      <c r="AF585" s="39">
        <f t="shared" si="422"/>
        <v>0</v>
      </c>
      <c r="AG585" s="39">
        <f t="shared" si="423"/>
        <v>0</v>
      </c>
      <c r="AH585" s="39">
        <f t="shared" si="424"/>
        <v>0</v>
      </c>
      <c r="AI585" s="30"/>
      <c r="AJ585" s="21">
        <f t="shared" si="425"/>
        <v>0</v>
      </c>
      <c r="AK585" s="21">
        <f t="shared" si="426"/>
        <v>0</v>
      </c>
      <c r="AL585" s="21">
        <f t="shared" si="427"/>
        <v>0</v>
      </c>
      <c r="AN585" s="39">
        <v>21</v>
      </c>
      <c r="AO585" s="39">
        <f t="shared" si="411"/>
        <v>0</v>
      </c>
      <c r="AP585" s="39">
        <f>G585*(1-0.282869128968082)</f>
        <v>0</v>
      </c>
      <c r="AQ585" s="34" t="s">
        <v>11</v>
      </c>
      <c r="AV585" s="39">
        <f t="shared" si="428"/>
        <v>0</v>
      </c>
      <c r="AW585" s="39">
        <f t="shared" si="429"/>
        <v>0</v>
      </c>
      <c r="AX585" s="39">
        <f t="shared" si="430"/>
        <v>0</v>
      </c>
      <c r="AY585" s="40" t="s">
        <v>2017</v>
      </c>
      <c r="AZ585" s="40" t="s">
        <v>2041</v>
      </c>
      <c r="BA585" s="30" t="s">
        <v>2045</v>
      </c>
      <c r="BC585" s="39">
        <f t="shared" si="431"/>
        <v>0</v>
      </c>
      <c r="BD585" s="39">
        <f t="shared" si="432"/>
        <v>0</v>
      </c>
      <c r="BE585" s="39">
        <v>0</v>
      </c>
      <c r="BF585" s="39">
        <f t="shared" si="433"/>
        <v>2.0999999999999999E-3</v>
      </c>
      <c r="BH585" s="21">
        <f t="shared" si="434"/>
        <v>0</v>
      </c>
      <c r="BI585" s="21">
        <f t="shared" si="435"/>
        <v>0</v>
      </c>
      <c r="BJ585" s="21">
        <f t="shared" si="436"/>
        <v>0</v>
      </c>
    </row>
    <row r="586" spans="1:62">
      <c r="A586" s="5" t="s">
        <v>414</v>
      </c>
      <c r="B586" s="5"/>
      <c r="C586" s="5" t="s">
        <v>1018</v>
      </c>
      <c r="D586" s="5" t="s">
        <v>1716</v>
      </c>
      <c r="E586" s="5" t="s">
        <v>1944</v>
      </c>
      <c r="F586" s="21">
        <v>198.19</v>
      </c>
      <c r="G586" s="753">
        <v>0</v>
      </c>
      <c r="H586" s="21">
        <f t="shared" si="412"/>
        <v>0</v>
      </c>
      <c r="I586" s="21">
        <f t="shared" si="413"/>
        <v>0</v>
      </c>
      <c r="J586" s="21">
        <f t="shared" si="414"/>
        <v>0</v>
      </c>
      <c r="K586" s="21">
        <v>6.0000000000000002E-5</v>
      </c>
      <c r="L586" s="21">
        <f t="shared" si="415"/>
        <v>1.18914E-2</v>
      </c>
      <c r="M586" s="34" t="s">
        <v>1960</v>
      </c>
      <c r="O586">
        <f t="shared" si="416"/>
        <v>0</v>
      </c>
      <c r="Z586" s="39">
        <f t="shared" si="417"/>
        <v>0</v>
      </c>
      <c r="AB586" s="39">
        <f t="shared" si="418"/>
        <v>0</v>
      </c>
      <c r="AC586" s="39">
        <f t="shared" si="419"/>
        <v>0</v>
      </c>
      <c r="AD586" s="39">
        <f t="shared" si="420"/>
        <v>0</v>
      </c>
      <c r="AE586" s="39">
        <f t="shared" si="421"/>
        <v>0</v>
      </c>
      <c r="AF586" s="39">
        <f t="shared" si="422"/>
        <v>0</v>
      </c>
      <c r="AG586" s="39">
        <f t="shared" si="423"/>
        <v>0</v>
      </c>
      <c r="AH586" s="39">
        <f t="shared" si="424"/>
        <v>0</v>
      </c>
      <c r="AI586" s="30"/>
      <c r="AJ586" s="21">
        <f t="shared" si="425"/>
        <v>0</v>
      </c>
      <c r="AK586" s="21">
        <f t="shared" si="426"/>
        <v>0</v>
      </c>
      <c r="AL586" s="21">
        <f t="shared" si="427"/>
        <v>0</v>
      </c>
      <c r="AN586" s="39">
        <v>21</v>
      </c>
      <c r="AO586" s="39">
        <f t="shared" si="411"/>
        <v>0</v>
      </c>
      <c r="AP586" s="39">
        <f>G586*(1-0.282833333333333)</f>
        <v>0</v>
      </c>
      <c r="AQ586" s="34" t="s">
        <v>11</v>
      </c>
      <c r="AV586" s="39">
        <f t="shared" si="428"/>
        <v>0</v>
      </c>
      <c r="AW586" s="39">
        <f t="shared" si="429"/>
        <v>0</v>
      </c>
      <c r="AX586" s="39">
        <f t="shared" si="430"/>
        <v>0</v>
      </c>
      <c r="AY586" s="40" t="s">
        <v>2017</v>
      </c>
      <c r="AZ586" s="40" t="s">
        <v>2041</v>
      </c>
      <c r="BA586" s="30" t="s">
        <v>2045</v>
      </c>
      <c r="BC586" s="39">
        <f t="shared" si="431"/>
        <v>0</v>
      </c>
      <c r="BD586" s="39">
        <f t="shared" si="432"/>
        <v>0</v>
      </c>
      <c r="BE586" s="39">
        <v>0</v>
      </c>
      <c r="BF586" s="39">
        <f t="shared" si="433"/>
        <v>1.18914E-2</v>
      </c>
      <c r="BH586" s="21">
        <f t="shared" si="434"/>
        <v>0</v>
      </c>
      <c r="BI586" s="21">
        <f t="shared" si="435"/>
        <v>0</v>
      </c>
      <c r="BJ586" s="21">
        <f t="shared" si="436"/>
        <v>0</v>
      </c>
    </row>
    <row r="587" spans="1:62">
      <c r="A587" s="5" t="s">
        <v>415</v>
      </c>
      <c r="B587" s="5"/>
      <c r="C587" s="5" t="s">
        <v>1019</v>
      </c>
      <c r="D587" s="5" t="s">
        <v>1717</v>
      </c>
      <c r="E587" s="5" t="s">
        <v>1944</v>
      </c>
      <c r="F587" s="21">
        <v>52.45</v>
      </c>
      <c r="G587" s="753">
        <v>0</v>
      </c>
      <c r="H587" s="21">
        <f t="shared" si="412"/>
        <v>0</v>
      </c>
      <c r="I587" s="21">
        <f t="shared" si="413"/>
        <v>0</v>
      </c>
      <c r="J587" s="21">
        <f t="shared" si="414"/>
        <v>0</v>
      </c>
      <c r="K587" s="21">
        <v>6.0000000000000002E-5</v>
      </c>
      <c r="L587" s="21">
        <f t="shared" si="415"/>
        <v>3.1470000000000001E-3</v>
      </c>
      <c r="M587" s="34" t="s">
        <v>1960</v>
      </c>
      <c r="O587">
        <f t="shared" si="416"/>
        <v>0</v>
      </c>
      <c r="Z587" s="39">
        <f t="shared" si="417"/>
        <v>0</v>
      </c>
      <c r="AB587" s="39">
        <f t="shared" si="418"/>
        <v>0</v>
      </c>
      <c r="AC587" s="39">
        <f t="shared" si="419"/>
        <v>0</v>
      </c>
      <c r="AD587" s="39">
        <f t="shared" si="420"/>
        <v>0</v>
      </c>
      <c r="AE587" s="39">
        <f t="shared" si="421"/>
        <v>0</v>
      </c>
      <c r="AF587" s="39">
        <f t="shared" si="422"/>
        <v>0</v>
      </c>
      <c r="AG587" s="39">
        <f t="shared" si="423"/>
        <v>0</v>
      </c>
      <c r="AH587" s="39">
        <f t="shared" si="424"/>
        <v>0</v>
      </c>
      <c r="AI587" s="30"/>
      <c r="AJ587" s="21">
        <f t="shared" si="425"/>
        <v>0</v>
      </c>
      <c r="AK587" s="21">
        <f t="shared" si="426"/>
        <v>0</v>
      </c>
      <c r="AL587" s="21">
        <f t="shared" si="427"/>
        <v>0</v>
      </c>
      <c r="AN587" s="39">
        <v>21</v>
      </c>
      <c r="AO587" s="39">
        <f t="shared" si="411"/>
        <v>0</v>
      </c>
      <c r="AP587" s="39">
        <f>G587*(1-0.282828571428571)</f>
        <v>0</v>
      </c>
      <c r="AQ587" s="34" t="s">
        <v>11</v>
      </c>
      <c r="AV587" s="39">
        <f t="shared" si="428"/>
        <v>0</v>
      </c>
      <c r="AW587" s="39">
        <f t="shared" si="429"/>
        <v>0</v>
      </c>
      <c r="AX587" s="39">
        <f t="shared" si="430"/>
        <v>0</v>
      </c>
      <c r="AY587" s="40" t="s">
        <v>2017</v>
      </c>
      <c r="AZ587" s="40" t="s">
        <v>2041</v>
      </c>
      <c r="BA587" s="30" t="s">
        <v>2045</v>
      </c>
      <c r="BC587" s="39">
        <f t="shared" si="431"/>
        <v>0</v>
      </c>
      <c r="BD587" s="39">
        <f t="shared" si="432"/>
        <v>0</v>
      </c>
      <c r="BE587" s="39">
        <v>0</v>
      </c>
      <c r="BF587" s="39">
        <f t="shared" si="433"/>
        <v>3.1470000000000001E-3</v>
      </c>
      <c r="BH587" s="21">
        <f t="shared" si="434"/>
        <v>0</v>
      </c>
      <c r="BI587" s="21">
        <f t="shared" si="435"/>
        <v>0</v>
      </c>
      <c r="BJ587" s="21">
        <f t="shared" si="436"/>
        <v>0</v>
      </c>
    </row>
    <row r="588" spans="1:62">
      <c r="A588" s="5" t="s">
        <v>416</v>
      </c>
      <c r="B588" s="5"/>
      <c r="C588" s="5" t="s">
        <v>1020</v>
      </c>
      <c r="D588" s="5" t="s">
        <v>1718</v>
      </c>
      <c r="E588" s="5" t="s">
        <v>1939</v>
      </c>
      <c r="F588" s="21">
        <v>11.3</v>
      </c>
      <c r="G588" s="753">
        <v>0</v>
      </c>
      <c r="H588" s="21">
        <f t="shared" si="412"/>
        <v>0</v>
      </c>
      <c r="I588" s="21">
        <f t="shared" si="413"/>
        <v>0</v>
      </c>
      <c r="J588" s="21">
        <f t="shared" si="414"/>
        <v>0</v>
      </c>
      <c r="K588" s="21">
        <v>6.0000000000000002E-5</v>
      </c>
      <c r="L588" s="21">
        <f t="shared" si="415"/>
        <v>6.7800000000000011E-4</v>
      </c>
      <c r="M588" s="34" t="s">
        <v>1960</v>
      </c>
      <c r="O588">
        <f t="shared" si="416"/>
        <v>0</v>
      </c>
      <c r="Z588" s="39">
        <f t="shared" si="417"/>
        <v>0</v>
      </c>
      <c r="AB588" s="39">
        <f t="shared" si="418"/>
        <v>0</v>
      </c>
      <c r="AC588" s="39">
        <f t="shared" si="419"/>
        <v>0</v>
      </c>
      <c r="AD588" s="39">
        <f t="shared" si="420"/>
        <v>0</v>
      </c>
      <c r="AE588" s="39">
        <f t="shared" si="421"/>
        <v>0</v>
      </c>
      <c r="AF588" s="39">
        <f t="shared" si="422"/>
        <v>0</v>
      </c>
      <c r="AG588" s="39">
        <f t="shared" si="423"/>
        <v>0</v>
      </c>
      <c r="AH588" s="39">
        <f t="shared" si="424"/>
        <v>0</v>
      </c>
      <c r="AI588" s="30"/>
      <c r="AJ588" s="21">
        <f t="shared" si="425"/>
        <v>0</v>
      </c>
      <c r="AK588" s="21">
        <f t="shared" si="426"/>
        <v>0</v>
      </c>
      <c r="AL588" s="21">
        <f t="shared" si="427"/>
        <v>0</v>
      </c>
      <c r="AN588" s="39">
        <v>21</v>
      </c>
      <c r="AO588" s="39">
        <f t="shared" si="411"/>
        <v>0</v>
      </c>
      <c r="AP588" s="39">
        <f>G588*(1-0.28283863368669)</f>
        <v>0</v>
      </c>
      <c r="AQ588" s="34" t="s">
        <v>11</v>
      </c>
      <c r="AV588" s="39">
        <f t="shared" si="428"/>
        <v>0</v>
      </c>
      <c r="AW588" s="39">
        <f t="shared" si="429"/>
        <v>0</v>
      </c>
      <c r="AX588" s="39">
        <f t="shared" si="430"/>
        <v>0</v>
      </c>
      <c r="AY588" s="40" t="s">
        <v>2017</v>
      </c>
      <c r="AZ588" s="40" t="s">
        <v>2041</v>
      </c>
      <c r="BA588" s="30" t="s">
        <v>2045</v>
      </c>
      <c r="BC588" s="39">
        <f t="shared" si="431"/>
        <v>0</v>
      </c>
      <c r="BD588" s="39">
        <f t="shared" si="432"/>
        <v>0</v>
      </c>
      <c r="BE588" s="39">
        <v>0</v>
      </c>
      <c r="BF588" s="39">
        <f t="shared" si="433"/>
        <v>6.7800000000000011E-4</v>
      </c>
      <c r="BH588" s="21">
        <f t="shared" si="434"/>
        <v>0</v>
      </c>
      <c r="BI588" s="21">
        <f t="shared" si="435"/>
        <v>0</v>
      </c>
      <c r="BJ588" s="21">
        <f t="shared" si="436"/>
        <v>0</v>
      </c>
    </row>
    <row r="589" spans="1:62">
      <c r="A589" s="5" t="s">
        <v>417</v>
      </c>
      <c r="B589" s="5"/>
      <c r="C589" s="5" t="s">
        <v>1021</v>
      </c>
      <c r="D589" s="5" t="s">
        <v>1719</v>
      </c>
      <c r="E589" s="5" t="s">
        <v>1939</v>
      </c>
      <c r="F589" s="21">
        <v>10.199999999999999</v>
      </c>
      <c r="G589" s="753">
        <v>0</v>
      </c>
      <c r="H589" s="21">
        <f t="shared" si="412"/>
        <v>0</v>
      </c>
      <c r="I589" s="21">
        <f t="shared" si="413"/>
        <v>0</v>
      </c>
      <c r="J589" s="21">
        <f t="shared" si="414"/>
        <v>0</v>
      </c>
      <c r="K589" s="21">
        <v>6.0000000000000002E-5</v>
      </c>
      <c r="L589" s="21">
        <f t="shared" si="415"/>
        <v>6.1200000000000002E-4</v>
      </c>
      <c r="M589" s="34" t="s">
        <v>1960</v>
      </c>
      <c r="O589">
        <f t="shared" si="416"/>
        <v>0</v>
      </c>
      <c r="Z589" s="39">
        <f t="shared" si="417"/>
        <v>0</v>
      </c>
      <c r="AB589" s="39">
        <f t="shared" si="418"/>
        <v>0</v>
      </c>
      <c r="AC589" s="39">
        <f t="shared" si="419"/>
        <v>0</v>
      </c>
      <c r="AD589" s="39">
        <f t="shared" si="420"/>
        <v>0</v>
      </c>
      <c r="AE589" s="39">
        <f t="shared" si="421"/>
        <v>0</v>
      </c>
      <c r="AF589" s="39">
        <f t="shared" si="422"/>
        <v>0</v>
      </c>
      <c r="AG589" s="39">
        <f t="shared" si="423"/>
        <v>0</v>
      </c>
      <c r="AH589" s="39">
        <f t="shared" si="424"/>
        <v>0</v>
      </c>
      <c r="AI589" s="30"/>
      <c r="AJ589" s="21">
        <f t="shared" si="425"/>
        <v>0</v>
      </c>
      <c r="AK589" s="21">
        <f t="shared" si="426"/>
        <v>0</v>
      </c>
      <c r="AL589" s="21">
        <f t="shared" si="427"/>
        <v>0</v>
      </c>
      <c r="AN589" s="39">
        <v>21</v>
      </c>
      <c r="AO589" s="39">
        <f t="shared" si="411"/>
        <v>0</v>
      </c>
      <c r="AP589" s="39">
        <f>G589*(1-0.282834138486312)</f>
        <v>0</v>
      </c>
      <c r="AQ589" s="34" t="s">
        <v>11</v>
      </c>
      <c r="AV589" s="39">
        <f t="shared" si="428"/>
        <v>0</v>
      </c>
      <c r="AW589" s="39">
        <f t="shared" si="429"/>
        <v>0</v>
      </c>
      <c r="AX589" s="39">
        <f t="shared" si="430"/>
        <v>0</v>
      </c>
      <c r="AY589" s="40" t="s">
        <v>2017</v>
      </c>
      <c r="AZ589" s="40" t="s">
        <v>2041</v>
      </c>
      <c r="BA589" s="30" t="s">
        <v>2045</v>
      </c>
      <c r="BC589" s="39">
        <f t="shared" si="431"/>
        <v>0</v>
      </c>
      <c r="BD589" s="39">
        <f t="shared" si="432"/>
        <v>0</v>
      </c>
      <c r="BE589" s="39">
        <v>0</v>
      </c>
      <c r="BF589" s="39">
        <f t="shared" si="433"/>
        <v>6.1200000000000002E-4</v>
      </c>
      <c r="BH589" s="21">
        <f t="shared" si="434"/>
        <v>0</v>
      </c>
      <c r="BI589" s="21">
        <f t="shared" si="435"/>
        <v>0</v>
      </c>
      <c r="BJ589" s="21">
        <f t="shared" si="436"/>
        <v>0</v>
      </c>
    </row>
    <row r="590" spans="1:62">
      <c r="A590" s="5" t="s">
        <v>418</v>
      </c>
      <c r="B590" s="5"/>
      <c r="C590" s="5" t="s">
        <v>1022</v>
      </c>
      <c r="D590" s="5" t="s">
        <v>1720</v>
      </c>
      <c r="E590" s="5" t="s">
        <v>1939</v>
      </c>
      <c r="F590" s="21">
        <v>31.25</v>
      </c>
      <c r="G590" s="753">
        <v>0</v>
      </c>
      <c r="H590" s="21">
        <f t="shared" si="412"/>
        <v>0</v>
      </c>
      <c r="I590" s="21">
        <f t="shared" si="413"/>
        <v>0</v>
      </c>
      <c r="J590" s="21">
        <f t="shared" si="414"/>
        <v>0</v>
      </c>
      <c r="K590" s="21">
        <v>6.0000000000000002E-5</v>
      </c>
      <c r="L590" s="21">
        <f t="shared" si="415"/>
        <v>1.8750000000000001E-3</v>
      </c>
      <c r="M590" s="34" t="s">
        <v>1960</v>
      </c>
      <c r="O590">
        <f t="shared" si="416"/>
        <v>0</v>
      </c>
      <c r="Z590" s="39">
        <f t="shared" si="417"/>
        <v>0</v>
      </c>
      <c r="AB590" s="39">
        <f t="shared" si="418"/>
        <v>0</v>
      </c>
      <c r="AC590" s="39">
        <f t="shared" si="419"/>
        <v>0</v>
      </c>
      <c r="AD590" s="39">
        <f t="shared" si="420"/>
        <v>0</v>
      </c>
      <c r="AE590" s="39">
        <f t="shared" si="421"/>
        <v>0</v>
      </c>
      <c r="AF590" s="39">
        <f t="shared" si="422"/>
        <v>0</v>
      </c>
      <c r="AG590" s="39">
        <f t="shared" si="423"/>
        <v>0</v>
      </c>
      <c r="AH590" s="39">
        <f t="shared" si="424"/>
        <v>0</v>
      </c>
      <c r="AI590" s="30"/>
      <c r="AJ590" s="21">
        <f t="shared" si="425"/>
        <v>0</v>
      </c>
      <c r="AK590" s="21">
        <f t="shared" si="426"/>
        <v>0</v>
      </c>
      <c r="AL590" s="21">
        <f t="shared" si="427"/>
        <v>0</v>
      </c>
      <c r="AN590" s="39">
        <v>21</v>
      </c>
      <c r="AO590" s="39">
        <f t="shared" si="411"/>
        <v>0</v>
      </c>
      <c r="AP590" s="39">
        <f>G590*(1-0.28283788770042)</f>
        <v>0</v>
      </c>
      <c r="AQ590" s="34" t="s">
        <v>11</v>
      </c>
      <c r="AV590" s="39">
        <f t="shared" si="428"/>
        <v>0</v>
      </c>
      <c r="AW590" s="39">
        <f t="shared" si="429"/>
        <v>0</v>
      </c>
      <c r="AX590" s="39">
        <f t="shared" si="430"/>
        <v>0</v>
      </c>
      <c r="AY590" s="40" t="s">
        <v>2017</v>
      </c>
      <c r="AZ590" s="40" t="s">
        <v>2041</v>
      </c>
      <c r="BA590" s="30" t="s">
        <v>2045</v>
      </c>
      <c r="BC590" s="39">
        <f t="shared" si="431"/>
        <v>0</v>
      </c>
      <c r="BD590" s="39">
        <f t="shared" si="432"/>
        <v>0</v>
      </c>
      <c r="BE590" s="39">
        <v>0</v>
      </c>
      <c r="BF590" s="39">
        <f t="shared" si="433"/>
        <v>1.8750000000000001E-3</v>
      </c>
      <c r="BH590" s="21">
        <f t="shared" si="434"/>
        <v>0</v>
      </c>
      <c r="BI590" s="21">
        <f t="shared" si="435"/>
        <v>0</v>
      </c>
      <c r="BJ590" s="21">
        <f t="shared" si="436"/>
        <v>0</v>
      </c>
    </row>
    <row r="591" spans="1:62">
      <c r="A591" s="5" t="s">
        <v>419</v>
      </c>
      <c r="B591" s="5"/>
      <c r="C591" s="5" t="s">
        <v>1023</v>
      </c>
      <c r="D591" s="5" t="s">
        <v>1721</v>
      </c>
      <c r="E591" s="5" t="s">
        <v>1939</v>
      </c>
      <c r="F591" s="21">
        <v>24.2</v>
      </c>
      <c r="G591" s="753">
        <v>0</v>
      </c>
      <c r="H591" s="21">
        <f t="shared" si="412"/>
        <v>0</v>
      </c>
      <c r="I591" s="21">
        <f t="shared" si="413"/>
        <v>0</v>
      </c>
      <c r="J591" s="21">
        <f t="shared" si="414"/>
        <v>0</v>
      </c>
      <c r="K591" s="21">
        <v>6.0000000000000002E-5</v>
      </c>
      <c r="L591" s="21">
        <f t="shared" si="415"/>
        <v>1.4519999999999999E-3</v>
      </c>
      <c r="M591" s="34" t="s">
        <v>1960</v>
      </c>
      <c r="O591">
        <f t="shared" si="416"/>
        <v>0</v>
      </c>
      <c r="Z591" s="39">
        <f t="shared" si="417"/>
        <v>0</v>
      </c>
      <c r="AB591" s="39">
        <f t="shared" si="418"/>
        <v>0</v>
      </c>
      <c r="AC591" s="39">
        <f t="shared" si="419"/>
        <v>0</v>
      </c>
      <c r="AD591" s="39">
        <f t="shared" si="420"/>
        <v>0</v>
      </c>
      <c r="AE591" s="39">
        <f t="shared" si="421"/>
        <v>0</v>
      </c>
      <c r="AF591" s="39">
        <f t="shared" si="422"/>
        <v>0</v>
      </c>
      <c r="AG591" s="39">
        <f t="shared" si="423"/>
        <v>0</v>
      </c>
      <c r="AH591" s="39">
        <f t="shared" si="424"/>
        <v>0</v>
      </c>
      <c r="AI591" s="30"/>
      <c r="AJ591" s="21">
        <f t="shared" si="425"/>
        <v>0</v>
      </c>
      <c r="AK591" s="21">
        <f t="shared" si="426"/>
        <v>0</v>
      </c>
      <c r="AL591" s="21">
        <f t="shared" si="427"/>
        <v>0</v>
      </c>
      <c r="AN591" s="39">
        <v>21</v>
      </c>
      <c r="AO591" s="39">
        <f t="shared" si="411"/>
        <v>0</v>
      </c>
      <c r="AP591" s="39">
        <f>G591*(1-0.282837988826816)</f>
        <v>0</v>
      </c>
      <c r="AQ591" s="34" t="s">
        <v>11</v>
      </c>
      <c r="AV591" s="39">
        <f t="shared" si="428"/>
        <v>0</v>
      </c>
      <c r="AW591" s="39">
        <f t="shared" si="429"/>
        <v>0</v>
      </c>
      <c r="AX591" s="39">
        <f t="shared" si="430"/>
        <v>0</v>
      </c>
      <c r="AY591" s="40" t="s">
        <v>2017</v>
      </c>
      <c r="AZ591" s="40" t="s">
        <v>2041</v>
      </c>
      <c r="BA591" s="30" t="s">
        <v>2045</v>
      </c>
      <c r="BC591" s="39">
        <f t="shared" si="431"/>
        <v>0</v>
      </c>
      <c r="BD591" s="39">
        <f t="shared" si="432"/>
        <v>0</v>
      </c>
      <c r="BE591" s="39">
        <v>0</v>
      </c>
      <c r="BF591" s="39">
        <f t="shared" si="433"/>
        <v>1.4519999999999999E-3</v>
      </c>
      <c r="BH591" s="21">
        <f t="shared" si="434"/>
        <v>0</v>
      </c>
      <c r="BI591" s="21">
        <f t="shared" si="435"/>
        <v>0</v>
      </c>
      <c r="BJ591" s="21">
        <f t="shared" si="436"/>
        <v>0</v>
      </c>
    </row>
    <row r="592" spans="1:62">
      <c r="A592" s="5" t="s">
        <v>420</v>
      </c>
      <c r="B592" s="5"/>
      <c r="C592" s="5" t="s">
        <v>1024</v>
      </c>
      <c r="D592" s="5" t="s">
        <v>1722</v>
      </c>
      <c r="E592" s="5" t="s">
        <v>1944</v>
      </c>
      <c r="F592" s="21">
        <v>633.6</v>
      </c>
      <c r="G592" s="753">
        <v>0</v>
      </c>
      <c r="H592" s="21">
        <f t="shared" si="412"/>
        <v>0</v>
      </c>
      <c r="I592" s="21">
        <f t="shared" si="413"/>
        <v>0</v>
      </c>
      <c r="J592" s="21">
        <f t="shared" si="414"/>
        <v>0</v>
      </c>
      <c r="K592" s="21">
        <v>6.0000000000000002E-5</v>
      </c>
      <c r="L592" s="21">
        <f t="shared" si="415"/>
        <v>3.8016000000000001E-2</v>
      </c>
      <c r="M592" s="34" t="s">
        <v>1960</v>
      </c>
      <c r="O592">
        <f t="shared" si="416"/>
        <v>0</v>
      </c>
      <c r="Z592" s="39">
        <f t="shared" si="417"/>
        <v>0</v>
      </c>
      <c r="AB592" s="39">
        <f t="shared" si="418"/>
        <v>0</v>
      </c>
      <c r="AC592" s="39">
        <f t="shared" si="419"/>
        <v>0</v>
      </c>
      <c r="AD592" s="39">
        <f t="shared" si="420"/>
        <v>0</v>
      </c>
      <c r="AE592" s="39">
        <f t="shared" si="421"/>
        <v>0</v>
      </c>
      <c r="AF592" s="39">
        <f t="shared" si="422"/>
        <v>0</v>
      </c>
      <c r="AG592" s="39">
        <f t="shared" si="423"/>
        <v>0</v>
      </c>
      <c r="AH592" s="39">
        <f t="shared" si="424"/>
        <v>0</v>
      </c>
      <c r="AI592" s="30"/>
      <c r="AJ592" s="21">
        <f t="shared" si="425"/>
        <v>0</v>
      </c>
      <c r="AK592" s="21">
        <f t="shared" si="426"/>
        <v>0</v>
      </c>
      <c r="AL592" s="21">
        <f t="shared" si="427"/>
        <v>0</v>
      </c>
      <c r="AN592" s="39">
        <v>21</v>
      </c>
      <c r="AO592" s="39">
        <f t="shared" si="411"/>
        <v>0</v>
      </c>
      <c r="AP592" s="39">
        <f t="shared" ref="AP592:AP597" si="437">G592*(1-0.282833333333333)</f>
        <v>0</v>
      </c>
      <c r="AQ592" s="34" t="s">
        <v>11</v>
      </c>
      <c r="AV592" s="39">
        <f t="shared" si="428"/>
        <v>0</v>
      </c>
      <c r="AW592" s="39">
        <f t="shared" si="429"/>
        <v>0</v>
      </c>
      <c r="AX592" s="39">
        <f t="shared" si="430"/>
        <v>0</v>
      </c>
      <c r="AY592" s="40" t="s">
        <v>2017</v>
      </c>
      <c r="AZ592" s="40" t="s">
        <v>2041</v>
      </c>
      <c r="BA592" s="30" t="s">
        <v>2045</v>
      </c>
      <c r="BC592" s="39">
        <f t="shared" si="431"/>
        <v>0</v>
      </c>
      <c r="BD592" s="39">
        <f t="shared" si="432"/>
        <v>0</v>
      </c>
      <c r="BE592" s="39">
        <v>0</v>
      </c>
      <c r="BF592" s="39">
        <f t="shared" si="433"/>
        <v>3.8016000000000001E-2</v>
      </c>
      <c r="BH592" s="21">
        <f t="shared" si="434"/>
        <v>0</v>
      </c>
      <c r="BI592" s="21">
        <f t="shared" si="435"/>
        <v>0</v>
      </c>
      <c r="BJ592" s="21">
        <f t="shared" si="436"/>
        <v>0</v>
      </c>
    </row>
    <row r="593" spans="1:62">
      <c r="A593" s="5" t="s">
        <v>421</v>
      </c>
      <c r="B593" s="5"/>
      <c r="C593" s="5" t="s">
        <v>1025</v>
      </c>
      <c r="D593" s="5" t="s">
        <v>1723</v>
      </c>
      <c r="E593" s="5" t="s">
        <v>1944</v>
      </c>
      <c r="F593" s="21">
        <v>94.1</v>
      </c>
      <c r="G593" s="753">
        <v>0</v>
      </c>
      <c r="H593" s="21">
        <f t="shared" si="412"/>
        <v>0</v>
      </c>
      <c r="I593" s="21">
        <f t="shared" si="413"/>
        <v>0</v>
      </c>
      <c r="J593" s="21">
        <f t="shared" si="414"/>
        <v>0</v>
      </c>
      <c r="K593" s="21">
        <v>6.0000000000000002E-5</v>
      </c>
      <c r="L593" s="21">
        <f t="shared" si="415"/>
        <v>5.646E-3</v>
      </c>
      <c r="M593" s="34" t="s">
        <v>1960</v>
      </c>
      <c r="O593">
        <f t="shared" si="416"/>
        <v>0</v>
      </c>
      <c r="Z593" s="39">
        <f t="shared" si="417"/>
        <v>0</v>
      </c>
      <c r="AB593" s="39">
        <f t="shared" si="418"/>
        <v>0</v>
      </c>
      <c r="AC593" s="39">
        <f t="shared" si="419"/>
        <v>0</v>
      </c>
      <c r="AD593" s="39">
        <f t="shared" si="420"/>
        <v>0</v>
      </c>
      <c r="AE593" s="39">
        <f t="shared" si="421"/>
        <v>0</v>
      </c>
      <c r="AF593" s="39">
        <f t="shared" si="422"/>
        <v>0</v>
      </c>
      <c r="AG593" s="39">
        <f t="shared" si="423"/>
        <v>0</v>
      </c>
      <c r="AH593" s="39">
        <f t="shared" si="424"/>
        <v>0</v>
      </c>
      <c r="AI593" s="30"/>
      <c r="AJ593" s="21">
        <f t="shared" si="425"/>
        <v>0</v>
      </c>
      <c r="AK593" s="21">
        <f t="shared" si="426"/>
        <v>0</v>
      </c>
      <c r="AL593" s="21">
        <f t="shared" si="427"/>
        <v>0</v>
      </c>
      <c r="AN593" s="39">
        <v>21</v>
      </c>
      <c r="AO593" s="39">
        <f t="shared" si="411"/>
        <v>0</v>
      </c>
      <c r="AP593" s="39">
        <f t="shared" si="437"/>
        <v>0</v>
      </c>
      <c r="AQ593" s="34" t="s">
        <v>11</v>
      </c>
      <c r="AV593" s="39">
        <f t="shared" si="428"/>
        <v>0</v>
      </c>
      <c r="AW593" s="39">
        <f t="shared" si="429"/>
        <v>0</v>
      </c>
      <c r="AX593" s="39">
        <f t="shared" si="430"/>
        <v>0</v>
      </c>
      <c r="AY593" s="40" t="s">
        <v>2017</v>
      </c>
      <c r="AZ593" s="40" t="s">
        <v>2041</v>
      </c>
      <c r="BA593" s="30" t="s">
        <v>2045</v>
      </c>
      <c r="BC593" s="39">
        <f t="shared" si="431"/>
        <v>0</v>
      </c>
      <c r="BD593" s="39">
        <f t="shared" si="432"/>
        <v>0</v>
      </c>
      <c r="BE593" s="39">
        <v>0</v>
      </c>
      <c r="BF593" s="39">
        <f t="shared" si="433"/>
        <v>5.646E-3</v>
      </c>
      <c r="BH593" s="21">
        <f t="shared" si="434"/>
        <v>0</v>
      </c>
      <c r="BI593" s="21">
        <f t="shared" si="435"/>
        <v>0</v>
      </c>
      <c r="BJ593" s="21">
        <f t="shared" si="436"/>
        <v>0</v>
      </c>
    </row>
    <row r="594" spans="1:62">
      <c r="A594" s="5" t="s">
        <v>422</v>
      </c>
      <c r="B594" s="5"/>
      <c r="C594" s="5" t="s">
        <v>1026</v>
      </c>
      <c r="D594" s="5" t="s">
        <v>1724</v>
      </c>
      <c r="E594" s="5" t="s">
        <v>1944</v>
      </c>
      <c r="F594" s="21">
        <v>107.8</v>
      </c>
      <c r="G594" s="753">
        <v>0</v>
      </c>
      <c r="H594" s="21">
        <f t="shared" si="412"/>
        <v>0</v>
      </c>
      <c r="I594" s="21">
        <f t="shared" si="413"/>
        <v>0</v>
      </c>
      <c r="J594" s="21">
        <f t="shared" si="414"/>
        <v>0</v>
      </c>
      <c r="K594" s="21">
        <v>6.0000000000000002E-5</v>
      </c>
      <c r="L594" s="21">
        <f t="shared" si="415"/>
        <v>6.4679999999999998E-3</v>
      </c>
      <c r="M594" s="34" t="s">
        <v>1960</v>
      </c>
      <c r="O594">
        <f t="shared" si="416"/>
        <v>0</v>
      </c>
      <c r="Z594" s="39">
        <f t="shared" si="417"/>
        <v>0</v>
      </c>
      <c r="AB594" s="39">
        <f t="shared" si="418"/>
        <v>0</v>
      </c>
      <c r="AC594" s="39">
        <f t="shared" si="419"/>
        <v>0</v>
      </c>
      <c r="AD594" s="39">
        <f t="shared" si="420"/>
        <v>0</v>
      </c>
      <c r="AE594" s="39">
        <f t="shared" si="421"/>
        <v>0</v>
      </c>
      <c r="AF594" s="39">
        <f t="shared" si="422"/>
        <v>0</v>
      </c>
      <c r="AG594" s="39">
        <f t="shared" si="423"/>
        <v>0</v>
      </c>
      <c r="AH594" s="39">
        <f t="shared" si="424"/>
        <v>0</v>
      </c>
      <c r="AI594" s="30"/>
      <c r="AJ594" s="21">
        <f t="shared" si="425"/>
        <v>0</v>
      </c>
      <c r="AK594" s="21">
        <f t="shared" si="426"/>
        <v>0</v>
      </c>
      <c r="AL594" s="21">
        <f t="shared" si="427"/>
        <v>0</v>
      </c>
      <c r="AN594" s="39">
        <v>21</v>
      </c>
      <c r="AO594" s="39">
        <f t="shared" si="411"/>
        <v>0</v>
      </c>
      <c r="AP594" s="39">
        <f t="shared" si="437"/>
        <v>0</v>
      </c>
      <c r="AQ594" s="34" t="s">
        <v>11</v>
      </c>
      <c r="AV594" s="39">
        <f t="shared" si="428"/>
        <v>0</v>
      </c>
      <c r="AW594" s="39">
        <f t="shared" si="429"/>
        <v>0</v>
      </c>
      <c r="AX594" s="39">
        <f t="shared" si="430"/>
        <v>0</v>
      </c>
      <c r="AY594" s="40" t="s">
        <v>2017</v>
      </c>
      <c r="AZ594" s="40" t="s">
        <v>2041</v>
      </c>
      <c r="BA594" s="30" t="s">
        <v>2045</v>
      </c>
      <c r="BC594" s="39">
        <f t="shared" si="431"/>
        <v>0</v>
      </c>
      <c r="BD594" s="39">
        <f t="shared" si="432"/>
        <v>0</v>
      </c>
      <c r="BE594" s="39">
        <v>0</v>
      </c>
      <c r="BF594" s="39">
        <f t="shared" si="433"/>
        <v>6.4679999999999998E-3</v>
      </c>
      <c r="BH594" s="21">
        <f t="shared" si="434"/>
        <v>0</v>
      </c>
      <c r="BI594" s="21">
        <f t="shared" si="435"/>
        <v>0</v>
      </c>
      <c r="BJ594" s="21">
        <f t="shared" si="436"/>
        <v>0</v>
      </c>
    </row>
    <row r="595" spans="1:62">
      <c r="A595" s="5" t="s">
        <v>423</v>
      </c>
      <c r="B595" s="5"/>
      <c r="C595" s="5" t="s">
        <v>1027</v>
      </c>
      <c r="D595" s="5" t="s">
        <v>1725</v>
      </c>
      <c r="E595" s="5" t="s">
        <v>1944</v>
      </c>
      <c r="F595" s="21">
        <v>66.3</v>
      </c>
      <c r="G595" s="753">
        <v>0</v>
      </c>
      <c r="H595" s="21">
        <f t="shared" si="412"/>
        <v>0</v>
      </c>
      <c r="I595" s="21">
        <f t="shared" si="413"/>
        <v>0</v>
      </c>
      <c r="J595" s="21">
        <f t="shared" si="414"/>
        <v>0</v>
      </c>
      <c r="K595" s="21">
        <v>6.0000000000000002E-5</v>
      </c>
      <c r="L595" s="21">
        <f t="shared" si="415"/>
        <v>3.9779999999999998E-3</v>
      </c>
      <c r="M595" s="34" t="s">
        <v>1960</v>
      </c>
      <c r="O595">
        <f t="shared" si="416"/>
        <v>0</v>
      </c>
      <c r="Z595" s="39">
        <f t="shared" si="417"/>
        <v>0</v>
      </c>
      <c r="AB595" s="39">
        <f t="shared" si="418"/>
        <v>0</v>
      </c>
      <c r="AC595" s="39">
        <f t="shared" si="419"/>
        <v>0</v>
      </c>
      <c r="AD595" s="39">
        <f t="shared" si="420"/>
        <v>0</v>
      </c>
      <c r="AE595" s="39">
        <f t="shared" si="421"/>
        <v>0</v>
      </c>
      <c r="AF595" s="39">
        <f t="shared" si="422"/>
        <v>0</v>
      </c>
      <c r="AG595" s="39">
        <f t="shared" si="423"/>
        <v>0</v>
      </c>
      <c r="AH595" s="39">
        <f t="shared" si="424"/>
        <v>0</v>
      </c>
      <c r="AI595" s="30"/>
      <c r="AJ595" s="21">
        <f t="shared" si="425"/>
        <v>0</v>
      </c>
      <c r="AK595" s="21">
        <f t="shared" si="426"/>
        <v>0</v>
      </c>
      <c r="AL595" s="21">
        <f t="shared" si="427"/>
        <v>0</v>
      </c>
      <c r="AN595" s="39">
        <v>21</v>
      </c>
      <c r="AO595" s="39">
        <f t="shared" si="411"/>
        <v>0</v>
      </c>
      <c r="AP595" s="39">
        <f t="shared" si="437"/>
        <v>0</v>
      </c>
      <c r="AQ595" s="34" t="s">
        <v>11</v>
      </c>
      <c r="AV595" s="39">
        <f t="shared" si="428"/>
        <v>0</v>
      </c>
      <c r="AW595" s="39">
        <f t="shared" si="429"/>
        <v>0</v>
      </c>
      <c r="AX595" s="39">
        <f t="shared" si="430"/>
        <v>0</v>
      </c>
      <c r="AY595" s="40" t="s">
        <v>2017</v>
      </c>
      <c r="AZ595" s="40" t="s">
        <v>2041</v>
      </c>
      <c r="BA595" s="30" t="s">
        <v>2045</v>
      </c>
      <c r="BC595" s="39">
        <f t="shared" si="431"/>
        <v>0</v>
      </c>
      <c r="BD595" s="39">
        <f t="shared" si="432"/>
        <v>0</v>
      </c>
      <c r="BE595" s="39">
        <v>0</v>
      </c>
      <c r="BF595" s="39">
        <f t="shared" si="433"/>
        <v>3.9779999999999998E-3</v>
      </c>
      <c r="BH595" s="21">
        <f t="shared" si="434"/>
        <v>0</v>
      </c>
      <c r="BI595" s="21">
        <f t="shared" si="435"/>
        <v>0</v>
      </c>
      <c r="BJ595" s="21">
        <f t="shared" si="436"/>
        <v>0</v>
      </c>
    </row>
    <row r="596" spans="1:62">
      <c r="A596" s="5" t="s">
        <v>424</v>
      </c>
      <c r="B596" s="5"/>
      <c r="C596" s="5" t="s">
        <v>1028</v>
      </c>
      <c r="D596" s="5" t="s">
        <v>1726</v>
      </c>
      <c r="E596" s="5" t="s">
        <v>1944</v>
      </c>
      <c r="F596" s="21">
        <v>209</v>
      </c>
      <c r="G596" s="753">
        <v>0</v>
      </c>
      <c r="H596" s="21">
        <f t="shared" si="412"/>
        <v>0</v>
      </c>
      <c r="I596" s="21">
        <f t="shared" si="413"/>
        <v>0</v>
      </c>
      <c r="J596" s="21">
        <f t="shared" si="414"/>
        <v>0</v>
      </c>
      <c r="K596" s="21">
        <v>6.0000000000000002E-5</v>
      </c>
      <c r="L596" s="21">
        <f t="shared" si="415"/>
        <v>1.2540000000000001E-2</v>
      </c>
      <c r="M596" s="34" t="s">
        <v>1960</v>
      </c>
      <c r="O596">
        <f t="shared" si="416"/>
        <v>0</v>
      </c>
      <c r="Z596" s="39">
        <f t="shared" si="417"/>
        <v>0</v>
      </c>
      <c r="AB596" s="39">
        <f t="shared" si="418"/>
        <v>0</v>
      </c>
      <c r="AC596" s="39">
        <f t="shared" si="419"/>
        <v>0</v>
      </c>
      <c r="AD596" s="39">
        <f t="shared" si="420"/>
        <v>0</v>
      </c>
      <c r="AE596" s="39">
        <f t="shared" si="421"/>
        <v>0</v>
      </c>
      <c r="AF596" s="39">
        <f t="shared" si="422"/>
        <v>0</v>
      </c>
      <c r="AG596" s="39">
        <f t="shared" si="423"/>
        <v>0</v>
      </c>
      <c r="AH596" s="39">
        <f t="shared" si="424"/>
        <v>0</v>
      </c>
      <c r="AI596" s="30"/>
      <c r="AJ596" s="21">
        <f t="shared" si="425"/>
        <v>0</v>
      </c>
      <c r="AK596" s="21">
        <f t="shared" si="426"/>
        <v>0</v>
      </c>
      <c r="AL596" s="21">
        <f t="shared" si="427"/>
        <v>0</v>
      </c>
      <c r="AN596" s="39">
        <v>21</v>
      </c>
      <c r="AO596" s="39">
        <f t="shared" si="411"/>
        <v>0</v>
      </c>
      <c r="AP596" s="39">
        <f t="shared" si="437"/>
        <v>0</v>
      </c>
      <c r="AQ596" s="34" t="s">
        <v>11</v>
      </c>
      <c r="AV596" s="39">
        <f t="shared" si="428"/>
        <v>0</v>
      </c>
      <c r="AW596" s="39">
        <f t="shared" si="429"/>
        <v>0</v>
      </c>
      <c r="AX596" s="39">
        <f t="shared" si="430"/>
        <v>0</v>
      </c>
      <c r="AY596" s="40" t="s">
        <v>2017</v>
      </c>
      <c r="AZ596" s="40" t="s">
        <v>2041</v>
      </c>
      <c r="BA596" s="30" t="s">
        <v>2045</v>
      </c>
      <c r="BC596" s="39">
        <f t="shared" si="431"/>
        <v>0</v>
      </c>
      <c r="BD596" s="39">
        <f t="shared" si="432"/>
        <v>0</v>
      </c>
      <c r="BE596" s="39">
        <v>0</v>
      </c>
      <c r="BF596" s="39">
        <f t="shared" si="433"/>
        <v>1.2540000000000001E-2</v>
      </c>
      <c r="BH596" s="21">
        <f t="shared" si="434"/>
        <v>0</v>
      </c>
      <c r="BI596" s="21">
        <f t="shared" si="435"/>
        <v>0</v>
      </c>
      <c r="BJ596" s="21">
        <f t="shared" si="436"/>
        <v>0</v>
      </c>
    </row>
    <row r="597" spans="1:62">
      <c r="A597" s="5" t="s">
        <v>425</v>
      </c>
      <c r="B597" s="5"/>
      <c r="C597" s="5" t="s">
        <v>1029</v>
      </c>
      <c r="D597" s="5" t="s">
        <v>1727</v>
      </c>
      <c r="E597" s="5" t="s">
        <v>1944</v>
      </c>
      <c r="F597" s="21">
        <v>69.099999999999994</v>
      </c>
      <c r="G597" s="753">
        <v>0</v>
      </c>
      <c r="H597" s="21">
        <f t="shared" si="412"/>
        <v>0</v>
      </c>
      <c r="I597" s="21">
        <f t="shared" si="413"/>
        <v>0</v>
      </c>
      <c r="J597" s="21">
        <f t="shared" si="414"/>
        <v>0</v>
      </c>
      <c r="K597" s="21">
        <v>6.0000000000000002E-5</v>
      </c>
      <c r="L597" s="21">
        <f t="shared" si="415"/>
        <v>4.1459999999999995E-3</v>
      </c>
      <c r="M597" s="34" t="s">
        <v>1960</v>
      </c>
      <c r="O597">
        <f t="shared" si="416"/>
        <v>0</v>
      </c>
      <c r="Z597" s="39">
        <f t="shared" si="417"/>
        <v>0</v>
      </c>
      <c r="AB597" s="39">
        <f t="shared" si="418"/>
        <v>0</v>
      </c>
      <c r="AC597" s="39">
        <f t="shared" si="419"/>
        <v>0</v>
      </c>
      <c r="AD597" s="39">
        <f t="shared" si="420"/>
        <v>0</v>
      </c>
      <c r="AE597" s="39">
        <f t="shared" si="421"/>
        <v>0</v>
      </c>
      <c r="AF597" s="39">
        <f t="shared" si="422"/>
        <v>0</v>
      </c>
      <c r="AG597" s="39">
        <f t="shared" si="423"/>
        <v>0</v>
      </c>
      <c r="AH597" s="39">
        <f t="shared" si="424"/>
        <v>0</v>
      </c>
      <c r="AI597" s="30"/>
      <c r="AJ597" s="21">
        <f t="shared" si="425"/>
        <v>0</v>
      </c>
      <c r="AK597" s="21">
        <f t="shared" si="426"/>
        <v>0</v>
      </c>
      <c r="AL597" s="21">
        <f t="shared" si="427"/>
        <v>0</v>
      </c>
      <c r="AN597" s="39">
        <v>21</v>
      </c>
      <c r="AO597" s="39">
        <f t="shared" si="411"/>
        <v>0</v>
      </c>
      <c r="AP597" s="39">
        <f t="shared" si="437"/>
        <v>0</v>
      </c>
      <c r="AQ597" s="34" t="s">
        <v>11</v>
      </c>
      <c r="AV597" s="39">
        <f t="shared" si="428"/>
        <v>0</v>
      </c>
      <c r="AW597" s="39">
        <f t="shared" si="429"/>
        <v>0</v>
      </c>
      <c r="AX597" s="39">
        <f t="shared" si="430"/>
        <v>0</v>
      </c>
      <c r="AY597" s="40" t="s">
        <v>2017</v>
      </c>
      <c r="AZ597" s="40" t="s">
        <v>2041</v>
      </c>
      <c r="BA597" s="30" t="s">
        <v>2045</v>
      </c>
      <c r="BC597" s="39">
        <f t="shared" si="431"/>
        <v>0</v>
      </c>
      <c r="BD597" s="39">
        <f t="shared" si="432"/>
        <v>0</v>
      </c>
      <c r="BE597" s="39">
        <v>0</v>
      </c>
      <c r="BF597" s="39">
        <f t="shared" si="433"/>
        <v>4.1459999999999995E-3</v>
      </c>
      <c r="BH597" s="21">
        <f t="shared" si="434"/>
        <v>0</v>
      </c>
      <c r="BI597" s="21">
        <f t="shared" si="435"/>
        <v>0</v>
      </c>
      <c r="BJ597" s="21">
        <f t="shared" si="436"/>
        <v>0</v>
      </c>
    </row>
    <row r="598" spans="1:62">
      <c r="A598" s="5" t="s">
        <v>426</v>
      </c>
      <c r="B598" s="5"/>
      <c r="C598" s="5" t="s">
        <v>1030</v>
      </c>
      <c r="D598" s="5" t="s">
        <v>1728</v>
      </c>
      <c r="E598" s="5" t="s">
        <v>1939</v>
      </c>
      <c r="F598" s="21">
        <v>9.5</v>
      </c>
      <c r="G598" s="753">
        <v>0</v>
      </c>
      <c r="H598" s="21">
        <f t="shared" si="412"/>
        <v>0</v>
      </c>
      <c r="I598" s="21">
        <f t="shared" si="413"/>
        <v>0</v>
      </c>
      <c r="J598" s="21">
        <f t="shared" si="414"/>
        <v>0</v>
      </c>
      <c r="K598" s="21">
        <v>6.0000000000000002E-5</v>
      </c>
      <c r="L598" s="21">
        <f t="shared" si="415"/>
        <v>5.6999999999999998E-4</v>
      </c>
      <c r="M598" s="34" t="s">
        <v>1960</v>
      </c>
      <c r="O598">
        <f t="shared" si="416"/>
        <v>0</v>
      </c>
      <c r="Z598" s="39">
        <f t="shared" si="417"/>
        <v>0</v>
      </c>
      <c r="AB598" s="39">
        <f t="shared" si="418"/>
        <v>0</v>
      </c>
      <c r="AC598" s="39">
        <f t="shared" si="419"/>
        <v>0</v>
      </c>
      <c r="AD598" s="39">
        <f t="shared" si="420"/>
        <v>0</v>
      </c>
      <c r="AE598" s="39">
        <f t="shared" si="421"/>
        <v>0</v>
      </c>
      <c r="AF598" s="39">
        <f t="shared" si="422"/>
        <v>0</v>
      </c>
      <c r="AG598" s="39">
        <f t="shared" si="423"/>
        <v>0</v>
      </c>
      <c r="AH598" s="39">
        <f t="shared" si="424"/>
        <v>0</v>
      </c>
      <c r="AI598" s="30"/>
      <c r="AJ598" s="21">
        <f t="shared" si="425"/>
        <v>0</v>
      </c>
      <c r="AK598" s="21">
        <f t="shared" si="426"/>
        <v>0</v>
      </c>
      <c r="AL598" s="21">
        <f t="shared" si="427"/>
        <v>0</v>
      </c>
      <c r="AN598" s="39">
        <v>21</v>
      </c>
      <c r="AO598" s="39">
        <f t="shared" si="411"/>
        <v>0</v>
      </c>
      <c r="AP598" s="39">
        <f>G598*(1-0.282911392405063)</f>
        <v>0</v>
      </c>
      <c r="AQ598" s="34" t="s">
        <v>11</v>
      </c>
      <c r="AV598" s="39">
        <f t="shared" si="428"/>
        <v>0</v>
      </c>
      <c r="AW598" s="39">
        <f t="shared" si="429"/>
        <v>0</v>
      </c>
      <c r="AX598" s="39">
        <f t="shared" si="430"/>
        <v>0</v>
      </c>
      <c r="AY598" s="40" t="s">
        <v>2017</v>
      </c>
      <c r="AZ598" s="40" t="s">
        <v>2041</v>
      </c>
      <c r="BA598" s="30" t="s">
        <v>2045</v>
      </c>
      <c r="BC598" s="39">
        <f t="shared" si="431"/>
        <v>0</v>
      </c>
      <c r="BD598" s="39">
        <f t="shared" si="432"/>
        <v>0</v>
      </c>
      <c r="BE598" s="39">
        <v>0</v>
      </c>
      <c r="BF598" s="39">
        <f t="shared" si="433"/>
        <v>5.6999999999999998E-4</v>
      </c>
      <c r="BH598" s="21">
        <f t="shared" si="434"/>
        <v>0</v>
      </c>
      <c r="BI598" s="21">
        <f t="shared" si="435"/>
        <v>0</v>
      </c>
      <c r="BJ598" s="21">
        <f t="shared" si="436"/>
        <v>0</v>
      </c>
    </row>
    <row r="599" spans="1:62">
      <c r="A599" s="5" t="s">
        <v>427</v>
      </c>
      <c r="B599" s="5"/>
      <c r="C599" s="5" t="s">
        <v>1031</v>
      </c>
      <c r="D599" s="5" t="s">
        <v>1729</v>
      </c>
      <c r="E599" s="5" t="s">
        <v>1939</v>
      </c>
      <c r="F599" s="21">
        <v>4.5</v>
      </c>
      <c r="G599" s="753">
        <v>0</v>
      </c>
      <c r="H599" s="21">
        <f t="shared" si="412"/>
        <v>0</v>
      </c>
      <c r="I599" s="21">
        <f t="shared" si="413"/>
        <v>0</v>
      </c>
      <c r="J599" s="21">
        <f t="shared" si="414"/>
        <v>0</v>
      </c>
      <c r="K599" s="21">
        <v>6.0000000000000002E-5</v>
      </c>
      <c r="L599" s="21">
        <f t="shared" si="415"/>
        <v>2.7E-4</v>
      </c>
      <c r="M599" s="34" t="s">
        <v>1960</v>
      </c>
      <c r="O599">
        <f t="shared" si="416"/>
        <v>0</v>
      </c>
      <c r="Z599" s="39">
        <f t="shared" si="417"/>
        <v>0</v>
      </c>
      <c r="AB599" s="39">
        <f t="shared" si="418"/>
        <v>0</v>
      </c>
      <c r="AC599" s="39">
        <f t="shared" si="419"/>
        <v>0</v>
      </c>
      <c r="AD599" s="39">
        <f t="shared" si="420"/>
        <v>0</v>
      </c>
      <c r="AE599" s="39">
        <f t="shared" si="421"/>
        <v>0</v>
      </c>
      <c r="AF599" s="39">
        <f t="shared" si="422"/>
        <v>0</v>
      </c>
      <c r="AG599" s="39">
        <f t="shared" si="423"/>
        <v>0</v>
      </c>
      <c r="AH599" s="39">
        <f t="shared" si="424"/>
        <v>0</v>
      </c>
      <c r="AI599" s="30"/>
      <c r="AJ599" s="21">
        <f t="shared" si="425"/>
        <v>0</v>
      </c>
      <c r="AK599" s="21">
        <f t="shared" si="426"/>
        <v>0</v>
      </c>
      <c r="AL599" s="21">
        <f t="shared" si="427"/>
        <v>0</v>
      </c>
      <c r="AN599" s="39">
        <v>21</v>
      </c>
      <c r="AO599" s="39">
        <f t="shared" si="411"/>
        <v>0</v>
      </c>
      <c r="AP599" s="39">
        <f>G599*(1-0.282882681564246)</f>
        <v>0</v>
      </c>
      <c r="AQ599" s="34" t="s">
        <v>11</v>
      </c>
      <c r="AV599" s="39">
        <f t="shared" si="428"/>
        <v>0</v>
      </c>
      <c r="AW599" s="39">
        <f t="shared" si="429"/>
        <v>0</v>
      </c>
      <c r="AX599" s="39">
        <f t="shared" si="430"/>
        <v>0</v>
      </c>
      <c r="AY599" s="40" t="s">
        <v>2017</v>
      </c>
      <c r="AZ599" s="40" t="s">
        <v>2041</v>
      </c>
      <c r="BA599" s="30" t="s">
        <v>2045</v>
      </c>
      <c r="BC599" s="39">
        <f t="shared" si="431"/>
        <v>0</v>
      </c>
      <c r="BD599" s="39">
        <f t="shared" si="432"/>
        <v>0</v>
      </c>
      <c r="BE599" s="39">
        <v>0</v>
      </c>
      <c r="BF599" s="39">
        <f t="shared" si="433"/>
        <v>2.7E-4</v>
      </c>
      <c r="BH599" s="21">
        <f t="shared" si="434"/>
        <v>0</v>
      </c>
      <c r="BI599" s="21">
        <f t="shared" si="435"/>
        <v>0</v>
      </c>
      <c r="BJ599" s="21">
        <f t="shared" si="436"/>
        <v>0</v>
      </c>
    </row>
    <row r="600" spans="1:62">
      <c r="A600" s="5" t="s">
        <v>428</v>
      </c>
      <c r="B600" s="5"/>
      <c r="C600" s="5" t="s">
        <v>1032</v>
      </c>
      <c r="D600" s="5" t="s">
        <v>1730</v>
      </c>
      <c r="E600" s="5" t="s">
        <v>1938</v>
      </c>
      <c r="F600" s="21">
        <v>1</v>
      </c>
      <c r="G600" s="753">
        <v>0</v>
      </c>
      <c r="H600" s="21">
        <f t="shared" si="412"/>
        <v>0</v>
      </c>
      <c r="I600" s="21">
        <f t="shared" si="413"/>
        <v>0</v>
      </c>
      <c r="J600" s="21">
        <f t="shared" si="414"/>
        <v>0</v>
      </c>
      <c r="K600" s="21">
        <v>0</v>
      </c>
      <c r="L600" s="21">
        <f t="shared" si="415"/>
        <v>0</v>
      </c>
      <c r="M600" s="34" t="s">
        <v>1960</v>
      </c>
      <c r="O600">
        <f t="shared" si="416"/>
        <v>0</v>
      </c>
      <c r="Z600" s="39">
        <f t="shared" si="417"/>
        <v>0</v>
      </c>
      <c r="AB600" s="39">
        <f t="shared" si="418"/>
        <v>0</v>
      </c>
      <c r="AC600" s="39">
        <f t="shared" si="419"/>
        <v>0</v>
      </c>
      <c r="AD600" s="39">
        <f t="shared" si="420"/>
        <v>0</v>
      </c>
      <c r="AE600" s="39">
        <f t="shared" si="421"/>
        <v>0</v>
      </c>
      <c r="AF600" s="39">
        <f t="shared" si="422"/>
        <v>0</v>
      </c>
      <c r="AG600" s="39">
        <f t="shared" si="423"/>
        <v>0</v>
      </c>
      <c r="AH600" s="39">
        <f t="shared" si="424"/>
        <v>0</v>
      </c>
      <c r="AI600" s="30"/>
      <c r="AJ600" s="21">
        <f t="shared" si="425"/>
        <v>0</v>
      </c>
      <c r="AK600" s="21">
        <f t="shared" si="426"/>
        <v>0</v>
      </c>
      <c r="AL600" s="21">
        <f t="shared" si="427"/>
        <v>0</v>
      </c>
      <c r="AN600" s="39">
        <v>21</v>
      </c>
      <c r="AO600" s="39">
        <f t="shared" ref="AO600:AO613" si="438">G600*0</f>
        <v>0</v>
      </c>
      <c r="AP600" s="39">
        <f t="shared" ref="AP600:AP613" si="439">G600*(1-0)</f>
        <v>0</v>
      </c>
      <c r="AQ600" s="34" t="s">
        <v>11</v>
      </c>
      <c r="AV600" s="39">
        <f t="shared" si="428"/>
        <v>0</v>
      </c>
      <c r="AW600" s="39">
        <f t="shared" si="429"/>
        <v>0</v>
      </c>
      <c r="AX600" s="39">
        <f t="shared" si="430"/>
        <v>0</v>
      </c>
      <c r="AY600" s="40" t="s">
        <v>2017</v>
      </c>
      <c r="AZ600" s="40" t="s">
        <v>2041</v>
      </c>
      <c r="BA600" s="30" t="s">
        <v>2045</v>
      </c>
      <c r="BC600" s="39">
        <f t="shared" si="431"/>
        <v>0</v>
      </c>
      <c r="BD600" s="39">
        <f t="shared" si="432"/>
        <v>0</v>
      </c>
      <c r="BE600" s="39">
        <v>0</v>
      </c>
      <c r="BF600" s="39">
        <f t="shared" si="433"/>
        <v>0</v>
      </c>
      <c r="BH600" s="21">
        <f t="shared" si="434"/>
        <v>0</v>
      </c>
      <c r="BI600" s="21">
        <f t="shared" si="435"/>
        <v>0</v>
      </c>
      <c r="BJ600" s="21">
        <f t="shared" si="436"/>
        <v>0</v>
      </c>
    </row>
    <row r="601" spans="1:62">
      <c r="A601" s="5" t="s">
        <v>429</v>
      </c>
      <c r="B601" s="5"/>
      <c r="C601" s="5" t="s">
        <v>1033</v>
      </c>
      <c r="D601" s="5" t="s">
        <v>1731</v>
      </c>
      <c r="E601" s="5" t="s">
        <v>1939</v>
      </c>
      <c r="F601" s="21">
        <v>135.69999999999999</v>
      </c>
      <c r="G601" s="753">
        <v>0</v>
      </c>
      <c r="H601" s="21">
        <f t="shared" si="412"/>
        <v>0</v>
      </c>
      <c r="I601" s="21">
        <f t="shared" si="413"/>
        <v>0</v>
      </c>
      <c r="J601" s="21">
        <f t="shared" si="414"/>
        <v>0</v>
      </c>
      <c r="K601" s="21">
        <v>0</v>
      </c>
      <c r="L601" s="21">
        <f t="shared" si="415"/>
        <v>0</v>
      </c>
      <c r="M601" s="34" t="s">
        <v>1960</v>
      </c>
      <c r="O601">
        <f t="shared" si="416"/>
        <v>0</v>
      </c>
      <c r="Z601" s="39">
        <f t="shared" si="417"/>
        <v>0</v>
      </c>
      <c r="AB601" s="39">
        <f t="shared" si="418"/>
        <v>0</v>
      </c>
      <c r="AC601" s="39">
        <f t="shared" si="419"/>
        <v>0</v>
      </c>
      <c r="AD601" s="39">
        <f t="shared" si="420"/>
        <v>0</v>
      </c>
      <c r="AE601" s="39">
        <f t="shared" si="421"/>
        <v>0</v>
      </c>
      <c r="AF601" s="39">
        <f t="shared" si="422"/>
        <v>0</v>
      </c>
      <c r="AG601" s="39">
        <f t="shared" si="423"/>
        <v>0</v>
      </c>
      <c r="AH601" s="39">
        <f t="shared" si="424"/>
        <v>0</v>
      </c>
      <c r="AI601" s="30"/>
      <c r="AJ601" s="21">
        <f t="shared" si="425"/>
        <v>0</v>
      </c>
      <c r="AK601" s="21">
        <f t="shared" si="426"/>
        <v>0</v>
      </c>
      <c r="AL601" s="21">
        <f t="shared" si="427"/>
        <v>0</v>
      </c>
      <c r="AN601" s="39">
        <v>21</v>
      </c>
      <c r="AO601" s="39">
        <f t="shared" si="438"/>
        <v>0</v>
      </c>
      <c r="AP601" s="39">
        <f t="shared" si="439"/>
        <v>0</v>
      </c>
      <c r="AQ601" s="34" t="s">
        <v>11</v>
      </c>
      <c r="AV601" s="39">
        <f t="shared" si="428"/>
        <v>0</v>
      </c>
      <c r="AW601" s="39">
        <f t="shared" si="429"/>
        <v>0</v>
      </c>
      <c r="AX601" s="39">
        <f t="shared" si="430"/>
        <v>0</v>
      </c>
      <c r="AY601" s="40" t="s">
        <v>2017</v>
      </c>
      <c r="AZ601" s="40" t="s">
        <v>2041</v>
      </c>
      <c r="BA601" s="30" t="s">
        <v>2045</v>
      </c>
      <c r="BC601" s="39">
        <f t="shared" si="431"/>
        <v>0</v>
      </c>
      <c r="BD601" s="39">
        <f t="shared" si="432"/>
        <v>0</v>
      </c>
      <c r="BE601" s="39">
        <v>0</v>
      </c>
      <c r="BF601" s="39">
        <f t="shared" si="433"/>
        <v>0</v>
      </c>
      <c r="BH601" s="21">
        <f t="shared" si="434"/>
        <v>0</v>
      </c>
      <c r="BI601" s="21">
        <f t="shared" si="435"/>
        <v>0</v>
      </c>
      <c r="BJ601" s="21">
        <f t="shared" si="436"/>
        <v>0</v>
      </c>
    </row>
    <row r="602" spans="1:62">
      <c r="A602" s="5" t="s">
        <v>430</v>
      </c>
      <c r="B602" s="5"/>
      <c r="C602" s="5" t="s">
        <v>1034</v>
      </c>
      <c r="D602" s="5" t="s">
        <v>1732</v>
      </c>
      <c r="E602" s="5" t="s">
        <v>1938</v>
      </c>
      <c r="F602" s="21">
        <v>1</v>
      </c>
      <c r="G602" s="753">
        <v>0</v>
      </c>
      <c r="H602" s="21">
        <f t="shared" si="412"/>
        <v>0</v>
      </c>
      <c r="I602" s="21">
        <f t="shared" si="413"/>
        <v>0</v>
      </c>
      <c r="J602" s="21">
        <f t="shared" si="414"/>
        <v>0</v>
      </c>
      <c r="K602" s="21">
        <v>0</v>
      </c>
      <c r="L602" s="21">
        <f t="shared" si="415"/>
        <v>0</v>
      </c>
      <c r="M602" s="34" t="s">
        <v>1960</v>
      </c>
      <c r="O602">
        <f t="shared" si="416"/>
        <v>0</v>
      </c>
      <c r="Z602" s="39">
        <f t="shared" si="417"/>
        <v>0</v>
      </c>
      <c r="AB602" s="39">
        <f t="shared" si="418"/>
        <v>0</v>
      </c>
      <c r="AC602" s="39">
        <f t="shared" si="419"/>
        <v>0</v>
      </c>
      <c r="AD602" s="39">
        <f t="shared" si="420"/>
        <v>0</v>
      </c>
      <c r="AE602" s="39">
        <f t="shared" si="421"/>
        <v>0</v>
      </c>
      <c r="AF602" s="39">
        <f t="shared" si="422"/>
        <v>0</v>
      </c>
      <c r="AG602" s="39">
        <f t="shared" si="423"/>
        <v>0</v>
      </c>
      <c r="AH602" s="39">
        <f t="shared" si="424"/>
        <v>0</v>
      </c>
      <c r="AI602" s="30"/>
      <c r="AJ602" s="21">
        <f t="shared" si="425"/>
        <v>0</v>
      </c>
      <c r="AK602" s="21">
        <f t="shared" si="426"/>
        <v>0</v>
      </c>
      <c r="AL602" s="21">
        <f t="shared" si="427"/>
        <v>0</v>
      </c>
      <c r="AN602" s="39">
        <v>21</v>
      </c>
      <c r="AO602" s="39">
        <f t="shared" si="438"/>
        <v>0</v>
      </c>
      <c r="AP602" s="39">
        <f t="shared" si="439"/>
        <v>0</v>
      </c>
      <c r="AQ602" s="34" t="s">
        <v>11</v>
      </c>
      <c r="AV602" s="39">
        <f t="shared" si="428"/>
        <v>0</v>
      </c>
      <c r="AW602" s="39">
        <f t="shared" si="429"/>
        <v>0</v>
      </c>
      <c r="AX602" s="39">
        <f t="shared" si="430"/>
        <v>0</v>
      </c>
      <c r="AY602" s="40" t="s">
        <v>2017</v>
      </c>
      <c r="AZ602" s="40" t="s">
        <v>2041</v>
      </c>
      <c r="BA602" s="30" t="s">
        <v>2045</v>
      </c>
      <c r="BC602" s="39">
        <f t="shared" si="431"/>
        <v>0</v>
      </c>
      <c r="BD602" s="39">
        <f t="shared" si="432"/>
        <v>0</v>
      </c>
      <c r="BE602" s="39">
        <v>0</v>
      </c>
      <c r="BF602" s="39">
        <f t="shared" si="433"/>
        <v>0</v>
      </c>
      <c r="BH602" s="21">
        <f t="shared" si="434"/>
        <v>0</v>
      </c>
      <c r="BI602" s="21">
        <f t="shared" si="435"/>
        <v>0</v>
      </c>
      <c r="BJ602" s="21">
        <f t="shared" si="436"/>
        <v>0</v>
      </c>
    </row>
    <row r="603" spans="1:62">
      <c r="A603" s="5" t="s">
        <v>431</v>
      </c>
      <c r="B603" s="5"/>
      <c r="C603" s="5" t="s">
        <v>1035</v>
      </c>
      <c r="D603" s="5" t="s">
        <v>1733</v>
      </c>
      <c r="E603" s="5" t="s">
        <v>1938</v>
      </c>
      <c r="F603" s="21">
        <v>1</v>
      </c>
      <c r="G603" s="753">
        <v>0</v>
      </c>
      <c r="H603" s="21">
        <f t="shared" si="412"/>
        <v>0</v>
      </c>
      <c r="I603" s="21">
        <f t="shared" si="413"/>
        <v>0</v>
      </c>
      <c r="J603" s="21">
        <f t="shared" si="414"/>
        <v>0</v>
      </c>
      <c r="K603" s="21">
        <v>0</v>
      </c>
      <c r="L603" s="21">
        <f t="shared" si="415"/>
        <v>0</v>
      </c>
      <c r="M603" s="34" t="s">
        <v>1960</v>
      </c>
      <c r="O603">
        <f t="shared" si="416"/>
        <v>0</v>
      </c>
      <c r="Z603" s="39">
        <f t="shared" si="417"/>
        <v>0</v>
      </c>
      <c r="AB603" s="39">
        <f t="shared" si="418"/>
        <v>0</v>
      </c>
      <c r="AC603" s="39">
        <f t="shared" si="419"/>
        <v>0</v>
      </c>
      <c r="AD603" s="39">
        <f t="shared" si="420"/>
        <v>0</v>
      </c>
      <c r="AE603" s="39">
        <f t="shared" si="421"/>
        <v>0</v>
      </c>
      <c r="AF603" s="39">
        <f t="shared" si="422"/>
        <v>0</v>
      </c>
      <c r="AG603" s="39">
        <f t="shared" si="423"/>
        <v>0</v>
      </c>
      <c r="AH603" s="39">
        <f t="shared" si="424"/>
        <v>0</v>
      </c>
      <c r="AI603" s="30"/>
      <c r="AJ603" s="21">
        <f t="shared" si="425"/>
        <v>0</v>
      </c>
      <c r="AK603" s="21">
        <f t="shared" si="426"/>
        <v>0</v>
      </c>
      <c r="AL603" s="21">
        <f t="shared" si="427"/>
        <v>0</v>
      </c>
      <c r="AN603" s="39">
        <v>21</v>
      </c>
      <c r="AO603" s="39">
        <f t="shared" si="438"/>
        <v>0</v>
      </c>
      <c r="AP603" s="39">
        <f t="shared" si="439"/>
        <v>0</v>
      </c>
      <c r="AQ603" s="34" t="s">
        <v>11</v>
      </c>
      <c r="AV603" s="39">
        <f t="shared" si="428"/>
        <v>0</v>
      </c>
      <c r="AW603" s="39">
        <f t="shared" si="429"/>
        <v>0</v>
      </c>
      <c r="AX603" s="39">
        <f t="shared" si="430"/>
        <v>0</v>
      </c>
      <c r="AY603" s="40" t="s">
        <v>2017</v>
      </c>
      <c r="AZ603" s="40" t="s">
        <v>2041</v>
      </c>
      <c r="BA603" s="30" t="s">
        <v>2045</v>
      </c>
      <c r="BC603" s="39">
        <f t="shared" si="431"/>
        <v>0</v>
      </c>
      <c r="BD603" s="39">
        <f t="shared" si="432"/>
        <v>0</v>
      </c>
      <c r="BE603" s="39">
        <v>0</v>
      </c>
      <c r="BF603" s="39">
        <f t="shared" si="433"/>
        <v>0</v>
      </c>
      <c r="BH603" s="21">
        <f t="shared" si="434"/>
        <v>0</v>
      </c>
      <c r="BI603" s="21">
        <f t="shared" si="435"/>
        <v>0</v>
      </c>
      <c r="BJ603" s="21">
        <f t="shared" si="436"/>
        <v>0</v>
      </c>
    </row>
    <row r="604" spans="1:62">
      <c r="A604" s="5" t="s">
        <v>432</v>
      </c>
      <c r="B604" s="5"/>
      <c r="C604" s="5" t="s">
        <v>1036</v>
      </c>
      <c r="D604" s="5" t="s">
        <v>1734</v>
      </c>
      <c r="E604" s="5" t="s">
        <v>1938</v>
      </c>
      <c r="F604" s="21">
        <v>1</v>
      </c>
      <c r="G604" s="753">
        <v>0</v>
      </c>
      <c r="H604" s="21">
        <f t="shared" si="412"/>
        <v>0</v>
      </c>
      <c r="I604" s="21">
        <f t="shared" si="413"/>
        <v>0</v>
      </c>
      <c r="J604" s="21">
        <f t="shared" si="414"/>
        <v>0</v>
      </c>
      <c r="K604" s="21">
        <v>0</v>
      </c>
      <c r="L604" s="21">
        <f t="shared" si="415"/>
        <v>0</v>
      </c>
      <c r="M604" s="34" t="s">
        <v>1960</v>
      </c>
      <c r="O604">
        <f t="shared" si="416"/>
        <v>0</v>
      </c>
      <c r="Z604" s="39">
        <f t="shared" si="417"/>
        <v>0</v>
      </c>
      <c r="AB604" s="39">
        <f t="shared" si="418"/>
        <v>0</v>
      </c>
      <c r="AC604" s="39">
        <f t="shared" si="419"/>
        <v>0</v>
      </c>
      <c r="AD604" s="39">
        <f t="shared" si="420"/>
        <v>0</v>
      </c>
      <c r="AE604" s="39">
        <f t="shared" si="421"/>
        <v>0</v>
      </c>
      <c r="AF604" s="39">
        <f t="shared" si="422"/>
        <v>0</v>
      </c>
      <c r="AG604" s="39">
        <f t="shared" si="423"/>
        <v>0</v>
      </c>
      <c r="AH604" s="39">
        <f t="shared" si="424"/>
        <v>0</v>
      </c>
      <c r="AI604" s="30"/>
      <c r="AJ604" s="21">
        <f t="shared" si="425"/>
        <v>0</v>
      </c>
      <c r="AK604" s="21">
        <f t="shared" si="426"/>
        <v>0</v>
      </c>
      <c r="AL604" s="21">
        <f t="shared" si="427"/>
        <v>0</v>
      </c>
      <c r="AN604" s="39">
        <v>21</v>
      </c>
      <c r="AO604" s="39">
        <f t="shared" si="438"/>
        <v>0</v>
      </c>
      <c r="AP604" s="39">
        <f t="shared" si="439"/>
        <v>0</v>
      </c>
      <c r="AQ604" s="34" t="s">
        <v>11</v>
      </c>
      <c r="AV604" s="39">
        <f t="shared" si="428"/>
        <v>0</v>
      </c>
      <c r="AW604" s="39">
        <f t="shared" si="429"/>
        <v>0</v>
      </c>
      <c r="AX604" s="39">
        <f t="shared" si="430"/>
        <v>0</v>
      </c>
      <c r="AY604" s="40" t="s">
        <v>2017</v>
      </c>
      <c r="AZ604" s="40" t="s">
        <v>2041</v>
      </c>
      <c r="BA604" s="30" t="s">
        <v>2045</v>
      </c>
      <c r="BC604" s="39">
        <f t="shared" si="431"/>
        <v>0</v>
      </c>
      <c r="BD604" s="39">
        <f t="shared" si="432"/>
        <v>0</v>
      </c>
      <c r="BE604" s="39">
        <v>0</v>
      </c>
      <c r="BF604" s="39">
        <f t="shared" si="433"/>
        <v>0</v>
      </c>
      <c r="BH604" s="21">
        <f t="shared" si="434"/>
        <v>0</v>
      </c>
      <c r="BI604" s="21">
        <f t="shared" si="435"/>
        <v>0</v>
      </c>
      <c r="BJ604" s="21">
        <f t="shared" si="436"/>
        <v>0</v>
      </c>
    </row>
    <row r="605" spans="1:62">
      <c r="A605" s="5" t="s">
        <v>433</v>
      </c>
      <c r="B605" s="5"/>
      <c r="C605" s="5" t="s">
        <v>1037</v>
      </c>
      <c r="D605" s="5" t="s">
        <v>1735</v>
      </c>
      <c r="E605" s="5" t="s">
        <v>1938</v>
      </c>
      <c r="F605" s="21">
        <v>1</v>
      </c>
      <c r="G605" s="753">
        <v>0</v>
      </c>
      <c r="H605" s="21">
        <f t="shared" si="412"/>
        <v>0</v>
      </c>
      <c r="I605" s="21">
        <f t="shared" si="413"/>
        <v>0</v>
      </c>
      <c r="J605" s="21">
        <f t="shared" si="414"/>
        <v>0</v>
      </c>
      <c r="K605" s="21">
        <v>0</v>
      </c>
      <c r="L605" s="21">
        <f t="shared" si="415"/>
        <v>0</v>
      </c>
      <c r="M605" s="34" t="s">
        <v>1960</v>
      </c>
      <c r="O605">
        <f t="shared" si="416"/>
        <v>0</v>
      </c>
      <c r="Z605" s="39">
        <f t="shared" si="417"/>
        <v>0</v>
      </c>
      <c r="AB605" s="39">
        <f t="shared" si="418"/>
        <v>0</v>
      </c>
      <c r="AC605" s="39">
        <f t="shared" si="419"/>
        <v>0</v>
      </c>
      <c r="AD605" s="39">
        <f t="shared" si="420"/>
        <v>0</v>
      </c>
      <c r="AE605" s="39">
        <f t="shared" si="421"/>
        <v>0</v>
      </c>
      <c r="AF605" s="39">
        <f t="shared" si="422"/>
        <v>0</v>
      </c>
      <c r="AG605" s="39">
        <f t="shared" si="423"/>
        <v>0</v>
      </c>
      <c r="AH605" s="39">
        <f t="shared" si="424"/>
        <v>0</v>
      </c>
      <c r="AI605" s="30"/>
      <c r="AJ605" s="21">
        <f t="shared" si="425"/>
        <v>0</v>
      </c>
      <c r="AK605" s="21">
        <f t="shared" si="426"/>
        <v>0</v>
      </c>
      <c r="AL605" s="21">
        <f t="shared" si="427"/>
        <v>0</v>
      </c>
      <c r="AN605" s="39">
        <v>21</v>
      </c>
      <c r="AO605" s="39">
        <f t="shared" si="438"/>
        <v>0</v>
      </c>
      <c r="AP605" s="39">
        <f t="shared" si="439"/>
        <v>0</v>
      </c>
      <c r="AQ605" s="34" t="s">
        <v>11</v>
      </c>
      <c r="AV605" s="39">
        <f t="shared" si="428"/>
        <v>0</v>
      </c>
      <c r="AW605" s="39">
        <f t="shared" si="429"/>
        <v>0</v>
      </c>
      <c r="AX605" s="39">
        <f t="shared" si="430"/>
        <v>0</v>
      </c>
      <c r="AY605" s="40" t="s">
        <v>2017</v>
      </c>
      <c r="AZ605" s="40" t="s">
        <v>2041</v>
      </c>
      <c r="BA605" s="30" t="s">
        <v>2045</v>
      </c>
      <c r="BC605" s="39">
        <f t="shared" si="431"/>
        <v>0</v>
      </c>
      <c r="BD605" s="39">
        <f t="shared" si="432"/>
        <v>0</v>
      </c>
      <c r="BE605" s="39">
        <v>0</v>
      </c>
      <c r="BF605" s="39">
        <f t="shared" si="433"/>
        <v>0</v>
      </c>
      <c r="BH605" s="21">
        <f t="shared" si="434"/>
        <v>0</v>
      </c>
      <c r="BI605" s="21">
        <f t="shared" si="435"/>
        <v>0</v>
      </c>
      <c r="BJ605" s="21">
        <f t="shared" si="436"/>
        <v>0</v>
      </c>
    </row>
    <row r="606" spans="1:62">
      <c r="A606" s="5" t="s">
        <v>434</v>
      </c>
      <c r="B606" s="5"/>
      <c r="C606" s="5" t="s">
        <v>1038</v>
      </c>
      <c r="D606" s="5" t="s">
        <v>1736</v>
      </c>
      <c r="E606" s="5" t="s">
        <v>1938</v>
      </c>
      <c r="F606" s="21">
        <v>2</v>
      </c>
      <c r="G606" s="753">
        <v>0</v>
      </c>
      <c r="H606" s="21">
        <f t="shared" si="412"/>
        <v>0</v>
      </c>
      <c r="I606" s="21">
        <f t="shared" si="413"/>
        <v>0</v>
      </c>
      <c r="J606" s="21">
        <f t="shared" si="414"/>
        <v>0</v>
      </c>
      <c r="K606" s="21">
        <v>0</v>
      </c>
      <c r="L606" s="21">
        <f t="shared" si="415"/>
        <v>0</v>
      </c>
      <c r="M606" s="34" t="s">
        <v>1960</v>
      </c>
      <c r="O606">
        <f t="shared" si="416"/>
        <v>0</v>
      </c>
      <c r="Z606" s="39">
        <f t="shared" si="417"/>
        <v>0</v>
      </c>
      <c r="AB606" s="39">
        <f t="shared" si="418"/>
        <v>0</v>
      </c>
      <c r="AC606" s="39">
        <f t="shared" si="419"/>
        <v>0</v>
      </c>
      <c r="AD606" s="39">
        <f t="shared" si="420"/>
        <v>0</v>
      </c>
      <c r="AE606" s="39">
        <f t="shared" si="421"/>
        <v>0</v>
      </c>
      <c r="AF606" s="39">
        <f t="shared" si="422"/>
        <v>0</v>
      </c>
      <c r="AG606" s="39">
        <f t="shared" si="423"/>
        <v>0</v>
      </c>
      <c r="AH606" s="39">
        <f t="shared" si="424"/>
        <v>0</v>
      </c>
      <c r="AI606" s="30"/>
      <c r="AJ606" s="21">
        <f t="shared" si="425"/>
        <v>0</v>
      </c>
      <c r="AK606" s="21">
        <f t="shared" si="426"/>
        <v>0</v>
      </c>
      <c r="AL606" s="21">
        <f t="shared" si="427"/>
        <v>0</v>
      </c>
      <c r="AN606" s="39">
        <v>21</v>
      </c>
      <c r="AO606" s="39">
        <f t="shared" si="438"/>
        <v>0</v>
      </c>
      <c r="AP606" s="39">
        <f t="shared" si="439"/>
        <v>0</v>
      </c>
      <c r="AQ606" s="34" t="s">
        <v>11</v>
      </c>
      <c r="AV606" s="39">
        <f t="shared" si="428"/>
        <v>0</v>
      </c>
      <c r="AW606" s="39">
        <f t="shared" si="429"/>
        <v>0</v>
      </c>
      <c r="AX606" s="39">
        <f t="shared" si="430"/>
        <v>0</v>
      </c>
      <c r="AY606" s="40" t="s">
        <v>2017</v>
      </c>
      <c r="AZ606" s="40" t="s">
        <v>2041</v>
      </c>
      <c r="BA606" s="30" t="s">
        <v>2045</v>
      </c>
      <c r="BC606" s="39">
        <f t="shared" si="431"/>
        <v>0</v>
      </c>
      <c r="BD606" s="39">
        <f t="shared" si="432"/>
        <v>0</v>
      </c>
      <c r="BE606" s="39">
        <v>0</v>
      </c>
      <c r="BF606" s="39">
        <f t="shared" si="433"/>
        <v>0</v>
      </c>
      <c r="BH606" s="21">
        <f t="shared" si="434"/>
        <v>0</v>
      </c>
      <c r="BI606" s="21">
        <f t="shared" si="435"/>
        <v>0</v>
      </c>
      <c r="BJ606" s="21">
        <f t="shared" si="436"/>
        <v>0</v>
      </c>
    </row>
    <row r="607" spans="1:62">
      <c r="A607" s="5" t="s">
        <v>435</v>
      </c>
      <c r="B607" s="5"/>
      <c r="C607" s="5" t="s">
        <v>1039</v>
      </c>
      <c r="D607" s="5" t="s">
        <v>1737</v>
      </c>
      <c r="E607" s="5" t="s">
        <v>1938</v>
      </c>
      <c r="F607" s="21">
        <v>1</v>
      </c>
      <c r="G607" s="753">
        <v>0</v>
      </c>
      <c r="H607" s="21">
        <f t="shared" si="412"/>
        <v>0</v>
      </c>
      <c r="I607" s="21">
        <f t="shared" si="413"/>
        <v>0</v>
      </c>
      <c r="J607" s="21">
        <f t="shared" si="414"/>
        <v>0</v>
      </c>
      <c r="K607" s="21">
        <v>0</v>
      </c>
      <c r="L607" s="21">
        <f t="shared" si="415"/>
        <v>0</v>
      </c>
      <c r="M607" s="34" t="s">
        <v>1960</v>
      </c>
      <c r="O607">
        <f t="shared" si="416"/>
        <v>0</v>
      </c>
      <c r="Z607" s="39">
        <f t="shared" si="417"/>
        <v>0</v>
      </c>
      <c r="AB607" s="39">
        <f t="shared" si="418"/>
        <v>0</v>
      </c>
      <c r="AC607" s="39">
        <f t="shared" si="419"/>
        <v>0</v>
      </c>
      <c r="AD607" s="39">
        <f t="shared" si="420"/>
        <v>0</v>
      </c>
      <c r="AE607" s="39">
        <f t="shared" si="421"/>
        <v>0</v>
      </c>
      <c r="AF607" s="39">
        <f t="shared" si="422"/>
        <v>0</v>
      </c>
      <c r="AG607" s="39">
        <f t="shared" si="423"/>
        <v>0</v>
      </c>
      <c r="AH607" s="39">
        <f t="shared" si="424"/>
        <v>0</v>
      </c>
      <c r="AI607" s="30"/>
      <c r="AJ607" s="21">
        <f t="shared" si="425"/>
        <v>0</v>
      </c>
      <c r="AK607" s="21">
        <f t="shared" si="426"/>
        <v>0</v>
      </c>
      <c r="AL607" s="21">
        <f t="shared" si="427"/>
        <v>0</v>
      </c>
      <c r="AN607" s="39">
        <v>21</v>
      </c>
      <c r="AO607" s="39">
        <f t="shared" si="438"/>
        <v>0</v>
      </c>
      <c r="AP607" s="39">
        <f t="shared" si="439"/>
        <v>0</v>
      </c>
      <c r="AQ607" s="34" t="s">
        <v>11</v>
      </c>
      <c r="AV607" s="39">
        <f t="shared" si="428"/>
        <v>0</v>
      </c>
      <c r="AW607" s="39">
        <f t="shared" si="429"/>
        <v>0</v>
      </c>
      <c r="AX607" s="39">
        <f t="shared" si="430"/>
        <v>0</v>
      </c>
      <c r="AY607" s="40" t="s">
        <v>2017</v>
      </c>
      <c r="AZ607" s="40" t="s">
        <v>2041</v>
      </c>
      <c r="BA607" s="30" t="s">
        <v>2045</v>
      </c>
      <c r="BC607" s="39">
        <f t="shared" si="431"/>
        <v>0</v>
      </c>
      <c r="BD607" s="39">
        <f t="shared" si="432"/>
        <v>0</v>
      </c>
      <c r="BE607" s="39">
        <v>0</v>
      </c>
      <c r="BF607" s="39">
        <f t="shared" si="433"/>
        <v>0</v>
      </c>
      <c r="BH607" s="21">
        <f t="shared" si="434"/>
        <v>0</v>
      </c>
      <c r="BI607" s="21">
        <f t="shared" si="435"/>
        <v>0</v>
      </c>
      <c r="BJ607" s="21">
        <f t="shared" si="436"/>
        <v>0</v>
      </c>
    </row>
    <row r="608" spans="1:62">
      <c r="A608" s="5" t="s">
        <v>436</v>
      </c>
      <c r="B608" s="5"/>
      <c r="C608" s="5" t="s">
        <v>1040</v>
      </c>
      <c r="D608" s="5" t="s">
        <v>1738</v>
      </c>
      <c r="E608" s="5" t="s">
        <v>1944</v>
      </c>
      <c r="F608" s="21">
        <v>12.5</v>
      </c>
      <c r="G608" s="753">
        <v>0</v>
      </c>
      <c r="H608" s="21">
        <f t="shared" si="412"/>
        <v>0</v>
      </c>
      <c r="I608" s="21">
        <f t="shared" si="413"/>
        <v>0</v>
      </c>
      <c r="J608" s="21">
        <f t="shared" si="414"/>
        <v>0</v>
      </c>
      <c r="K608" s="21">
        <v>0</v>
      </c>
      <c r="L608" s="21">
        <f t="shared" si="415"/>
        <v>0</v>
      </c>
      <c r="M608" s="34" t="s">
        <v>1960</v>
      </c>
      <c r="O608">
        <f t="shared" si="416"/>
        <v>0</v>
      </c>
      <c r="Z608" s="39">
        <f t="shared" si="417"/>
        <v>0</v>
      </c>
      <c r="AB608" s="39">
        <f t="shared" si="418"/>
        <v>0</v>
      </c>
      <c r="AC608" s="39">
        <f t="shared" si="419"/>
        <v>0</v>
      </c>
      <c r="AD608" s="39">
        <f t="shared" si="420"/>
        <v>0</v>
      </c>
      <c r="AE608" s="39">
        <f t="shared" si="421"/>
        <v>0</v>
      </c>
      <c r="AF608" s="39">
        <f t="shared" si="422"/>
        <v>0</v>
      </c>
      <c r="AG608" s="39">
        <f t="shared" si="423"/>
        <v>0</v>
      </c>
      <c r="AH608" s="39">
        <f t="shared" si="424"/>
        <v>0</v>
      </c>
      <c r="AI608" s="30"/>
      <c r="AJ608" s="21">
        <f t="shared" si="425"/>
        <v>0</v>
      </c>
      <c r="AK608" s="21">
        <f t="shared" si="426"/>
        <v>0</v>
      </c>
      <c r="AL608" s="21">
        <f t="shared" si="427"/>
        <v>0</v>
      </c>
      <c r="AN608" s="39">
        <v>21</v>
      </c>
      <c r="AO608" s="39">
        <f t="shared" si="438"/>
        <v>0</v>
      </c>
      <c r="AP608" s="39">
        <f t="shared" si="439"/>
        <v>0</v>
      </c>
      <c r="AQ608" s="34" t="s">
        <v>11</v>
      </c>
      <c r="AV608" s="39">
        <f t="shared" si="428"/>
        <v>0</v>
      </c>
      <c r="AW608" s="39">
        <f t="shared" si="429"/>
        <v>0</v>
      </c>
      <c r="AX608" s="39">
        <f t="shared" si="430"/>
        <v>0</v>
      </c>
      <c r="AY608" s="40" t="s">
        <v>2017</v>
      </c>
      <c r="AZ608" s="40" t="s">
        <v>2041</v>
      </c>
      <c r="BA608" s="30" t="s">
        <v>2045</v>
      </c>
      <c r="BC608" s="39">
        <f t="shared" si="431"/>
        <v>0</v>
      </c>
      <c r="BD608" s="39">
        <f t="shared" si="432"/>
        <v>0</v>
      </c>
      <c r="BE608" s="39">
        <v>0</v>
      </c>
      <c r="BF608" s="39">
        <f t="shared" si="433"/>
        <v>0</v>
      </c>
      <c r="BH608" s="21">
        <f t="shared" si="434"/>
        <v>0</v>
      </c>
      <c r="BI608" s="21">
        <f t="shared" si="435"/>
        <v>0</v>
      </c>
      <c r="BJ608" s="21">
        <f t="shared" si="436"/>
        <v>0</v>
      </c>
    </row>
    <row r="609" spans="1:62">
      <c r="A609" s="5" t="s">
        <v>437</v>
      </c>
      <c r="B609" s="5"/>
      <c r="C609" s="5" t="s">
        <v>1041</v>
      </c>
      <c r="D609" s="5" t="s">
        <v>1739</v>
      </c>
      <c r="E609" s="5" t="s">
        <v>1944</v>
      </c>
      <c r="F609" s="21">
        <v>28.2</v>
      </c>
      <c r="G609" s="753">
        <v>0</v>
      </c>
      <c r="H609" s="21">
        <f t="shared" si="412"/>
        <v>0</v>
      </c>
      <c r="I609" s="21">
        <f t="shared" si="413"/>
        <v>0</v>
      </c>
      <c r="J609" s="21">
        <f t="shared" si="414"/>
        <v>0</v>
      </c>
      <c r="K609" s="21">
        <v>0</v>
      </c>
      <c r="L609" s="21">
        <f t="shared" si="415"/>
        <v>0</v>
      </c>
      <c r="M609" s="34" t="s">
        <v>1960</v>
      </c>
      <c r="O609">
        <f t="shared" si="416"/>
        <v>0</v>
      </c>
      <c r="Z609" s="39">
        <f t="shared" si="417"/>
        <v>0</v>
      </c>
      <c r="AB609" s="39">
        <f t="shared" si="418"/>
        <v>0</v>
      </c>
      <c r="AC609" s="39">
        <f t="shared" si="419"/>
        <v>0</v>
      </c>
      <c r="AD609" s="39">
        <f t="shared" si="420"/>
        <v>0</v>
      </c>
      <c r="AE609" s="39">
        <f t="shared" si="421"/>
        <v>0</v>
      </c>
      <c r="AF609" s="39">
        <f t="shared" si="422"/>
        <v>0</v>
      </c>
      <c r="AG609" s="39">
        <f t="shared" si="423"/>
        <v>0</v>
      </c>
      <c r="AH609" s="39">
        <f t="shared" si="424"/>
        <v>0</v>
      </c>
      <c r="AI609" s="30"/>
      <c r="AJ609" s="21">
        <f t="shared" si="425"/>
        <v>0</v>
      </c>
      <c r="AK609" s="21">
        <f t="shared" si="426"/>
        <v>0</v>
      </c>
      <c r="AL609" s="21">
        <f t="shared" si="427"/>
        <v>0</v>
      </c>
      <c r="AN609" s="39">
        <v>21</v>
      </c>
      <c r="AO609" s="39">
        <f t="shared" si="438"/>
        <v>0</v>
      </c>
      <c r="AP609" s="39">
        <f t="shared" si="439"/>
        <v>0</v>
      </c>
      <c r="AQ609" s="34" t="s">
        <v>11</v>
      </c>
      <c r="AV609" s="39">
        <f t="shared" si="428"/>
        <v>0</v>
      </c>
      <c r="AW609" s="39">
        <f t="shared" si="429"/>
        <v>0</v>
      </c>
      <c r="AX609" s="39">
        <f t="shared" si="430"/>
        <v>0</v>
      </c>
      <c r="AY609" s="40" t="s">
        <v>2017</v>
      </c>
      <c r="AZ609" s="40" t="s">
        <v>2041</v>
      </c>
      <c r="BA609" s="30" t="s">
        <v>2045</v>
      </c>
      <c r="BC609" s="39">
        <f t="shared" si="431"/>
        <v>0</v>
      </c>
      <c r="BD609" s="39">
        <f t="shared" si="432"/>
        <v>0</v>
      </c>
      <c r="BE609" s="39">
        <v>0</v>
      </c>
      <c r="BF609" s="39">
        <f t="shared" si="433"/>
        <v>0</v>
      </c>
      <c r="BH609" s="21">
        <f t="shared" si="434"/>
        <v>0</v>
      </c>
      <c r="BI609" s="21">
        <f t="shared" si="435"/>
        <v>0</v>
      </c>
      <c r="BJ609" s="21">
        <f t="shared" si="436"/>
        <v>0</v>
      </c>
    </row>
    <row r="610" spans="1:62">
      <c r="A610" s="5" t="s">
        <v>438</v>
      </c>
      <c r="B610" s="5"/>
      <c r="C610" s="5" t="s">
        <v>1042</v>
      </c>
      <c r="D610" s="5" t="s">
        <v>1740</v>
      </c>
      <c r="E610" s="5" t="s">
        <v>1944</v>
      </c>
      <c r="F610" s="21">
        <v>11.3</v>
      </c>
      <c r="G610" s="753">
        <v>0</v>
      </c>
      <c r="H610" s="21">
        <f t="shared" si="412"/>
        <v>0</v>
      </c>
      <c r="I610" s="21">
        <f t="shared" si="413"/>
        <v>0</v>
      </c>
      <c r="J610" s="21">
        <f t="shared" si="414"/>
        <v>0</v>
      </c>
      <c r="K610" s="21">
        <v>0</v>
      </c>
      <c r="L610" s="21">
        <f t="shared" si="415"/>
        <v>0</v>
      </c>
      <c r="M610" s="34" t="s">
        <v>1960</v>
      </c>
      <c r="O610">
        <f t="shared" si="416"/>
        <v>0</v>
      </c>
      <c r="Z610" s="39">
        <f t="shared" si="417"/>
        <v>0</v>
      </c>
      <c r="AB610" s="39">
        <f t="shared" si="418"/>
        <v>0</v>
      </c>
      <c r="AC610" s="39">
        <f t="shared" si="419"/>
        <v>0</v>
      </c>
      <c r="AD610" s="39">
        <f t="shared" si="420"/>
        <v>0</v>
      </c>
      <c r="AE610" s="39">
        <f t="shared" si="421"/>
        <v>0</v>
      </c>
      <c r="AF610" s="39">
        <f t="shared" si="422"/>
        <v>0</v>
      </c>
      <c r="AG610" s="39">
        <f t="shared" si="423"/>
        <v>0</v>
      </c>
      <c r="AH610" s="39">
        <f t="shared" si="424"/>
        <v>0</v>
      </c>
      <c r="AI610" s="30"/>
      <c r="AJ610" s="21">
        <f t="shared" si="425"/>
        <v>0</v>
      </c>
      <c r="AK610" s="21">
        <f t="shared" si="426"/>
        <v>0</v>
      </c>
      <c r="AL610" s="21">
        <f t="shared" si="427"/>
        <v>0</v>
      </c>
      <c r="AN610" s="39">
        <v>21</v>
      </c>
      <c r="AO610" s="39">
        <f t="shared" si="438"/>
        <v>0</v>
      </c>
      <c r="AP610" s="39">
        <f t="shared" si="439"/>
        <v>0</v>
      </c>
      <c r="AQ610" s="34" t="s">
        <v>11</v>
      </c>
      <c r="AV610" s="39">
        <f t="shared" si="428"/>
        <v>0</v>
      </c>
      <c r="AW610" s="39">
        <f t="shared" si="429"/>
        <v>0</v>
      </c>
      <c r="AX610" s="39">
        <f t="shared" si="430"/>
        <v>0</v>
      </c>
      <c r="AY610" s="40" t="s">
        <v>2017</v>
      </c>
      <c r="AZ610" s="40" t="s">
        <v>2041</v>
      </c>
      <c r="BA610" s="30" t="s">
        <v>2045</v>
      </c>
      <c r="BC610" s="39">
        <f t="shared" si="431"/>
        <v>0</v>
      </c>
      <c r="BD610" s="39">
        <f t="shared" si="432"/>
        <v>0</v>
      </c>
      <c r="BE610" s="39">
        <v>0</v>
      </c>
      <c r="BF610" s="39">
        <f t="shared" si="433"/>
        <v>0</v>
      </c>
      <c r="BH610" s="21">
        <f t="shared" si="434"/>
        <v>0</v>
      </c>
      <c r="BI610" s="21">
        <f t="shared" si="435"/>
        <v>0</v>
      </c>
      <c r="BJ610" s="21">
        <f t="shared" si="436"/>
        <v>0</v>
      </c>
    </row>
    <row r="611" spans="1:62">
      <c r="A611" s="5" t="s">
        <v>439</v>
      </c>
      <c r="B611" s="5"/>
      <c r="C611" s="5" t="s">
        <v>1043</v>
      </c>
      <c r="D611" s="5" t="s">
        <v>1741</v>
      </c>
      <c r="E611" s="5" t="s">
        <v>1943</v>
      </c>
      <c r="F611" s="21">
        <v>1</v>
      </c>
      <c r="G611" s="753">
        <v>0</v>
      </c>
      <c r="H611" s="21">
        <f t="shared" si="412"/>
        <v>0</v>
      </c>
      <c r="I611" s="21">
        <f t="shared" si="413"/>
        <v>0</v>
      </c>
      <c r="J611" s="21">
        <f t="shared" si="414"/>
        <v>0</v>
      </c>
      <c r="K611" s="21">
        <v>0</v>
      </c>
      <c r="L611" s="21">
        <f t="shared" si="415"/>
        <v>0</v>
      </c>
      <c r="M611" s="34" t="s">
        <v>1960</v>
      </c>
      <c r="O611">
        <f t="shared" si="416"/>
        <v>0</v>
      </c>
      <c r="Z611" s="39">
        <f t="shared" si="417"/>
        <v>0</v>
      </c>
      <c r="AB611" s="39">
        <f t="shared" si="418"/>
        <v>0</v>
      </c>
      <c r="AC611" s="39">
        <f t="shared" si="419"/>
        <v>0</v>
      </c>
      <c r="AD611" s="39">
        <f t="shared" si="420"/>
        <v>0</v>
      </c>
      <c r="AE611" s="39">
        <f t="shared" si="421"/>
        <v>0</v>
      </c>
      <c r="AF611" s="39">
        <f t="shared" si="422"/>
        <v>0</v>
      </c>
      <c r="AG611" s="39">
        <f t="shared" si="423"/>
        <v>0</v>
      </c>
      <c r="AH611" s="39">
        <f t="shared" si="424"/>
        <v>0</v>
      </c>
      <c r="AI611" s="30"/>
      <c r="AJ611" s="21">
        <f t="shared" si="425"/>
        <v>0</v>
      </c>
      <c r="AK611" s="21">
        <f t="shared" si="426"/>
        <v>0</v>
      </c>
      <c r="AL611" s="21">
        <f t="shared" si="427"/>
        <v>0</v>
      </c>
      <c r="AN611" s="39">
        <v>21</v>
      </c>
      <c r="AO611" s="39">
        <f t="shared" si="438"/>
        <v>0</v>
      </c>
      <c r="AP611" s="39">
        <f t="shared" si="439"/>
        <v>0</v>
      </c>
      <c r="AQ611" s="34" t="s">
        <v>11</v>
      </c>
      <c r="AV611" s="39">
        <f t="shared" si="428"/>
        <v>0</v>
      </c>
      <c r="AW611" s="39">
        <f t="shared" si="429"/>
        <v>0</v>
      </c>
      <c r="AX611" s="39">
        <f t="shared" si="430"/>
        <v>0</v>
      </c>
      <c r="AY611" s="40" t="s">
        <v>2017</v>
      </c>
      <c r="AZ611" s="40" t="s">
        <v>2041</v>
      </c>
      <c r="BA611" s="30" t="s">
        <v>2045</v>
      </c>
      <c r="BC611" s="39">
        <f t="shared" si="431"/>
        <v>0</v>
      </c>
      <c r="BD611" s="39">
        <f t="shared" si="432"/>
        <v>0</v>
      </c>
      <c r="BE611" s="39">
        <v>0</v>
      </c>
      <c r="BF611" s="39">
        <f t="shared" si="433"/>
        <v>0</v>
      </c>
      <c r="BH611" s="21">
        <f t="shared" si="434"/>
        <v>0</v>
      </c>
      <c r="BI611" s="21">
        <f t="shared" si="435"/>
        <v>0</v>
      </c>
      <c r="BJ611" s="21">
        <f t="shared" si="436"/>
        <v>0</v>
      </c>
    </row>
    <row r="612" spans="1:62">
      <c r="A612" s="5" t="s">
        <v>440</v>
      </c>
      <c r="B612" s="5"/>
      <c r="C612" s="5" t="s">
        <v>1044</v>
      </c>
      <c r="D612" s="5" t="s">
        <v>1742</v>
      </c>
      <c r="E612" s="5" t="s">
        <v>1943</v>
      </c>
      <c r="F612" s="21">
        <v>1</v>
      </c>
      <c r="G612" s="753">
        <v>0</v>
      </c>
      <c r="H612" s="21">
        <f t="shared" si="412"/>
        <v>0</v>
      </c>
      <c r="I612" s="21">
        <f t="shared" si="413"/>
        <v>0</v>
      </c>
      <c r="J612" s="21">
        <f t="shared" si="414"/>
        <v>0</v>
      </c>
      <c r="K612" s="21">
        <v>0</v>
      </c>
      <c r="L612" s="21">
        <f t="shared" si="415"/>
        <v>0</v>
      </c>
      <c r="M612" s="34" t="s">
        <v>1960</v>
      </c>
      <c r="O612">
        <f t="shared" si="416"/>
        <v>0</v>
      </c>
      <c r="Z612" s="39">
        <f t="shared" si="417"/>
        <v>0</v>
      </c>
      <c r="AB612" s="39">
        <f t="shared" si="418"/>
        <v>0</v>
      </c>
      <c r="AC612" s="39">
        <f t="shared" si="419"/>
        <v>0</v>
      </c>
      <c r="AD612" s="39">
        <f t="shared" si="420"/>
        <v>0</v>
      </c>
      <c r="AE612" s="39">
        <f t="shared" si="421"/>
        <v>0</v>
      </c>
      <c r="AF612" s="39">
        <f t="shared" si="422"/>
        <v>0</v>
      </c>
      <c r="AG612" s="39">
        <f t="shared" si="423"/>
        <v>0</v>
      </c>
      <c r="AH612" s="39">
        <f t="shared" si="424"/>
        <v>0</v>
      </c>
      <c r="AI612" s="30"/>
      <c r="AJ612" s="21">
        <f t="shared" si="425"/>
        <v>0</v>
      </c>
      <c r="AK612" s="21">
        <f t="shared" si="426"/>
        <v>0</v>
      </c>
      <c r="AL612" s="21">
        <f t="shared" si="427"/>
        <v>0</v>
      </c>
      <c r="AN612" s="39">
        <v>21</v>
      </c>
      <c r="AO612" s="39">
        <f t="shared" si="438"/>
        <v>0</v>
      </c>
      <c r="AP612" s="39">
        <f t="shared" si="439"/>
        <v>0</v>
      </c>
      <c r="AQ612" s="34" t="s">
        <v>11</v>
      </c>
      <c r="AV612" s="39">
        <f t="shared" si="428"/>
        <v>0</v>
      </c>
      <c r="AW612" s="39">
        <f t="shared" si="429"/>
        <v>0</v>
      </c>
      <c r="AX612" s="39">
        <f t="shared" si="430"/>
        <v>0</v>
      </c>
      <c r="AY612" s="40" t="s">
        <v>2017</v>
      </c>
      <c r="AZ612" s="40" t="s">
        <v>2041</v>
      </c>
      <c r="BA612" s="30" t="s">
        <v>2045</v>
      </c>
      <c r="BC612" s="39">
        <f t="shared" si="431"/>
        <v>0</v>
      </c>
      <c r="BD612" s="39">
        <f t="shared" si="432"/>
        <v>0</v>
      </c>
      <c r="BE612" s="39">
        <v>0</v>
      </c>
      <c r="BF612" s="39">
        <f t="shared" si="433"/>
        <v>0</v>
      </c>
      <c r="BH612" s="21">
        <f t="shared" si="434"/>
        <v>0</v>
      </c>
      <c r="BI612" s="21">
        <f t="shared" si="435"/>
        <v>0</v>
      </c>
      <c r="BJ612" s="21">
        <f t="shared" si="436"/>
        <v>0</v>
      </c>
    </row>
    <row r="613" spans="1:62">
      <c r="A613" s="5" t="s">
        <v>441</v>
      </c>
      <c r="B613" s="5"/>
      <c r="C613" s="5" t="s">
        <v>1045</v>
      </c>
      <c r="D613" s="5" t="s">
        <v>1743</v>
      </c>
      <c r="E613" s="5" t="s">
        <v>1938</v>
      </c>
      <c r="F613" s="21">
        <v>1</v>
      </c>
      <c r="G613" s="753">
        <v>0</v>
      </c>
      <c r="H613" s="21">
        <f t="shared" si="412"/>
        <v>0</v>
      </c>
      <c r="I613" s="21">
        <f t="shared" si="413"/>
        <v>0</v>
      </c>
      <c r="J613" s="21">
        <f t="shared" si="414"/>
        <v>0</v>
      </c>
      <c r="K613" s="21">
        <v>0</v>
      </c>
      <c r="L613" s="21">
        <f t="shared" si="415"/>
        <v>0</v>
      </c>
      <c r="M613" s="34" t="s">
        <v>1960</v>
      </c>
      <c r="O613">
        <f t="shared" si="416"/>
        <v>0</v>
      </c>
      <c r="Z613" s="39">
        <f t="shared" si="417"/>
        <v>0</v>
      </c>
      <c r="AB613" s="39">
        <f t="shared" si="418"/>
        <v>0</v>
      </c>
      <c r="AC613" s="39">
        <f t="shared" si="419"/>
        <v>0</v>
      </c>
      <c r="AD613" s="39">
        <f t="shared" si="420"/>
        <v>0</v>
      </c>
      <c r="AE613" s="39">
        <f t="shared" si="421"/>
        <v>0</v>
      </c>
      <c r="AF613" s="39">
        <f t="shared" si="422"/>
        <v>0</v>
      </c>
      <c r="AG613" s="39">
        <f t="shared" si="423"/>
        <v>0</v>
      </c>
      <c r="AH613" s="39">
        <f t="shared" si="424"/>
        <v>0</v>
      </c>
      <c r="AI613" s="30"/>
      <c r="AJ613" s="21">
        <f t="shared" si="425"/>
        <v>0</v>
      </c>
      <c r="AK613" s="21">
        <f t="shared" si="426"/>
        <v>0</v>
      </c>
      <c r="AL613" s="21">
        <f t="shared" si="427"/>
        <v>0</v>
      </c>
      <c r="AN613" s="39">
        <v>21</v>
      </c>
      <c r="AO613" s="39">
        <f t="shared" si="438"/>
        <v>0</v>
      </c>
      <c r="AP613" s="39">
        <f t="shared" si="439"/>
        <v>0</v>
      </c>
      <c r="AQ613" s="34" t="s">
        <v>11</v>
      </c>
      <c r="AV613" s="39">
        <f t="shared" si="428"/>
        <v>0</v>
      </c>
      <c r="AW613" s="39">
        <f t="shared" si="429"/>
        <v>0</v>
      </c>
      <c r="AX613" s="39">
        <f t="shared" si="430"/>
        <v>0</v>
      </c>
      <c r="AY613" s="40" t="s">
        <v>2017</v>
      </c>
      <c r="AZ613" s="40" t="s">
        <v>2041</v>
      </c>
      <c r="BA613" s="30" t="s">
        <v>2045</v>
      </c>
      <c r="BC613" s="39">
        <f t="shared" si="431"/>
        <v>0</v>
      </c>
      <c r="BD613" s="39">
        <f t="shared" si="432"/>
        <v>0</v>
      </c>
      <c r="BE613" s="39">
        <v>0</v>
      </c>
      <c r="BF613" s="39">
        <f t="shared" si="433"/>
        <v>0</v>
      </c>
      <c r="BH613" s="21">
        <f t="shared" si="434"/>
        <v>0</v>
      </c>
      <c r="BI613" s="21">
        <f t="shared" si="435"/>
        <v>0</v>
      </c>
      <c r="BJ613" s="21">
        <f t="shared" si="436"/>
        <v>0</v>
      </c>
    </row>
    <row r="614" spans="1:62" ht="100.2" customHeight="1">
      <c r="C614" s="17" t="s">
        <v>605</v>
      </c>
      <c r="D614" s="917" t="s">
        <v>1744</v>
      </c>
      <c r="E614" s="918"/>
      <c r="F614" s="918"/>
      <c r="G614" s="918"/>
      <c r="H614" s="918"/>
      <c r="I614" s="918"/>
      <c r="J614" s="918"/>
      <c r="K614" s="918"/>
      <c r="L614" s="918"/>
      <c r="M614" s="918"/>
    </row>
    <row r="615" spans="1:62">
      <c r="A615" s="5" t="s">
        <v>442</v>
      </c>
      <c r="B615" s="5"/>
      <c r="C615" s="5" t="s">
        <v>1046</v>
      </c>
      <c r="D615" s="5" t="s">
        <v>1745</v>
      </c>
      <c r="E615" s="5" t="s">
        <v>1943</v>
      </c>
      <c r="F615" s="21">
        <v>1</v>
      </c>
      <c r="G615" s="753">
        <v>0</v>
      </c>
      <c r="H615" s="21">
        <f t="shared" ref="H615:H635" si="440">F615*AO615</f>
        <v>0</v>
      </c>
      <c r="I615" s="21">
        <f t="shared" ref="I615:I635" si="441">F615*AP615</f>
        <v>0</v>
      </c>
      <c r="J615" s="21">
        <f t="shared" ref="J615:J635" si="442">F615*G615</f>
        <v>0</v>
      </c>
      <c r="K615" s="21">
        <v>0</v>
      </c>
      <c r="L615" s="21">
        <f t="shared" ref="L615:L635" si="443">F615*K615</f>
        <v>0</v>
      </c>
      <c r="M615" s="34" t="s">
        <v>1960</v>
      </c>
      <c r="O615">
        <f t="shared" ref="O615:O635" si="444">0.95*G615</f>
        <v>0</v>
      </c>
      <c r="Z615" s="39">
        <f t="shared" ref="Z615:Z635" si="445">IF(AQ615="5",BJ615,0)</f>
        <v>0</v>
      </c>
      <c r="AB615" s="39">
        <f t="shared" ref="AB615:AB635" si="446">IF(AQ615="1",BH615,0)</f>
        <v>0</v>
      </c>
      <c r="AC615" s="39">
        <f t="shared" ref="AC615:AC635" si="447">IF(AQ615="1",BI615,0)</f>
        <v>0</v>
      </c>
      <c r="AD615" s="39">
        <f t="shared" ref="AD615:AD635" si="448">IF(AQ615="7",BH615,0)</f>
        <v>0</v>
      </c>
      <c r="AE615" s="39">
        <f t="shared" ref="AE615:AE635" si="449">IF(AQ615="7",BI615,0)</f>
        <v>0</v>
      </c>
      <c r="AF615" s="39">
        <f t="shared" ref="AF615:AF635" si="450">IF(AQ615="2",BH615,0)</f>
        <v>0</v>
      </c>
      <c r="AG615" s="39">
        <f t="shared" ref="AG615:AG635" si="451">IF(AQ615="2",BI615,0)</f>
        <v>0</v>
      </c>
      <c r="AH615" s="39">
        <f t="shared" ref="AH615:AH635" si="452">IF(AQ615="0",BJ615,0)</f>
        <v>0</v>
      </c>
      <c r="AI615" s="30"/>
      <c r="AJ615" s="21">
        <f t="shared" ref="AJ615:AJ635" si="453">IF(AN615=0,J615,0)</f>
        <v>0</v>
      </c>
      <c r="AK615" s="21">
        <f t="shared" ref="AK615:AK635" si="454">IF(AN615=15,J615,0)</f>
        <v>0</v>
      </c>
      <c r="AL615" s="21">
        <f t="shared" ref="AL615:AL635" si="455">IF(AN615=21,J615,0)</f>
        <v>0</v>
      </c>
      <c r="AN615" s="39">
        <v>21</v>
      </c>
      <c r="AO615" s="39">
        <f t="shared" ref="AO615:AO635" si="456">G615*0</f>
        <v>0</v>
      </c>
      <c r="AP615" s="39">
        <f t="shared" ref="AP615:AP635" si="457">G615*(1-0)</f>
        <v>0</v>
      </c>
      <c r="AQ615" s="34" t="s">
        <v>11</v>
      </c>
      <c r="AV615" s="39">
        <f t="shared" ref="AV615:AV635" si="458">AW615+AX615</f>
        <v>0</v>
      </c>
      <c r="AW615" s="39">
        <f t="shared" ref="AW615:AW635" si="459">F615*AO615</f>
        <v>0</v>
      </c>
      <c r="AX615" s="39">
        <f t="shared" ref="AX615:AX635" si="460">F615*AP615</f>
        <v>0</v>
      </c>
      <c r="AY615" s="40" t="s">
        <v>2017</v>
      </c>
      <c r="AZ615" s="40" t="s">
        <v>2041</v>
      </c>
      <c r="BA615" s="30" t="s">
        <v>2045</v>
      </c>
      <c r="BC615" s="39">
        <f t="shared" ref="BC615:BC635" si="461">AW615+AX615</f>
        <v>0</v>
      </c>
      <c r="BD615" s="39">
        <f t="shared" ref="BD615:BD635" si="462">G615/(100-BE615)*100</f>
        <v>0</v>
      </c>
      <c r="BE615" s="39">
        <v>0</v>
      </c>
      <c r="BF615" s="39">
        <f t="shared" ref="BF615:BF635" si="463">L615</f>
        <v>0</v>
      </c>
      <c r="BH615" s="21">
        <f t="shared" ref="BH615:BH635" si="464">F615*AO615</f>
        <v>0</v>
      </c>
      <c r="BI615" s="21">
        <f t="shared" ref="BI615:BI635" si="465">F615*AP615</f>
        <v>0</v>
      </c>
      <c r="BJ615" s="21">
        <f t="shared" ref="BJ615:BJ635" si="466">F615*G615</f>
        <v>0</v>
      </c>
    </row>
    <row r="616" spans="1:62">
      <c r="A616" s="5" t="s">
        <v>443</v>
      </c>
      <c r="B616" s="5"/>
      <c r="C616" s="5" t="s">
        <v>1047</v>
      </c>
      <c r="D616" s="5" t="s">
        <v>1746</v>
      </c>
      <c r="E616" s="5" t="s">
        <v>1943</v>
      </c>
      <c r="F616" s="21">
        <v>1</v>
      </c>
      <c r="G616" s="753">
        <v>0</v>
      </c>
      <c r="H616" s="21">
        <f t="shared" si="440"/>
        <v>0</v>
      </c>
      <c r="I616" s="21">
        <f t="shared" si="441"/>
        <v>0</v>
      </c>
      <c r="J616" s="21">
        <f t="shared" si="442"/>
        <v>0</v>
      </c>
      <c r="K616" s="21">
        <v>0</v>
      </c>
      <c r="L616" s="21">
        <f t="shared" si="443"/>
        <v>0</v>
      </c>
      <c r="M616" s="34" t="s">
        <v>1960</v>
      </c>
      <c r="O616">
        <f t="shared" si="444"/>
        <v>0</v>
      </c>
      <c r="Z616" s="39">
        <f t="shared" si="445"/>
        <v>0</v>
      </c>
      <c r="AB616" s="39">
        <f t="shared" si="446"/>
        <v>0</v>
      </c>
      <c r="AC616" s="39">
        <f t="shared" si="447"/>
        <v>0</v>
      </c>
      <c r="AD616" s="39">
        <f t="shared" si="448"/>
        <v>0</v>
      </c>
      <c r="AE616" s="39">
        <f t="shared" si="449"/>
        <v>0</v>
      </c>
      <c r="AF616" s="39">
        <f t="shared" si="450"/>
        <v>0</v>
      </c>
      <c r="AG616" s="39">
        <f t="shared" si="451"/>
        <v>0</v>
      </c>
      <c r="AH616" s="39">
        <f t="shared" si="452"/>
        <v>0</v>
      </c>
      <c r="AI616" s="30"/>
      <c r="AJ616" s="21">
        <f t="shared" si="453"/>
        <v>0</v>
      </c>
      <c r="AK616" s="21">
        <f t="shared" si="454"/>
        <v>0</v>
      </c>
      <c r="AL616" s="21">
        <f t="shared" si="455"/>
        <v>0</v>
      </c>
      <c r="AN616" s="39">
        <v>21</v>
      </c>
      <c r="AO616" s="39">
        <f t="shared" si="456"/>
        <v>0</v>
      </c>
      <c r="AP616" s="39">
        <f t="shared" si="457"/>
        <v>0</v>
      </c>
      <c r="AQ616" s="34" t="s">
        <v>11</v>
      </c>
      <c r="AV616" s="39">
        <f t="shared" si="458"/>
        <v>0</v>
      </c>
      <c r="AW616" s="39">
        <f t="shared" si="459"/>
        <v>0</v>
      </c>
      <c r="AX616" s="39">
        <f t="shared" si="460"/>
        <v>0</v>
      </c>
      <c r="AY616" s="40" t="s">
        <v>2017</v>
      </c>
      <c r="AZ616" s="40" t="s">
        <v>2041</v>
      </c>
      <c r="BA616" s="30" t="s">
        <v>2045</v>
      </c>
      <c r="BC616" s="39">
        <f t="shared" si="461"/>
        <v>0</v>
      </c>
      <c r="BD616" s="39">
        <f t="shared" si="462"/>
        <v>0</v>
      </c>
      <c r="BE616" s="39">
        <v>0</v>
      </c>
      <c r="BF616" s="39">
        <f t="shared" si="463"/>
        <v>0</v>
      </c>
      <c r="BH616" s="21">
        <f t="shared" si="464"/>
        <v>0</v>
      </c>
      <c r="BI616" s="21">
        <f t="shared" si="465"/>
        <v>0</v>
      </c>
      <c r="BJ616" s="21">
        <f t="shared" si="466"/>
        <v>0</v>
      </c>
    </row>
    <row r="617" spans="1:62">
      <c r="A617" s="5" t="s">
        <v>444</v>
      </c>
      <c r="B617" s="5"/>
      <c r="C617" s="5" t="s">
        <v>1048</v>
      </c>
      <c r="D617" s="5" t="s">
        <v>1747</v>
      </c>
      <c r="E617" s="5" t="s">
        <v>1943</v>
      </c>
      <c r="F617" s="21">
        <v>1</v>
      </c>
      <c r="G617" s="753">
        <v>0</v>
      </c>
      <c r="H617" s="21">
        <f t="shared" si="440"/>
        <v>0</v>
      </c>
      <c r="I617" s="21">
        <f t="shared" si="441"/>
        <v>0</v>
      </c>
      <c r="J617" s="21">
        <f t="shared" si="442"/>
        <v>0</v>
      </c>
      <c r="K617" s="21">
        <v>0</v>
      </c>
      <c r="L617" s="21">
        <f t="shared" si="443"/>
        <v>0</v>
      </c>
      <c r="M617" s="34" t="s">
        <v>1960</v>
      </c>
      <c r="O617">
        <f t="shared" si="444"/>
        <v>0</v>
      </c>
      <c r="Z617" s="39">
        <f t="shared" si="445"/>
        <v>0</v>
      </c>
      <c r="AB617" s="39">
        <f t="shared" si="446"/>
        <v>0</v>
      </c>
      <c r="AC617" s="39">
        <f t="shared" si="447"/>
        <v>0</v>
      </c>
      <c r="AD617" s="39">
        <f t="shared" si="448"/>
        <v>0</v>
      </c>
      <c r="AE617" s="39">
        <f t="shared" si="449"/>
        <v>0</v>
      </c>
      <c r="AF617" s="39">
        <f t="shared" si="450"/>
        <v>0</v>
      </c>
      <c r="AG617" s="39">
        <f t="shared" si="451"/>
        <v>0</v>
      </c>
      <c r="AH617" s="39">
        <f t="shared" si="452"/>
        <v>0</v>
      </c>
      <c r="AI617" s="30"/>
      <c r="AJ617" s="21">
        <f t="shared" si="453"/>
        <v>0</v>
      </c>
      <c r="AK617" s="21">
        <f t="shared" si="454"/>
        <v>0</v>
      </c>
      <c r="AL617" s="21">
        <f t="shared" si="455"/>
        <v>0</v>
      </c>
      <c r="AN617" s="39">
        <v>21</v>
      </c>
      <c r="AO617" s="39">
        <f t="shared" si="456"/>
        <v>0</v>
      </c>
      <c r="AP617" s="39">
        <f t="shared" si="457"/>
        <v>0</v>
      </c>
      <c r="AQ617" s="34" t="s">
        <v>11</v>
      </c>
      <c r="AV617" s="39">
        <f t="shared" si="458"/>
        <v>0</v>
      </c>
      <c r="AW617" s="39">
        <f t="shared" si="459"/>
        <v>0</v>
      </c>
      <c r="AX617" s="39">
        <f t="shared" si="460"/>
        <v>0</v>
      </c>
      <c r="AY617" s="40" t="s">
        <v>2017</v>
      </c>
      <c r="AZ617" s="40" t="s">
        <v>2041</v>
      </c>
      <c r="BA617" s="30" t="s">
        <v>2045</v>
      </c>
      <c r="BC617" s="39">
        <f t="shared" si="461"/>
        <v>0</v>
      </c>
      <c r="BD617" s="39">
        <f t="shared" si="462"/>
        <v>0</v>
      </c>
      <c r="BE617" s="39">
        <v>0</v>
      </c>
      <c r="BF617" s="39">
        <f t="shared" si="463"/>
        <v>0</v>
      </c>
      <c r="BH617" s="21">
        <f t="shared" si="464"/>
        <v>0</v>
      </c>
      <c r="BI617" s="21">
        <f t="shared" si="465"/>
        <v>0</v>
      </c>
      <c r="BJ617" s="21">
        <f t="shared" si="466"/>
        <v>0</v>
      </c>
    </row>
    <row r="618" spans="1:62">
      <c r="A618" s="5" t="s">
        <v>445</v>
      </c>
      <c r="B618" s="5"/>
      <c r="C618" s="5" t="s">
        <v>1049</v>
      </c>
      <c r="D618" s="5" t="s">
        <v>1748</v>
      </c>
      <c r="E618" s="5" t="s">
        <v>1943</v>
      </c>
      <c r="F618" s="21">
        <v>1</v>
      </c>
      <c r="G618" s="753">
        <v>0</v>
      </c>
      <c r="H618" s="21">
        <f t="shared" si="440"/>
        <v>0</v>
      </c>
      <c r="I618" s="21">
        <f t="shared" si="441"/>
        <v>0</v>
      </c>
      <c r="J618" s="21">
        <f t="shared" si="442"/>
        <v>0</v>
      </c>
      <c r="K618" s="21">
        <v>0</v>
      </c>
      <c r="L618" s="21">
        <f t="shared" si="443"/>
        <v>0</v>
      </c>
      <c r="M618" s="34" t="s">
        <v>1960</v>
      </c>
      <c r="O618">
        <f t="shared" si="444"/>
        <v>0</v>
      </c>
      <c r="Z618" s="39">
        <f t="shared" si="445"/>
        <v>0</v>
      </c>
      <c r="AB618" s="39">
        <f t="shared" si="446"/>
        <v>0</v>
      </c>
      <c r="AC618" s="39">
        <f t="shared" si="447"/>
        <v>0</v>
      </c>
      <c r="AD618" s="39">
        <f t="shared" si="448"/>
        <v>0</v>
      </c>
      <c r="AE618" s="39">
        <f t="shared" si="449"/>
        <v>0</v>
      </c>
      <c r="AF618" s="39">
        <f t="shared" si="450"/>
        <v>0</v>
      </c>
      <c r="AG618" s="39">
        <f t="shared" si="451"/>
        <v>0</v>
      </c>
      <c r="AH618" s="39">
        <f t="shared" si="452"/>
        <v>0</v>
      </c>
      <c r="AI618" s="30"/>
      <c r="AJ618" s="21">
        <f t="shared" si="453"/>
        <v>0</v>
      </c>
      <c r="AK618" s="21">
        <f t="shared" si="454"/>
        <v>0</v>
      </c>
      <c r="AL618" s="21">
        <f t="shared" si="455"/>
        <v>0</v>
      </c>
      <c r="AN618" s="39">
        <v>21</v>
      </c>
      <c r="AO618" s="39">
        <f t="shared" si="456"/>
        <v>0</v>
      </c>
      <c r="AP618" s="39">
        <f t="shared" si="457"/>
        <v>0</v>
      </c>
      <c r="AQ618" s="34" t="s">
        <v>11</v>
      </c>
      <c r="AV618" s="39">
        <f t="shared" si="458"/>
        <v>0</v>
      </c>
      <c r="AW618" s="39">
        <f t="shared" si="459"/>
        <v>0</v>
      </c>
      <c r="AX618" s="39">
        <f t="shared" si="460"/>
        <v>0</v>
      </c>
      <c r="AY618" s="40" t="s">
        <v>2017</v>
      </c>
      <c r="AZ618" s="40" t="s">
        <v>2041</v>
      </c>
      <c r="BA618" s="30" t="s">
        <v>2045</v>
      </c>
      <c r="BC618" s="39">
        <f t="shared" si="461"/>
        <v>0</v>
      </c>
      <c r="BD618" s="39">
        <f t="shared" si="462"/>
        <v>0</v>
      </c>
      <c r="BE618" s="39">
        <v>0</v>
      </c>
      <c r="BF618" s="39">
        <f t="shared" si="463"/>
        <v>0</v>
      </c>
      <c r="BH618" s="21">
        <f t="shared" si="464"/>
        <v>0</v>
      </c>
      <c r="BI618" s="21">
        <f t="shared" si="465"/>
        <v>0</v>
      </c>
      <c r="BJ618" s="21">
        <f t="shared" si="466"/>
        <v>0</v>
      </c>
    </row>
    <row r="619" spans="1:62">
      <c r="A619" s="5" t="s">
        <v>446</v>
      </c>
      <c r="B619" s="5"/>
      <c r="C619" s="5" t="s">
        <v>1050</v>
      </c>
      <c r="D619" s="5" t="s">
        <v>1749</v>
      </c>
      <c r="E619" s="5" t="s">
        <v>1943</v>
      </c>
      <c r="F619" s="21">
        <v>1</v>
      </c>
      <c r="G619" s="753">
        <v>0</v>
      </c>
      <c r="H619" s="21">
        <f t="shared" si="440"/>
        <v>0</v>
      </c>
      <c r="I619" s="21">
        <f t="shared" si="441"/>
        <v>0</v>
      </c>
      <c r="J619" s="21">
        <f t="shared" si="442"/>
        <v>0</v>
      </c>
      <c r="K619" s="21">
        <v>0</v>
      </c>
      <c r="L619" s="21">
        <f t="shared" si="443"/>
        <v>0</v>
      </c>
      <c r="M619" s="34" t="s">
        <v>1960</v>
      </c>
      <c r="O619">
        <f t="shared" si="444"/>
        <v>0</v>
      </c>
      <c r="Z619" s="39">
        <f t="shared" si="445"/>
        <v>0</v>
      </c>
      <c r="AB619" s="39">
        <f t="shared" si="446"/>
        <v>0</v>
      </c>
      <c r="AC619" s="39">
        <f t="shared" si="447"/>
        <v>0</v>
      </c>
      <c r="AD619" s="39">
        <f t="shared" si="448"/>
        <v>0</v>
      </c>
      <c r="AE619" s="39">
        <f t="shared" si="449"/>
        <v>0</v>
      </c>
      <c r="AF619" s="39">
        <f t="shared" si="450"/>
        <v>0</v>
      </c>
      <c r="AG619" s="39">
        <f t="shared" si="451"/>
        <v>0</v>
      </c>
      <c r="AH619" s="39">
        <f t="shared" si="452"/>
        <v>0</v>
      </c>
      <c r="AI619" s="30"/>
      <c r="AJ619" s="21">
        <f t="shared" si="453"/>
        <v>0</v>
      </c>
      <c r="AK619" s="21">
        <f t="shared" si="454"/>
        <v>0</v>
      </c>
      <c r="AL619" s="21">
        <f t="shared" si="455"/>
        <v>0</v>
      </c>
      <c r="AN619" s="39">
        <v>21</v>
      </c>
      <c r="AO619" s="39">
        <f t="shared" si="456"/>
        <v>0</v>
      </c>
      <c r="AP619" s="39">
        <f t="shared" si="457"/>
        <v>0</v>
      </c>
      <c r="AQ619" s="34" t="s">
        <v>11</v>
      </c>
      <c r="AV619" s="39">
        <f t="shared" si="458"/>
        <v>0</v>
      </c>
      <c r="AW619" s="39">
        <f t="shared" si="459"/>
        <v>0</v>
      </c>
      <c r="AX619" s="39">
        <f t="shared" si="460"/>
        <v>0</v>
      </c>
      <c r="AY619" s="40" t="s">
        <v>2017</v>
      </c>
      <c r="AZ619" s="40" t="s">
        <v>2041</v>
      </c>
      <c r="BA619" s="30" t="s">
        <v>2045</v>
      </c>
      <c r="BC619" s="39">
        <f t="shared" si="461"/>
        <v>0</v>
      </c>
      <c r="BD619" s="39">
        <f t="shared" si="462"/>
        <v>0</v>
      </c>
      <c r="BE619" s="39">
        <v>0</v>
      </c>
      <c r="BF619" s="39">
        <f t="shared" si="463"/>
        <v>0</v>
      </c>
      <c r="BH619" s="21">
        <f t="shared" si="464"/>
        <v>0</v>
      </c>
      <c r="BI619" s="21">
        <f t="shared" si="465"/>
        <v>0</v>
      </c>
      <c r="BJ619" s="21">
        <f t="shared" si="466"/>
        <v>0</v>
      </c>
    </row>
    <row r="620" spans="1:62">
      <c r="A620" s="5" t="s">
        <v>447</v>
      </c>
      <c r="B620" s="5"/>
      <c r="C620" s="5" t="s">
        <v>1051</v>
      </c>
      <c r="D620" s="5" t="s">
        <v>1750</v>
      </c>
      <c r="E620" s="5" t="s">
        <v>1943</v>
      </c>
      <c r="F620" s="21">
        <v>1</v>
      </c>
      <c r="G620" s="753">
        <v>0</v>
      </c>
      <c r="H620" s="21">
        <f t="shared" si="440"/>
        <v>0</v>
      </c>
      <c r="I620" s="21">
        <f t="shared" si="441"/>
        <v>0</v>
      </c>
      <c r="J620" s="21">
        <f t="shared" si="442"/>
        <v>0</v>
      </c>
      <c r="K620" s="21">
        <v>0</v>
      </c>
      <c r="L620" s="21">
        <f t="shared" si="443"/>
        <v>0</v>
      </c>
      <c r="M620" s="34" t="s">
        <v>1960</v>
      </c>
      <c r="O620">
        <f t="shared" si="444"/>
        <v>0</v>
      </c>
      <c r="Z620" s="39">
        <f t="shared" si="445"/>
        <v>0</v>
      </c>
      <c r="AB620" s="39">
        <f t="shared" si="446"/>
        <v>0</v>
      </c>
      <c r="AC620" s="39">
        <f t="shared" si="447"/>
        <v>0</v>
      </c>
      <c r="AD620" s="39">
        <f t="shared" si="448"/>
        <v>0</v>
      </c>
      <c r="AE620" s="39">
        <f t="shared" si="449"/>
        <v>0</v>
      </c>
      <c r="AF620" s="39">
        <f t="shared" si="450"/>
        <v>0</v>
      </c>
      <c r="AG620" s="39">
        <f t="shared" si="451"/>
        <v>0</v>
      </c>
      <c r="AH620" s="39">
        <f t="shared" si="452"/>
        <v>0</v>
      </c>
      <c r="AI620" s="30"/>
      <c r="AJ620" s="21">
        <f t="shared" si="453"/>
        <v>0</v>
      </c>
      <c r="AK620" s="21">
        <f t="shared" si="454"/>
        <v>0</v>
      </c>
      <c r="AL620" s="21">
        <f t="shared" si="455"/>
        <v>0</v>
      </c>
      <c r="AN620" s="39">
        <v>21</v>
      </c>
      <c r="AO620" s="39">
        <f t="shared" si="456"/>
        <v>0</v>
      </c>
      <c r="AP620" s="39">
        <f t="shared" si="457"/>
        <v>0</v>
      </c>
      <c r="AQ620" s="34" t="s">
        <v>11</v>
      </c>
      <c r="AV620" s="39">
        <f t="shared" si="458"/>
        <v>0</v>
      </c>
      <c r="AW620" s="39">
        <f t="shared" si="459"/>
        <v>0</v>
      </c>
      <c r="AX620" s="39">
        <f t="shared" si="460"/>
        <v>0</v>
      </c>
      <c r="AY620" s="40" t="s">
        <v>2017</v>
      </c>
      <c r="AZ620" s="40" t="s">
        <v>2041</v>
      </c>
      <c r="BA620" s="30" t="s">
        <v>2045</v>
      </c>
      <c r="BC620" s="39">
        <f t="shared" si="461"/>
        <v>0</v>
      </c>
      <c r="BD620" s="39">
        <f t="shared" si="462"/>
        <v>0</v>
      </c>
      <c r="BE620" s="39">
        <v>0</v>
      </c>
      <c r="BF620" s="39">
        <f t="shared" si="463"/>
        <v>0</v>
      </c>
      <c r="BH620" s="21">
        <f t="shared" si="464"/>
        <v>0</v>
      </c>
      <c r="BI620" s="21">
        <f t="shared" si="465"/>
        <v>0</v>
      </c>
      <c r="BJ620" s="21">
        <f t="shared" si="466"/>
        <v>0</v>
      </c>
    </row>
    <row r="621" spans="1:62">
      <c r="A621" s="5" t="s">
        <v>448</v>
      </c>
      <c r="B621" s="5"/>
      <c r="C621" s="5" t="s">
        <v>1052</v>
      </c>
      <c r="D621" s="5" t="s">
        <v>1751</v>
      </c>
      <c r="E621" s="5" t="s">
        <v>1943</v>
      </c>
      <c r="F621" s="21">
        <v>1</v>
      </c>
      <c r="G621" s="753">
        <v>0</v>
      </c>
      <c r="H621" s="21">
        <f t="shared" si="440"/>
        <v>0</v>
      </c>
      <c r="I621" s="21">
        <f t="shared" si="441"/>
        <v>0</v>
      </c>
      <c r="J621" s="21">
        <f t="shared" si="442"/>
        <v>0</v>
      </c>
      <c r="K621" s="21">
        <v>0</v>
      </c>
      <c r="L621" s="21">
        <f t="shared" si="443"/>
        <v>0</v>
      </c>
      <c r="M621" s="34" t="s">
        <v>1960</v>
      </c>
      <c r="O621">
        <f t="shared" si="444"/>
        <v>0</v>
      </c>
      <c r="Z621" s="39">
        <f t="shared" si="445"/>
        <v>0</v>
      </c>
      <c r="AB621" s="39">
        <f t="shared" si="446"/>
        <v>0</v>
      </c>
      <c r="AC621" s="39">
        <f t="shared" si="447"/>
        <v>0</v>
      </c>
      <c r="AD621" s="39">
        <f t="shared" si="448"/>
        <v>0</v>
      </c>
      <c r="AE621" s="39">
        <f t="shared" si="449"/>
        <v>0</v>
      </c>
      <c r="AF621" s="39">
        <f t="shared" si="450"/>
        <v>0</v>
      </c>
      <c r="AG621" s="39">
        <f t="shared" si="451"/>
        <v>0</v>
      </c>
      <c r="AH621" s="39">
        <f t="shared" si="452"/>
        <v>0</v>
      </c>
      <c r="AI621" s="30"/>
      <c r="AJ621" s="21">
        <f t="shared" si="453"/>
        <v>0</v>
      </c>
      <c r="AK621" s="21">
        <f t="shared" si="454"/>
        <v>0</v>
      </c>
      <c r="AL621" s="21">
        <f t="shared" si="455"/>
        <v>0</v>
      </c>
      <c r="AN621" s="39">
        <v>21</v>
      </c>
      <c r="AO621" s="39">
        <f t="shared" si="456"/>
        <v>0</v>
      </c>
      <c r="AP621" s="39">
        <f t="shared" si="457"/>
        <v>0</v>
      </c>
      <c r="AQ621" s="34" t="s">
        <v>11</v>
      </c>
      <c r="AV621" s="39">
        <f t="shared" si="458"/>
        <v>0</v>
      </c>
      <c r="AW621" s="39">
        <f t="shared" si="459"/>
        <v>0</v>
      </c>
      <c r="AX621" s="39">
        <f t="shared" si="460"/>
        <v>0</v>
      </c>
      <c r="AY621" s="40" t="s">
        <v>2017</v>
      </c>
      <c r="AZ621" s="40" t="s">
        <v>2041</v>
      </c>
      <c r="BA621" s="30" t="s">
        <v>2045</v>
      </c>
      <c r="BC621" s="39">
        <f t="shared" si="461"/>
        <v>0</v>
      </c>
      <c r="BD621" s="39">
        <f t="shared" si="462"/>
        <v>0</v>
      </c>
      <c r="BE621" s="39">
        <v>0</v>
      </c>
      <c r="BF621" s="39">
        <f t="shared" si="463"/>
        <v>0</v>
      </c>
      <c r="BH621" s="21">
        <f t="shared" si="464"/>
        <v>0</v>
      </c>
      <c r="BI621" s="21">
        <f t="shared" si="465"/>
        <v>0</v>
      </c>
      <c r="BJ621" s="21">
        <f t="shared" si="466"/>
        <v>0</v>
      </c>
    </row>
    <row r="622" spans="1:62">
      <c r="A622" s="5" t="s">
        <v>449</v>
      </c>
      <c r="B622" s="5"/>
      <c r="C622" s="5" t="s">
        <v>1053</v>
      </c>
      <c r="D622" s="5" t="s">
        <v>1752</v>
      </c>
      <c r="E622" s="5" t="s">
        <v>1943</v>
      </c>
      <c r="F622" s="21">
        <v>1</v>
      </c>
      <c r="G622" s="753">
        <v>0</v>
      </c>
      <c r="H622" s="21">
        <f t="shared" si="440"/>
        <v>0</v>
      </c>
      <c r="I622" s="21">
        <f t="shared" si="441"/>
        <v>0</v>
      </c>
      <c r="J622" s="21">
        <f t="shared" si="442"/>
        <v>0</v>
      </c>
      <c r="K622" s="21">
        <v>0</v>
      </c>
      <c r="L622" s="21">
        <f t="shared" si="443"/>
        <v>0</v>
      </c>
      <c r="M622" s="34" t="s">
        <v>1960</v>
      </c>
      <c r="O622">
        <f t="shared" si="444"/>
        <v>0</v>
      </c>
      <c r="Z622" s="39">
        <f t="shared" si="445"/>
        <v>0</v>
      </c>
      <c r="AB622" s="39">
        <f t="shared" si="446"/>
        <v>0</v>
      </c>
      <c r="AC622" s="39">
        <f t="shared" si="447"/>
        <v>0</v>
      </c>
      <c r="AD622" s="39">
        <f t="shared" si="448"/>
        <v>0</v>
      </c>
      <c r="AE622" s="39">
        <f t="shared" si="449"/>
        <v>0</v>
      </c>
      <c r="AF622" s="39">
        <f t="shared" si="450"/>
        <v>0</v>
      </c>
      <c r="AG622" s="39">
        <f t="shared" si="451"/>
        <v>0</v>
      </c>
      <c r="AH622" s="39">
        <f t="shared" si="452"/>
        <v>0</v>
      </c>
      <c r="AI622" s="30"/>
      <c r="AJ622" s="21">
        <f t="shared" si="453"/>
        <v>0</v>
      </c>
      <c r="AK622" s="21">
        <f t="shared" si="454"/>
        <v>0</v>
      </c>
      <c r="AL622" s="21">
        <f t="shared" si="455"/>
        <v>0</v>
      </c>
      <c r="AN622" s="39">
        <v>21</v>
      </c>
      <c r="AO622" s="39">
        <f t="shared" si="456"/>
        <v>0</v>
      </c>
      <c r="AP622" s="39">
        <f t="shared" si="457"/>
        <v>0</v>
      </c>
      <c r="AQ622" s="34" t="s">
        <v>11</v>
      </c>
      <c r="AV622" s="39">
        <f t="shared" si="458"/>
        <v>0</v>
      </c>
      <c r="AW622" s="39">
        <f t="shared" si="459"/>
        <v>0</v>
      </c>
      <c r="AX622" s="39">
        <f t="shared" si="460"/>
        <v>0</v>
      </c>
      <c r="AY622" s="40" t="s">
        <v>2017</v>
      </c>
      <c r="AZ622" s="40" t="s">
        <v>2041</v>
      </c>
      <c r="BA622" s="30" t="s">
        <v>2045</v>
      </c>
      <c r="BC622" s="39">
        <f t="shared" si="461"/>
        <v>0</v>
      </c>
      <c r="BD622" s="39">
        <f t="shared" si="462"/>
        <v>0</v>
      </c>
      <c r="BE622" s="39">
        <v>0</v>
      </c>
      <c r="BF622" s="39">
        <f t="shared" si="463"/>
        <v>0</v>
      </c>
      <c r="BH622" s="21">
        <f t="shared" si="464"/>
        <v>0</v>
      </c>
      <c r="BI622" s="21">
        <f t="shared" si="465"/>
        <v>0</v>
      </c>
      <c r="BJ622" s="21">
        <f t="shared" si="466"/>
        <v>0</v>
      </c>
    </row>
    <row r="623" spans="1:62">
      <c r="A623" s="5" t="s">
        <v>450</v>
      </c>
      <c r="B623" s="5"/>
      <c r="C623" s="5" t="s">
        <v>1054</v>
      </c>
      <c r="D623" s="5" t="s">
        <v>1753</v>
      </c>
      <c r="E623" s="5" t="s">
        <v>1943</v>
      </c>
      <c r="F623" s="21">
        <v>1</v>
      </c>
      <c r="G623" s="753">
        <v>0</v>
      </c>
      <c r="H623" s="21">
        <f t="shared" si="440"/>
        <v>0</v>
      </c>
      <c r="I623" s="21">
        <f t="shared" si="441"/>
        <v>0</v>
      </c>
      <c r="J623" s="21">
        <f t="shared" si="442"/>
        <v>0</v>
      </c>
      <c r="K623" s="21">
        <v>0</v>
      </c>
      <c r="L623" s="21">
        <f t="shared" si="443"/>
        <v>0</v>
      </c>
      <c r="M623" s="34" t="s">
        <v>1960</v>
      </c>
      <c r="O623">
        <f t="shared" si="444"/>
        <v>0</v>
      </c>
      <c r="Z623" s="39">
        <f t="shared" si="445"/>
        <v>0</v>
      </c>
      <c r="AB623" s="39">
        <f t="shared" si="446"/>
        <v>0</v>
      </c>
      <c r="AC623" s="39">
        <f t="shared" si="447"/>
        <v>0</v>
      </c>
      <c r="AD623" s="39">
        <f t="shared" si="448"/>
        <v>0</v>
      </c>
      <c r="AE623" s="39">
        <f t="shared" si="449"/>
        <v>0</v>
      </c>
      <c r="AF623" s="39">
        <f t="shared" si="450"/>
        <v>0</v>
      </c>
      <c r="AG623" s="39">
        <f t="shared" si="451"/>
        <v>0</v>
      </c>
      <c r="AH623" s="39">
        <f t="shared" si="452"/>
        <v>0</v>
      </c>
      <c r="AI623" s="30"/>
      <c r="AJ623" s="21">
        <f t="shared" si="453"/>
        <v>0</v>
      </c>
      <c r="AK623" s="21">
        <f t="shared" si="454"/>
        <v>0</v>
      </c>
      <c r="AL623" s="21">
        <f t="shared" si="455"/>
        <v>0</v>
      </c>
      <c r="AN623" s="39">
        <v>21</v>
      </c>
      <c r="AO623" s="39">
        <f t="shared" si="456"/>
        <v>0</v>
      </c>
      <c r="AP623" s="39">
        <f t="shared" si="457"/>
        <v>0</v>
      </c>
      <c r="AQ623" s="34" t="s">
        <v>11</v>
      </c>
      <c r="AV623" s="39">
        <f t="shared" si="458"/>
        <v>0</v>
      </c>
      <c r="AW623" s="39">
        <f t="shared" si="459"/>
        <v>0</v>
      </c>
      <c r="AX623" s="39">
        <f t="shared" si="460"/>
        <v>0</v>
      </c>
      <c r="AY623" s="40" t="s">
        <v>2017</v>
      </c>
      <c r="AZ623" s="40" t="s">
        <v>2041</v>
      </c>
      <c r="BA623" s="30" t="s">
        <v>2045</v>
      </c>
      <c r="BC623" s="39">
        <f t="shared" si="461"/>
        <v>0</v>
      </c>
      <c r="BD623" s="39">
        <f t="shared" si="462"/>
        <v>0</v>
      </c>
      <c r="BE623" s="39">
        <v>0</v>
      </c>
      <c r="BF623" s="39">
        <f t="shared" si="463"/>
        <v>0</v>
      </c>
      <c r="BH623" s="21">
        <f t="shared" si="464"/>
        <v>0</v>
      </c>
      <c r="BI623" s="21">
        <f t="shared" si="465"/>
        <v>0</v>
      </c>
      <c r="BJ623" s="21">
        <f t="shared" si="466"/>
        <v>0</v>
      </c>
    </row>
    <row r="624" spans="1:62">
      <c r="A624" s="5" t="s">
        <v>451</v>
      </c>
      <c r="B624" s="5"/>
      <c r="C624" s="5" t="s">
        <v>1055</v>
      </c>
      <c r="D624" s="5" t="s">
        <v>1754</v>
      </c>
      <c r="E624" s="5" t="s">
        <v>1939</v>
      </c>
      <c r="F624" s="21">
        <v>25.9</v>
      </c>
      <c r="G624" s="753">
        <v>0</v>
      </c>
      <c r="H624" s="21">
        <f t="shared" si="440"/>
        <v>0</v>
      </c>
      <c r="I624" s="21">
        <f t="shared" si="441"/>
        <v>0</v>
      </c>
      <c r="J624" s="21">
        <f t="shared" si="442"/>
        <v>0</v>
      </c>
      <c r="K624" s="21">
        <v>0</v>
      </c>
      <c r="L624" s="21">
        <f t="shared" si="443"/>
        <v>0</v>
      </c>
      <c r="M624" s="34" t="s">
        <v>1960</v>
      </c>
      <c r="O624">
        <f t="shared" si="444"/>
        <v>0</v>
      </c>
      <c r="Z624" s="39">
        <f t="shared" si="445"/>
        <v>0</v>
      </c>
      <c r="AB624" s="39">
        <f t="shared" si="446"/>
        <v>0</v>
      </c>
      <c r="AC624" s="39">
        <f t="shared" si="447"/>
        <v>0</v>
      </c>
      <c r="AD624" s="39">
        <f t="shared" si="448"/>
        <v>0</v>
      </c>
      <c r="AE624" s="39">
        <f t="shared" si="449"/>
        <v>0</v>
      </c>
      <c r="AF624" s="39">
        <f t="shared" si="450"/>
        <v>0</v>
      </c>
      <c r="AG624" s="39">
        <f t="shared" si="451"/>
        <v>0</v>
      </c>
      <c r="AH624" s="39">
        <f t="shared" si="452"/>
        <v>0</v>
      </c>
      <c r="AI624" s="30"/>
      <c r="AJ624" s="21">
        <f t="shared" si="453"/>
        <v>0</v>
      </c>
      <c r="AK624" s="21">
        <f t="shared" si="454"/>
        <v>0</v>
      </c>
      <c r="AL624" s="21">
        <f t="shared" si="455"/>
        <v>0</v>
      </c>
      <c r="AN624" s="39">
        <v>21</v>
      </c>
      <c r="AO624" s="39">
        <f t="shared" si="456"/>
        <v>0</v>
      </c>
      <c r="AP624" s="39">
        <f t="shared" si="457"/>
        <v>0</v>
      </c>
      <c r="AQ624" s="34" t="s">
        <v>11</v>
      </c>
      <c r="AV624" s="39">
        <f t="shared" si="458"/>
        <v>0</v>
      </c>
      <c r="AW624" s="39">
        <f t="shared" si="459"/>
        <v>0</v>
      </c>
      <c r="AX624" s="39">
        <f t="shared" si="460"/>
        <v>0</v>
      </c>
      <c r="AY624" s="40" t="s">
        <v>2017</v>
      </c>
      <c r="AZ624" s="40" t="s">
        <v>2041</v>
      </c>
      <c r="BA624" s="30" t="s">
        <v>2045</v>
      </c>
      <c r="BC624" s="39">
        <f t="shared" si="461"/>
        <v>0</v>
      </c>
      <c r="BD624" s="39">
        <f t="shared" si="462"/>
        <v>0</v>
      </c>
      <c r="BE624" s="39">
        <v>0</v>
      </c>
      <c r="BF624" s="39">
        <f t="shared" si="463"/>
        <v>0</v>
      </c>
      <c r="BH624" s="21">
        <f t="shared" si="464"/>
        <v>0</v>
      </c>
      <c r="BI624" s="21">
        <f t="shared" si="465"/>
        <v>0</v>
      </c>
      <c r="BJ624" s="21">
        <f t="shared" si="466"/>
        <v>0</v>
      </c>
    </row>
    <row r="625" spans="1:62">
      <c r="A625" s="5" t="s">
        <v>452</v>
      </c>
      <c r="B625" s="5"/>
      <c r="C625" s="5" t="s">
        <v>1056</v>
      </c>
      <c r="D625" s="5" t="s">
        <v>1755</v>
      </c>
      <c r="E625" s="5" t="s">
        <v>1939</v>
      </c>
      <c r="F625" s="21">
        <v>8</v>
      </c>
      <c r="G625" s="753">
        <v>0</v>
      </c>
      <c r="H625" s="21">
        <f t="shared" si="440"/>
        <v>0</v>
      </c>
      <c r="I625" s="21">
        <f t="shared" si="441"/>
        <v>0</v>
      </c>
      <c r="J625" s="21">
        <f t="shared" si="442"/>
        <v>0</v>
      </c>
      <c r="K625" s="21">
        <v>0</v>
      </c>
      <c r="L625" s="21">
        <f t="shared" si="443"/>
        <v>0</v>
      </c>
      <c r="M625" s="34" t="s">
        <v>1960</v>
      </c>
      <c r="O625">
        <f t="shared" si="444"/>
        <v>0</v>
      </c>
      <c r="Z625" s="39">
        <f t="shared" si="445"/>
        <v>0</v>
      </c>
      <c r="AB625" s="39">
        <f t="shared" si="446"/>
        <v>0</v>
      </c>
      <c r="AC625" s="39">
        <f t="shared" si="447"/>
        <v>0</v>
      </c>
      <c r="AD625" s="39">
        <f t="shared" si="448"/>
        <v>0</v>
      </c>
      <c r="AE625" s="39">
        <f t="shared" si="449"/>
        <v>0</v>
      </c>
      <c r="AF625" s="39">
        <f t="shared" si="450"/>
        <v>0</v>
      </c>
      <c r="AG625" s="39">
        <f t="shared" si="451"/>
        <v>0</v>
      </c>
      <c r="AH625" s="39">
        <f t="shared" si="452"/>
        <v>0</v>
      </c>
      <c r="AI625" s="30"/>
      <c r="AJ625" s="21">
        <f t="shared" si="453"/>
        <v>0</v>
      </c>
      <c r="AK625" s="21">
        <f t="shared" si="454"/>
        <v>0</v>
      </c>
      <c r="AL625" s="21">
        <f t="shared" si="455"/>
        <v>0</v>
      </c>
      <c r="AN625" s="39">
        <v>21</v>
      </c>
      <c r="AO625" s="39">
        <f t="shared" si="456"/>
        <v>0</v>
      </c>
      <c r="AP625" s="39">
        <f t="shared" si="457"/>
        <v>0</v>
      </c>
      <c r="AQ625" s="34" t="s">
        <v>11</v>
      </c>
      <c r="AV625" s="39">
        <f t="shared" si="458"/>
        <v>0</v>
      </c>
      <c r="AW625" s="39">
        <f t="shared" si="459"/>
        <v>0</v>
      </c>
      <c r="AX625" s="39">
        <f t="shared" si="460"/>
        <v>0</v>
      </c>
      <c r="AY625" s="40" t="s">
        <v>2017</v>
      </c>
      <c r="AZ625" s="40" t="s">
        <v>2041</v>
      </c>
      <c r="BA625" s="30" t="s">
        <v>2045</v>
      </c>
      <c r="BC625" s="39">
        <f t="shared" si="461"/>
        <v>0</v>
      </c>
      <c r="BD625" s="39">
        <f t="shared" si="462"/>
        <v>0</v>
      </c>
      <c r="BE625" s="39">
        <v>0</v>
      </c>
      <c r="BF625" s="39">
        <f t="shared" si="463"/>
        <v>0</v>
      </c>
      <c r="BH625" s="21">
        <f t="shared" si="464"/>
        <v>0</v>
      </c>
      <c r="BI625" s="21">
        <f t="shared" si="465"/>
        <v>0</v>
      </c>
      <c r="BJ625" s="21">
        <f t="shared" si="466"/>
        <v>0</v>
      </c>
    </row>
    <row r="626" spans="1:62">
      <c r="A626" s="5" t="s">
        <v>453</v>
      </c>
      <c r="B626" s="5"/>
      <c r="C626" s="5" t="s">
        <v>1057</v>
      </c>
      <c r="D626" s="5" t="s">
        <v>1756</v>
      </c>
      <c r="E626" s="5" t="s">
        <v>1943</v>
      </c>
      <c r="F626" s="21">
        <v>3</v>
      </c>
      <c r="G626" s="753">
        <v>0</v>
      </c>
      <c r="H626" s="21">
        <f t="shared" si="440"/>
        <v>0</v>
      </c>
      <c r="I626" s="21">
        <f t="shared" si="441"/>
        <v>0</v>
      </c>
      <c r="J626" s="21">
        <f t="shared" si="442"/>
        <v>0</v>
      </c>
      <c r="K626" s="21">
        <v>0</v>
      </c>
      <c r="L626" s="21">
        <f t="shared" si="443"/>
        <v>0</v>
      </c>
      <c r="M626" s="34" t="s">
        <v>1960</v>
      </c>
      <c r="O626">
        <f t="shared" si="444"/>
        <v>0</v>
      </c>
      <c r="Z626" s="39">
        <f t="shared" si="445"/>
        <v>0</v>
      </c>
      <c r="AB626" s="39">
        <f t="shared" si="446"/>
        <v>0</v>
      </c>
      <c r="AC626" s="39">
        <f t="shared" si="447"/>
        <v>0</v>
      </c>
      <c r="AD626" s="39">
        <f t="shared" si="448"/>
        <v>0</v>
      </c>
      <c r="AE626" s="39">
        <f t="shared" si="449"/>
        <v>0</v>
      </c>
      <c r="AF626" s="39">
        <f t="shared" si="450"/>
        <v>0</v>
      </c>
      <c r="AG626" s="39">
        <f t="shared" si="451"/>
        <v>0</v>
      </c>
      <c r="AH626" s="39">
        <f t="shared" si="452"/>
        <v>0</v>
      </c>
      <c r="AI626" s="30"/>
      <c r="AJ626" s="21">
        <f t="shared" si="453"/>
        <v>0</v>
      </c>
      <c r="AK626" s="21">
        <f t="shared" si="454"/>
        <v>0</v>
      </c>
      <c r="AL626" s="21">
        <f t="shared" si="455"/>
        <v>0</v>
      </c>
      <c r="AN626" s="39">
        <v>21</v>
      </c>
      <c r="AO626" s="39">
        <f t="shared" si="456"/>
        <v>0</v>
      </c>
      <c r="AP626" s="39">
        <f t="shared" si="457"/>
        <v>0</v>
      </c>
      <c r="AQ626" s="34" t="s">
        <v>11</v>
      </c>
      <c r="AV626" s="39">
        <f t="shared" si="458"/>
        <v>0</v>
      </c>
      <c r="AW626" s="39">
        <f t="shared" si="459"/>
        <v>0</v>
      </c>
      <c r="AX626" s="39">
        <f t="shared" si="460"/>
        <v>0</v>
      </c>
      <c r="AY626" s="40" t="s">
        <v>2017</v>
      </c>
      <c r="AZ626" s="40" t="s">
        <v>2041</v>
      </c>
      <c r="BA626" s="30" t="s">
        <v>2045</v>
      </c>
      <c r="BC626" s="39">
        <f t="shared" si="461"/>
        <v>0</v>
      </c>
      <c r="BD626" s="39">
        <f t="shared" si="462"/>
        <v>0</v>
      </c>
      <c r="BE626" s="39">
        <v>0</v>
      </c>
      <c r="BF626" s="39">
        <f t="shared" si="463"/>
        <v>0</v>
      </c>
      <c r="BH626" s="21">
        <f t="shared" si="464"/>
        <v>0</v>
      </c>
      <c r="BI626" s="21">
        <f t="shared" si="465"/>
        <v>0</v>
      </c>
      <c r="BJ626" s="21">
        <f t="shared" si="466"/>
        <v>0</v>
      </c>
    </row>
    <row r="627" spans="1:62">
      <c r="A627" s="5" t="s">
        <v>454</v>
      </c>
      <c r="B627" s="5"/>
      <c r="C627" s="5" t="s">
        <v>1058</v>
      </c>
      <c r="D627" s="5" t="s">
        <v>1757</v>
      </c>
      <c r="E627" s="5" t="s">
        <v>1944</v>
      </c>
      <c r="F627" s="21">
        <v>328.5</v>
      </c>
      <c r="G627" s="753">
        <v>0</v>
      </c>
      <c r="H627" s="21">
        <f t="shared" si="440"/>
        <v>0</v>
      </c>
      <c r="I627" s="21">
        <f t="shared" si="441"/>
        <v>0</v>
      </c>
      <c r="J627" s="21">
        <f t="shared" si="442"/>
        <v>0</v>
      </c>
      <c r="K627" s="21">
        <v>0</v>
      </c>
      <c r="L627" s="21">
        <f t="shared" si="443"/>
        <v>0</v>
      </c>
      <c r="M627" s="34" t="s">
        <v>1960</v>
      </c>
      <c r="O627">
        <f t="shared" si="444"/>
        <v>0</v>
      </c>
      <c r="Z627" s="39">
        <f t="shared" si="445"/>
        <v>0</v>
      </c>
      <c r="AB627" s="39">
        <f t="shared" si="446"/>
        <v>0</v>
      </c>
      <c r="AC627" s="39">
        <f t="shared" si="447"/>
        <v>0</v>
      </c>
      <c r="AD627" s="39">
        <f t="shared" si="448"/>
        <v>0</v>
      </c>
      <c r="AE627" s="39">
        <f t="shared" si="449"/>
        <v>0</v>
      </c>
      <c r="AF627" s="39">
        <f t="shared" si="450"/>
        <v>0</v>
      </c>
      <c r="AG627" s="39">
        <f t="shared" si="451"/>
        <v>0</v>
      </c>
      <c r="AH627" s="39">
        <f t="shared" si="452"/>
        <v>0</v>
      </c>
      <c r="AI627" s="30"/>
      <c r="AJ627" s="21">
        <f t="shared" si="453"/>
        <v>0</v>
      </c>
      <c r="AK627" s="21">
        <f t="shared" si="454"/>
        <v>0</v>
      </c>
      <c r="AL627" s="21">
        <f t="shared" si="455"/>
        <v>0</v>
      </c>
      <c r="AN627" s="39">
        <v>21</v>
      </c>
      <c r="AO627" s="39">
        <f t="shared" si="456"/>
        <v>0</v>
      </c>
      <c r="AP627" s="39">
        <f t="shared" si="457"/>
        <v>0</v>
      </c>
      <c r="AQ627" s="34" t="s">
        <v>11</v>
      </c>
      <c r="AV627" s="39">
        <f t="shared" si="458"/>
        <v>0</v>
      </c>
      <c r="AW627" s="39">
        <f t="shared" si="459"/>
        <v>0</v>
      </c>
      <c r="AX627" s="39">
        <f t="shared" si="460"/>
        <v>0</v>
      </c>
      <c r="AY627" s="40" t="s">
        <v>2017</v>
      </c>
      <c r="AZ627" s="40" t="s">
        <v>2041</v>
      </c>
      <c r="BA627" s="30" t="s">
        <v>2045</v>
      </c>
      <c r="BC627" s="39">
        <f t="shared" si="461"/>
        <v>0</v>
      </c>
      <c r="BD627" s="39">
        <f t="shared" si="462"/>
        <v>0</v>
      </c>
      <c r="BE627" s="39">
        <v>0</v>
      </c>
      <c r="BF627" s="39">
        <f t="shared" si="463"/>
        <v>0</v>
      </c>
      <c r="BH627" s="21">
        <f t="shared" si="464"/>
        <v>0</v>
      </c>
      <c r="BI627" s="21">
        <f t="shared" si="465"/>
        <v>0</v>
      </c>
      <c r="BJ627" s="21">
        <f t="shared" si="466"/>
        <v>0</v>
      </c>
    </row>
    <row r="628" spans="1:62">
      <c r="A628" s="5" t="s">
        <v>455</v>
      </c>
      <c r="B628" s="5"/>
      <c r="C628" s="5" t="s">
        <v>1059</v>
      </c>
      <c r="D628" s="5" t="s">
        <v>1758</v>
      </c>
      <c r="E628" s="5" t="s">
        <v>1943</v>
      </c>
      <c r="F628" s="21">
        <v>2</v>
      </c>
      <c r="G628" s="753">
        <v>0</v>
      </c>
      <c r="H628" s="21">
        <f t="shared" si="440"/>
        <v>0</v>
      </c>
      <c r="I628" s="21">
        <f t="shared" si="441"/>
        <v>0</v>
      </c>
      <c r="J628" s="21">
        <f t="shared" si="442"/>
        <v>0</v>
      </c>
      <c r="K628" s="21">
        <v>0</v>
      </c>
      <c r="L628" s="21">
        <f t="shared" si="443"/>
        <v>0</v>
      </c>
      <c r="M628" s="34" t="s">
        <v>1960</v>
      </c>
      <c r="O628">
        <f t="shared" si="444"/>
        <v>0</v>
      </c>
      <c r="Z628" s="39">
        <f t="shared" si="445"/>
        <v>0</v>
      </c>
      <c r="AB628" s="39">
        <f t="shared" si="446"/>
        <v>0</v>
      </c>
      <c r="AC628" s="39">
        <f t="shared" si="447"/>
        <v>0</v>
      </c>
      <c r="AD628" s="39">
        <f t="shared" si="448"/>
        <v>0</v>
      </c>
      <c r="AE628" s="39">
        <f t="shared" si="449"/>
        <v>0</v>
      </c>
      <c r="AF628" s="39">
        <f t="shared" si="450"/>
        <v>0</v>
      </c>
      <c r="AG628" s="39">
        <f t="shared" si="451"/>
        <v>0</v>
      </c>
      <c r="AH628" s="39">
        <f t="shared" si="452"/>
        <v>0</v>
      </c>
      <c r="AI628" s="30"/>
      <c r="AJ628" s="21">
        <f t="shared" si="453"/>
        <v>0</v>
      </c>
      <c r="AK628" s="21">
        <f t="shared" si="454"/>
        <v>0</v>
      </c>
      <c r="AL628" s="21">
        <f t="shared" si="455"/>
        <v>0</v>
      </c>
      <c r="AN628" s="39">
        <v>21</v>
      </c>
      <c r="AO628" s="39">
        <f t="shared" si="456"/>
        <v>0</v>
      </c>
      <c r="AP628" s="39">
        <f t="shared" si="457"/>
        <v>0</v>
      </c>
      <c r="AQ628" s="34" t="s">
        <v>11</v>
      </c>
      <c r="AV628" s="39">
        <f t="shared" si="458"/>
        <v>0</v>
      </c>
      <c r="AW628" s="39">
        <f t="shared" si="459"/>
        <v>0</v>
      </c>
      <c r="AX628" s="39">
        <f t="shared" si="460"/>
        <v>0</v>
      </c>
      <c r="AY628" s="40" t="s">
        <v>2017</v>
      </c>
      <c r="AZ628" s="40" t="s">
        <v>2041</v>
      </c>
      <c r="BA628" s="30" t="s">
        <v>2045</v>
      </c>
      <c r="BC628" s="39">
        <f t="shared" si="461"/>
        <v>0</v>
      </c>
      <c r="BD628" s="39">
        <f t="shared" si="462"/>
        <v>0</v>
      </c>
      <c r="BE628" s="39">
        <v>0</v>
      </c>
      <c r="BF628" s="39">
        <f t="shared" si="463"/>
        <v>0</v>
      </c>
      <c r="BH628" s="21">
        <f t="shared" si="464"/>
        <v>0</v>
      </c>
      <c r="BI628" s="21">
        <f t="shared" si="465"/>
        <v>0</v>
      </c>
      <c r="BJ628" s="21">
        <f t="shared" si="466"/>
        <v>0</v>
      </c>
    </row>
    <row r="629" spans="1:62">
      <c r="A629" s="5" t="s">
        <v>456</v>
      </c>
      <c r="B629" s="5"/>
      <c r="C629" s="5" t="s">
        <v>1060</v>
      </c>
      <c r="D629" s="5" t="s">
        <v>1759</v>
      </c>
      <c r="E629" s="5" t="s">
        <v>1943</v>
      </c>
      <c r="F629" s="21">
        <v>3</v>
      </c>
      <c r="G629" s="753">
        <v>0</v>
      </c>
      <c r="H629" s="21">
        <f t="shared" si="440"/>
        <v>0</v>
      </c>
      <c r="I629" s="21">
        <f t="shared" si="441"/>
        <v>0</v>
      </c>
      <c r="J629" s="21">
        <f t="shared" si="442"/>
        <v>0</v>
      </c>
      <c r="K629" s="21">
        <v>0</v>
      </c>
      <c r="L629" s="21">
        <f t="shared" si="443"/>
        <v>0</v>
      </c>
      <c r="M629" s="34" t="s">
        <v>1960</v>
      </c>
      <c r="O629">
        <f t="shared" si="444"/>
        <v>0</v>
      </c>
      <c r="Z629" s="39">
        <f t="shared" si="445"/>
        <v>0</v>
      </c>
      <c r="AB629" s="39">
        <f t="shared" si="446"/>
        <v>0</v>
      </c>
      <c r="AC629" s="39">
        <f t="shared" si="447"/>
        <v>0</v>
      </c>
      <c r="AD629" s="39">
        <f t="shared" si="448"/>
        <v>0</v>
      </c>
      <c r="AE629" s="39">
        <f t="shared" si="449"/>
        <v>0</v>
      </c>
      <c r="AF629" s="39">
        <f t="shared" si="450"/>
        <v>0</v>
      </c>
      <c r="AG629" s="39">
        <f t="shared" si="451"/>
        <v>0</v>
      </c>
      <c r="AH629" s="39">
        <f t="shared" si="452"/>
        <v>0</v>
      </c>
      <c r="AI629" s="30"/>
      <c r="AJ629" s="21">
        <f t="shared" si="453"/>
        <v>0</v>
      </c>
      <c r="AK629" s="21">
        <f t="shared" si="454"/>
        <v>0</v>
      </c>
      <c r="AL629" s="21">
        <f t="shared" si="455"/>
        <v>0</v>
      </c>
      <c r="AN629" s="39">
        <v>21</v>
      </c>
      <c r="AO629" s="39">
        <f t="shared" si="456"/>
        <v>0</v>
      </c>
      <c r="AP629" s="39">
        <f t="shared" si="457"/>
        <v>0</v>
      </c>
      <c r="AQ629" s="34" t="s">
        <v>11</v>
      </c>
      <c r="AV629" s="39">
        <f t="shared" si="458"/>
        <v>0</v>
      </c>
      <c r="AW629" s="39">
        <f t="shared" si="459"/>
        <v>0</v>
      </c>
      <c r="AX629" s="39">
        <f t="shared" si="460"/>
        <v>0</v>
      </c>
      <c r="AY629" s="40" t="s">
        <v>2017</v>
      </c>
      <c r="AZ629" s="40" t="s">
        <v>2041</v>
      </c>
      <c r="BA629" s="30" t="s">
        <v>2045</v>
      </c>
      <c r="BC629" s="39">
        <f t="shared" si="461"/>
        <v>0</v>
      </c>
      <c r="BD629" s="39">
        <f t="shared" si="462"/>
        <v>0</v>
      </c>
      <c r="BE629" s="39">
        <v>0</v>
      </c>
      <c r="BF629" s="39">
        <f t="shared" si="463"/>
        <v>0</v>
      </c>
      <c r="BH629" s="21">
        <f t="shared" si="464"/>
        <v>0</v>
      </c>
      <c r="BI629" s="21">
        <f t="shared" si="465"/>
        <v>0</v>
      </c>
      <c r="BJ629" s="21">
        <f t="shared" si="466"/>
        <v>0</v>
      </c>
    </row>
    <row r="630" spans="1:62">
      <c r="A630" s="5" t="s">
        <v>457</v>
      </c>
      <c r="B630" s="5"/>
      <c r="C630" s="5" t="s">
        <v>1061</v>
      </c>
      <c r="D630" s="5" t="s">
        <v>1760</v>
      </c>
      <c r="E630" s="5" t="s">
        <v>1943</v>
      </c>
      <c r="F630" s="21">
        <v>2</v>
      </c>
      <c r="G630" s="753">
        <v>0</v>
      </c>
      <c r="H630" s="21">
        <f t="shared" si="440"/>
        <v>0</v>
      </c>
      <c r="I630" s="21">
        <f t="shared" si="441"/>
        <v>0</v>
      </c>
      <c r="J630" s="21">
        <f t="shared" si="442"/>
        <v>0</v>
      </c>
      <c r="K630" s="21">
        <v>0</v>
      </c>
      <c r="L630" s="21">
        <f t="shared" si="443"/>
        <v>0</v>
      </c>
      <c r="M630" s="34" t="s">
        <v>1960</v>
      </c>
      <c r="O630">
        <f t="shared" si="444"/>
        <v>0</v>
      </c>
      <c r="Z630" s="39">
        <f t="shared" si="445"/>
        <v>0</v>
      </c>
      <c r="AB630" s="39">
        <f t="shared" si="446"/>
        <v>0</v>
      </c>
      <c r="AC630" s="39">
        <f t="shared" si="447"/>
        <v>0</v>
      </c>
      <c r="AD630" s="39">
        <f t="shared" si="448"/>
        <v>0</v>
      </c>
      <c r="AE630" s="39">
        <f t="shared" si="449"/>
        <v>0</v>
      </c>
      <c r="AF630" s="39">
        <f t="shared" si="450"/>
        <v>0</v>
      </c>
      <c r="AG630" s="39">
        <f t="shared" si="451"/>
        <v>0</v>
      </c>
      <c r="AH630" s="39">
        <f t="shared" si="452"/>
        <v>0</v>
      </c>
      <c r="AI630" s="30"/>
      <c r="AJ630" s="21">
        <f t="shared" si="453"/>
        <v>0</v>
      </c>
      <c r="AK630" s="21">
        <f t="shared" si="454"/>
        <v>0</v>
      </c>
      <c r="AL630" s="21">
        <f t="shared" si="455"/>
        <v>0</v>
      </c>
      <c r="AN630" s="39">
        <v>21</v>
      </c>
      <c r="AO630" s="39">
        <f t="shared" si="456"/>
        <v>0</v>
      </c>
      <c r="AP630" s="39">
        <f t="shared" si="457"/>
        <v>0</v>
      </c>
      <c r="AQ630" s="34" t="s">
        <v>11</v>
      </c>
      <c r="AV630" s="39">
        <f t="shared" si="458"/>
        <v>0</v>
      </c>
      <c r="AW630" s="39">
        <f t="shared" si="459"/>
        <v>0</v>
      </c>
      <c r="AX630" s="39">
        <f t="shared" si="460"/>
        <v>0</v>
      </c>
      <c r="AY630" s="40" t="s">
        <v>2017</v>
      </c>
      <c r="AZ630" s="40" t="s">
        <v>2041</v>
      </c>
      <c r="BA630" s="30" t="s">
        <v>2045</v>
      </c>
      <c r="BC630" s="39">
        <f t="shared" si="461"/>
        <v>0</v>
      </c>
      <c r="BD630" s="39">
        <f t="shared" si="462"/>
        <v>0</v>
      </c>
      <c r="BE630" s="39">
        <v>0</v>
      </c>
      <c r="BF630" s="39">
        <f t="shared" si="463"/>
        <v>0</v>
      </c>
      <c r="BH630" s="21">
        <f t="shared" si="464"/>
        <v>0</v>
      </c>
      <c r="BI630" s="21">
        <f t="shared" si="465"/>
        <v>0</v>
      </c>
      <c r="BJ630" s="21">
        <f t="shared" si="466"/>
        <v>0</v>
      </c>
    </row>
    <row r="631" spans="1:62">
      <c r="A631" s="5" t="s">
        <v>458</v>
      </c>
      <c r="B631" s="5"/>
      <c r="C631" s="5" t="s">
        <v>1062</v>
      </c>
      <c r="D631" s="5" t="s">
        <v>1761</v>
      </c>
      <c r="E631" s="5" t="s">
        <v>1943</v>
      </c>
      <c r="F631" s="21">
        <v>1</v>
      </c>
      <c r="G631" s="753">
        <v>0</v>
      </c>
      <c r="H631" s="21">
        <f t="shared" si="440"/>
        <v>0</v>
      </c>
      <c r="I631" s="21">
        <f t="shared" si="441"/>
        <v>0</v>
      </c>
      <c r="J631" s="21">
        <f t="shared" si="442"/>
        <v>0</v>
      </c>
      <c r="K631" s="21">
        <v>0</v>
      </c>
      <c r="L631" s="21">
        <f t="shared" si="443"/>
        <v>0</v>
      </c>
      <c r="M631" s="34" t="s">
        <v>1960</v>
      </c>
      <c r="O631">
        <f t="shared" si="444"/>
        <v>0</v>
      </c>
      <c r="Z631" s="39">
        <f t="shared" si="445"/>
        <v>0</v>
      </c>
      <c r="AB631" s="39">
        <f t="shared" si="446"/>
        <v>0</v>
      </c>
      <c r="AC631" s="39">
        <f t="shared" si="447"/>
        <v>0</v>
      </c>
      <c r="AD631" s="39">
        <f t="shared" si="448"/>
        <v>0</v>
      </c>
      <c r="AE631" s="39">
        <f t="shared" si="449"/>
        <v>0</v>
      </c>
      <c r="AF631" s="39">
        <f t="shared" si="450"/>
        <v>0</v>
      </c>
      <c r="AG631" s="39">
        <f t="shared" si="451"/>
        <v>0</v>
      </c>
      <c r="AH631" s="39">
        <f t="shared" si="452"/>
        <v>0</v>
      </c>
      <c r="AI631" s="30"/>
      <c r="AJ631" s="21">
        <f t="shared" si="453"/>
        <v>0</v>
      </c>
      <c r="AK631" s="21">
        <f t="shared" si="454"/>
        <v>0</v>
      </c>
      <c r="AL631" s="21">
        <f t="shared" si="455"/>
        <v>0</v>
      </c>
      <c r="AN631" s="39">
        <v>21</v>
      </c>
      <c r="AO631" s="39">
        <f t="shared" si="456"/>
        <v>0</v>
      </c>
      <c r="AP631" s="39">
        <f t="shared" si="457"/>
        <v>0</v>
      </c>
      <c r="AQ631" s="34" t="s">
        <v>11</v>
      </c>
      <c r="AV631" s="39">
        <f t="shared" si="458"/>
        <v>0</v>
      </c>
      <c r="AW631" s="39">
        <f t="shared" si="459"/>
        <v>0</v>
      </c>
      <c r="AX631" s="39">
        <f t="shared" si="460"/>
        <v>0</v>
      </c>
      <c r="AY631" s="40" t="s">
        <v>2017</v>
      </c>
      <c r="AZ631" s="40" t="s">
        <v>2041</v>
      </c>
      <c r="BA631" s="30" t="s">
        <v>2045</v>
      </c>
      <c r="BC631" s="39">
        <f t="shared" si="461"/>
        <v>0</v>
      </c>
      <c r="BD631" s="39">
        <f t="shared" si="462"/>
        <v>0</v>
      </c>
      <c r="BE631" s="39">
        <v>0</v>
      </c>
      <c r="BF631" s="39">
        <f t="shared" si="463"/>
        <v>0</v>
      </c>
      <c r="BH631" s="21">
        <f t="shared" si="464"/>
        <v>0</v>
      </c>
      <c r="BI631" s="21">
        <f t="shared" si="465"/>
        <v>0</v>
      </c>
      <c r="BJ631" s="21">
        <f t="shared" si="466"/>
        <v>0</v>
      </c>
    </row>
    <row r="632" spans="1:62">
      <c r="A632" s="5" t="s">
        <v>459</v>
      </c>
      <c r="B632" s="5"/>
      <c r="C632" s="5" t="s">
        <v>1063</v>
      </c>
      <c r="D632" s="5" t="s">
        <v>1762</v>
      </c>
      <c r="E632" s="5" t="s">
        <v>1944</v>
      </c>
      <c r="F632" s="21">
        <v>38.4</v>
      </c>
      <c r="G632" s="753">
        <v>0</v>
      </c>
      <c r="H632" s="21">
        <f t="shared" si="440"/>
        <v>0</v>
      </c>
      <c r="I632" s="21">
        <f t="shared" si="441"/>
        <v>0</v>
      </c>
      <c r="J632" s="21">
        <f t="shared" si="442"/>
        <v>0</v>
      </c>
      <c r="K632" s="21">
        <v>0</v>
      </c>
      <c r="L632" s="21">
        <f t="shared" si="443"/>
        <v>0</v>
      </c>
      <c r="M632" s="34" t="s">
        <v>1960</v>
      </c>
      <c r="O632">
        <f t="shared" si="444"/>
        <v>0</v>
      </c>
      <c r="Z632" s="39">
        <f t="shared" si="445"/>
        <v>0</v>
      </c>
      <c r="AB632" s="39">
        <f t="shared" si="446"/>
        <v>0</v>
      </c>
      <c r="AC632" s="39">
        <f t="shared" si="447"/>
        <v>0</v>
      </c>
      <c r="AD632" s="39">
        <f t="shared" si="448"/>
        <v>0</v>
      </c>
      <c r="AE632" s="39">
        <f t="shared" si="449"/>
        <v>0</v>
      </c>
      <c r="AF632" s="39">
        <f t="shared" si="450"/>
        <v>0</v>
      </c>
      <c r="AG632" s="39">
        <f t="shared" si="451"/>
        <v>0</v>
      </c>
      <c r="AH632" s="39">
        <f t="shared" si="452"/>
        <v>0</v>
      </c>
      <c r="AI632" s="30"/>
      <c r="AJ632" s="21">
        <f t="shared" si="453"/>
        <v>0</v>
      </c>
      <c r="AK632" s="21">
        <f t="shared" si="454"/>
        <v>0</v>
      </c>
      <c r="AL632" s="21">
        <f t="shared" si="455"/>
        <v>0</v>
      </c>
      <c r="AN632" s="39">
        <v>21</v>
      </c>
      <c r="AO632" s="39">
        <f t="shared" si="456"/>
        <v>0</v>
      </c>
      <c r="AP632" s="39">
        <f t="shared" si="457"/>
        <v>0</v>
      </c>
      <c r="AQ632" s="34" t="s">
        <v>11</v>
      </c>
      <c r="AV632" s="39">
        <f t="shared" si="458"/>
        <v>0</v>
      </c>
      <c r="AW632" s="39">
        <f t="shared" si="459"/>
        <v>0</v>
      </c>
      <c r="AX632" s="39">
        <f t="shared" si="460"/>
        <v>0</v>
      </c>
      <c r="AY632" s="40" t="s">
        <v>2017</v>
      </c>
      <c r="AZ632" s="40" t="s">
        <v>2041</v>
      </c>
      <c r="BA632" s="30" t="s">
        <v>2045</v>
      </c>
      <c r="BC632" s="39">
        <f t="shared" si="461"/>
        <v>0</v>
      </c>
      <c r="BD632" s="39">
        <f t="shared" si="462"/>
        <v>0</v>
      </c>
      <c r="BE632" s="39">
        <v>0</v>
      </c>
      <c r="BF632" s="39">
        <f t="shared" si="463"/>
        <v>0</v>
      </c>
      <c r="BH632" s="21">
        <f t="shared" si="464"/>
        <v>0</v>
      </c>
      <c r="BI632" s="21">
        <f t="shared" si="465"/>
        <v>0</v>
      </c>
      <c r="BJ632" s="21">
        <f t="shared" si="466"/>
        <v>0</v>
      </c>
    </row>
    <row r="633" spans="1:62">
      <c r="A633" s="5" t="s">
        <v>460</v>
      </c>
      <c r="B633" s="5"/>
      <c r="C633" s="5" t="s">
        <v>1064</v>
      </c>
      <c r="D633" s="5" t="s">
        <v>1763</v>
      </c>
      <c r="E633" s="5" t="s">
        <v>1943</v>
      </c>
      <c r="F633" s="21">
        <v>2</v>
      </c>
      <c r="G633" s="753">
        <v>0</v>
      </c>
      <c r="H633" s="21">
        <f t="shared" si="440"/>
        <v>0</v>
      </c>
      <c r="I633" s="21">
        <f t="shared" si="441"/>
        <v>0</v>
      </c>
      <c r="J633" s="21">
        <f t="shared" si="442"/>
        <v>0</v>
      </c>
      <c r="K633" s="21">
        <v>0</v>
      </c>
      <c r="L633" s="21">
        <f t="shared" si="443"/>
        <v>0</v>
      </c>
      <c r="M633" s="34" t="s">
        <v>1960</v>
      </c>
      <c r="O633">
        <f t="shared" si="444"/>
        <v>0</v>
      </c>
      <c r="Z633" s="39">
        <f t="shared" si="445"/>
        <v>0</v>
      </c>
      <c r="AB633" s="39">
        <f t="shared" si="446"/>
        <v>0</v>
      </c>
      <c r="AC633" s="39">
        <f t="shared" si="447"/>
        <v>0</v>
      </c>
      <c r="AD633" s="39">
        <f t="shared" si="448"/>
        <v>0</v>
      </c>
      <c r="AE633" s="39">
        <f t="shared" si="449"/>
        <v>0</v>
      </c>
      <c r="AF633" s="39">
        <f t="shared" si="450"/>
        <v>0</v>
      </c>
      <c r="AG633" s="39">
        <f t="shared" si="451"/>
        <v>0</v>
      </c>
      <c r="AH633" s="39">
        <f t="shared" si="452"/>
        <v>0</v>
      </c>
      <c r="AI633" s="30"/>
      <c r="AJ633" s="21">
        <f t="shared" si="453"/>
        <v>0</v>
      </c>
      <c r="AK633" s="21">
        <f t="shared" si="454"/>
        <v>0</v>
      </c>
      <c r="AL633" s="21">
        <f t="shared" si="455"/>
        <v>0</v>
      </c>
      <c r="AN633" s="39">
        <v>21</v>
      </c>
      <c r="AO633" s="39">
        <f t="shared" si="456"/>
        <v>0</v>
      </c>
      <c r="AP633" s="39">
        <f t="shared" si="457"/>
        <v>0</v>
      </c>
      <c r="AQ633" s="34" t="s">
        <v>11</v>
      </c>
      <c r="AV633" s="39">
        <f t="shared" si="458"/>
        <v>0</v>
      </c>
      <c r="AW633" s="39">
        <f t="shared" si="459"/>
        <v>0</v>
      </c>
      <c r="AX633" s="39">
        <f t="shared" si="460"/>
        <v>0</v>
      </c>
      <c r="AY633" s="40" t="s">
        <v>2017</v>
      </c>
      <c r="AZ633" s="40" t="s">
        <v>2041</v>
      </c>
      <c r="BA633" s="30" t="s">
        <v>2045</v>
      </c>
      <c r="BC633" s="39">
        <f t="shared" si="461"/>
        <v>0</v>
      </c>
      <c r="BD633" s="39">
        <f t="shared" si="462"/>
        <v>0</v>
      </c>
      <c r="BE633" s="39">
        <v>0</v>
      </c>
      <c r="BF633" s="39">
        <f t="shared" si="463"/>
        <v>0</v>
      </c>
      <c r="BH633" s="21">
        <f t="shared" si="464"/>
        <v>0</v>
      </c>
      <c r="BI633" s="21">
        <f t="shared" si="465"/>
        <v>0</v>
      </c>
      <c r="BJ633" s="21">
        <f t="shared" si="466"/>
        <v>0</v>
      </c>
    </row>
    <row r="634" spans="1:62">
      <c r="A634" s="5" t="s">
        <v>461</v>
      </c>
      <c r="B634" s="5"/>
      <c r="C634" s="5" t="s">
        <v>1065</v>
      </c>
      <c r="D634" s="5" t="s">
        <v>1764</v>
      </c>
      <c r="E634" s="5" t="s">
        <v>1944</v>
      </c>
      <c r="F634" s="21">
        <v>1389.2</v>
      </c>
      <c r="G634" s="753">
        <v>0</v>
      </c>
      <c r="H634" s="21">
        <f t="shared" si="440"/>
        <v>0</v>
      </c>
      <c r="I634" s="21">
        <f t="shared" si="441"/>
        <v>0</v>
      </c>
      <c r="J634" s="21">
        <f t="shared" si="442"/>
        <v>0</v>
      </c>
      <c r="K634" s="21">
        <v>0</v>
      </c>
      <c r="L634" s="21">
        <f t="shared" si="443"/>
        <v>0</v>
      </c>
      <c r="M634" s="34" t="s">
        <v>1960</v>
      </c>
      <c r="O634">
        <f t="shared" si="444"/>
        <v>0</v>
      </c>
      <c r="Z634" s="39">
        <f t="shared" si="445"/>
        <v>0</v>
      </c>
      <c r="AB634" s="39">
        <f t="shared" si="446"/>
        <v>0</v>
      </c>
      <c r="AC634" s="39">
        <f t="shared" si="447"/>
        <v>0</v>
      </c>
      <c r="AD634" s="39">
        <f t="shared" si="448"/>
        <v>0</v>
      </c>
      <c r="AE634" s="39">
        <f t="shared" si="449"/>
        <v>0</v>
      </c>
      <c r="AF634" s="39">
        <f t="shared" si="450"/>
        <v>0</v>
      </c>
      <c r="AG634" s="39">
        <f t="shared" si="451"/>
        <v>0</v>
      </c>
      <c r="AH634" s="39">
        <f t="shared" si="452"/>
        <v>0</v>
      </c>
      <c r="AI634" s="30"/>
      <c r="AJ634" s="21">
        <f t="shared" si="453"/>
        <v>0</v>
      </c>
      <c r="AK634" s="21">
        <f t="shared" si="454"/>
        <v>0</v>
      </c>
      <c r="AL634" s="21">
        <f t="shared" si="455"/>
        <v>0</v>
      </c>
      <c r="AN634" s="39">
        <v>21</v>
      </c>
      <c r="AO634" s="39">
        <f t="shared" si="456"/>
        <v>0</v>
      </c>
      <c r="AP634" s="39">
        <f t="shared" si="457"/>
        <v>0</v>
      </c>
      <c r="AQ634" s="34" t="s">
        <v>11</v>
      </c>
      <c r="AV634" s="39">
        <f t="shared" si="458"/>
        <v>0</v>
      </c>
      <c r="AW634" s="39">
        <f t="shared" si="459"/>
        <v>0</v>
      </c>
      <c r="AX634" s="39">
        <f t="shared" si="460"/>
        <v>0</v>
      </c>
      <c r="AY634" s="40" t="s">
        <v>2017</v>
      </c>
      <c r="AZ634" s="40" t="s">
        <v>2041</v>
      </c>
      <c r="BA634" s="30" t="s">
        <v>2045</v>
      </c>
      <c r="BC634" s="39">
        <f t="shared" si="461"/>
        <v>0</v>
      </c>
      <c r="BD634" s="39">
        <f t="shared" si="462"/>
        <v>0</v>
      </c>
      <c r="BE634" s="39">
        <v>0</v>
      </c>
      <c r="BF634" s="39">
        <f t="shared" si="463"/>
        <v>0</v>
      </c>
      <c r="BH634" s="21">
        <f t="shared" si="464"/>
        <v>0</v>
      </c>
      <c r="BI634" s="21">
        <f t="shared" si="465"/>
        <v>0</v>
      </c>
      <c r="BJ634" s="21">
        <f t="shared" si="466"/>
        <v>0</v>
      </c>
    </row>
    <row r="635" spans="1:62">
      <c r="A635" s="5" t="s">
        <v>462</v>
      </c>
      <c r="B635" s="5"/>
      <c r="C635" s="5" t="s">
        <v>1066</v>
      </c>
      <c r="D635" s="5" t="s">
        <v>1765</v>
      </c>
      <c r="E635" s="5" t="s">
        <v>1943</v>
      </c>
      <c r="F635" s="21">
        <v>1</v>
      </c>
      <c r="G635" s="753">
        <v>0</v>
      </c>
      <c r="H635" s="21">
        <f t="shared" si="440"/>
        <v>0</v>
      </c>
      <c r="I635" s="21">
        <f t="shared" si="441"/>
        <v>0</v>
      </c>
      <c r="J635" s="21">
        <f t="shared" si="442"/>
        <v>0</v>
      </c>
      <c r="K635" s="21">
        <v>0</v>
      </c>
      <c r="L635" s="21">
        <f t="shared" si="443"/>
        <v>0</v>
      </c>
      <c r="M635" s="34" t="s">
        <v>1960</v>
      </c>
      <c r="O635">
        <f t="shared" si="444"/>
        <v>0</v>
      </c>
      <c r="Z635" s="39">
        <f t="shared" si="445"/>
        <v>0</v>
      </c>
      <c r="AB635" s="39">
        <f t="shared" si="446"/>
        <v>0</v>
      </c>
      <c r="AC635" s="39">
        <f t="shared" si="447"/>
        <v>0</v>
      </c>
      <c r="AD635" s="39">
        <f t="shared" si="448"/>
        <v>0</v>
      </c>
      <c r="AE635" s="39">
        <f t="shared" si="449"/>
        <v>0</v>
      </c>
      <c r="AF635" s="39">
        <f t="shared" si="450"/>
        <v>0</v>
      </c>
      <c r="AG635" s="39">
        <f t="shared" si="451"/>
        <v>0</v>
      </c>
      <c r="AH635" s="39">
        <f t="shared" si="452"/>
        <v>0</v>
      </c>
      <c r="AI635" s="30"/>
      <c r="AJ635" s="21">
        <f t="shared" si="453"/>
        <v>0</v>
      </c>
      <c r="AK635" s="21">
        <f t="shared" si="454"/>
        <v>0</v>
      </c>
      <c r="AL635" s="21">
        <f t="shared" si="455"/>
        <v>0</v>
      </c>
      <c r="AN635" s="39">
        <v>21</v>
      </c>
      <c r="AO635" s="39">
        <f t="shared" si="456"/>
        <v>0</v>
      </c>
      <c r="AP635" s="39">
        <f t="shared" si="457"/>
        <v>0</v>
      </c>
      <c r="AQ635" s="34" t="s">
        <v>11</v>
      </c>
      <c r="AV635" s="39">
        <f t="shared" si="458"/>
        <v>0</v>
      </c>
      <c r="AW635" s="39">
        <f t="shared" si="459"/>
        <v>0</v>
      </c>
      <c r="AX635" s="39">
        <f t="shared" si="460"/>
        <v>0</v>
      </c>
      <c r="AY635" s="40" t="s">
        <v>2017</v>
      </c>
      <c r="AZ635" s="40" t="s">
        <v>2041</v>
      </c>
      <c r="BA635" s="30" t="s">
        <v>2045</v>
      </c>
      <c r="BC635" s="39">
        <f t="shared" si="461"/>
        <v>0</v>
      </c>
      <c r="BD635" s="39">
        <f t="shared" si="462"/>
        <v>0</v>
      </c>
      <c r="BE635" s="39">
        <v>0</v>
      </c>
      <c r="BF635" s="39">
        <f t="shared" si="463"/>
        <v>0</v>
      </c>
      <c r="BH635" s="21">
        <f t="shared" si="464"/>
        <v>0</v>
      </c>
      <c r="BI635" s="21">
        <f t="shared" si="465"/>
        <v>0</v>
      </c>
      <c r="BJ635" s="21">
        <f t="shared" si="466"/>
        <v>0</v>
      </c>
    </row>
    <row r="636" spans="1:62">
      <c r="C636" s="16" t="s">
        <v>609</v>
      </c>
      <c r="D636" s="919" t="s">
        <v>1766</v>
      </c>
      <c r="E636" s="920"/>
      <c r="F636" s="920"/>
      <c r="G636" s="920"/>
      <c r="H636" s="920"/>
      <c r="I636" s="920"/>
      <c r="J636" s="920"/>
      <c r="K636" s="920"/>
      <c r="L636" s="920"/>
      <c r="M636" s="920"/>
    </row>
    <row r="637" spans="1:62">
      <c r="A637" s="5" t="s">
        <v>463</v>
      </c>
      <c r="B637" s="5"/>
      <c r="C637" s="5" t="s">
        <v>1067</v>
      </c>
      <c r="D637" s="5" t="s">
        <v>1767</v>
      </c>
      <c r="E637" s="5" t="s">
        <v>1944</v>
      </c>
      <c r="F637" s="21">
        <v>362.48</v>
      </c>
      <c r="G637" s="753">
        <v>0</v>
      </c>
      <c r="H637" s="21">
        <f>F637*AO637</f>
        <v>0</v>
      </c>
      <c r="I637" s="21">
        <f>F637*AP637</f>
        <v>0</v>
      </c>
      <c r="J637" s="21">
        <f>F637*G637</f>
        <v>0</v>
      </c>
      <c r="K637" s="21">
        <v>0</v>
      </c>
      <c r="L637" s="21">
        <f>F637*K637</f>
        <v>0</v>
      </c>
      <c r="M637" s="34" t="s">
        <v>1960</v>
      </c>
      <c r="O637">
        <f>0.95*G637</f>
        <v>0</v>
      </c>
      <c r="Z637" s="39">
        <f>IF(AQ637="5",BJ637,0)</f>
        <v>0</v>
      </c>
      <c r="AB637" s="39">
        <f>IF(AQ637="1",BH637,0)</f>
        <v>0</v>
      </c>
      <c r="AC637" s="39">
        <f>IF(AQ637="1",BI637,0)</f>
        <v>0</v>
      </c>
      <c r="AD637" s="39">
        <f>IF(AQ637="7",BH637,0)</f>
        <v>0</v>
      </c>
      <c r="AE637" s="39">
        <f>IF(AQ637="7",BI637,0)</f>
        <v>0</v>
      </c>
      <c r="AF637" s="39">
        <f>IF(AQ637="2",BH637,0)</f>
        <v>0</v>
      </c>
      <c r="AG637" s="39">
        <f>IF(AQ637="2",BI637,0)</f>
        <v>0</v>
      </c>
      <c r="AH637" s="39">
        <f>IF(AQ637="0",BJ637,0)</f>
        <v>0</v>
      </c>
      <c r="AI637" s="30"/>
      <c r="AJ637" s="21">
        <f>IF(AN637=0,J637,0)</f>
        <v>0</v>
      </c>
      <c r="AK637" s="21">
        <f>IF(AN637=15,J637,0)</f>
        <v>0</v>
      </c>
      <c r="AL637" s="21">
        <f>IF(AN637=21,J637,0)</f>
        <v>0</v>
      </c>
      <c r="AN637" s="39">
        <v>21</v>
      </c>
      <c r="AO637" s="39">
        <f>G637*0</f>
        <v>0</v>
      </c>
      <c r="AP637" s="39">
        <f>G637*(1-0)</f>
        <v>0</v>
      </c>
      <c r="AQ637" s="34" t="s">
        <v>11</v>
      </c>
      <c r="AV637" s="39">
        <f>AW637+AX637</f>
        <v>0</v>
      </c>
      <c r="AW637" s="39">
        <f>F637*AO637</f>
        <v>0</v>
      </c>
      <c r="AX637" s="39">
        <f>F637*AP637</f>
        <v>0</v>
      </c>
      <c r="AY637" s="40" t="s">
        <v>2017</v>
      </c>
      <c r="AZ637" s="40" t="s">
        <v>2041</v>
      </c>
      <c r="BA637" s="30" t="s">
        <v>2045</v>
      </c>
      <c r="BC637" s="39">
        <f>AW637+AX637</f>
        <v>0</v>
      </c>
      <c r="BD637" s="39">
        <f>G637/(100-BE637)*100</f>
        <v>0</v>
      </c>
      <c r="BE637" s="39">
        <v>0</v>
      </c>
      <c r="BF637" s="39">
        <f>L637</f>
        <v>0</v>
      </c>
      <c r="BH637" s="21">
        <f>F637*AO637</f>
        <v>0</v>
      </c>
      <c r="BI637" s="21">
        <f>F637*AP637</f>
        <v>0</v>
      </c>
      <c r="BJ637" s="21">
        <f>F637*G637</f>
        <v>0</v>
      </c>
    </row>
    <row r="638" spans="1:62">
      <c r="C638" s="17" t="s">
        <v>605</v>
      </c>
      <c r="D638" s="917" t="s">
        <v>1768</v>
      </c>
      <c r="E638" s="918"/>
      <c r="F638" s="918"/>
      <c r="G638" s="918"/>
      <c r="H638" s="918"/>
      <c r="I638" s="918"/>
      <c r="J638" s="918"/>
      <c r="K638" s="918"/>
      <c r="L638" s="918"/>
      <c r="M638" s="918"/>
    </row>
    <row r="639" spans="1:62">
      <c r="A639" s="5" t="s">
        <v>464</v>
      </c>
      <c r="B639" s="5"/>
      <c r="C639" s="5" t="s">
        <v>1068</v>
      </c>
      <c r="D639" s="5" t="s">
        <v>1769</v>
      </c>
      <c r="E639" s="5" t="s">
        <v>1944</v>
      </c>
      <c r="F639" s="21">
        <v>44.197949999999999</v>
      </c>
      <c r="G639" s="753">
        <v>0</v>
      </c>
      <c r="H639" s="21">
        <f>F639*AO639</f>
        <v>0</v>
      </c>
      <c r="I639" s="21">
        <f>F639*AP639</f>
        <v>0</v>
      </c>
      <c r="J639" s="21">
        <f>F639*G639</f>
        <v>0</v>
      </c>
      <c r="K639" s="21">
        <v>0</v>
      </c>
      <c r="L639" s="21">
        <f>F639*K639</f>
        <v>0</v>
      </c>
      <c r="M639" s="34" t="s">
        <v>1960</v>
      </c>
      <c r="O639">
        <f>0.95*G639</f>
        <v>0</v>
      </c>
      <c r="Z639" s="39">
        <f>IF(AQ639="5",BJ639,0)</f>
        <v>0</v>
      </c>
      <c r="AB639" s="39">
        <f>IF(AQ639="1",BH639,0)</f>
        <v>0</v>
      </c>
      <c r="AC639" s="39">
        <f>IF(AQ639="1",BI639,0)</f>
        <v>0</v>
      </c>
      <c r="AD639" s="39">
        <f>IF(AQ639="7",BH639,0)</f>
        <v>0</v>
      </c>
      <c r="AE639" s="39">
        <f>IF(AQ639="7",BI639,0)</f>
        <v>0</v>
      </c>
      <c r="AF639" s="39">
        <f>IF(AQ639="2",BH639,0)</f>
        <v>0</v>
      </c>
      <c r="AG639" s="39">
        <f>IF(AQ639="2",BI639,0)</f>
        <v>0</v>
      </c>
      <c r="AH639" s="39">
        <f>IF(AQ639="0",BJ639,0)</f>
        <v>0</v>
      </c>
      <c r="AI639" s="30"/>
      <c r="AJ639" s="21">
        <f>IF(AN639=0,J639,0)</f>
        <v>0</v>
      </c>
      <c r="AK639" s="21">
        <f>IF(AN639=15,J639,0)</f>
        <v>0</v>
      </c>
      <c r="AL639" s="21">
        <f>IF(AN639=21,J639,0)</f>
        <v>0</v>
      </c>
      <c r="AN639" s="39">
        <v>21</v>
      </c>
      <c r="AO639" s="39">
        <f>G639*0</f>
        <v>0</v>
      </c>
      <c r="AP639" s="39">
        <f>G639*(1-0)</f>
        <v>0</v>
      </c>
      <c r="AQ639" s="34" t="s">
        <v>11</v>
      </c>
      <c r="AV639" s="39">
        <f>AW639+AX639</f>
        <v>0</v>
      </c>
      <c r="AW639" s="39">
        <f>F639*AO639</f>
        <v>0</v>
      </c>
      <c r="AX639" s="39">
        <f>F639*AP639</f>
        <v>0</v>
      </c>
      <c r="AY639" s="40" t="s">
        <v>2017</v>
      </c>
      <c r="AZ639" s="40" t="s">
        <v>2041</v>
      </c>
      <c r="BA639" s="30" t="s">
        <v>2045</v>
      </c>
      <c r="BC639" s="39">
        <f>AW639+AX639</f>
        <v>0</v>
      </c>
      <c r="BD639" s="39">
        <f>G639/(100-BE639)*100</f>
        <v>0</v>
      </c>
      <c r="BE639" s="39">
        <v>0</v>
      </c>
      <c r="BF639" s="39">
        <f>L639</f>
        <v>0</v>
      </c>
      <c r="BH639" s="21">
        <f>F639*AO639</f>
        <v>0</v>
      </c>
      <c r="BI639" s="21">
        <f>F639*AP639</f>
        <v>0</v>
      </c>
      <c r="BJ639" s="21">
        <f>F639*G639</f>
        <v>0</v>
      </c>
    </row>
    <row r="640" spans="1:62">
      <c r="C640" s="16" t="s">
        <v>609</v>
      </c>
      <c r="D640" s="919" t="s">
        <v>1766</v>
      </c>
      <c r="E640" s="920"/>
      <c r="F640" s="920"/>
      <c r="G640" s="920"/>
      <c r="H640" s="920"/>
      <c r="I640" s="920"/>
      <c r="J640" s="920"/>
      <c r="K640" s="920"/>
      <c r="L640" s="920"/>
      <c r="M640" s="920"/>
    </row>
    <row r="641" spans="1:62">
      <c r="C641" s="17" t="s">
        <v>605</v>
      </c>
      <c r="D641" s="917" t="s">
        <v>1768</v>
      </c>
      <c r="E641" s="918"/>
      <c r="F641" s="918"/>
      <c r="G641" s="918"/>
      <c r="H641" s="918"/>
      <c r="I641" s="918"/>
      <c r="J641" s="918"/>
      <c r="K641" s="918"/>
      <c r="L641" s="918"/>
      <c r="M641" s="918"/>
    </row>
    <row r="642" spans="1:62">
      <c r="A642" s="5" t="s">
        <v>465</v>
      </c>
      <c r="B642" s="5"/>
      <c r="C642" s="5" t="s">
        <v>1069</v>
      </c>
      <c r="D642" s="5" t="s">
        <v>1770</v>
      </c>
      <c r="E642" s="5" t="s">
        <v>1940</v>
      </c>
      <c r="F642" s="21">
        <v>30</v>
      </c>
      <c r="G642" s="753">
        <v>0</v>
      </c>
      <c r="H642" s="21">
        <f>F642*AO642</f>
        <v>0</v>
      </c>
      <c r="I642" s="21">
        <f>F642*AP642</f>
        <v>0</v>
      </c>
      <c r="J642" s="21">
        <f>F642*G642</f>
        <v>0</v>
      </c>
      <c r="K642" s="21">
        <v>0</v>
      </c>
      <c r="L642" s="21">
        <f>F642*K642</f>
        <v>0</v>
      </c>
      <c r="M642" s="34" t="s">
        <v>1960</v>
      </c>
      <c r="O642">
        <f>0.95*G642</f>
        <v>0</v>
      </c>
      <c r="Z642" s="39">
        <f>IF(AQ642="5",BJ642,0)</f>
        <v>0</v>
      </c>
      <c r="AB642" s="39">
        <f>IF(AQ642="1",BH642,0)</f>
        <v>0</v>
      </c>
      <c r="AC642" s="39">
        <f>IF(AQ642="1",BI642,0)</f>
        <v>0</v>
      </c>
      <c r="AD642" s="39">
        <f>IF(AQ642="7",BH642,0)</f>
        <v>0</v>
      </c>
      <c r="AE642" s="39">
        <f>IF(AQ642="7",BI642,0)</f>
        <v>0</v>
      </c>
      <c r="AF642" s="39">
        <f>IF(AQ642="2",BH642,0)</f>
        <v>0</v>
      </c>
      <c r="AG642" s="39">
        <f>IF(AQ642="2",BI642,0)</f>
        <v>0</v>
      </c>
      <c r="AH642" s="39">
        <f>IF(AQ642="0",BJ642,0)</f>
        <v>0</v>
      </c>
      <c r="AI642" s="30"/>
      <c r="AJ642" s="21">
        <f>IF(AN642=0,J642,0)</f>
        <v>0</v>
      </c>
      <c r="AK642" s="21">
        <f>IF(AN642=15,J642,0)</f>
        <v>0</v>
      </c>
      <c r="AL642" s="21">
        <f>IF(AN642=21,J642,0)</f>
        <v>0</v>
      </c>
      <c r="AN642" s="39">
        <v>21</v>
      </c>
      <c r="AO642" s="39">
        <f>G642*0</f>
        <v>0</v>
      </c>
      <c r="AP642" s="39">
        <f>G642*(1-0)</f>
        <v>0</v>
      </c>
      <c r="AQ642" s="34" t="s">
        <v>11</v>
      </c>
      <c r="AV642" s="39">
        <f>AW642+AX642</f>
        <v>0</v>
      </c>
      <c r="AW642" s="39">
        <f>F642*AO642</f>
        <v>0</v>
      </c>
      <c r="AX642" s="39">
        <f>F642*AP642</f>
        <v>0</v>
      </c>
      <c r="AY642" s="40" t="s">
        <v>2017</v>
      </c>
      <c r="AZ642" s="40" t="s">
        <v>2041</v>
      </c>
      <c r="BA642" s="30" t="s">
        <v>2045</v>
      </c>
      <c r="BC642" s="39">
        <f>AW642+AX642</f>
        <v>0</v>
      </c>
      <c r="BD642" s="39">
        <f>G642/(100-BE642)*100</f>
        <v>0</v>
      </c>
      <c r="BE642" s="39">
        <v>0</v>
      </c>
      <c r="BF642" s="39">
        <f>L642</f>
        <v>0</v>
      </c>
      <c r="BH642" s="21">
        <f>F642*AO642</f>
        <v>0</v>
      </c>
      <c r="BI642" s="21">
        <f>F642*AP642</f>
        <v>0</v>
      </c>
      <c r="BJ642" s="21">
        <f>F642*G642</f>
        <v>0</v>
      </c>
    </row>
    <row r="643" spans="1:62">
      <c r="C643" s="16" t="s">
        <v>609</v>
      </c>
      <c r="D643" s="919" t="s">
        <v>1766</v>
      </c>
      <c r="E643" s="920"/>
      <c r="F643" s="920"/>
      <c r="G643" s="920"/>
      <c r="H643" s="920"/>
      <c r="I643" s="920"/>
      <c r="J643" s="920"/>
      <c r="K643" s="920"/>
      <c r="L643" s="920"/>
      <c r="M643" s="920"/>
    </row>
    <row r="644" spans="1:62">
      <c r="C644" s="17" t="s">
        <v>605</v>
      </c>
      <c r="D644" s="917" t="s">
        <v>1768</v>
      </c>
      <c r="E644" s="918"/>
      <c r="F644" s="918"/>
      <c r="G644" s="918"/>
      <c r="H644" s="918"/>
      <c r="I644" s="918"/>
      <c r="J644" s="918"/>
      <c r="K644" s="918"/>
      <c r="L644" s="918"/>
      <c r="M644" s="918"/>
    </row>
    <row r="645" spans="1:62">
      <c r="A645" s="5" t="s">
        <v>466</v>
      </c>
      <c r="B645" s="5"/>
      <c r="C645" s="5" t="s">
        <v>1070</v>
      </c>
      <c r="D645" s="5" t="s">
        <v>1771</v>
      </c>
      <c r="E645" s="5" t="s">
        <v>1940</v>
      </c>
      <c r="F645" s="21">
        <v>297.58749999999998</v>
      </c>
      <c r="G645" s="753">
        <v>0</v>
      </c>
      <c r="H645" s="21">
        <f>F645*AO645</f>
        <v>0</v>
      </c>
      <c r="I645" s="21">
        <f>F645*AP645</f>
        <v>0</v>
      </c>
      <c r="J645" s="21">
        <f>F645*G645</f>
        <v>0</v>
      </c>
      <c r="K645" s="21">
        <v>0</v>
      </c>
      <c r="L645" s="21">
        <f>F645*K645</f>
        <v>0</v>
      </c>
      <c r="M645" s="34" t="s">
        <v>1960</v>
      </c>
      <c r="O645">
        <f>0.95*G645</f>
        <v>0</v>
      </c>
      <c r="Z645" s="39">
        <f>IF(AQ645="5",BJ645,0)</f>
        <v>0</v>
      </c>
      <c r="AB645" s="39">
        <f>IF(AQ645="1",BH645,0)</f>
        <v>0</v>
      </c>
      <c r="AC645" s="39">
        <f>IF(AQ645="1",BI645,0)</f>
        <v>0</v>
      </c>
      <c r="AD645" s="39">
        <f>IF(AQ645="7",BH645,0)</f>
        <v>0</v>
      </c>
      <c r="AE645" s="39">
        <f>IF(AQ645="7",BI645,0)</f>
        <v>0</v>
      </c>
      <c r="AF645" s="39">
        <f>IF(AQ645="2",BH645,0)</f>
        <v>0</v>
      </c>
      <c r="AG645" s="39">
        <f>IF(AQ645="2",BI645,0)</f>
        <v>0</v>
      </c>
      <c r="AH645" s="39">
        <f>IF(AQ645="0",BJ645,0)</f>
        <v>0</v>
      </c>
      <c r="AI645" s="30"/>
      <c r="AJ645" s="21">
        <f>IF(AN645=0,J645,0)</f>
        <v>0</v>
      </c>
      <c r="AK645" s="21">
        <f>IF(AN645=15,J645,0)</f>
        <v>0</v>
      </c>
      <c r="AL645" s="21">
        <f>IF(AN645=21,J645,0)</f>
        <v>0</v>
      </c>
      <c r="AN645" s="39">
        <v>21</v>
      </c>
      <c r="AO645" s="39">
        <f>G645*0.792723228552037</f>
        <v>0</v>
      </c>
      <c r="AP645" s="39">
        <f>G645*(1-0.792723228552037)</f>
        <v>0</v>
      </c>
      <c r="AQ645" s="34" t="s">
        <v>11</v>
      </c>
      <c r="AV645" s="39">
        <f>AW645+AX645</f>
        <v>0</v>
      </c>
      <c r="AW645" s="39">
        <f>F645*AO645</f>
        <v>0</v>
      </c>
      <c r="AX645" s="39">
        <f>F645*AP645</f>
        <v>0</v>
      </c>
      <c r="AY645" s="40" t="s">
        <v>2017</v>
      </c>
      <c r="AZ645" s="40" t="s">
        <v>2041</v>
      </c>
      <c r="BA645" s="30" t="s">
        <v>2045</v>
      </c>
      <c r="BC645" s="39">
        <f>AW645+AX645</f>
        <v>0</v>
      </c>
      <c r="BD645" s="39">
        <f>G645/(100-BE645)*100</f>
        <v>0</v>
      </c>
      <c r="BE645" s="39">
        <v>0</v>
      </c>
      <c r="BF645" s="39">
        <f>L645</f>
        <v>0</v>
      </c>
      <c r="BH645" s="21">
        <f>F645*AO645</f>
        <v>0</v>
      </c>
      <c r="BI645" s="21">
        <f>F645*AP645</f>
        <v>0</v>
      </c>
      <c r="BJ645" s="21">
        <f>F645*G645</f>
        <v>0</v>
      </c>
    </row>
    <row r="646" spans="1:62">
      <c r="C646" s="17" t="s">
        <v>605</v>
      </c>
      <c r="D646" s="917" t="s">
        <v>5865</v>
      </c>
      <c r="E646" s="918"/>
      <c r="F646" s="918"/>
      <c r="G646" s="918"/>
      <c r="H646" s="918"/>
      <c r="I646" s="918"/>
      <c r="J646" s="918"/>
      <c r="K646" s="918"/>
      <c r="L646" s="918"/>
      <c r="M646" s="918"/>
    </row>
    <row r="647" spans="1:62">
      <c r="A647" s="5" t="s">
        <v>467</v>
      </c>
      <c r="B647" s="5"/>
      <c r="C647" s="5" t="s">
        <v>1071</v>
      </c>
      <c r="D647" s="5" t="s">
        <v>1772</v>
      </c>
      <c r="E647" s="5" t="s">
        <v>1939</v>
      </c>
      <c r="F647" s="21">
        <v>87.68</v>
      </c>
      <c r="G647" s="753">
        <v>0</v>
      </c>
      <c r="H647" s="21">
        <f>F647*AO647</f>
        <v>0</v>
      </c>
      <c r="I647" s="21">
        <f>F647*AP647</f>
        <v>0</v>
      </c>
      <c r="J647" s="21">
        <f>F647*G647</f>
        <v>0</v>
      </c>
      <c r="K647" s="21">
        <v>2.2799999999999999E-3</v>
      </c>
      <c r="L647" s="21">
        <f>F647*K647</f>
        <v>0.19991040000000002</v>
      </c>
      <c r="M647" s="34" t="s">
        <v>1961</v>
      </c>
      <c r="Z647" s="39">
        <f>IF(AQ647="5",BJ647,0)</f>
        <v>0</v>
      </c>
      <c r="AB647" s="39">
        <f>IF(AQ647="1",BH647,0)</f>
        <v>0</v>
      </c>
      <c r="AC647" s="39">
        <f>IF(AQ647="1",BI647,0)</f>
        <v>0</v>
      </c>
      <c r="AD647" s="39">
        <f>IF(AQ647="7",BH647,0)</f>
        <v>0</v>
      </c>
      <c r="AE647" s="39">
        <f>IF(AQ647="7",BI647,0)</f>
        <v>0</v>
      </c>
      <c r="AF647" s="39">
        <f>IF(AQ647="2",BH647,0)</f>
        <v>0</v>
      </c>
      <c r="AG647" s="39">
        <f>IF(AQ647="2",BI647,0)</f>
        <v>0</v>
      </c>
      <c r="AH647" s="39">
        <f>IF(AQ647="0",BJ647,0)</f>
        <v>0</v>
      </c>
      <c r="AI647" s="30"/>
      <c r="AJ647" s="21">
        <f>IF(AN647=0,J647,0)</f>
        <v>0</v>
      </c>
      <c r="AK647" s="21">
        <f>IF(AN647=15,J647,0)</f>
        <v>0</v>
      </c>
      <c r="AL647" s="21">
        <f>IF(AN647=21,J647,0)</f>
        <v>0</v>
      </c>
      <c r="AN647" s="39">
        <v>21</v>
      </c>
      <c r="AO647" s="39">
        <f>G647*0.261210666666667</f>
        <v>0</v>
      </c>
      <c r="AP647" s="39">
        <f>G647*(1-0.261210666666667)</f>
        <v>0</v>
      </c>
      <c r="AQ647" s="34" t="s">
        <v>11</v>
      </c>
      <c r="AV647" s="39">
        <f>AW647+AX647</f>
        <v>0</v>
      </c>
      <c r="AW647" s="39">
        <f>F647*AO647</f>
        <v>0</v>
      </c>
      <c r="AX647" s="39">
        <f>F647*AP647</f>
        <v>0</v>
      </c>
      <c r="AY647" s="40" t="s">
        <v>2017</v>
      </c>
      <c r="AZ647" s="40" t="s">
        <v>2041</v>
      </c>
      <c r="BA647" s="30" t="s">
        <v>2045</v>
      </c>
      <c r="BC647" s="39">
        <f>AW647+AX647</f>
        <v>0</v>
      </c>
      <c r="BD647" s="39">
        <f>G647/(100-BE647)*100</f>
        <v>0</v>
      </c>
      <c r="BE647" s="39">
        <v>0</v>
      </c>
      <c r="BF647" s="39">
        <f>L647</f>
        <v>0.19991040000000002</v>
      </c>
      <c r="BH647" s="21">
        <f>F647*AO647</f>
        <v>0</v>
      </c>
      <c r="BI647" s="21">
        <f>F647*AP647</f>
        <v>0</v>
      </c>
      <c r="BJ647" s="21">
        <f>F647*G647</f>
        <v>0</v>
      </c>
    </row>
    <row r="648" spans="1:62">
      <c r="C648" s="16" t="s">
        <v>609</v>
      </c>
      <c r="D648" s="919" t="s">
        <v>1773</v>
      </c>
      <c r="E648" s="920"/>
      <c r="F648" s="920"/>
      <c r="G648" s="920"/>
      <c r="H648" s="920"/>
      <c r="I648" s="920"/>
      <c r="J648" s="920"/>
      <c r="K648" s="920"/>
      <c r="L648" s="920"/>
      <c r="M648" s="920"/>
    </row>
    <row r="649" spans="1:62">
      <c r="A649" s="5" t="s">
        <v>468</v>
      </c>
      <c r="B649" s="5"/>
      <c r="C649" s="5" t="s">
        <v>1072</v>
      </c>
      <c r="D649" s="5" t="s">
        <v>1774</v>
      </c>
      <c r="E649" s="5" t="s">
        <v>1940</v>
      </c>
      <c r="F649" s="21">
        <v>82.695999999999998</v>
      </c>
      <c r="G649" s="753">
        <v>0</v>
      </c>
      <c r="H649" s="21">
        <f>F649*AO649</f>
        <v>0</v>
      </c>
      <c r="I649" s="21">
        <f>F649*AP649</f>
        <v>0</v>
      </c>
      <c r="J649" s="21">
        <f>F649*G649</f>
        <v>0</v>
      </c>
      <c r="K649" s="21">
        <v>0</v>
      </c>
      <c r="L649" s="21">
        <f>F649*K649</f>
        <v>0</v>
      </c>
      <c r="M649" s="34" t="s">
        <v>1960</v>
      </c>
      <c r="O649">
        <f>0.95*G649</f>
        <v>0</v>
      </c>
      <c r="Z649" s="39">
        <f>IF(AQ649="5",BJ649,0)</f>
        <v>0</v>
      </c>
      <c r="AB649" s="39">
        <f>IF(AQ649="1",BH649,0)</f>
        <v>0</v>
      </c>
      <c r="AC649" s="39">
        <f>IF(AQ649="1",BI649,0)</f>
        <v>0</v>
      </c>
      <c r="AD649" s="39">
        <f>IF(AQ649="7",BH649,0)</f>
        <v>0</v>
      </c>
      <c r="AE649" s="39">
        <f>IF(AQ649="7",BI649,0)</f>
        <v>0</v>
      </c>
      <c r="AF649" s="39">
        <f>IF(AQ649="2",BH649,0)</f>
        <v>0</v>
      </c>
      <c r="AG649" s="39">
        <f>IF(AQ649="2",BI649,0)</f>
        <v>0</v>
      </c>
      <c r="AH649" s="39">
        <f>IF(AQ649="0",BJ649,0)</f>
        <v>0</v>
      </c>
      <c r="AI649" s="30"/>
      <c r="AJ649" s="21">
        <f>IF(AN649=0,J649,0)</f>
        <v>0</v>
      </c>
      <c r="AK649" s="21">
        <f>IF(AN649=15,J649,0)</f>
        <v>0</v>
      </c>
      <c r="AL649" s="21">
        <f>IF(AN649=21,J649,0)</f>
        <v>0</v>
      </c>
      <c r="AN649" s="39">
        <v>21</v>
      </c>
      <c r="AO649" s="39">
        <f>G649*0.736528258362168</f>
        <v>0</v>
      </c>
      <c r="AP649" s="39">
        <f>G649*(1-0.736528258362168)</f>
        <v>0</v>
      </c>
      <c r="AQ649" s="34" t="s">
        <v>11</v>
      </c>
      <c r="AV649" s="39">
        <f>AW649+AX649</f>
        <v>0</v>
      </c>
      <c r="AW649" s="39">
        <f>F649*AO649</f>
        <v>0</v>
      </c>
      <c r="AX649" s="39">
        <f>F649*AP649</f>
        <v>0</v>
      </c>
      <c r="AY649" s="40" t="s">
        <v>2017</v>
      </c>
      <c r="AZ649" s="40" t="s">
        <v>2041</v>
      </c>
      <c r="BA649" s="30" t="s">
        <v>2045</v>
      </c>
      <c r="BC649" s="39">
        <f>AW649+AX649</f>
        <v>0</v>
      </c>
      <c r="BD649" s="39">
        <f>G649/(100-BE649)*100</f>
        <v>0</v>
      </c>
      <c r="BE649" s="39">
        <v>0</v>
      </c>
      <c r="BF649" s="39">
        <f>L649</f>
        <v>0</v>
      </c>
      <c r="BH649" s="21">
        <f>F649*AO649</f>
        <v>0</v>
      </c>
      <c r="BI649" s="21">
        <f>F649*AP649</f>
        <v>0</v>
      </c>
      <c r="BJ649" s="21">
        <f>F649*G649</f>
        <v>0</v>
      </c>
    </row>
    <row r="650" spans="1:62">
      <c r="C650" s="17" t="s">
        <v>605</v>
      </c>
      <c r="D650" s="917" t="s">
        <v>1775</v>
      </c>
      <c r="E650" s="918"/>
      <c r="F650" s="918"/>
      <c r="G650" s="918"/>
      <c r="H650" s="918"/>
      <c r="I650" s="918"/>
      <c r="J650" s="918"/>
      <c r="K650" s="918"/>
      <c r="L650" s="918"/>
      <c r="M650" s="918"/>
    </row>
    <row r="651" spans="1:62">
      <c r="A651" s="5" t="s">
        <v>469</v>
      </c>
      <c r="B651" s="5"/>
      <c r="C651" s="5" t="s">
        <v>1073</v>
      </c>
      <c r="D651" s="5" t="s">
        <v>1776</v>
      </c>
      <c r="E651" s="5" t="s">
        <v>1940</v>
      </c>
      <c r="F651" s="21">
        <v>32.43</v>
      </c>
      <c r="G651" s="753">
        <v>0</v>
      </c>
      <c r="H651" s="21">
        <f>F651*AO651</f>
        <v>0</v>
      </c>
      <c r="I651" s="21">
        <f>F651*AP651</f>
        <v>0</v>
      </c>
      <c r="J651" s="21">
        <f>F651*G651</f>
        <v>0</v>
      </c>
      <c r="K651" s="21">
        <v>0</v>
      </c>
      <c r="L651" s="21">
        <f>F651*K651</f>
        <v>0</v>
      </c>
      <c r="M651" s="34" t="s">
        <v>1960</v>
      </c>
      <c r="O651">
        <f>0.95*G651</f>
        <v>0</v>
      </c>
      <c r="Z651" s="39">
        <f>IF(AQ651="5",BJ651,0)</f>
        <v>0</v>
      </c>
      <c r="AB651" s="39">
        <f>IF(AQ651="1",BH651,0)</f>
        <v>0</v>
      </c>
      <c r="AC651" s="39">
        <f>IF(AQ651="1",BI651,0)</f>
        <v>0</v>
      </c>
      <c r="AD651" s="39">
        <f>IF(AQ651="7",BH651,0)</f>
        <v>0</v>
      </c>
      <c r="AE651" s="39">
        <f>IF(AQ651="7",BI651,0)</f>
        <v>0</v>
      </c>
      <c r="AF651" s="39">
        <f>IF(AQ651="2",BH651,0)</f>
        <v>0</v>
      </c>
      <c r="AG651" s="39">
        <f>IF(AQ651="2",BI651,0)</f>
        <v>0</v>
      </c>
      <c r="AH651" s="39">
        <f>IF(AQ651="0",BJ651,0)</f>
        <v>0</v>
      </c>
      <c r="AI651" s="30"/>
      <c r="AJ651" s="21">
        <f>IF(AN651=0,J651,0)</f>
        <v>0</v>
      </c>
      <c r="AK651" s="21">
        <f>IF(AN651=15,J651,0)</f>
        <v>0</v>
      </c>
      <c r="AL651" s="21">
        <f>IF(AN651=21,J651,0)</f>
        <v>0</v>
      </c>
      <c r="AN651" s="39">
        <v>21</v>
      </c>
      <c r="AO651" s="39">
        <f>G651*0.736529652351738</f>
        <v>0</v>
      </c>
      <c r="AP651" s="39">
        <f>G651*(1-0.736529652351738)</f>
        <v>0</v>
      </c>
      <c r="AQ651" s="34" t="s">
        <v>11</v>
      </c>
      <c r="AV651" s="39">
        <f>AW651+AX651</f>
        <v>0</v>
      </c>
      <c r="AW651" s="39">
        <f>F651*AO651</f>
        <v>0</v>
      </c>
      <c r="AX651" s="39">
        <f>F651*AP651</f>
        <v>0</v>
      </c>
      <c r="AY651" s="40" t="s">
        <v>2017</v>
      </c>
      <c r="AZ651" s="40" t="s">
        <v>2041</v>
      </c>
      <c r="BA651" s="30" t="s">
        <v>2045</v>
      </c>
      <c r="BC651" s="39">
        <f>AW651+AX651</f>
        <v>0</v>
      </c>
      <c r="BD651" s="39">
        <f>G651/(100-BE651)*100</f>
        <v>0</v>
      </c>
      <c r="BE651" s="39">
        <v>0</v>
      </c>
      <c r="BF651" s="39">
        <f>L651</f>
        <v>0</v>
      </c>
      <c r="BH651" s="21">
        <f>F651*AO651</f>
        <v>0</v>
      </c>
      <c r="BI651" s="21">
        <f>F651*AP651</f>
        <v>0</v>
      </c>
      <c r="BJ651" s="21">
        <f>F651*G651</f>
        <v>0</v>
      </c>
    </row>
    <row r="652" spans="1:62">
      <c r="C652" s="17" t="s">
        <v>605</v>
      </c>
      <c r="D652" s="917" t="s">
        <v>1777</v>
      </c>
      <c r="E652" s="918"/>
      <c r="F652" s="918"/>
      <c r="G652" s="918"/>
      <c r="H652" s="918"/>
      <c r="I652" s="918"/>
      <c r="J652" s="918"/>
      <c r="K652" s="918"/>
      <c r="L652" s="918"/>
      <c r="M652" s="918"/>
    </row>
    <row r="653" spans="1:62">
      <c r="A653" s="5" t="s">
        <v>470</v>
      </c>
      <c r="B653" s="5"/>
      <c r="C653" s="5" t="s">
        <v>1074</v>
      </c>
      <c r="D653" s="5" t="s">
        <v>1778</v>
      </c>
      <c r="E653" s="5" t="s">
        <v>1940</v>
      </c>
      <c r="F653" s="21">
        <v>22.08</v>
      </c>
      <c r="G653" s="753">
        <v>0</v>
      </c>
      <c r="H653" s="21">
        <f>F653*AO653</f>
        <v>0</v>
      </c>
      <c r="I653" s="21">
        <f>F653*AP653</f>
        <v>0</v>
      </c>
      <c r="J653" s="21">
        <f>F653*G653</f>
        <v>0</v>
      </c>
      <c r="K653" s="21">
        <v>0</v>
      </c>
      <c r="L653" s="21">
        <f>F653*K653</f>
        <v>0</v>
      </c>
      <c r="M653" s="34" t="s">
        <v>1960</v>
      </c>
      <c r="O653">
        <f>0.95*G653</f>
        <v>0</v>
      </c>
      <c r="Z653" s="39">
        <f>IF(AQ653="5",BJ653,0)</f>
        <v>0</v>
      </c>
      <c r="AB653" s="39">
        <f>IF(AQ653="1",BH653,0)</f>
        <v>0</v>
      </c>
      <c r="AC653" s="39">
        <f>IF(AQ653="1",BI653,0)</f>
        <v>0</v>
      </c>
      <c r="AD653" s="39">
        <f>IF(AQ653="7",BH653,0)</f>
        <v>0</v>
      </c>
      <c r="AE653" s="39">
        <f>IF(AQ653="7",BI653,0)</f>
        <v>0</v>
      </c>
      <c r="AF653" s="39">
        <f>IF(AQ653="2",BH653,0)</f>
        <v>0</v>
      </c>
      <c r="AG653" s="39">
        <f>IF(AQ653="2",BI653,0)</f>
        <v>0</v>
      </c>
      <c r="AH653" s="39">
        <f>IF(AQ653="0",BJ653,0)</f>
        <v>0</v>
      </c>
      <c r="AI653" s="30"/>
      <c r="AJ653" s="21">
        <f>IF(AN653=0,J653,0)</f>
        <v>0</v>
      </c>
      <c r="AK653" s="21">
        <f>IF(AN653=15,J653,0)</f>
        <v>0</v>
      </c>
      <c r="AL653" s="21">
        <f>IF(AN653=21,J653,0)</f>
        <v>0</v>
      </c>
      <c r="AN653" s="39">
        <v>21</v>
      </c>
      <c r="AO653" s="39">
        <f>G653*0.736528358208955</f>
        <v>0</v>
      </c>
      <c r="AP653" s="39">
        <f>G653*(1-0.736528358208955)</f>
        <v>0</v>
      </c>
      <c r="AQ653" s="34" t="s">
        <v>11</v>
      </c>
      <c r="AV653" s="39">
        <f>AW653+AX653</f>
        <v>0</v>
      </c>
      <c r="AW653" s="39">
        <f>F653*AO653</f>
        <v>0</v>
      </c>
      <c r="AX653" s="39">
        <f>F653*AP653</f>
        <v>0</v>
      </c>
      <c r="AY653" s="40" t="s">
        <v>2017</v>
      </c>
      <c r="AZ653" s="40" t="s">
        <v>2041</v>
      </c>
      <c r="BA653" s="30" t="s">
        <v>2045</v>
      </c>
      <c r="BC653" s="39">
        <f>AW653+AX653</f>
        <v>0</v>
      </c>
      <c r="BD653" s="39">
        <f>G653/(100-BE653)*100</f>
        <v>0</v>
      </c>
      <c r="BE653" s="39">
        <v>0</v>
      </c>
      <c r="BF653" s="39">
        <f>L653</f>
        <v>0</v>
      </c>
      <c r="BH653" s="21">
        <f>F653*AO653</f>
        <v>0</v>
      </c>
      <c r="BI653" s="21">
        <f>F653*AP653</f>
        <v>0</v>
      </c>
      <c r="BJ653" s="21">
        <f>F653*G653</f>
        <v>0</v>
      </c>
    </row>
    <row r="654" spans="1:62">
      <c r="C654" s="16" t="s">
        <v>609</v>
      </c>
      <c r="D654" s="919" t="s">
        <v>1779</v>
      </c>
      <c r="E654" s="920"/>
      <c r="F654" s="920"/>
      <c r="G654" s="920"/>
      <c r="H654" s="920"/>
      <c r="I654" s="920"/>
      <c r="J654" s="920"/>
      <c r="K654" s="920"/>
      <c r="L654" s="920"/>
      <c r="M654" s="920"/>
    </row>
    <row r="655" spans="1:62">
      <c r="C655" s="17" t="s">
        <v>605</v>
      </c>
      <c r="D655" s="917" t="s">
        <v>5798</v>
      </c>
      <c r="E655" s="918"/>
      <c r="F655" s="918"/>
      <c r="G655" s="918"/>
      <c r="H655" s="918"/>
      <c r="I655" s="918"/>
      <c r="J655" s="918"/>
      <c r="K655" s="918"/>
      <c r="L655" s="918"/>
      <c r="M655" s="918"/>
    </row>
    <row r="656" spans="1:62">
      <c r="A656" s="5" t="s">
        <v>471</v>
      </c>
      <c r="B656" s="5"/>
      <c r="C656" s="5" t="s">
        <v>1075</v>
      </c>
      <c r="D656" s="5" t="s">
        <v>1780</v>
      </c>
      <c r="E656" s="5" t="s">
        <v>1943</v>
      </c>
      <c r="F656" s="21">
        <v>1</v>
      </c>
      <c r="G656" s="753">
        <v>0</v>
      </c>
      <c r="H656" s="21">
        <f>F656*AO656</f>
        <v>0</v>
      </c>
      <c r="I656" s="21">
        <f>F656*AP656</f>
        <v>0</v>
      </c>
      <c r="J656" s="21">
        <f>F656*G656</f>
        <v>0</v>
      </c>
      <c r="K656" s="21">
        <v>0</v>
      </c>
      <c r="L656" s="21">
        <f>F656*K656</f>
        <v>0</v>
      </c>
      <c r="M656" s="34" t="s">
        <v>1961</v>
      </c>
      <c r="Z656" s="39">
        <f>IF(AQ656="5",BJ656,0)</f>
        <v>0</v>
      </c>
      <c r="AB656" s="39">
        <f>IF(AQ656="1",BH656,0)</f>
        <v>0</v>
      </c>
      <c r="AC656" s="39">
        <f>IF(AQ656="1",BI656,0)</f>
        <v>0</v>
      </c>
      <c r="AD656" s="39">
        <f>IF(AQ656="7",BH656,0)</f>
        <v>0</v>
      </c>
      <c r="AE656" s="39">
        <f>IF(AQ656="7",BI656,0)</f>
        <v>0</v>
      </c>
      <c r="AF656" s="39">
        <f>IF(AQ656="2",BH656,0)</f>
        <v>0</v>
      </c>
      <c r="AG656" s="39">
        <f>IF(AQ656="2",BI656,0)</f>
        <v>0</v>
      </c>
      <c r="AH656" s="39">
        <f>IF(AQ656="0",BJ656,0)</f>
        <v>0</v>
      </c>
      <c r="AI656" s="30"/>
      <c r="AJ656" s="21">
        <f>IF(AN656=0,J656,0)</f>
        <v>0</v>
      </c>
      <c r="AK656" s="21">
        <f>IF(AN656=15,J656,0)</f>
        <v>0</v>
      </c>
      <c r="AL656" s="21">
        <f>IF(AN656=21,J656,0)</f>
        <v>0</v>
      </c>
      <c r="AN656" s="39">
        <v>21</v>
      </c>
      <c r="AO656" s="39">
        <f>G656*0</f>
        <v>0</v>
      </c>
      <c r="AP656" s="39">
        <f>G656*(1-0)</f>
        <v>0</v>
      </c>
      <c r="AQ656" s="34" t="s">
        <v>11</v>
      </c>
      <c r="AV656" s="39">
        <f>AW656+AX656</f>
        <v>0</v>
      </c>
      <c r="AW656" s="39">
        <f>F656*AO656</f>
        <v>0</v>
      </c>
      <c r="AX656" s="39">
        <f>F656*AP656</f>
        <v>0</v>
      </c>
      <c r="AY656" s="40" t="s">
        <v>2017</v>
      </c>
      <c r="AZ656" s="40" t="s">
        <v>2041</v>
      </c>
      <c r="BA656" s="30" t="s">
        <v>2045</v>
      </c>
      <c r="BC656" s="39">
        <f>AW656+AX656</f>
        <v>0</v>
      </c>
      <c r="BD656" s="39">
        <f>G656/(100-BE656)*100</f>
        <v>0</v>
      </c>
      <c r="BE656" s="39">
        <v>0</v>
      </c>
      <c r="BF656" s="39">
        <f>L656</f>
        <v>0</v>
      </c>
      <c r="BH656" s="21">
        <f>F656*AO656</f>
        <v>0</v>
      </c>
      <c r="BI656" s="21">
        <f>F656*AP656</f>
        <v>0</v>
      </c>
      <c r="BJ656" s="21">
        <f>F656*G656</f>
        <v>0</v>
      </c>
    </row>
    <row r="657" spans="1:62">
      <c r="A657" s="5" t="s">
        <v>472</v>
      </c>
      <c r="B657" s="5"/>
      <c r="C657" s="5" t="s">
        <v>1076</v>
      </c>
      <c r="D657" s="5" t="s">
        <v>1781</v>
      </c>
      <c r="E657" s="5" t="s">
        <v>1939</v>
      </c>
      <c r="F657" s="21">
        <v>85.265000000000001</v>
      </c>
      <c r="G657" s="753">
        <v>0</v>
      </c>
      <c r="H657" s="21">
        <f>F657*AO657</f>
        <v>0</v>
      </c>
      <c r="I657" s="21">
        <f>F657*AP657</f>
        <v>0</v>
      </c>
      <c r="J657" s="21">
        <f>F657*G657</f>
        <v>0</v>
      </c>
      <c r="K657" s="21">
        <v>0</v>
      </c>
      <c r="L657" s="21">
        <f>F657*K657</f>
        <v>0</v>
      </c>
      <c r="M657" s="34" t="s">
        <v>1961</v>
      </c>
      <c r="Z657" s="39">
        <f>IF(AQ657="5",BJ657,0)</f>
        <v>0</v>
      </c>
      <c r="AB657" s="39">
        <f>IF(AQ657="1",BH657,0)</f>
        <v>0</v>
      </c>
      <c r="AC657" s="39">
        <f>IF(AQ657="1",BI657,0)</f>
        <v>0</v>
      </c>
      <c r="AD657" s="39">
        <f>IF(AQ657="7",BH657,0)</f>
        <v>0</v>
      </c>
      <c r="AE657" s="39">
        <f>IF(AQ657="7",BI657,0)</f>
        <v>0</v>
      </c>
      <c r="AF657" s="39">
        <f>IF(AQ657="2",BH657,0)</f>
        <v>0</v>
      </c>
      <c r="AG657" s="39">
        <f>IF(AQ657="2",BI657,0)</f>
        <v>0</v>
      </c>
      <c r="AH657" s="39">
        <f>IF(AQ657="0",BJ657,0)</f>
        <v>0</v>
      </c>
      <c r="AI657" s="30"/>
      <c r="AJ657" s="21">
        <f>IF(AN657=0,J657,0)</f>
        <v>0</v>
      </c>
      <c r="AK657" s="21">
        <f>IF(AN657=15,J657,0)</f>
        <v>0</v>
      </c>
      <c r="AL657" s="21">
        <f>IF(AN657=21,J657,0)</f>
        <v>0</v>
      </c>
      <c r="AN657" s="39">
        <v>21</v>
      </c>
      <c r="AO657" s="39">
        <f>G657*0.0540733015198886</f>
        <v>0</v>
      </c>
      <c r="AP657" s="39">
        <f>G657*(1-0.0540733015198886)</f>
        <v>0</v>
      </c>
      <c r="AQ657" s="34" t="s">
        <v>11</v>
      </c>
      <c r="AV657" s="39">
        <f>AW657+AX657</f>
        <v>0</v>
      </c>
      <c r="AW657" s="39">
        <f>F657*AO657</f>
        <v>0</v>
      </c>
      <c r="AX657" s="39">
        <f>F657*AP657</f>
        <v>0</v>
      </c>
      <c r="AY657" s="40" t="s">
        <v>2017</v>
      </c>
      <c r="AZ657" s="40" t="s">
        <v>2041</v>
      </c>
      <c r="BA657" s="30" t="s">
        <v>2045</v>
      </c>
      <c r="BC657" s="39">
        <f>AW657+AX657</f>
        <v>0</v>
      </c>
      <c r="BD657" s="39">
        <f>G657/(100-BE657)*100</f>
        <v>0</v>
      </c>
      <c r="BE657" s="39">
        <v>0</v>
      </c>
      <c r="BF657" s="39">
        <f>L657</f>
        <v>0</v>
      </c>
      <c r="BH657" s="21">
        <f>F657*AO657</f>
        <v>0</v>
      </c>
      <c r="BI657" s="21">
        <f>F657*AP657</f>
        <v>0</v>
      </c>
      <c r="BJ657" s="21">
        <f>F657*G657</f>
        <v>0</v>
      </c>
    </row>
    <row r="658" spans="1:62" s="411" customFormat="1">
      <c r="A658" s="408" t="s">
        <v>473</v>
      </c>
      <c r="B658" s="408"/>
      <c r="C658" s="408" t="s">
        <v>1077</v>
      </c>
      <c r="D658" s="408" t="s">
        <v>1782</v>
      </c>
      <c r="E658" s="408" t="s">
        <v>1945</v>
      </c>
      <c r="F658" s="756">
        <v>0</v>
      </c>
      <c r="G658" s="756">
        <v>0</v>
      </c>
      <c r="H658" s="409">
        <f>F658*AO658</f>
        <v>0</v>
      </c>
      <c r="I658" s="409">
        <f>F658*AP658</f>
        <v>0</v>
      </c>
      <c r="J658" s="409">
        <f>F658*G658</f>
        <v>0</v>
      </c>
      <c r="K658" s="409">
        <v>0</v>
      </c>
      <c r="L658" s="409">
        <f>F658*K658</f>
        <v>0</v>
      </c>
      <c r="M658" s="410" t="s">
        <v>1961</v>
      </c>
      <c r="Z658" s="39">
        <f>IF(AQ658="5",BJ658,0)</f>
        <v>0</v>
      </c>
      <c r="AB658" s="39">
        <f>IF(AQ658="1",BH658,0)</f>
        <v>0</v>
      </c>
      <c r="AC658" s="39">
        <f>IF(AQ658="1",BI658,0)</f>
        <v>0</v>
      </c>
      <c r="AD658" s="39">
        <f>IF(AQ658="7",BH658,0)</f>
        <v>0</v>
      </c>
      <c r="AE658" s="39">
        <f>IF(AQ658="7",BI658,0)</f>
        <v>0</v>
      </c>
      <c r="AF658" s="39">
        <f>IF(AQ658="2",BH658,0)</f>
        <v>0</v>
      </c>
      <c r="AG658" s="39">
        <f>IF(AQ658="2",BI658,0)</f>
        <v>0</v>
      </c>
      <c r="AH658" s="39">
        <f>IF(AQ658="0",BJ658,0)</f>
        <v>0</v>
      </c>
      <c r="AI658" s="412"/>
      <c r="AJ658" s="21">
        <f>IF(AN658=0,J658,0)</f>
        <v>0</v>
      </c>
      <c r="AK658" s="21">
        <f>IF(AN658=15,J658,0)</f>
        <v>0</v>
      </c>
      <c r="AL658" s="21">
        <f>IF(AN658=21,J658,0)</f>
        <v>0</v>
      </c>
      <c r="AN658" s="39">
        <v>21</v>
      </c>
      <c r="AO658" s="39">
        <f>G658*0</f>
        <v>0</v>
      </c>
      <c r="AP658" s="39">
        <f>G658*(1-0)</f>
        <v>0</v>
      </c>
      <c r="AQ658" s="34" t="s">
        <v>9</v>
      </c>
      <c r="AV658" s="39">
        <f>AW658+AX658</f>
        <v>0</v>
      </c>
      <c r="AW658" s="39">
        <f>F658*AO658</f>
        <v>0</v>
      </c>
      <c r="AX658" s="39">
        <f>F658*AP658</f>
        <v>0</v>
      </c>
      <c r="AY658" s="40" t="s">
        <v>2017</v>
      </c>
      <c r="AZ658" s="40" t="s">
        <v>2041</v>
      </c>
      <c r="BA658" s="412" t="s">
        <v>2045</v>
      </c>
      <c r="BC658" s="39">
        <f>AW658+AX658</f>
        <v>0</v>
      </c>
      <c r="BD658" s="39">
        <f>G658/(100-BE658)*100</f>
        <v>0</v>
      </c>
      <c r="BE658" s="39">
        <v>0</v>
      </c>
      <c r="BF658" s="39">
        <f>L658</f>
        <v>0</v>
      </c>
      <c r="BH658" s="21">
        <f>F658*AO658</f>
        <v>0</v>
      </c>
      <c r="BI658" s="21">
        <f>F658*AP658</f>
        <v>0</v>
      </c>
      <c r="BJ658" s="21">
        <f>F658*G658</f>
        <v>0</v>
      </c>
    </row>
    <row r="659" spans="1:62">
      <c r="A659" s="4"/>
      <c r="B659" s="14"/>
      <c r="C659" s="14" t="s">
        <v>1078</v>
      </c>
      <c r="D659" s="14" t="s">
        <v>1783</v>
      </c>
      <c r="E659" s="4" t="s">
        <v>4</v>
      </c>
      <c r="F659" s="4" t="s">
        <v>4</v>
      </c>
      <c r="G659" s="4" t="s">
        <v>4</v>
      </c>
      <c r="H659" s="42">
        <f>SUM(H660:H715)</f>
        <v>0</v>
      </c>
      <c r="I659" s="42">
        <f>SUM(I660:I715)</f>
        <v>0</v>
      </c>
      <c r="J659" s="42">
        <f>SUM(J660:J715)</f>
        <v>0</v>
      </c>
      <c r="K659" s="30"/>
      <c r="L659" s="42">
        <f>SUM(L660:L715)</f>
        <v>0</v>
      </c>
      <c r="M659" s="30"/>
      <c r="AI659" s="30"/>
      <c r="AS659" s="42">
        <f>SUM(AJ660:AJ715)</f>
        <v>0</v>
      </c>
      <c r="AT659" s="42">
        <f>SUM(AK660:AK715)</f>
        <v>0</v>
      </c>
      <c r="AU659" s="42">
        <f>SUM(AL660:AL715)</f>
        <v>0</v>
      </c>
    </row>
    <row r="660" spans="1:62">
      <c r="A660" s="5" t="s">
        <v>474</v>
      </c>
      <c r="B660" s="5"/>
      <c r="C660" s="5" t="s">
        <v>1079</v>
      </c>
      <c r="D660" s="5" t="s">
        <v>1784</v>
      </c>
      <c r="E660" s="5" t="s">
        <v>1943</v>
      </c>
      <c r="F660" s="21">
        <v>1</v>
      </c>
      <c r="G660" s="753">
        <v>0</v>
      </c>
      <c r="H660" s="21">
        <f t="shared" ref="H660:H691" si="467">F660*AO660</f>
        <v>0</v>
      </c>
      <c r="I660" s="21">
        <f t="shared" ref="I660:I691" si="468">F660*AP660</f>
        <v>0</v>
      </c>
      <c r="J660" s="21">
        <f t="shared" ref="J660:J691" si="469">F660*G660</f>
        <v>0</v>
      </c>
      <c r="K660" s="21">
        <v>0</v>
      </c>
      <c r="L660" s="21">
        <f t="shared" ref="L660:L691" si="470">F660*K660</f>
        <v>0</v>
      </c>
      <c r="M660" s="34" t="s">
        <v>1960</v>
      </c>
      <c r="O660">
        <f t="shared" ref="O660:O714" si="471">0.95*G660</f>
        <v>0</v>
      </c>
      <c r="Z660" s="39">
        <f t="shared" ref="Z660:Z691" si="472">IF(AQ660="5",BJ660,0)</f>
        <v>0</v>
      </c>
      <c r="AB660" s="39">
        <f t="shared" ref="AB660:AB691" si="473">IF(AQ660="1",BH660,0)</f>
        <v>0</v>
      </c>
      <c r="AC660" s="39">
        <f t="shared" ref="AC660:AC691" si="474">IF(AQ660="1",BI660,0)</f>
        <v>0</v>
      </c>
      <c r="AD660" s="39">
        <f t="shared" ref="AD660:AD691" si="475">IF(AQ660="7",BH660,0)</f>
        <v>0</v>
      </c>
      <c r="AE660" s="39">
        <f t="shared" ref="AE660:AE691" si="476">IF(AQ660="7",BI660,0)</f>
        <v>0</v>
      </c>
      <c r="AF660" s="39">
        <f t="shared" ref="AF660:AF691" si="477">IF(AQ660="2",BH660,0)</f>
        <v>0</v>
      </c>
      <c r="AG660" s="39">
        <f t="shared" ref="AG660:AG691" si="478">IF(AQ660="2",BI660,0)</f>
        <v>0</v>
      </c>
      <c r="AH660" s="39">
        <f t="shared" ref="AH660:AH691" si="479">IF(AQ660="0",BJ660,0)</f>
        <v>0</v>
      </c>
      <c r="AI660" s="30"/>
      <c r="AJ660" s="21">
        <f t="shared" ref="AJ660:AJ691" si="480">IF(AN660=0,J660,0)</f>
        <v>0</v>
      </c>
      <c r="AK660" s="21">
        <f t="shared" ref="AK660:AK691" si="481">IF(AN660=15,J660,0)</f>
        <v>0</v>
      </c>
      <c r="AL660" s="21">
        <f t="shared" ref="AL660:AL691" si="482">IF(AN660=21,J660,0)</f>
        <v>0</v>
      </c>
      <c r="AN660" s="39">
        <v>21</v>
      </c>
      <c r="AO660" s="39">
        <f t="shared" ref="AO660:AO691" si="483">G660*0</f>
        <v>0</v>
      </c>
      <c r="AP660" s="39">
        <f t="shared" ref="AP660:AP691" si="484">G660*(1-0)</f>
        <v>0</v>
      </c>
      <c r="AQ660" s="34" t="s">
        <v>11</v>
      </c>
      <c r="AV660" s="39">
        <f t="shared" ref="AV660:AV691" si="485">AW660+AX660</f>
        <v>0</v>
      </c>
      <c r="AW660" s="39">
        <f t="shared" ref="AW660:AW691" si="486">F660*AO660</f>
        <v>0</v>
      </c>
      <c r="AX660" s="39">
        <f t="shared" ref="AX660:AX691" si="487">F660*AP660</f>
        <v>0</v>
      </c>
      <c r="AY660" s="40" t="s">
        <v>2018</v>
      </c>
      <c r="AZ660" s="40" t="s">
        <v>2041</v>
      </c>
      <c r="BA660" s="30" t="s">
        <v>2045</v>
      </c>
      <c r="BC660" s="39">
        <f t="shared" ref="BC660:BC691" si="488">AW660+AX660</f>
        <v>0</v>
      </c>
      <c r="BD660" s="39">
        <f t="shared" ref="BD660:BD691" si="489">G660/(100-BE660)*100</f>
        <v>0</v>
      </c>
      <c r="BE660" s="39">
        <v>0</v>
      </c>
      <c r="BF660" s="39">
        <f t="shared" ref="BF660:BF691" si="490">L660</f>
        <v>0</v>
      </c>
      <c r="BH660" s="21">
        <f t="shared" ref="BH660:BH691" si="491">F660*AO660</f>
        <v>0</v>
      </c>
      <c r="BI660" s="21">
        <f t="shared" ref="BI660:BI691" si="492">F660*AP660</f>
        <v>0</v>
      </c>
      <c r="BJ660" s="21">
        <f t="shared" ref="BJ660:BJ691" si="493">F660*G660</f>
        <v>0</v>
      </c>
    </row>
    <row r="661" spans="1:62">
      <c r="A661" s="5" t="s">
        <v>475</v>
      </c>
      <c r="B661" s="5"/>
      <c r="C661" s="5" t="s">
        <v>1080</v>
      </c>
      <c r="D661" s="5" t="s">
        <v>1785</v>
      </c>
      <c r="E661" s="5" t="s">
        <v>1943</v>
      </c>
      <c r="F661" s="21">
        <v>1</v>
      </c>
      <c r="G661" s="753">
        <v>0</v>
      </c>
      <c r="H661" s="21">
        <f t="shared" si="467"/>
        <v>0</v>
      </c>
      <c r="I661" s="21">
        <f t="shared" si="468"/>
        <v>0</v>
      </c>
      <c r="J661" s="21">
        <f t="shared" si="469"/>
        <v>0</v>
      </c>
      <c r="K661" s="21">
        <v>0</v>
      </c>
      <c r="L661" s="21">
        <f t="shared" si="470"/>
        <v>0</v>
      </c>
      <c r="M661" s="34" t="s">
        <v>1960</v>
      </c>
      <c r="O661">
        <f t="shared" si="471"/>
        <v>0</v>
      </c>
      <c r="Z661" s="39">
        <f t="shared" si="472"/>
        <v>0</v>
      </c>
      <c r="AB661" s="39">
        <f t="shared" si="473"/>
        <v>0</v>
      </c>
      <c r="AC661" s="39">
        <f t="shared" si="474"/>
        <v>0</v>
      </c>
      <c r="AD661" s="39">
        <f t="shared" si="475"/>
        <v>0</v>
      </c>
      <c r="AE661" s="39">
        <f t="shared" si="476"/>
        <v>0</v>
      </c>
      <c r="AF661" s="39">
        <f t="shared" si="477"/>
        <v>0</v>
      </c>
      <c r="AG661" s="39">
        <f t="shared" si="478"/>
        <v>0</v>
      </c>
      <c r="AH661" s="39">
        <f t="shared" si="479"/>
        <v>0</v>
      </c>
      <c r="AI661" s="30"/>
      <c r="AJ661" s="21">
        <f t="shared" si="480"/>
        <v>0</v>
      </c>
      <c r="AK661" s="21">
        <f t="shared" si="481"/>
        <v>0</v>
      </c>
      <c r="AL661" s="21">
        <f t="shared" si="482"/>
        <v>0</v>
      </c>
      <c r="AN661" s="39">
        <v>21</v>
      </c>
      <c r="AO661" s="39">
        <f t="shared" si="483"/>
        <v>0</v>
      </c>
      <c r="AP661" s="39">
        <f t="shared" si="484"/>
        <v>0</v>
      </c>
      <c r="AQ661" s="34" t="s">
        <v>11</v>
      </c>
      <c r="AV661" s="39">
        <f t="shared" si="485"/>
        <v>0</v>
      </c>
      <c r="AW661" s="39">
        <f t="shared" si="486"/>
        <v>0</v>
      </c>
      <c r="AX661" s="39">
        <f t="shared" si="487"/>
        <v>0</v>
      </c>
      <c r="AY661" s="40" t="s">
        <v>2018</v>
      </c>
      <c r="AZ661" s="40" t="s">
        <v>2041</v>
      </c>
      <c r="BA661" s="30" t="s">
        <v>2045</v>
      </c>
      <c r="BC661" s="39">
        <f t="shared" si="488"/>
        <v>0</v>
      </c>
      <c r="BD661" s="39">
        <f t="shared" si="489"/>
        <v>0</v>
      </c>
      <c r="BE661" s="39">
        <v>0</v>
      </c>
      <c r="BF661" s="39">
        <f t="shared" si="490"/>
        <v>0</v>
      </c>
      <c r="BH661" s="21">
        <f t="shared" si="491"/>
        <v>0</v>
      </c>
      <c r="BI661" s="21">
        <f t="shared" si="492"/>
        <v>0</v>
      </c>
      <c r="BJ661" s="21">
        <f t="shared" si="493"/>
        <v>0</v>
      </c>
    </row>
    <row r="662" spans="1:62">
      <c r="A662" s="5" t="s">
        <v>476</v>
      </c>
      <c r="B662" s="5"/>
      <c r="C662" s="5" t="s">
        <v>1081</v>
      </c>
      <c r="D662" s="5" t="s">
        <v>1786</v>
      </c>
      <c r="E662" s="5" t="s">
        <v>1943</v>
      </c>
      <c r="F662" s="21">
        <v>1</v>
      </c>
      <c r="G662" s="753">
        <v>0</v>
      </c>
      <c r="H662" s="21">
        <f t="shared" si="467"/>
        <v>0</v>
      </c>
      <c r="I662" s="21">
        <f t="shared" si="468"/>
        <v>0</v>
      </c>
      <c r="J662" s="21">
        <f t="shared" si="469"/>
        <v>0</v>
      </c>
      <c r="K662" s="21">
        <v>0</v>
      </c>
      <c r="L662" s="21">
        <f t="shared" si="470"/>
        <v>0</v>
      </c>
      <c r="M662" s="34" t="s">
        <v>1960</v>
      </c>
      <c r="O662">
        <f t="shared" si="471"/>
        <v>0</v>
      </c>
      <c r="Z662" s="39">
        <f t="shared" si="472"/>
        <v>0</v>
      </c>
      <c r="AB662" s="39">
        <f t="shared" si="473"/>
        <v>0</v>
      </c>
      <c r="AC662" s="39">
        <f t="shared" si="474"/>
        <v>0</v>
      </c>
      <c r="AD662" s="39">
        <f t="shared" si="475"/>
        <v>0</v>
      </c>
      <c r="AE662" s="39">
        <f t="shared" si="476"/>
        <v>0</v>
      </c>
      <c r="AF662" s="39">
        <f t="shared" si="477"/>
        <v>0</v>
      </c>
      <c r="AG662" s="39">
        <f t="shared" si="478"/>
        <v>0</v>
      </c>
      <c r="AH662" s="39">
        <f t="shared" si="479"/>
        <v>0</v>
      </c>
      <c r="AI662" s="30"/>
      <c r="AJ662" s="21">
        <f t="shared" si="480"/>
        <v>0</v>
      </c>
      <c r="AK662" s="21">
        <f t="shared" si="481"/>
        <v>0</v>
      </c>
      <c r="AL662" s="21">
        <f t="shared" si="482"/>
        <v>0</v>
      </c>
      <c r="AN662" s="39">
        <v>21</v>
      </c>
      <c r="AO662" s="39">
        <f t="shared" si="483"/>
        <v>0</v>
      </c>
      <c r="AP662" s="39">
        <f t="shared" si="484"/>
        <v>0</v>
      </c>
      <c r="AQ662" s="34" t="s">
        <v>11</v>
      </c>
      <c r="AV662" s="39">
        <f t="shared" si="485"/>
        <v>0</v>
      </c>
      <c r="AW662" s="39">
        <f t="shared" si="486"/>
        <v>0</v>
      </c>
      <c r="AX662" s="39">
        <f t="shared" si="487"/>
        <v>0</v>
      </c>
      <c r="AY662" s="40" t="s">
        <v>2018</v>
      </c>
      <c r="AZ662" s="40" t="s">
        <v>2041</v>
      </c>
      <c r="BA662" s="30" t="s">
        <v>2045</v>
      </c>
      <c r="BC662" s="39">
        <f t="shared" si="488"/>
        <v>0</v>
      </c>
      <c r="BD662" s="39">
        <f t="shared" si="489"/>
        <v>0</v>
      </c>
      <c r="BE662" s="39">
        <v>0</v>
      </c>
      <c r="BF662" s="39">
        <f t="shared" si="490"/>
        <v>0</v>
      </c>
      <c r="BH662" s="21">
        <f t="shared" si="491"/>
        <v>0</v>
      </c>
      <c r="BI662" s="21">
        <f t="shared" si="492"/>
        <v>0</v>
      </c>
      <c r="BJ662" s="21">
        <f t="shared" si="493"/>
        <v>0</v>
      </c>
    </row>
    <row r="663" spans="1:62">
      <c r="A663" s="5" t="s">
        <v>477</v>
      </c>
      <c r="B663" s="5"/>
      <c r="C663" s="5" t="s">
        <v>1082</v>
      </c>
      <c r="D663" s="5" t="s">
        <v>1787</v>
      </c>
      <c r="E663" s="5" t="s">
        <v>1943</v>
      </c>
      <c r="F663" s="21">
        <v>2</v>
      </c>
      <c r="G663" s="753">
        <v>0</v>
      </c>
      <c r="H663" s="21">
        <f t="shared" si="467"/>
        <v>0</v>
      </c>
      <c r="I663" s="21">
        <f t="shared" si="468"/>
        <v>0</v>
      </c>
      <c r="J663" s="21">
        <f t="shared" si="469"/>
        <v>0</v>
      </c>
      <c r="K663" s="21">
        <v>0</v>
      </c>
      <c r="L663" s="21">
        <f t="shared" si="470"/>
        <v>0</v>
      </c>
      <c r="M663" s="34" t="s">
        <v>1960</v>
      </c>
      <c r="O663">
        <f t="shared" si="471"/>
        <v>0</v>
      </c>
      <c r="Z663" s="39">
        <f t="shared" si="472"/>
        <v>0</v>
      </c>
      <c r="AB663" s="39">
        <f t="shared" si="473"/>
        <v>0</v>
      </c>
      <c r="AC663" s="39">
        <f t="shared" si="474"/>
        <v>0</v>
      </c>
      <c r="AD663" s="39">
        <f t="shared" si="475"/>
        <v>0</v>
      </c>
      <c r="AE663" s="39">
        <f t="shared" si="476"/>
        <v>0</v>
      </c>
      <c r="AF663" s="39">
        <f t="shared" si="477"/>
        <v>0</v>
      </c>
      <c r="AG663" s="39">
        <f t="shared" si="478"/>
        <v>0</v>
      </c>
      <c r="AH663" s="39">
        <f t="shared" si="479"/>
        <v>0</v>
      </c>
      <c r="AI663" s="30"/>
      <c r="AJ663" s="21">
        <f t="shared" si="480"/>
        <v>0</v>
      </c>
      <c r="AK663" s="21">
        <f t="shared" si="481"/>
        <v>0</v>
      </c>
      <c r="AL663" s="21">
        <f t="shared" si="482"/>
        <v>0</v>
      </c>
      <c r="AN663" s="39">
        <v>21</v>
      </c>
      <c r="AO663" s="39">
        <f t="shared" si="483"/>
        <v>0</v>
      </c>
      <c r="AP663" s="39">
        <f t="shared" si="484"/>
        <v>0</v>
      </c>
      <c r="AQ663" s="34" t="s">
        <v>11</v>
      </c>
      <c r="AV663" s="39">
        <f t="shared" si="485"/>
        <v>0</v>
      </c>
      <c r="AW663" s="39">
        <f t="shared" si="486"/>
        <v>0</v>
      </c>
      <c r="AX663" s="39">
        <f t="shared" si="487"/>
        <v>0</v>
      </c>
      <c r="AY663" s="40" t="s">
        <v>2018</v>
      </c>
      <c r="AZ663" s="40" t="s">
        <v>2041</v>
      </c>
      <c r="BA663" s="30" t="s">
        <v>2045</v>
      </c>
      <c r="BC663" s="39">
        <f t="shared" si="488"/>
        <v>0</v>
      </c>
      <c r="BD663" s="39">
        <f t="shared" si="489"/>
        <v>0</v>
      </c>
      <c r="BE663" s="39">
        <v>0</v>
      </c>
      <c r="BF663" s="39">
        <f t="shared" si="490"/>
        <v>0</v>
      </c>
      <c r="BH663" s="21">
        <f t="shared" si="491"/>
        <v>0</v>
      </c>
      <c r="BI663" s="21">
        <f t="shared" si="492"/>
        <v>0</v>
      </c>
      <c r="BJ663" s="21">
        <f t="shared" si="493"/>
        <v>0</v>
      </c>
    </row>
    <row r="664" spans="1:62">
      <c r="A664" s="5" t="s">
        <v>478</v>
      </c>
      <c r="B664" s="5"/>
      <c r="C664" s="5" t="s">
        <v>1083</v>
      </c>
      <c r="D664" s="5" t="s">
        <v>1788</v>
      </c>
      <c r="E664" s="5" t="s">
        <v>1943</v>
      </c>
      <c r="F664" s="21">
        <v>1</v>
      </c>
      <c r="G664" s="753">
        <v>0</v>
      </c>
      <c r="H664" s="21">
        <f t="shared" si="467"/>
        <v>0</v>
      </c>
      <c r="I664" s="21">
        <f t="shared" si="468"/>
        <v>0</v>
      </c>
      <c r="J664" s="21">
        <f t="shared" si="469"/>
        <v>0</v>
      </c>
      <c r="K664" s="21">
        <v>0</v>
      </c>
      <c r="L664" s="21">
        <f t="shared" si="470"/>
        <v>0</v>
      </c>
      <c r="M664" s="34" t="s">
        <v>1960</v>
      </c>
      <c r="O664">
        <f t="shared" si="471"/>
        <v>0</v>
      </c>
      <c r="Z664" s="39">
        <f t="shared" si="472"/>
        <v>0</v>
      </c>
      <c r="AB664" s="39">
        <f t="shared" si="473"/>
        <v>0</v>
      </c>
      <c r="AC664" s="39">
        <f t="shared" si="474"/>
        <v>0</v>
      </c>
      <c r="AD664" s="39">
        <f t="shared" si="475"/>
        <v>0</v>
      </c>
      <c r="AE664" s="39">
        <f t="shared" si="476"/>
        <v>0</v>
      </c>
      <c r="AF664" s="39">
        <f t="shared" si="477"/>
        <v>0</v>
      </c>
      <c r="AG664" s="39">
        <f t="shared" si="478"/>
        <v>0</v>
      </c>
      <c r="AH664" s="39">
        <f t="shared" si="479"/>
        <v>0</v>
      </c>
      <c r="AI664" s="30"/>
      <c r="AJ664" s="21">
        <f t="shared" si="480"/>
        <v>0</v>
      </c>
      <c r="AK664" s="21">
        <f t="shared" si="481"/>
        <v>0</v>
      </c>
      <c r="AL664" s="21">
        <f t="shared" si="482"/>
        <v>0</v>
      </c>
      <c r="AN664" s="39">
        <v>21</v>
      </c>
      <c r="AO664" s="39">
        <f t="shared" si="483"/>
        <v>0</v>
      </c>
      <c r="AP664" s="39">
        <f t="shared" si="484"/>
        <v>0</v>
      </c>
      <c r="AQ664" s="34" t="s">
        <v>11</v>
      </c>
      <c r="AV664" s="39">
        <f t="shared" si="485"/>
        <v>0</v>
      </c>
      <c r="AW664" s="39">
        <f t="shared" si="486"/>
        <v>0</v>
      </c>
      <c r="AX664" s="39">
        <f t="shared" si="487"/>
        <v>0</v>
      </c>
      <c r="AY664" s="40" t="s">
        <v>2018</v>
      </c>
      <c r="AZ664" s="40" t="s">
        <v>2041</v>
      </c>
      <c r="BA664" s="30" t="s">
        <v>2045</v>
      </c>
      <c r="BC664" s="39">
        <f t="shared" si="488"/>
        <v>0</v>
      </c>
      <c r="BD664" s="39">
        <f t="shared" si="489"/>
        <v>0</v>
      </c>
      <c r="BE664" s="39">
        <v>0</v>
      </c>
      <c r="BF664" s="39">
        <f t="shared" si="490"/>
        <v>0</v>
      </c>
      <c r="BH664" s="21">
        <f t="shared" si="491"/>
        <v>0</v>
      </c>
      <c r="BI664" s="21">
        <f t="shared" si="492"/>
        <v>0</v>
      </c>
      <c r="BJ664" s="21">
        <f t="shared" si="493"/>
        <v>0</v>
      </c>
    </row>
    <row r="665" spans="1:62">
      <c r="A665" s="5" t="s">
        <v>479</v>
      </c>
      <c r="B665" s="5"/>
      <c r="C665" s="5" t="s">
        <v>1084</v>
      </c>
      <c r="D665" s="5" t="s">
        <v>1789</v>
      </c>
      <c r="E665" s="5" t="s">
        <v>1943</v>
      </c>
      <c r="F665" s="21">
        <v>1</v>
      </c>
      <c r="G665" s="753">
        <v>0</v>
      </c>
      <c r="H665" s="21">
        <f t="shared" si="467"/>
        <v>0</v>
      </c>
      <c r="I665" s="21">
        <f t="shared" si="468"/>
        <v>0</v>
      </c>
      <c r="J665" s="21">
        <f t="shared" si="469"/>
        <v>0</v>
      </c>
      <c r="K665" s="21">
        <v>0</v>
      </c>
      <c r="L665" s="21">
        <f t="shared" si="470"/>
        <v>0</v>
      </c>
      <c r="M665" s="34" t="s">
        <v>1960</v>
      </c>
      <c r="O665">
        <f t="shared" si="471"/>
        <v>0</v>
      </c>
      <c r="Z665" s="39">
        <f t="shared" si="472"/>
        <v>0</v>
      </c>
      <c r="AB665" s="39">
        <f t="shared" si="473"/>
        <v>0</v>
      </c>
      <c r="AC665" s="39">
        <f t="shared" si="474"/>
        <v>0</v>
      </c>
      <c r="AD665" s="39">
        <f t="shared" si="475"/>
        <v>0</v>
      </c>
      <c r="AE665" s="39">
        <f t="shared" si="476"/>
        <v>0</v>
      </c>
      <c r="AF665" s="39">
        <f t="shared" si="477"/>
        <v>0</v>
      </c>
      <c r="AG665" s="39">
        <f t="shared" si="478"/>
        <v>0</v>
      </c>
      <c r="AH665" s="39">
        <f t="shared" si="479"/>
        <v>0</v>
      </c>
      <c r="AI665" s="30"/>
      <c r="AJ665" s="21">
        <f t="shared" si="480"/>
        <v>0</v>
      </c>
      <c r="AK665" s="21">
        <f t="shared" si="481"/>
        <v>0</v>
      </c>
      <c r="AL665" s="21">
        <f t="shared" si="482"/>
        <v>0</v>
      </c>
      <c r="AN665" s="39">
        <v>21</v>
      </c>
      <c r="AO665" s="39">
        <f t="shared" si="483"/>
        <v>0</v>
      </c>
      <c r="AP665" s="39">
        <f t="shared" si="484"/>
        <v>0</v>
      </c>
      <c r="AQ665" s="34" t="s">
        <v>11</v>
      </c>
      <c r="AV665" s="39">
        <f t="shared" si="485"/>
        <v>0</v>
      </c>
      <c r="AW665" s="39">
        <f t="shared" si="486"/>
        <v>0</v>
      </c>
      <c r="AX665" s="39">
        <f t="shared" si="487"/>
        <v>0</v>
      </c>
      <c r="AY665" s="40" t="s">
        <v>2018</v>
      </c>
      <c r="AZ665" s="40" t="s">
        <v>2041</v>
      </c>
      <c r="BA665" s="30" t="s">
        <v>2045</v>
      </c>
      <c r="BC665" s="39">
        <f t="shared" si="488"/>
        <v>0</v>
      </c>
      <c r="BD665" s="39">
        <f t="shared" si="489"/>
        <v>0</v>
      </c>
      <c r="BE665" s="39">
        <v>0</v>
      </c>
      <c r="BF665" s="39">
        <f t="shared" si="490"/>
        <v>0</v>
      </c>
      <c r="BH665" s="21">
        <f t="shared" si="491"/>
        <v>0</v>
      </c>
      <c r="BI665" s="21">
        <f t="shared" si="492"/>
        <v>0</v>
      </c>
      <c r="BJ665" s="21">
        <f t="shared" si="493"/>
        <v>0</v>
      </c>
    </row>
    <row r="666" spans="1:62">
      <c r="A666" s="5" t="s">
        <v>480</v>
      </c>
      <c r="B666" s="5"/>
      <c r="C666" s="5" t="s">
        <v>1085</v>
      </c>
      <c r="D666" s="5" t="s">
        <v>1790</v>
      </c>
      <c r="E666" s="5" t="s">
        <v>1943</v>
      </c>
      <c r="F666" s="21">
        <v>1</v>
      </c>
      <c r="G666" s="753">
        <v>0</v>
      </c>
      <c r="H666" s="21">
        <f t="shared" si="467"/>
        <v>0</v>
      </c>
      <c r="I666" s="21">
        <f t="shared" si="468"/>
        <v>0</v>
      </c>
      <c r="J666" s="21">
        <f t="shared" si="469"/>
        <v>0</v>
      </c>
      <c r="K666" s="21">
        <v>0</v>
      </c>
      <c r="L666" s="21">
        <f t="shared" si="470"/>
        <v>0</v>
      </c>
      <c r="M666" s="34" t="s">
        <v>1960</v>
      </c>
      <c r="O666">
        <f t="shared" si="471"/>
        <v>0</v>
      </c>
      <c r="Z666" s="39">
        <f t="shared" si="472"/>
        <v>0</v>
      </c>
      <c r="AB666" s="39">
        <f t="shared" si="473"/>
        <v>0</v>
      </c>
      <c r="AC666" s="39">
        <f t="shared" si="474"/>
        <v>0</v>
      </c>
      <c r="AD666" s="39">
        <f t="shared" si="475"/>
        <v>0</v>
      </c>
      <c r="AE666" s="39">
        <f t="shared" si="476"/>
        <v>0</v>
      </c>
      <c r="AF666" s="39">
        <f t="shared" si="477"/>
        <v>0</v>
      </c>
      <c r="AG666" s="39">
        <f t="shared" si="478"/>
        <v>0</v>
      </c>
      <c r="AH666" s="39">
        <f t="shared" si="479"/>
        <v>0</v>
      </c>
      <c r="AI666" s="30"/>
      <c r="AJ666" s="21">
        <f t="shared" si="480"/>
        <v>0</v>
      </c>
      <c r="AK666" s="21">
        <f t="shared" si="481"/>
        <v>0</v>
      </c>
      <c r="AL666" s="21">
        <f t="shared" si="482"/>
        <v>0</v>
      </c>
      <c r="AN666" s="39">
        <v>21</v>
      </c>
      <c r="AO666" s="39">
        <f t="shared" si="483"/>
        <v>0</v>
      </c>
      <c r="AP666" s="39">
        <f t="shared" si="484"/>
        <v>0</v>
      </c>
      <c r="AQ666" s="34" t="s">
        <v>11</v>
      </c>
      <c r="AV666" s="39">
        <f t="shared" si="485"/>
        <v>0</v>
      </c>
      <c r="AW666" s="39">
        <f t="shared" si="486"/>
        <v>0</v>
      </c>
      <c r="AX666" s="39">
        <f t="shared" si="487"/>
        <v>0</v>
      </c>
      <c r="AY666" s="40" t="s">
        <v>2018</v>
      </c>
      <c r="AZ666" s="40" t="s">
        <v>2041</v>
      </c>
      <c r="BA666" s="30" t="s">
        <v>2045</v>
      </c>
      <c r="BC666" s="39">
        <f t="shared" si="488"/>
        <v>0</v>
      </c>
      <c r="BD666" s="39">
        <f t="shared" si="489"/>
        <v>0</v>
      </c>
      <c r="BE666" s="39">
        <v>0</v>
      </c>
      <c r="BF666" s="39">
        <f t="shared" si="490"/>
        <v>0</v>
      </c>
      <c r="BH666" s="21">
        <f t="shared" si="491"/>
        <v>0</v>
      </c>
      <c r="BI666" s="21">
        <f t="shared" si="492"/>
        <v>0</v>
      </c>
      <c r="BJ666" s="21">
        <f t="shared" si="493"/>
        <v>0</v>
      </c>
    </row>
    <row r="667" spans="1:62">
      <c r="A667" s="5" t="s">
        <v>481</v>
      </c>
      <c r="B667" s="5"/>
      <c r="C667" s="5" t="s">
        <v>1086</v>
      </c>
      <c r="D667" s="5" t="s">
        <v>1791</v>
      </c>
      <c r="E667" s="5" t="s">
        <v>1943</v>
      </c>
      <c r="F667" s="21">
        <v>2</v>
      </c>
      <c r="G667" s="753">
        <v>0</v>
      </c>
      <c r="H667" s="21">
        <f t="shared" si="467"/>
        <v>0</v>
      </c>
      <c r="I667" s="21">
        <f t="shared" si="468"/>
        <v>0</v>
      </c>
      <c r="J667" s="21">
        <f t="shared" si="469"/>
        <v>0</v>
      </c>
      <c r="K667" s="21">
        <v>0</v>
      </c>
      <c r="L667" s="21">
        <f t="shared" si="470"/>
        <v>0</v>
      </c>
      <c r="M667" s="34" t="s">
        <v>1960</v>
      </c>
      <c r="O667">
        <f t="shared" si="471"/>
        <v>0</v>
      </c>
      <c r="Z667" s="39">
        <f t="shared" si="472"/>
        <v>0</v>
      </c>
      <c r="AB667" s="39">
        <f t="shared" si="473"/>
        <v>0</v>
      </c>
      <c r="AC667" s="39">
        <f t="shared" si="474"/>
        <v>0</v>
      </c>
      <c r="AD667" s="39">
        <f t="shared" si="475"/>
        <v>0</v>
      </c>
      <c r="AE667" s="39">
        <f t="shared" si="476"/>
        <v>0</v>
      </c>
      <c r="AF667" s="39">
        <f t="shared" si="477"/>
        <v>0</v>
      </c>
      <c r="AG667" s="39">
        <f t="shared" si="478"/>
        <v>0</v>
      </c>
      <c r="AH667" s="39">
        <f t="shared" si="479"/>
        <v>0</v>
      </c>
      <c r="AI667" s="30"/>
      <c r="AJ667" s="21">
        <f t="shared" si="480"/>
        <v>0</v>
      </c>
      <c r="AK667" s="21">
        <f t="shared" si="481"/>
        <v>0</v>
      </c>
      <c r="AL667" s="21">
        <f t="shared" si="482"/>
        <v>0</v>
      </c>
      <c r="AN667" s="39">
        <v>21</v>
      </c>
      <c r="AO667" s="39">
        <f t="shared" si="483"/>
        <v>0</v>
      </c>
      <c r="AP667" s="39">
        <f t="shared" si="484"/>
        <v>0</v>
      </c>
      <c r="AQ667" s="34" t="s">
        <v>11</v>
      </c>
      <c r="AV667" s="39">
        <f t="shared" si="485"/>
        <v>0</v>
      </c>
      <c r="AW667" s="39">
        <f t="shared" si="486"/>
        <v>0</v>
      </c>
      <c r="AX667" s="39">
        <f t="shared" si="487"/>
        <v>0</v>
      </c>
      <c r="AY667" s="40" t="s">
        <v>2018</v>
      </c>
      <c r="AZ667" s="40" t="s">
        <v>2041</v>
      </c>
      <c r="BA667" s="30" t="s">
        <v>2045</v>
      </c>
      <c r="BC667" s="39">
        <f t="shared" si="488"/>
        <v>0</v>
      </c>
      <c r="BD667" s="39">
        <f t="shared" si="489"/>
        <v>0</v>
      </c>
      <c r="BE667" s="39">
        <v>0</v>
      </c>
      <c r="BF667" s="39">
        <f t="shared" si="490"/>
        <v>0</v>
      </c>
      <c r="BH667" s="21">
        <f t="shared" si="491"/>
        <v>0</v>
      </c>
      <c r="BI667" s="21">
        <f t="shared" si="492"/>
        <v>0</v>
      </c>
      <c r="BJ667" s="21">
        <f t="shared" si="493"/>
        <v>0</v>
      </c>
    </row>
    <row r="668" spans="1:62">
      <c r="A668" s="5" t="s">
        <v>482</v>
      </c>
      <c r="B668" s="5"/>
      <c r="C668" s="5" t="s">
        <v>1087</v>
      </c>
      <c r="D668" s="5" t="s">
        <v>1792</v>
      </c>
      <c r="E668" s="5" t="s">
        <v>1943</v>
      </c>
      <c r="F668" s="21">
        <v>1</v>
      </c>
      <c r="G668" s="753">
        <v>0</v>
      </c>
      <c r="H668" s="21">
        <f t="shared" si="467"/>
        <v>0</v>
      </c>
      <c r="I668" s="21">
        <f t="shared" si="468"/>
        <v>0</v>
      </c>
      <c r="J668" s="21">
        <f t="shared" si="469"/>
        <v>0</v>
      </c>
      <c r="K668" s="21">
        <v>0</v>
      </c>
      <c r="L668" s="21">
        <f t="shared" si="470"/>
        <v>0</v>
      </c>
      <c r="M668" s="34" t="s">
        <v>1960</v>
      </c>
      <c r="O668">
        <f t="shared" si="471"/>
        <v>0</v>
      </c>
      <c r="Z668" s="39">
        <f t="shared" si="472"/>
        <v>0</v>
      </c>
      <c r="AB668" s="39">
        <f t="shared" si="473"/>
        <v>0</v>
      </c>
      <c r="AC668" s="39">
        <f t="shared" si="474"/>
        <v>0</v>
      </c>
      <c r="AD668" s="39">
        <f t="shared" si="475"/>
        <v>0</v>
      </c>
      <c r="AE668" s="39">
        <f t="shared" si="476"/>
        <v>0</v>
      </c>
      <c r="AF668" s="39">
        <f t="shared" si="477"/>
        <v>0</v>
      </c>
      <c r="AG668" s="39">
        <f t="shared" si="478"/>
        <v>0</v>
      </c>
      <c r="AH668" s="39">
        <f t="shared" si="479"/>
        <v>0</v>
      </c>
      <c r="AI668" s="30"/>
      <c r="AJ668" s="21">
        <f t="shared" si="480"/>
        <v>0</v>
      </c>
      <c r="AK668" s="21">
        <f t="shared" si="481"/>
        <v>0</v>
      </c>
      <c r="AL668" s="21">
        <f t="shared" si="482"/>
        <v>0</v>
      </c>
      <c r="AN668" s="39">
        <v>21</v>
      </c>
      <c r="AO668" s="39">
        <f t="shared" si="483"/>
        <v>0</v>
      </c>
      <c r="AP668" s="39">
        <f t="shared" si="484"/>
        <v>0</v>
      </c>
      <c r="AQ668" s="34" t="s">
        <v>11</v>
      </c>
      <c r="AV668" s="39">
        <f t="shared" si="485"/>
        <v>0</v>
      </c>
      <c r="AW668" s="39">
        <f t="shared" si="486"/>
        <v>0</v>
      </c>
      <c r="AX668" s="39">
        <f t="shared" si="487"/>
        <v>0</v>
      </c>
      <c r="AY668" s="40" t="s">
        <v>2018</v>
      </c>
      <c r="AZ668" s="40" t="s">
        <v>2041</v>
      </c>
      <c r="BA668" s="30" t="s">
        <v>2045</v>
      </c>
      <c r="BC668" s="39">
        <f t="shared" si="488"/>
        <v>0</v>
      </c>
      <c r="BD668" s="39">
        <f t="shared" si="489"/>
        <v>0</v>
      </c>
      <c r="BE668" s="39">
        <v>0</v>
      </c>
      <c r="BF668" s="39">
        <f t="shared" si="490"/>
        <v>0</v>
      </c>
      <c r="BH668" s="21">
        <f t="shared" si="491"/>
        <v>0</v>
      </c>
      <c r="BI668" s="21">
        <f t="shared" si="492"/>
        <v>0</v>
      </c>
      <c r="BJ668" s="21">
        <f t="shared" si="493"/>
        <v>0</v>
      </c>
    </row>
    <row r="669" spans="1:62">
      <c r="A669" s="5" t="s">
        <v>483</v>
      </c>
      <c r="B669" s="5"/>
      <c r="C669" s="5" t="s">
        <v>1088</v>
      </c>
      <c r="D669" s="5" t="s">
        <v>1793</v>
      </c>
      <c r="E669" s="5" t="s">
        <v>1943</v>
      </c>
      <c r="F669" s="21">
        <v>1</v>
      </c>
      <c r="G669" s="753">
        <v>0</v>
      </c>
      <c r="H669" s="21">
        <f t="shared" si="467"/>
        <v>0</v>
      </c>
      <c r="I669" s="21">
        <f t="shared" si="468"/>
        <v>0</v>
      </c>
      <c r="J669" s="21">
        <f t="shared" si="469"/>
        <v>0</v>
      </c>
      <c r="K669" s="21">
        <v>0</v>
      </c>
      <c r="L669" s="21">
        <f t="shared" si="470"/>
        <v>0</v>
      </c>
      <c r="M669" s="34" t="s">
        <v>1960</v>
      </c>
      <c r="O669">
        <f t="shared" si="471"/>
        <v>0</v>
      </c>
      <c r="Z669" s="39">
        <f t="shared" si="472"/>
        <v>0</v>
      </c>
      <c r="AB669" s="39">
        <f t="shared" si="473"/>
        <v>0</v>
      </c>
      <c r="AC669" s="39">
        <f t="shared" si="474"/>
        <v>0</v>
      </c>
      <c r="AD669" s="39">
        <f t="shared" si="475"/>
        <v>0</v>
      </c>
      <c r="AE669" s="39">
        <f t="shared" si="476"/>
        <v>0</v>
      </c>
      <c r="AF669" s="39">
        <f t="shared" si="477"/>
        <v>0</v>
      </c>
      <c r="AG669" s="39">
        <f t="shared" si="478"/>
        <v>0</v>
      </c>
      <c r="AH669" s="39">
        <f t="shared" si="479"/>
        <v>0</v>
      </c>
      <c r="AI669" s="30"/>
      <c r="AJ669" s="21">
        <f t="shared" si="480"/>
        <v>0</v>
      </c>
      <c r="AK669" s="21">
        <f t="shared" si="481"/>
        <v>0</v>
      </c>
      <c r="AL669" s="21">
        <f t="shared" si="482"/>
        <v>0</v>
      </c>
      <c r="AN669" s="39">
        <v>21</v>
      </c>
      <c r="AO669" s="39">
        <f t="shared" si="483"/>
        <v>0</v>
      </c>
      <c r="AP669" s="39">
        <f t="shared" si="484"/>
        <v>0</v>
      </c>
      <c r="AQ669" s="34" t="s">
        <v>11</v>
      </c>
      <c r="AV669" s="39">
        <f t="shared" si="485"/>
        <v>0</v>
      </c>
      <c r="AW669" s="39">
        <f t="shared" si="486"/>
        <v>0</v>
      </c>
      <c r="AX669" s="39">
        <f t="shared" si="487"/>
        <v>0</v>
      </c>
      <c r="AY669" s="40" t="s">
        <v>2018</v>
      </c>
      <c r="AZ669" s="40" t="s">
        <v>2041</v>
      </c>
      <c r="BA669" s="30" t="s">
        <v>2045</v>
      </c>
      <c r="BC669" s="39">
        <f t="shared" si="488"/>
        <v>0</v>
      </c>
      <c r="BD669" s="39">
        <f t="shared" si="489"/>
        <v>0</v>
      </c>
      <c r="BE669" s="39">
        <v>0</v>
      </c>
      <c r="BF669" s="39">
        <f t="shared" si="490"/>
        <v>0</v>
      </c>
      <c r="BH669" s="21">
        <f t="shared" si="491"/>
        <v>0</v>
      </c>
      <c r="BI669" s="21">
        <f t="shared" si="492"/>
        <v>0</v>
      </c>
      <c r="BJ669" s="21">
        <f t="shared" si="493"/>
        <v>0</v>
      </c>
    </row>
    <row r="670" spans="1:62">
      <c r="A670" s="5" t="s">
        <v>484</v>
      </c>
      <c r="B670" s="5"/>
      <c r="C670" s="5" t="s">
        <v>1089</v>
      </c>
      <c r="D670" s="5" t="s">
        <v>1794</v>
      </c>
      <c r="E670" s="5" t="s">
        <v>1943</v>
      </c>
      <c r="F670" s="21">
        <v>1</v>
      </c>
      <c r="G670" s="753">
        <v>0</v>
      </c>
      <c r="H670" s="21">
        <f t="shared" si="467"/>
        <v>0</v>
      </c>
      <c r="I670" s="21">
        <f t="shared" si="468"/>
        <v>0</v>
      </c>
      <c r="J670" s="21">
        <f t="shared" si="469"/>
        <v>0</v>
      </c>
      <c r="K670" s="21">
        <v>0</v>
      </c>
      <c r="L670" s="21">
        <f t="shared" si="470"/>
        <v>0</v>
      </c>
      <c r="M670" s="34" t="s">
        <v>1960</v>
      </c>
      <c r="O670">
        <f t="shared" si="471"/>
        <v>0</v>
      </c>
      <c r="Z670" s="39">
        <f t="shared" si="472"/>
        <v>0</v>
      </c>
      <c r="AB670" s="39">
        <f t="shared" si="473"/>
        <v>0</v>
      </c>
      <c r="AC670" s="39">
        <f t="shared" si="474"/>
        <v>0</v>
      </c>
      <c r="AD670" s="39">
        <f t="shared" si="475"/>
        <v>0</v>
      </c>
      <c r="AE670" s="39">
        <f t="shared" si="476"/>
        <v>0</v>
      </c>
      <c r="AF670" s="39">
        <f t="shared" si="477"/>
        <v>0</v>
      </c>
      <c r="AG670" s="39">
        <f t="shared" si="478"/>
        <v>0</v>
      </c>
      <c r="AH670" s="39">
        <f t="shared" si="479"/>
        <v>0</v>
      </c>
      <c r="AI670" s="30"/>
      <c r="AJ670" s="21">
        <f t="shared" si="480"/>
        <v>0</v>
      </c>
      <c r="AK670" s="21">
        <f t="shared" si="481"/>
        <v>0</v>
      </c>
      <c r="AL670" s="21">
        <f t="shared" si="482"/>
        <v>0</v>
      </c>
      <c r="AN670" s="39">
        <v>21</v>
      </c>
      <c r="AO670" s="39">
        <f t="shared" si="483"/>
        <v>0</v>
      </c>
      <c r="AP670" s="39">
        <f t="shared" si="484"/>
        <v>0</v>
      </c>
      <c r="AQ670" s="34" t="s">
        <v>11</v>
      </c>
      <c r="AV670" s="39">
        <f t="shared" si="485"/>
        <v>0</v>
      </c>
      <c r="AW670" s="39">
        <f t="shared" si="486"/>
        <v>0</v>
      </c>
      <c r="AX670" s="39">
        <f t="shared" si="487"/>
        <v>0</v>
      </c>
      <c r="AY670" s="40" t="s">
        <v>2018</v>
      </c>
      <c r="AZ670" s="40" t="s">
        <v>2041</v>
      </c>
      <c r="BA670" s="30" t="s">
        <v>2045</v>
      </c>
      <c r="BC670" s="39">
        <f t="shared" si="488"/>
        <v>0</v>
      </c>
      <c r="BD670" s="39">
        <f t="shared" si="489"/>
        <v>0</v>
      </c>
      <c r="BE670" s="39">
        <v>0</v>
      </c>
      <c r="BF670" s="39">
        <f t="shared" si="490"/>
        <v>0</v>
      </c>
      <c r="BH670" s="21">
        <f t="shared" si="491"/>
        <v>0</v>
      </c>
      <c r="BI670" s="21">
        <f t="shared" si="492"/>
        <v>0</v>
      </c>
      <c r="BJ670" s="21">
        <f t="shared" si="493"/>
        <v>0</v>
      </c>
    </row>
    <row r="671" spans="1:62">
      <c r="A671" s="5" t="s">
        <v>485</v>
      </c>
      <c r="B671" s="5"/>
      <c r="C671" s="5" t="s">
        <v>1090</v>
      </c>
      <c r="D671" s="5" t="s">
        <v>1795</v>
      </c>
      <c r="E671" s="5" t="s">
        <v>1943</v>
      </c>
      <c r="F671" s="21">
        <v>1</v>
      </c>
      <c r="G671" s="753">
        <v>0</v>
      </c>
      <c r="H671" s="21">
        <f t="shared" si="467"/>
        <v>0</v>
      </c>
      <c r="I671" s="21">
        <f t="shared" si="468"/>
        <v>0</v>
      </c>
      <c r="J671" s="21">
        <f t="shared" si="469"/>
        <v>0</v>
      </c>
      <c r="K671" s="21">
        <v>0</v>
      </c>
      <c r="L671" s="21">
        <f t="shared" si="470"/>
        <v>0</v>
      </c>
      <c r="M671" s="34" t="s">
        <v>1960</v>
      </c>
      <c r="O671">
        <f t="shared" si="471"/>
        <v>0</v>
      </c>
      <c r="Z671" s="39">
        <f t="shared" si="472"/>
        <v>0</v>
      </c>
      <c r="AB671" s="39">
        <f t="shared" si="473"/>
        <v>0</v>
      </c>
      <c r="AC671" s="39">
        <f t="shared" si="474"/>
        <v>0</v>
      </c>
      <c r="AD671" s="39">
        <f t="shared" si="475"/>
        <v>0</v>
      </c>
      <c r="AE671" s="39">
        <f t="shared" si="476"/>
        <v>0</v>
      </c>
      <c r="AF671" s="39">
        <f t="shared" si="477"/>
        <v>0</v>
      </c>
      <c r="AG671" s="39">
        <f t="shared" si="478"/>
        <v>0</v>
      </c>
      <c r="AH671" s="39">
        <f t="shared" si="479"/>
        <v>0</v>
      </c>
      <c r="AI671" s="30"/>
      <c r="AJ671" s="21">
        <f t="shared" si="480"/>
        <v>0</v>
      </c>
      <c r="AK671" s="21">
        <f t="shared" si="481"/>
        <v>0</v>
      </c>
      <c r="AL671" s="21">
        <f t="shared" si="482"/>
        <v>0</v>
      </c>
      <c r="AN671" s="39">
        <v>21</v>
      </c>
      <c r="AO671" s="39">
        <f t="shared" si="483"/>
        <v>0</v>
      </c>
      <c r="AP671" s="39">
        <f t="shared" si="484"/>
        <v>0</v>
      </c>
      <c r="AQ671" s="34" t="s">
        <v>11</v>
      </c>
      <c r="AV671" s="39">
        <f t="shared" si="485"/>
        <v>0</v>
      </c>
      <c r="AW671" s="39">
        <f t="shared" si="486"/>
        <v>0</v>
      </c>
      <c r="AX671" s="39">
        <f t="shared" si="487"/>
        <v>0</v>
      </c>
      <c r="AY671" s="40" t="s">
        <v>2018</v>
      </c>
      <c r="AZ671" s="40" t="s">
        <v>2041</v>
      </c>
      <c r="BA671" s="30" t="s">
        <v>2045</v>
      </c>
      <c r="BC671" s="39">
        <f t="shared" si="488"/>
        <v>0</v>
      </c>
      <c r="BD671" s="39">
        <f t="shared" si="489"/>
        <v>0</v>
      </c>
      <c r="BE671" s="39">
        <v>0</v>
      </c>
      <c r="BF671" s="39">
        <f t="shared" si="490"/>
        <v>0</v>
      </c>
      <c r="BH671" s="21">
        <f t="shared" si="491"/>
        <v>0</v>
      </c>
      <c r="BI671" s="21">
        <f t="shared" si="492"/>
        <v>0</v>
      </c>
      <c r="BJ671" s="21">
        <f t="shared" si="493"/>
        <v>0</v>
      </c>
    </row>
    <row r="672" spans="1:62">
      <c r="A672" s="5" t="s">
        <v>486</v>
      </c>
      <c r="B672" s="5"/>
      <c r="C672" s="5" t="s">
        <v>1091</v>
      </c>
      <c r="D672" s="5" t="s">
        <v>1796</v>
      </c>
      <c r="E672" s="5" t="s">
        <v>1943</v>
      </c>
      <c r="F672" s="21">
        <v>1</v>
      </c>
      <c r="G672" s="753">
        <v>0</v>
      </c>
      <c r="H672" s="21">
        <f t="shared" si="467"/>
        <v>0</v>
      </c>
      <c r="I672" s="21">
        <f t="shared" si="468"/>
        <v>0</v>
      </c>
      <c r="J672" s="21">
        <f t="shared" si="469"/>
        <v>0</v>
      </c>
      <c r="K672" s="21">
        <v>0</v>
      </c>
      <c r="L672" s="21">
        <f t="shared" si="470"/>
        <v>0</v>
      </c>
      <c r="M672" s="34" t="s">
        <v>1960</v>
      </c>
      <c r="O672">
        <f t="shared" si="471"/>
        <v>0</v>
      </c>
      <c r="Z672" s="39">
        <f t="shared" si="472"/>
        <v>0</v>
      </c>
      <c r="AB672" s="39">
        <f t="shared" si="473"/>
        <v>0</v>
      </c>
      <c r="AC672" s="39">
        <f t="shared" si="474"/>
        <v>0</v>
      </c>
      <c r="AD672" s="39">
        <f t="shared" si="475"/>
        <v>0</v>
      </c>
      <c r="AE672" s="39">
        <f t="shared" si="476"/>
        <v>0</v>
      </c>
      <c r="AF672" s="39">
        <f t="shared" si="477"/>
        <v>0</v>
      </c>
      <c r="AG672" s="39">
        <f t="shared" si="478"/>
        <v>0</v>
      </c>
      <c r="AH672" s="39">
        <f t="shared" si="479"/>
        <v>0</v>
      </c>
      <c r="AI672" s="30"/>
      <c r="AJ672" s="21">
        <f t="shared" si="480"/>
        <v>0</v>
      </c>
      <c r="AK672" s="21">
        <f t="shared" si="481"/>
        <v>0</v>
      </c>
      <c r="AL672" s="21">
        <f t="shared" si="482"/>
        <v>0</v>
      </c>
      <c r="AN672" s="39">
        <v>21</v>
      </c>
      <c r="AO672" s="39">
        <f t="shared" si="483"/>
        <v>0</v>
      </c>
      <c r="AP672" s="39">
        <f t="shared" si="484"/>
        <v>0</v>
      </c>
      <c r="AQ672" s="34" t="s">
        <v>11</v>
      </c>
      <c r="AV672" s="39">
        <f t="shared" si="485"/>
        <v>0</v>
      </c>
      <c r="AW672" s="39">
        <f t="shared" si="486"/>
        <v>0</v>
      </c>
      <c r="AX672" s="39">
        <f t="shared" si="487"/>
        <v>0</v>
      </c>
      <c r="AY672" s="40" t="s">
        <v>2018</v>
      </c>
      <c r="AZ672" s="40" t="s">
        <v>2041</v>
      </c>
      <c r="BA672" s="30" t="s">
        <v>2045</v>
      </c>
      <c r="BC672" s="39">
        <f t="shared" si="488"/>
        <v>0</v>
      </c>
      <c r="BD672" s="39">
        <f t="shared" si="489"/>
        <v>0</v>
      </c>
      <c r="BE672" s="39">
        <v>0</v>
      </c>
      <c r="BF672" s="39">
        <f t="shared" si="490"/>
        <v>0</v>
      </c>
      <c r="BH672" s="21">
        <f t="shared" si="491"/>
        <v>0</v>
      </c>
      <c r="BI672" s="21">
        <f t="shared" si="492"/>
        <v>0</v>
      </c>
      <c r="BJ672" s="21">
        <f t="shared" si="493"/>
        <v>0</v>
      </c>
    </row>
    <row r="673" spans="1:62">
      <c r="A673" s="5" t="s">
        <v>487</v>
      </c>
      <c r="B673" s="5"/>
      <c r="C673" s="5" t="s">
        <v>1092</v>
      </c>
      <c r="D673" s="5" t="s">
        <v>1797</v>
      </c>
      <c r="E673" s="5" t="s">
        <v>1943</v>
      </c>
      <c r="F673" s="21">
        <v>1</v>
      </c>
      <c r="G673" s="753">
        <v>0</v>
      </c>
      <c r="H673" s="21">
        <f t="shared" si="467"/>
        <v>0</v>
      </c>
      <c r="I673" s="21">
        <f t="shared" si="468"/>
        <v>0</v>
      </c>
      <c r="J673" s="21">
        <f t="shared" si="469"/>
        <v>0</v>
      </c>
      <c r="K673" s="21">
        <v>0</v>
      </c>
      <c r="L673" s="21">
        <f t="shared" si="470"/>
        <v>0</v>
      </c>
      <c r="M673" s="34" t="s">
        <v>1960</v>
      </c>
      <c r="O673">
        <f t="shared" si="471"/>
        <v>0</v>
      </c>
      <c r="Z673" s="39">
        <f t="shared" si="472"/>
        <v>0</v>
      </c>
      <c r="AB673" s="39">
        <f t="shared" si="473"/>
        <v>0</v>
      </c>
      <c r="AC673" s="39">
        <f t="shared" si="474"/>
        <v>0</v>
      </c>
      <c r="AD673" s="39">
        <f t="shared" si="475"/>
        <v>0</v>
      </c>
      <c r="AE673" s="39">
        <f t="shared" si="476"/>
        <v>0</v>
      </c>
      <c r="AF673" s="39">
        <f t="shared" si="477"/>
        <v>0</v>
      </c>
      <c r="AG673" s="39">
        <f t="shared" si="478"/>
        <v>0</v>
      </c>
      <c r="AH673" s="39">
        <f t="shared" si="479"/>
        <v>0</v>
      </c>
      <c r="AI673" s="30"/>
      <c r="AJ673" s="21">
        <f t="shared" si="480"/>
        <v>0</v>
      </c>
      <c r="AK673" s="21">
        <f t="shared" si="481"/>
        <v>0</v>
      </c>
      <c r="AL673" s="21">
        <f t="shared" si="482"/>
        <v>0</v>
      </c>
      <c r="AN673" s="39">
        <v>21</v>
      </c>
      <c r="AO673" s="39">
        <f t="shared" si="483"/>
        <v>0</v>
      </c>
      <c r="AP673" s="39">
        <f t="shared" si="484"/>
        <v>0</v>
      </c>
      <c r="AQ673" s="34" t="s">
        <v>11</v>
      </c>
      <c r="AV673" s="39">
        <f t="shared" si="485"/>
        <v>0</v>
      </c>
      <c r="AW673" s="39">
        <f t="shared" si="486"/>
        <v>0</v>
      </c>
      <c r="AX673" s="39">
        <f t="shared" si="487"/>
        <v>0</v>
      </c>
      <c r="AY673" s="40" t="s">
        <v>2018</v>
      </c>
      <c r="AZ673" s="40" t="s">
        <v>2041</v>
      </c>
      <c r="BA673" s="30" t="s">
        <v>2045</v>
      </c>
      <c r="BC673" s="39">
        <f t="shared" si="488"/>
        <v>0</v>
      </c>
      <c r="BD673" s="39">
        <f t="shared" si="489"/>
        <v>0</v>
      </c>
      <c r="BE673" s="39">
        <v>0</v>
      </c>
      <c r="BF673" s="39">
        <f t="shared" si="490"/>
        <v>0</v>
      </c>
      <c r="BH673" s="21">
        <f t="shared" si="491"/>
        <v>0</v>
      </c>
      <c r="BI673" s="21">
        <f t="shared" si="492"/>
        <v>0</v>
      </c>
      <c r="BJ673" s="21">
        <f t="shared" si="493"/>
        <v>0</v>
      </c>
    </row>
    <row r="674" spans="1:62">
      <c r="A674" s="5" t="s">
        <v>488</v>
      </c>
      <c r="B674" s="5"/>
      <c r="C674" s="5" t="s">
        <v>1093</v>
      </c>
      <c r="D674" s="5" t="s">
        <v>1798</v>
      </c>
      <c r="E674" s="5" t="s">
        <v>1943</v>
      </c>
      <c r="F674" s="21">
        <v>1</v>
      </c>
      <c r="G674" s="753">
        <v>0</v>
      </c>
      <c r="H674" s="21">
        <f t="shared" si="467"/>
        <v>0</v>
      </c>
      <c r="I674" s="21">
        <f t="shared" si="468"/>
        <v>0</v>
      </c>
      <c r="J674" s="21">
        <f t="shared" si="469"/>
        <v>0</v>
      </c>
      <c r="K674" s="21">
        <v>0</v>
      </c>
      <c r="L674" s="21">
        <f t="shared" si="470"/>
        <v>0</v>
      </c>
      <c r="M674" s="34" t="s">
        <v>1960</v>
      </c>
      <c r="O674">
        <f t="shared" si="471"/>
        <v>0</v>
      </c>
      <c r="Z674" s="39">
        <f t="shared" si="472"/>
        <v>0</v>
      </c>
      <c r="AB674" s="39">
        <f t="shared" si="473"/>
        <v>0</v>
      </c>
      <c r="AC674" s="39">
        <f t="shared" si="474"/>
        <v>0</v>
      </c>
      <c r="AD674" s="39">
        <f t="shared" si="475"/>
        <v>0</v>
      </c>
      <c r="AE674" s="39">
        <f t="shared" si="476"/>
        <v>0</v>
      </c>
      <c r="AF674" s="39">
        <f t="shared" si="477"/>
        <v>0</v>
      </c>
      <c r="AG674" s="39">
        <f t="shared" si="478"/>
        <v>0</v>
      </c>
      <c r="AH674" s="39">
        <f t="shared" si="479"/>
        <v>0</v>
      </c>
      <c r="AI674" s="30"/>
      <c r="AJ674" s="21">
        <f t="shared" si="480"/>
        <v>0</v>
      </c>
      <c r="AK674" s="21">
        <f t="shared" si="481"/>
        <v>0</v>
      </c>
      <c r="AL674" s="21">
        <f t="shared" si="482"/>
        <v>0</v>
      </c>
      <c r="AN674" s="39">
        <v>21</v>
      </c>
      <c r="AO674" s="39">
        <f t="shared" si="483"/>
        <v>0</v>
      </c>
      <c r="AP674" s="39">
        <f t="shared" si="484"/>
        <v>0</v>
      </c>
      <c r="AQ674" s="34" t="s">
        <v>11</v>
      </c>
      <c r="AV674" s="39">
        <f t="shared" si="485"/>
        <v>0</v>
      </c>
      <c r="AW674" s="39">
        <f t="shared" si="486"/>
        <v>0</v>
      </c>
      <c r="AX674" s="39">
        <f t="shared" si="487"/>
        <v>0</v>
      </c>
      <c r="AY674" s="40" t="s">
        <v>2018</v>
      </c>
      <c r="AZ674" s="40" t="s">
        <v>2041</v>
      </c>
      <c r="BA674" s="30" t="s">
        <v>2045</v>
      </c>
      <c r="BC674" s="39">
        <f t="shared" si="488"/>
        <v>0</v>
      </c>
      <c r="BD674" s="39">
        <f t="shared" si="489"/>
        <v>0</v>
      </c>
      <c r="BE674" s="39">
        <v>0</v>
      </c>
      <c r="BF674" s="39">
        <f t="shared" si="490"/>
        <v>0</v>
      </c>
      <c r="BH674" s="21">
        <f t="shared" si="491"/>
        <v>0</v>
      </c>
      <c r="BI674" s="21">
        <f t="shared" si="492"/>
        <v>0</v>
      </c>
      <c r="BJ674" s="21">
        <f t="shared" si="493"/>
        <v>0</v>
      </c>
    </row>
    <row r="675" spans="1:62">
      <c r="A675" s="5" t="s">
        <v>489</v>
      </c>
      <c r="B675" s="5"/>
      <c r="C675" s="5" t="s">
        <v>1094</v>
      </c>
      <c r="D675" s="5" t="s">
        <v>1799</v>
      </c>
      <c r="E675" s="5" t="s">
        <v>1943</v>
      </c>
      <c r="F675" s="21">
        <v>1</v>
      </c>
      <c r="G675" s="753">
        <v>0</v>
      </c>
      <c r="H675" s="21">
        <f t="shared" si="467"/>
        <v>0</v>
      </c>
      <c r="I675" s="21">
        <f t="shared" si="468"/>
        <v>0</v>
      </c>
      <c r="J675" s="21">
        <f t="shared" si="469"/>
        <v>0</v>
      </c>
      <c r="K675" s="21">
        <v>0</v>
      </c>
      <c r="L675" s="21">
        <f t="shared" si="470"/>
        <v>0</v>
      </c>
      <c r="M675" s="34" t="s">
        <v>1960</v>
      </c>
      <c r="O675">
        <f t="shared" si="471"/>
        <v>0</v>
      </c>
      <c r="Z675" s="39">
        <f t="shared" si="472"/>
        <v>0</v>
      </c>
      <c r="AB675" s="39">
        <f t="shared" si="473"/>
        <v>0</v>
      </c>
      <c r="AC675" s="39">
        <f t="shared" si="474"/>
        <v>0</v>
      </c>
      <c r="AD675" s="39">
        <f t="shared" si="475"/>
        <v>0</v>
      </c>
      <c r="AE675" s="39">
        <f t="shared" si="476"/>
        <v>0</v>
      </c>
      <c r="AF675" s="39">
        <f t="shared" si="477"/>
        <v>0</v>
      </c>
      <c r="AG675" s="39">
        <f t="shared" si="478"/>
        <v>0</v>
      </c>
      <c r="AH675" s="39">
        <f t="shared" si="479"/>
        <v>0</v>
      </c>
      <c r="AI675" s="30"/>
      <c r="AJ675" s="21">
        <f t="shared" si="480"/>
        <v>0</v>
      </c>
      <c r="AK675" s="21">
        <f t="shared" si="481"/>
        <v>0</v>
      </c>
      <c r="AL675" s="21">
        <f t="shared" si="482"/>
        <v>0</v>
      </c>
      <c r="AN675" s="39">
        <v>21</v>
      </c>
      <c r="AO675" s="39">
        <f t="shared" si="483"/>
        <v>0</v>
      </c>
      <c r="AP675" s="39">
        <f t="shared" si="484"/>
        <v>0</v>
      </c>
      <c r="AQ675" s="34" t="s">
        <v>11</v>
      </c>
      <c r="AV675" s="39">
        <f t="shared" si="485"/>
        <v>0</v>
      </c>
      <c r="AW675" s="39">
        <f t="shared" si="486"/>
        <v>0</v>
      </c>
      <c r="AX675" s="39">
        <f t="shared" si="487"/>
        <v>0</v>
      </c>
      <c r="AY675" s="40" t="s">
        <v>2018</v>
      </c>
      <c r="AZ675" s="40" t="s">
        <v>2041</v>
      </c>
      <c r="BA675" s="30" t="s">
        <v>2045</v>
      </c>
      <c r="BC675" s="39">
        <f t="shared" si="488"/>
        <v>0</v>
      </c>
      <c r="BD675" s="39">
        <f t="shared" si="489"/>
        <v>0</v>
      </c>
      <c r="BE675" s="39">
        <v>0</v>
      </c>
      <c r="BF675" s="39">
        <f t="shared" si="490"/>
        <v>0</v>
      </c>
      <c r="BH675" s="21">
        <f t="shared" si="491"/>
        <v>0</v>
      </c>
      <c r="BI675" s="21">
        <f t="shared" si="492"/>
        <v>0</v>
      </c>
      <c r="BJ675" s="21">
        <f t="shared" si="493"/>
        <v>0</v>
      </c>
    </row>
    <row r="676" spans="1:62">
      <c r="A676" s="5" t="s">
        <v>490</v>
      </c>
      <c r="B676" s="5"/>
      <c r="C676" s="5" t="s">
        <v>1095</v>
      </c>
      <c r="D676" s="5" t="s">
        <v>1800</v>
      </c>
      <c r="E676" s="5" t="s">
        <v>1943</v>
      </c>
      <c r="F676" s="21">
        <v>1</v>
      </c>
      <c r="G676" s="753">
        <v>0</v>
      </c>
      <c r="H676" s="21">
        <f t="shared" si="467"/>
        <v>0</v>
      </c>
      <c r="I676" s="21">
        <f t="shared" si="468"/>
        <v>0</v>
      </c>
      <c r="J676" s="21">
        <f t="shared" si="469"/>
        <v>0</v>
      </c>
      <c r="K676" s="21">
        <v>0</v>
      </c>
      <c r="L676" s="21">
        <f t="shared" si="470"/>
        <v>0</v>
      </c>
      <c r="M676" s="34" t="s">
        <v>1960</v>
      </c>
      <c r="O676">
        <f t="shared" si="471"/>
        <v>0</v>
      </c>
      <c r="Z676" s="39">
        <f t="shared" si="472"/>
        <v>0</v>
      </c>
      <c r="AB676" s="39">
        <f t="shared" si="473"/>
        <v>0</v>
      </c>
      <c r="AC676" s="39">
        <f t="shared" si="474"/>
        <v>0</v>
      </c>
      <c r="AD676" s="39">
        <f t="shared" si="475"/>
        <v>0</v>
      </c>
      <c r="AE676" s="39">
        <f t="shared" si="476"/>
        <v>0</v>
      </c>
      <c r="AF676" s="39">
        <f t="shared" si="477"/>
        <v>0</v>
      </c>
      <c r="AG676" s="39">
        <f t="shared" si="478"/>
        <v>0</v>
      </c>
      <c r="AH676" s="39">
        <f t="shared" si="479"/>
        <v>0</v>
      </c>
      <c r="AI676" s="30"/>
      <c r="AJ676" s="21">
        <f t="shared" si="480"/>
        <v>0</v>
      </c>
      <c r="AK676" s="21">
        <f t="shared" si="481"/>
        <v>0</v>
      </c>
      <c r="AL676" s="21">
        <f t="shared" si="482"/>
        <v>0</v>
      </c>
      <c r="AN676" s="39">
        <v>21</v>
      </c>
      <c r="AO676" s="39">
        <f t="shared" si="483"/>
        <v>0</v>
      </c>
      <c r="AP676" s="39">
        <f t="shared" si="484"/>
        <v>0</v>
      </c>
      <c r="AQ676" s="34" t="s">
        <v>11</v>
      </c>
      <c r="AV676" s="39">
        <f t="shared" si="485"/>
        <v>0</v>
      </c>
      <c r="AW676" s="39">
        <f t="shared" si="486"/>
        <v>0</v>
      </c>
      <c r="AX676" s="39">
        <f t="shared" si="487"/>
        <v>0</v>
      </c>
      <c r="AY676" s="40" t="s">
        <v>2018</v>
      </c>
      <c r="AZ676" s="40" t="s">
        <v>2041</v>
      </c>
      <c r="BA676" s="30" t="s">
        <v>2045</v>
      </c>
      <c r="BC676" s="39">
        <f t="shared" si="488"/>
        <v>0</v>
      </c>
      <c r="BD676" s="39">
        <f t="shared" si="489"/>
        <v>0</v>
      </c>
      <c r="BE676" s="39">
        <v>0</v>
      </c>
      <c r="BF676" s="39">
        <f t="shared" si="490"/>
        <v>0</v>
      </c>
      <c r="BH676" s="21">
        <f t="shared" si="491"/>
        <v>0</v>
      </c>
      <c r="BI676" s="21">
        <f t="shared" si="492"/>
        <v>0</v>
      </c>
      <c r="BJ676" s="21">
        <f t="shared" si="493"/>
        <v>0</v>
      </c>
    </row>
    <row r="677" spans="1:62">
      <c r="A677" s="5" t="s">
        <v>491</v>
      </c>
      <c r="B677" s="5"/>
      <c r="C677" s="5" t="s">
        <v>1096</v>
      </c>
      <c r="D677" s="5" t="s">
        <v>1801</v>
      </c>
      <c r="E677" s="5" t="s">
        <v>1943</v>
      </c>
      <c r="F677" s="21">
        <v>1</v>
      </c>
      <c r="G677" s="753">
        <v>0</v>
      </c>
      <c r="H677" s="21">
        <f t="shared" si="467"/>
        <v>0</v>
      </c>
      <c r="I677" s="21">
        <f t="shared" si="468"/>
        <v>0</v>
      </c>
      <c r="J677" s="21">
        <f t="shared" si="469"/>
        <v>0</v>
      </c>
      <c r="K677" s="21">
        <v>0</v>
      </c>
      <c r="L677" s="21">
        <f t="shared" si="470"/>
        <v>0</v>
      </c>
      <c r="M677" s="34" t="s">
        <v>1960</v>
      </c>
      <c r="O677">
        <f t="shared" si="471"/>
        <v>0</v>
      </c>
      <c r="Z677" s="39">
        <f t="shared" si="472"/>
        <v>0</v>
      </c>
      <c r="AB677" s="39">
        <f t="shared" si="473"/>
        <v>0</v>
      </c>
      <c r="AC677" s="39">
        <f t="shared" si="474"/>
        <v>0</v>
      </c>
      <c r="AD677" s="39">
        <f t="shared" si="475"/>
        <v>0</v>
      </c>
      <c r="AE677" s="39">
        <f t="shared" si="476"/>
        <v>0</v>
      </c>
      <c r="AF677" s="39">
        <f t="shared" si="477"/>
        <v>0</v>
      </c>
      <c r="AG677" s="39">
        <f t="shared" si="478"/>
        <v>0</v>
      </c>
      <c r="AH677" s="39">
        <f t="shared" si="479"/>
        <v>0</v>
      </c>
      <c r="AI677" s="30"/>
      <c r="AJ677" s="21">
        <f t="shared" si="480"/>
        <v>0</v>
      </c>
      <c r="AK677" s="21">
        <f t="shared" si="481"/>
        <v>0</v>
      </c>
      <c r="AL677" s="21">
        <f t="shared" si="482"/>
        <v>0</v>
      </c>
      <c r="AN677" s="39">
        <v>21</v>
      </c>
      <c r="AO677" s="39">
        <f t="shared" si="483"/>
        <v>0</v>
      </c>
      <c r="AP677" s="39">
        <f t="shared" si="484"/>
        <v>0</v>
      </c>
      <c r="AQ677" s="34" t="s">
        <v>11</v>
      </c>
      <c r="AV677" s="39">
        <f t="shared" si="485"/>
        <v>0</v>
      </c>
      <c r="AW677" s="39">
        <f t="shared" si="486"/>
        <v>0</v>
      </c>
      <c r="AX677" s="39">
        <f t="shared" si="487"/>
        <v>0</v>
      </c>
      <c r="AY677" s="40" t="s">
        <v>2018</v>
      </c>
      <c r="AZ677" s="40" t="s">
        <v>2041</v>
      </c>
      <c r="BA677" s="30" t="s">
        <v>2045</v>
      </c>
      <c r="BC677" s="39">
        <f t="shared" si="488"/>
        <v>0</v>
      </c>
      <c r="BD677" s="39">
        <f t="shared" si="489"/>
        <v>0</v>
      </c>
      <c r="BE677" s="39">
        <v>0</v>
      </c>
      <c r="BF677" s="39">
        <f t="shared" si="490"/>
        <v>0</v>
      </c>
      <c r="BH677" s="21">
        <f t="shared" si="491"/>
        <v>0</v>
      </c>
      <c r="BI677" s="21">
        <f t="shared" si="492"/>
        <v>0</v>
      </c>
      <c r="BJ677" s="21">
        <f t="shared" si="493"/>
        <v>0</v>
      </c>
    </row>
    <row r="678" spans="1:62">
      <c r="A678" s="5" t="s">
        <v>492</v>
      </c>
      <c r="B678" s="5"/>
      <c r="C678" s="5" t="s">
        <v>1097</v>
      </c>
      <c r="D678" s="5" t="s">
        <v>1802</v>
      </c>
      <c r="E678" s="5" t="s">
        <v>1943</v>
      </c>
      <c r="F678" s="21">
        <v>1</v>
      </c>
      <c r="G678" s="753">
        <v>0</v>
      </c>
      <c r="H678" s="21">
        <f t="shared" si="467"/>
        <v>0</v>
      </c>
      <c r="I678" s="21">
        <f t="shared" si="468"/>
        <v>0</v>
      </c>
      <c r="J678" s="21">
        <f t="shared" si="469"/>
        <v>0</v>
      </c>
      <c r="K678" s="21">
        <v>0</v>
      </c>
      <c r="L678" s="21">
        <f t="shared" si="470"/>
        <v>0</v>
      </c>
      <c r="M678" s="34" t="s">
        <v>1960</v>
      </c>
      <c r="O678">
        <f t="shared" si="471"/>
        <v>0</v>
      </c>
      <c r="Z678" s="39">
        <f t="shared" si="472"/>
        <v>0</v>
      </c>
      <c r="AB678" s="39">
        <f t="shared" si="473"/>
        <v>0</v>
      </c>
      <c r="AC678" s="39">
        <f t="shared" si="474"/>
        <v>0</v>
      </c>
      <c r="AD678" s="39">
        <f t="shared" si="475"/>
        <v>0</v>
      </c>
      <c r="AE678" s="39">
        <f t="shared" si="476"/>
        <v>0</v>
      </c>
      <c r="AF678" s="39">
        <f t="shared" si="477"/>
        <v>0</v>
      </c>
      <c r="AG678" s="39">
        <f t="shared" si="478"/>
        <v>0</v>
      </c>
      <c r="AH678" s="39">
        <f t="shared" si="479"/>
        <v>0</v>
      </c>
      <c r="AI678" s="30"/>
      <c r="AJ678" s="21">
        <f t="shared" si="480"/>
        <v>0</v>
      </c>
      <c r="AK678" s="21">
        <f t="shared" si="481"/>
        <v>0</v>
      </c>
      <c r="AL678" s="21">
        <f t="shared" si="482"/>
        <v>0</v>
      </c>
      <c r="AN678" s="39">
        <v>21</v>
      </c>
      <c r="AO678" s="39">
        <f t="shared" si="483"/>
        <v>0</v>
      </c>
      <c r="AP678" s="39">
        <f t="shared" si="484"/>
        <v>0</v>
      </c>
      <c r="AQ678" s="34" t="s">
        <v>11</v>
      </c>
      <c r="AV678" s="39">
        <f t="shared" si="485"/>
        <v>0</v>
      </c>
      <c r="AW678" s="39">
        <f t="shared" si="486"/>
        <v>0</v>
      </c>
      <c r="AX678" s="39">
        <f t="shared" si="487"/>
        <v>0</v>
      </c>
      <c r="AY678" s="40" t="s">
        <v>2018</v>
      </c>
      <c r="AZ678" s="40" t="s">
        <v>2041</v>
      </c>
      <c r="BA678" s="30" t="s">
        <v>2045</v>
      </c>
      <c r="BC678" s="39">
        <f t="shared" si="488"/>
        <v>0</v>
      </c>
      <c r="BD678" s="39">
        <f t="shared" si="489"/>
        <v>0</v>
      </c>
      <c r="BE678" s="39">
        <v>0</v>
      </c>
      <c r="BF678" s="39">
        <f t="shared" si="490"/>
        <v>0</v>
      </c>
      <c r="BH678" s="21">
        <f t="shared" si="491"/>
        <v>0</v>
      </c>
      <c r="BI678" s="21">
        <f t="shared" si="492"/>
        <v>0</v>
      </c>
      <c r="BJ678" s="21">
        <f t="shared" si="493"/>
        <v>0</v>
      </c>
    </row>
    <row r="679" spans="1:62">
      <c r="A679" s="5" t="s">
        <v>493</v>
      </c>
      <c r="B679" s="5"/>
      <c r="C679" s="5" t="s">
        <v>1098</v>
      </c>
      <c r="D679" s="5" t="s">
        <v>1803</v>
      </c>
      <c r="E679" s="5" t="s">
        <v>1943</v>
      </c>
      <c r="F679" s="21">
        <v>2</v>
      </c>
      <c r="G679" s="753">
        <v>0</v>
      </c>
      <c r="H679" s="21">
        <f t="shared" si="467"/>
        <v>0</v>
      </c>
      <c r="I679" s="21">
        <f t="shared" si="468"/>
        <v>0</v>
      </c>
      <c r="J679" s="21">
        <f t="shared" si="469"/>
        <v>0</v>
      </c>
      <c r="K679" s="21">
        <v>0</v>
      </c>
      <c r="L679" s="21">
        <f t="shared" si="470"/>
        <v>0</v>
      </c>
      <c r="M679" s="34" t="s">
        <v>1960</v>
      </c>
      <c r="O679">
        <f t="shared" si="471"/>
        <v>0</v>
      </c>
      <c r="Z679" s="39">
        <f t="shared" si="472"/>
        <v>0</v>
      </c>
      <c r="AB679" s="39">
        <f t="shared" si="473"/>
        <v>0</v>
      </c>
      <c r="AC679" s="39">
        <f t="shared" si="474"/>
        <v>0</v>
      </c>
      <c r="AD679" s="39">
        <f t="shared" si="475"/>
        <v>0</v>
      </c>
      <c r="AE679" s="39">
        <f t="shared" si="476"/>
        <v>0</v>
      </c>
      <c r="AF679" s="39">
        <f t="shared" si="477"/>
        <v>0</v>
      </c>
      <c r="AG679" s="39">
        <f t="shared" si="478"/>
        <v>0</v>
      </c>
      <c r="AH679" s="39">
        <f t="shared" si="479"/>
        <v>0</v>
      </c>
      <c r="AI679" s="30"/>
      <c r="AJ679" s="21">
        <f t="shared" si="480"/>
        <v>0</v>
      </c>
      <c r="AK679" s="21">
        <f t="shared" si="481"/>
        <v>0</v>
      </c>
      <c r="AL679" s="21">
        <f t="shared" si="482"/>
        <v>0</v>
      </c>
      <c r="AN679" s="39">
        <v>21</v>
      </c>
      <c r="AO679" s="39">
        <f t="shared" si="483"/>
        <v>0</v>
      </c>
      <c r="AP679" s="39">
        <f t="shared" si="484"/>
        <v>0</v>
      </c>
      <c r="AQ679" s="34" t="s">
        <v>11</v>
      </c>
      <c r="AV679" s="39">
        <f t="shared" si="485"/>
        <v>0</v>
      </c>
      <c r="AW679" s="39">
        <f t="shared" si="486"/>
        <v>0</v>
      </c>
      <c r="AX679" s="39">
        <f t="shared" si="487"/>
        <v>0</v>
      </c>
      <c r="AY679" s="40" t="s">
        <v>2018</v>
      </c>
      <c r="AZ679" s="40" t="s">
        <v>2041</v>
      </c>
      <c r="BA679" s="30" t="s">
        <v>2045</v>
      </c>
      <c r="BC679" s="39">
        <f t="shared" si="488"/>
        <v>0</v>
      </c>
      <c r="BD679" s="39">
        <f t="shared" si="489"/>
        <v>0</v>
      </c>
      <c r="BE679" s="39">
        <v>0</v>
      </c>
      <c r="BF679" s="39">
        <f t="shared" si="490"/>
        <v>0</v>
      </c>
      <c r="BH679" s="21">
        <f t="shared" si="491"/>
        <v>0</v>
      </c>
      <c r="BI679" s="21">
        <f t="shared" si="492"/>
        <v>0</v>
      </c>
      <c r="BJ679" s="21">
        <f t="shared" si="493"/>
        <v>0</v>
      </c>
    </row>
    <row r="680" spans="1:62">
      <c r="A680" s="5" t="s">
        <v>494</v>
      </c>
      <c r="B680" s="5"/>
      <c r="C680" s="5" t="s">
        <v>1099</v>
      </c>
      <c r="D680" s="5" t="s">
        <v>1804</v>
      </c>
      <c r="E680" s="5" t="s">
        <v>1943</v>
      </c>
      <c r="F680" s="21">
        <v>2</v>
      </c>
      <c r="G680" s="753">
        <v>0</v>
      </c>
      <c r="H680" s="21">
        <f t="shared" si="467"/>
        <v>0</v>
      </c>
      <c r="I680" s="21">
        <f t="shared" si="468"/>
        <v>0</v>
      </c>
      <c r="J680" s="21">
        <f t="shared" si="469"/>
        <v>0</v>
      </c>
      <c r="K680" s="21">
        <v>0</v>
      </c>
      <c r="L680" s="21">
        <f t="shared" si="470"/>
        <v>0</v>
      </c>
      <c r="M680" s="34" t="s">
        <v>1960</v>
      </c>
      <c r="O680">
        <f t="shared" si="471"/>
        <v>0</v>
      </c>
      <c r="Z680" s="39">
        <f t="shared" si="472"/>
        <v>0</v>
      </c>
      <c r="AB680" s="39">
        <f t="shared" si="473"/>
        <v>0</v>
      </c>
      <c r="AC680" s="39">
        <f t="shared" si="474"/>
        <v>0</v>
      </c>
      <c r="AD680" s="39">
        <f t="shared" si="475"/>
        <v>0</v>
      </c>
      <c r="AE680" s="39">
        <f t="shared" si="476"/>
        <v>0</v>
      </c>
      <c r="AF680" s="39">
        <f t="shared" si="477"/>
        <v>0</v>
      </c>
      <c r="AG680" s="39">
        <f t="shared" si="478"/>
        <v>0</v>
      </c>
      <c r="AH680" s="39">
        <f t="shared" si="479"/>
        <v>0</v>
      </c>
      <c r="AI680" s="30"/>
      <c r="AJ680" s="21">
        <f t="shared" si="480"/>
        <v>0</v>
      </c>
      <c r="AK680" s="21">
        <f t="shared" si="481"/>
        <v>0</v>
      </c>
      <c r="AL680" s="21">
        <f t="shared" si="482"/>
        <v>0</v>
      </c>
      <c r="AN680" s="39">
        <v>21</v>
      </c>
      <c r="AO680" s="39">
        <f t="shared" si="483"/>
        <v>0</v>
      </c>
      <c r="AP680" s="39">
        <f t="shared" si="484"/>
        <v>0</v>
      </c>
      <c r="AQ680" s="34" t="s">
        <v>11</v>
      </c>
      <c r="AV680" s="39">
        <f t="shared" si="485"/>
        <v>0</v>
      </c>
      <c r="AW680" s="39">
        <f t="shared" si="486"/>
        <v>0</v>
      </c>
      <c r="AX680" s="39">
        <f t="shared" si="487"/>
        <v>0</v>
      </c>
      <c r="AY680" s="40" t="s">
        <v>2018</v>
      </c>
      <c r="AZ680" s="40" t="s">
        <v>2041</v>
      </c>
      <c r="BA680" s="30" t="s">
        <v>2045</v>
      </c>
      <c r="BC680" s="39">
        <f t="shared" si="488"/>
        <v>0</v>
      </c>
      <c r="BD680" s="39">
        <f t="shared" si="489"/>
        <v>0</v>
      </c>
      <c r="BE680" s="39">
        <v>0</v>
      </c>
      <c r="BF680" s="39">
        <f t="shared" si="490"/>
        <v>0</v>
      </c>
      <c r="BH680" s="21">
        <f t="shared" si="491"/>
        <v>0</v>
      </c>
      <c r="BI680" s="21">
        <f t="shared" si="492"/>
        <v>0</v>
      </c>
      <c r="BJ680" s="21">
        <f t="shared" si="493"/>
        <v>0</v>
      </c>
    </row>
    <row r="681" spans="1:62">
      <c r="A681" s="5" t="s">
        <v>495</v>
      </c>
      <c r="B681" s="5"/>
      <c r="C681" s="5" t="s">
        <v>1100</v>
      </c>
      <c r="D681" s="5" t="s">
        <v>1805</v>
      </c>
      <c r="E681" s="5" t="s">
        <v>1943</v>
      </c>
      <c r="F681" s="21">
        <v>2</v>
      </c>
      <c r="G681" s="753">
        <v>0</v>
      </c>
      <c r="H681" s="21">
        <f t="shared" si="467"/>
        <v>0</v>
      </c>
      <c r="I681" s="21">
        <f t="shared" si="468"/>
        <v>0</v>
      </c>
      <c r="J681" s="21">
        <f t="shared" si="469"/>
        <v>0</v>
      </c>
      <c r="K681" s="21">
        <v>0</v>
      </c>
      <c r="L681" s="21">
        <f t="shared" si="470"/>
        <v>0</v>
      </c>
      <c r="M681" s="34" t="s">
        <v>1960</v>
      </c>
      <c r="O681">
        <f t="shared" si="471"/>
        <v>0</v>
      </c>
      <c r="Z681" s="39">
        <f t="shared" si="472"/>
        <v>0</v>
      </c>
      <c r="AB681" s="39">
        <f t="shared" si="473"/>
        <v>0</v>
      </c>
      <c r="AC681" s="39">
        <f t="shared" si="474"/>
        <v>0</v>
      </c>
      <c r="AD681" s="39">
        <f t="shared" si="475"/>
        <v>0</v>
      </c>
      <c r="AE681" s="39">
        <f t="shared" si="476"/>
        <v>0</v>
      </c>
      <c r="AF681" s="39">
        <f t="shared" si="477"/>
        <v>0</v>
      </c>
      <c r="AG681" s="39">
        <f t="shared" si="478"/>
        <v>0</v>
      </c>
      <c r="AH681" s="39">
        <f t="shared" si="479"/>
        <v>0</v>
      </c>
      <c r="AI681" s="30"/>
      <c r="AJ681" s="21">
        <f t="shared" si="480"/>
        <v>0</v>
      </c>
      <c r="AK681" s="21">
        <f t="shared" si="481"/>
        <v>0</v>
      </c>
      <c r="AL681" s="21">
        <f t="shared" si="482"/>
        <v>0</v>
      </c>
      <c r="AN681" s="39">
        <v>21</v>
      </c>
      <c r="AO681" s="39">
        <f t="shared" si="483"/>
        <v>0</v>
      </c>
      <c r="AP681" s="39">
        <f t="shared" si="484"/>
        <v>0</v>
      </c>
      <c r="AQ681" s="34" t="s">
        <v>11</v>
      </c>
      <c r="AV681" s="39">
        <f t="shared" si="485"/>
        <v>0</v>
      </c>
      <c r="AW681" s="39">
        <f t="shared" si="486"/>
        <v>0</v>
      </c>
      <c r="AX681" s="39">
        <f t="shared" si="487"/>
        <v>0</v>
      </c>
      <c r="AY681" s="40" t="s">
        <v>2018</v>
      </c>
      <c r="AZ681" s="40" t="s">
        <v>2041</v>
      </c>
      <c r="BA681" s="30" t="s">
        <v>2045</v>
      </c>
      <c r="BC681" s="39">
        <f t="shared" si="488"/>
        <v>0</v>
      </c>
      <c r="BD681" s="39">
        <f t="shared" si="489"/>
        <v>0</v>
      </c>
      <c r="BE681" s="39">
        <v>0</v>
      </c>
      <c r="BF681" s="39">
        <f t="shared" si="490"/>
        <v>0</v>
      </c>
      <c r="BH681" s="21">
        <f t="shared" si="491"/>
        <v>0</v>
      </c>
      <c r="BI681" s="21">
        <f t="shared" si="492"/>
        <v>0</v>
      </c>
      <c r="BJ681" s="21">
        <f t="shared" si="493"/>
        <v>0</v>
      </c>
    </row>
    <row r="682" spans="1:62">
      <c r="A682" s="5" t="s">
        <v>496</v>
      </c>
      <c r="B682" s="5"/>
      <c r="C682" s="5" t="s">
        <v>1101</v>
      </c>
      <c r="D682" s="5" t="s">
        <v>1806</v>
      </c>
      <c r="E682" s="5" t="s">
        <v>1943</v>
      </c>
      <c r="F682" s="21">
        <v>1</v>
      </c>
      <c r="G682" s="753">
        <v>0</v>
      </c>
      <c r="H682" s="21">
        <f t="shared" si="467"/>
        <v>0</v>
      </c>
      <c r="I682" s="21">
        <f t="shared" si="468"/>
        <v>0</v>
      </c>
      <c r="J682" s="21">
        <f t="shared" si="469"/>
        <v>0</v>
      </c>
      <c r="K682" s="21">
        <v>0</v>
      </c>
      <c r="L682" s="21">
        <f t="shared" si="470"/>
        <v>0</v>
      </c>
      <c r="M682" s="34" t="s">
        <v>1960</v>
      </c>
      <c r="O682">
        <f t="shared" si="471"/>
        <v>0</v>
      </c>
      <c r="Z682" s="39">
        <f t="shared" si="472"/>
        <v>0</v>
      </c>
      <c r="AB682" s="39">
        <f t="shared" si="473"/>
        <v>0</v>
      </c>
      <c r="AC682" s="39">
        <f t="shared" si="474"/>
        <v>0</v>
      </c>
      <c r="AD682" s="39">
        <f t="shared" si="475"/>
        <v>0</v>
      </c>
      <c r="AE682" s="39">
        <f t="shared" si="476"/>
        <v>0</v>
      </c>
      <c r="AF682" s="39">
        <f t="shared" si="477"/>
        <v>0</v>
      </c>
      <c r="AG682" s="39">
        <f t="shared" si="478"/>
        <v>0</v>
      </c>
      <c r="AH682" s="39">
        <f t="shared" si="479"/>
        <v>0</v>
      </c>
      <c r="AI682" s="30"/>
      <c r="AJ682" s="21">
        <f t="shared" si="480"/>
        <v>0</v>
      </c>
      <c r="AK682" s="21">
        <f t="shared" si="481"/>
        <v>0</v>
      </c>
      <c r="AL682" s="21">
        <f t="shared" si="482"/>
        <v>0</v>
      </c>
      <c r="AN682" s="39">
        <v>21</v>
      </c>
      <c r="AO682" s="39">
        <f t="shared" si="483"/>
        <v>0</v>
      </c>
      <c r="AP682" s="39">
        <f t="shared" si="484"/>
        <v>0</v>
      </c>
      <c r="AQ682" s="34" t="s">
        <v>11</v>
      </c>
      <c r="AV682" s="39">
        <f t="shared" si="485"/>
        <v>0</v>
      </c>
      <c r="AW682" s="39">
        <f t="shared" si="486"/>
        <v>0</v>
      </c>
      <c r="AX682" s="39">
        <f t="shared" si="487"/>
        <v>0</v>
      </c>
      <c r="AY682" s="40" t="s">
        <v>2018</v>
      </c>
      <c r="AZ682" s="40" t="s">
        <v>2041</v>
      </c>
      <c r="BA682" s="30" t="s">
        <v>2045</v>
      </c>
      <c r="BC682" s="39">
        <f t="shared" si="488"/>
        <v>0</v>
      </c>
      <c r="BD682" s="39">
        <f t="shared" si="489"/>
        <v>0</v>
      </c>
      <c r="BE682" s="39">
        <v>0</v>
      </c>
      <c r="BF682" s="39">
        <f t="shared" si="490"/>
        <v>0</v>
      </c>
      <c r="BH682" s="21">
        <f t="shared" si="491"/>
        <v>0</v>
      </c>
      <c r="BI682" s="21">
        <f t="shared" si="492"/>
        <v>0</v>
      </c>
      <c r="BJ682" s="21">
        <f t="shared" si="493"/>
        <v>0</v>
      </c>
    </row>
    <row r="683" spans="1:62">
      <c r="A683" s="5" t="s">
        <v>497</v>
      </c>
      <c r="B683" s="5"/>
      <c r="C683" s="5" t="s">
        <v>1102</v>
      </c>
      <c r="D683" s="5" t="s">
        <v>1807</v>
      </c>
      <c r="E683" s="5" t="s">
        <v>1943</v>
      </c>
      <c r="F683" s="21">
        <v>3</v>
      </c>
      <c r="G683" s="753">
        <v>0</v>
      </c>
      <c r="H683" s="21">
        <f t="shared" si="467"/>
        <v>0</v>
      </c>
      <c r="I683" s="21">
        <f t="shared" si="468"/>
        <v>0</v>
      </c>
      <c r="J683" s="21">
        <f t="shared" si="469"/>
        <v>0</v>
      </c>
      <c r="K683" s="21">
        <v>0</v>
      </c>
      <c r="L683" s="21">
        <f t="shared" si="470"/>
        <v>0</v>
      </c>
      <c r="M683" s="34" t="s">
        <v>1960</v>
      </c>
      <c r="O683">
        <f t="shared" si="471"/>
        <v>0</v>
      </c>
      <c r="Z683" s="39">
        <f t="shared" si="472"/>
        <v>0</v>
      </c>
      <c r="AB683" s="39">
        <f t="shared" si="473"/>
        <v>0</v>
      </c>
      <c r="AC683" s="39">
        <f t="shared" si="474"/>
        <v>0</v>
      </c>
      <c r="AD683" s="39">
        <f t="shared" si="475"/>
        <v>0</v>
      </c>
      <c r="AE683" s="39">
        <f t="shared" si="476"/>
        <v>0</v>
      </c>
      <c r="AF683" s="39">
        <f t="shared" si="477"/>
        <v>0</v>
      </c>
      <c r="AG683" s="39">
        <f t="shared" si="478"/>
        <v>0</v>
      </c>
      <c r="AH683" s="39">
        <f t="shared" si="479"/>
        <v>0</v>
      </c>
      <c r="AI683" s="30"/>
      <c r="AJ683" s="21">
        <f t="shared" si="480"/>
        <v>0</v>
      </c>
      <c r="AK683" s="21">
        <f t="shared" si="481"/>
        <v>0</v>
      </c>
      <c r="AL683" s="21">
        <f t="shared" si="482"/>
        <v>0</v>
      </c>
      <c r="AN683" s="39">
        <v>21</v>
      </c>
      <c r="AO683" s="39">
        <f t="shared" si="483"/>
        <v>0</v>
      </c>
      <c r="AP683" s="39">
        <f t="shared" si="484"/>
        <v>0</v>
      </c>
      <c r="AQ683" s="34" t="s">
        <v>11</v>
      </c>
      <c r="AV683" s="39">
        <f t="shared" si="485"/>
        <v>0</v>
      </c>
      <c r="AW683" s="39">
        <f t="shared" si="486"/>
        <v>0</v>
      </c>
      <c r="AX683" s="39">
        <f t="shared" si="487"/>
        <v>0</v>
      </c>
      <c r="AY683" s="40" t="s">
        <v>2018</v>
      </c>
      <c r="AZ683" s="40" t="s">
        <v>2041</v>
      </c>
      <c r="BA683" s="30" t="s">
        <v>2045</v>
      </c>
      <c r="BC683" s="39">
        <f t="shared" si="488"/>
        <v>0</v>
      </c>
      <c r="BD683" s="39">
        <f t="shared" si="489"/>
        <v>0</v>
      </c>
      <c r="BE683" s="39">
        <v>0</v>
      </c>
      <c r="BF683" s="39">
        <f t="shared" si="490"/>
        <v>0</v>
      </c>
      <c r="BH683" s="21">
        <f t="shared" si="491"/>
        <v>0</v>
      </c>
      <c r="BI683" s="21">
        <f t="shared" si="492"/>
        <v>0</v>
      </c>
      <c r="BJ683" s="21">
        <f t="shared" si="493"/>
        <v>0</v>
      </c>
    </row>
    <row r="684" spans="1:62">
      <c r="A684" s="5" t="s">
        <v>498</v>
      </c>
      <c r="B684" s="5"/>
      <c r="C684" s="5" t="s">
        <v>1103</v>
      </c>
      <c r="D684" s="5" t="s">
        <v>1808</v>
      </c>
      <c r="E684" s="5" t="s">
        <v>1943</v>
      </c>
      <c r="F684" s="21">
        <v>1</v>
      </c>
      <c r="G684" s="753">
        <v>0</v>
      </c>
      <c r="H684" s="21">
        <f t="shared" si="467"/>
        <v>0</v>
      </c>
      <c r="I684" s="21">
        <f t="shared" si="468"/>
        <v>0</v>
      </c>
      <c r="J684" s="21">
        <f t="shared" si="469"/>
        <v>0</v>
      </c>
      <c r="K684" s="21">
        <v>0</v>
      </c>
      <c r="L684" s="21">
        <f t="shared" si="470"/>
        <v>0</v>
      </c>
      <c r="M684" s="34" t="s">
        <v>1960</v>
      </c>
      <c r="O684">
        <f t="shared" si="471"/>
        <v>0</v>
      </c>
      <c r="Z684" s="39">
        <f t="shared" si="472"/>
        <v>0</v>
      </c>
      <c r="AB684" s="39">
        <f t="shared" si="473"/>
        <v>0</v>
      </c>
      <c r="AC684" s="39">
        <f t="shared" si="474"/>
        <v>0</v>
      </c>
      <c r="AD684" s="39">
        <f t="shared" si="475"/>
        <v>0</v>
      </c>
      <c r="AE684" s="39">
        <f t="shared" si="476"/>
        <v>0</v>
      </c>
      <c r="AF684" s="39">
        <f t="shared" si="477"/>
        <v>0</v>
      </c>
      <c r="AG684" s="39">
        <f t="shared" si="478"/>
        <v>0</v>
      </c>
      <c r="AH684" s="39">
        <f t="shared" si="479"/>
        <v>0</v>
      </c>
      <c r="AI684" s="30"/>
      <c r="AJ684" s="21">
        <f t="shared" si="480"/>
        <v>0</v>
      </c>
      <c r="AK684" s="21">
        <f t="shared" si="481"/>
        <v>0</v>
      </c>
      <c r="AL684" s="21">
        <f t="shared" si="482"/>
        <v>0</v>
      </c>
      <c r="AN684" s="39">
        <v>21</v>
      </c>
      <c r="AO684" s="39">
        <f t="shared" si="483"/>
        <v>0</v>
      </c>
      <c r="AP684" s="39">
        <f t="shared" si="484"/>
        <v>0</v>
      </c>
      <c r="AQ684" s="34" t="s">
        <v>11</v>
      </c>
      <c r="AV684" s="39">
        <f t="shared" si="485"/>
        <v>0</v>
      </c>
      <c r="AW684" s="39">
        <f t="shared" si="486"/>
        <v>0</v>
      </c>
      <c r="AX684" s="39">
        <f t="shared" si="487"/>
        <v>0</v>
      </c>
      <c r="AY684" s="40" t="s">
        <v>2018</v>
      </c>
      <c r="AZ684" s="40" t="s">
        <v>2041</v>
      </c>
      <c r="BA684" s="30" t="s">
        <v>2045</v>
      </c>
      <c r="BC684" s="39">
        <f t="shared" si="488"/>
        <v>0</v>
      </c>
      <c r="BD684" s="39">
        <f t="shared" si="489"/>
        <v>0</v>
      </c>
      <c r="BE684" s="39">
        <v>0</v>
      </c>
      <c r="BF684" s="39">
        <f t="shared" si="490"/>
        <v>0</v>
      </c>
      <c r="BH684" s="21">
        <f t="shared" si="491"/>
        <v>0</v>
      </c>
      <c r="BI684" s="21">
        <f t="shared" si="492"/>
        <v>0</v>
      </c>
      <c r="BJ684" s="21">
        <f t="shared" si="493"/>
        <v>0</v>
      </c>
    </row>
    <row r="685" spans="1:62">
      <c r="A685" s="5" t="s">
        <v>499</v>
      </c>
      <c r="B685" s="5"/>
      <c r="C685" s="5" t="s">
        <v>1104</v>
      </c>
      <c r="D685" s="5" t="s">
        <v>1809</v>
      </c>
      <c r="E685" s="5" t="s">
        <v>1943</v>
      </c>
      <c r="F685" s="21">
        <v>2</v>
      </c>
      <c r="G685" s="753">
        <v>0</v>
      </c>
      <c r="H685" s="21">
        <f t="shared" si="467"/>
        <v>0</v>
      </c>
      <c r="I685" s="21">
        <f t="shared" si="468"/>
        <v>0</v>
      </c>
      <c r="J685" s="21">
        <f t="shared" si="469"/>
        <v>0</v>
      </c>
      <c r="K685" s="21">
        <v>0</v>
      </c>
      <c r="L685" s="21">
        <f t="shared" si="470"/>
        <v>0</v>
      </c>
      <c r="M685" s="34" t="s">
        <v>1960</v>
      </c>
      <c r="O685">
        <f t="shared" si="471"/>
        <v>0</v>
      </c>
      <c r="Z685" s="39">
        <f t="shared" si="472"/>
        <v>0</v>
      </c>
      <c r="AB685" s="39">
        <f t="shared" si="473"/>
        <v>0</v>
      </c>
      <c r="AC685" s="39">
        <f t="shared" si="474"/>
        <v>0</v>
      </c>
      <c r="AD685" s="39">
        <f t="shared" si="475"/>
        <v>0</v>
      </c>
      <c r="AE685" s="39">
        <f t="shared" si="476"/>
        <v>0</v>
      </c>
      <c r="AF685" s="39">
        <f t="shared" si="477"/>
        <v>0</v>
      </c>
      <c r="AG685" s="39">
        <f t="shared" si="478"/>
        <v>0</v>
      </c>
      <c r="AH685" s="39">
        <f t="shared" si="479"/>
        <v>0</v>
      </c>
      <c r="AI685" s="30"/>
      <c r="AJ685" s="21">
        <f t="shared" si="480"/>
        <v>0</v>
      </c>
      <c r="AK685" s="21">
        <f t="shared" si="481"/>
        <v>0</v>
      </c>
      <c r="AL685" s="21">
        <f t="shared" si="482"/>
        <v>0</v>
      </c>
      <c r="AN685" s="39">
        <v>21</v>
      </c>
      <c r="AO685" s="39">
        <f t="shared" si="483"/>
        <v>0</v>
      </c>
      <c r="AP685" s="39">
        <f t="shared" si="484"/>
        <v>0</v>
      </c>
      <c r="AQ685" s="34" t="s">
        <v>11</v>
      </c>
      <c r="AV685" s="39">
        <f t="shared" si="485"/>
        <v>0</v>
      </c>
      <c r="AW685" s="39">
        <f t="shared" si="486"/>
        <v>0</v>
      </c>
      <c r="AX685" s="39">
        <f t="shared" si="487"/>
        <v>0</v>
      </c>
      <c r="AY685" s="40" t="s">
        <v>2018</v>
      </c>
      <c r="AZ685" s="40" t="s">
        <v>2041</v>
      </c>
      <c r="BA685" s="30" t="s">
        <v>2045</v>
      </c>
      <c r="BC685" s="39">
        <f t="shared" si="488"/>
        <v>0</v>
      </c>
      <c r="BD685" s="39">
        <f t="shared" si="489"/>
        <v>0</v>
      </c>
      <c r="BE685" s="39">
        <v>0</v>
      </c>
      <c r="BF685" s="39">
        <f t="shared" si="490"/>
        <v>0</v>
      </c>
      <c r="BH685" s="21">
        <f t="shared" si="491"/>
        <v>0</v>
      </c>
      <c r="BI685" s="21">
        <f t="shared" si="492"/>
        <v>0</v>
      </c>
      <c r="BJ685" s="21">
        <f t="shared" si="493"/>
        <v>0</v>
      </c>
    </row>
    <row r="686" spans="1:62">
      <c r="A686" s="5" t="s">
        <v>500</v>
      </c>
      <c r="B686" s="5"/>
      <c r="C686" s="5" t="s">
        <v>1105</v>
      </c>
      <c r="D686" s="5" t="s">
        <v>1810</v>
      </c>
      <c r="E686" s="5" t="s">
        <v>1943</v>
      </c>
      <c r="F686" s="21">
        <v>1</v>
      </c>
      <c r="G686" s="753">
        <v>0</v>
      </c>
      <c r="H686" s="21">
        <f t="shared" si="467"/>
        <v>0</v>
      </c>
      <c r="I686" s="21">
        <f t="shared" si="468"/>
        <v>0</v>
      </c>
      <c r="J686" s="21">
        <f t="shared" si="469"/>
        <v>0</v>
      </c>
      <c r="K686" s="21">
        <v>0</v>
      </c>
      <c r="L686" s="21">
        <f t="shared" si="470"/>
        <v>0</v>
      </c>
      <c r="M686" s="34" t="s">
        <v>1960</v>
      </c>
      <c r="O686">
        <f t="shared" si="471"/>
        <v>0</v>
      </c>
      <c r="Z686" s="39">
        <f t="shared" si="472"/>
        <v>0</v>
      </c>
      <c r="AB686" s="39">
        <f t="shared" si="473"/>
        <v>0</v>
      </c>
      <c r="AC686" s="39">
        <f t="shared" si="474"/>
        <v>0</v>
      </c>
      <c r="AD686" s="39">
        <f t="shared" si="475"/>
        <v>0</v>
      </c>
      <c r="AE686" s="39">
        <f t="shared" si="476"/>
        <v>0</v>
      </c>
      <c r="AF686" s="39">
        <f t="shared" si="477"/>
        <v>0</v>
      </c>
      <c r="AG686" s="39">
        <f t="shared" si="478"/>
        <v>0</v>
      </c>
      <c r="AH686" s="39">
        <f t="shared" si="479"/>
        <v>0</v>
      </c>
      <c r="AI686" s="30"/>
      <c r="AJ686" s="21">
        <f t="shared" si="480"/>
        <v>0</v>
      </c>
      <c r="AK686" s="21">
        <f t="shared" si="481"/>
        <v>0</v>
      </c>
      <c r="AL686" s="21">
        <f t="shared" si="482"/>
        <v>0</v>
      </c>
      <c r="AN686" s="39">
        <v>21</v>
      </c>
      <c r="AO686" s="39">
        <f t="shared" si="483"/>
        <v>0</v>
      </c>
      <c r="AP686" s="39">
        <f t="shared" si="484"/>
        <v>0</v>
      </c>
      <c r="AQ686" s="34" t="s">
        <v>11</v>
      </c>
      <c r="AV686" s="39">
        <f t="shared" si="485"/>
        <v>0</v>
      </c>
      <c r="AW686" s="39">
        <f t="shared" si="486"/>
        <v>0</v>
      </c>
      <c r="AX686" s="39">
        <f t="shared" si="487"/>
        <v>0</v>
      </c>
      <c r="AY686" s="40" t="s">
        <v>2018</v>
      </c>
      <c r="AZ686" s="40" t="s">
        <v>2041</v>
      </c>
      <c r="BA686" s="30" t="s">
        <v>2045</v>
      </c>
      <c r="BC686" s="39">
        <f t="shared" si="488"/>
        <v>0</v>
      </c>
      <c r="BD686" s="39">
        <f t="shared" si="489"/>
        <v>0</v>
      </c>
      <c r="BE686" s="39">
        <v>0</v>
      </c>
      <c r="BF686" s="39">
        <f t="shared" si="490"/>
        <v>0</v>
      </c>
      <c r="BH686" s="21">
        <f t="shared" si="491"/>
        <v>0</v>
      </c>
      <c r="BI686" s="21">
        <f t="shared" si="492"/>
        <v>0</v>
      </c>
      <c r="BJ686" s="21">
        <f t="shared" si="493"/>
        <v>0</v>
      </c>
    </row>
    <row r="687" spans="1:62">
      <c r="A687" s="5" t="s">
        <v>501</v>
      </c>
      <c r="B687" s="5"/>
      <c r="C687" s="5" t="s">
        <v>1106</v>
      </c>
      <c r="D687" s="5" t="s">
        <v>1811</v>
      </c>
      <c r="E687" s="5" t="s">
        <v>1943</v>
      </c>
      <c r="F687" s="21">
        <v>1</v>
      </c>
      <c r="G687" s="753">
        <v>0</v>
      </c>
      <c r="H687" s="21">
        <f t="shared" si="467"/>
        <v>0</v>
      </c>
      <c r="I687" s="21">
        <f t="shared" si="468"/>
        <v>0</v>
      </c>
      <c r="J687" s="21">
        <f t="shared" si="469"/>
        <v>0</v>
      </c>
      <c r="K687" s="21">
        <v>0</v>
      </c>
      <c r="L687" s="21">
        <f t="shared" si="470"/>
        <v>0</v>
      </c>
      <c r="M687" s="34" t="s">
        <v>1960</v>
      </c>
      <c r="O687">
        <f t="shared" si="471"/>
        <v>0</v>
      </c>
      <c r="Z687" s="39">
        <f t="shared" si="472"/>
        <v>0</v>
      </c>
      <c r="AB687" s="39">
        <f t="shared" si="473"/>
        <v>0</v>
      </c>
      <c r="AC687" s="39">
        <f t="shared" si="474"/>
        <v>0</v>
      </c>
      <c r="AD687" s="39">
        <f t="shared" si="475"/>
        <v>0</v>
      </c>
      <c r="AE687" s="39">
        <f t="shared" si="476"/>
        <v>0</v>
      </c>
      <c r="AF687" s="39">
        <f t="shared" si="477"/>
        <v>0</v>
      </c>
      <c r="AG687" s="39">
        <f t="shared" si="478"/>
        <v>0</v>
      </c>
      <c r="AH687" s="39">
        <f t="shared" si="479"/>
        <v>0</v>
      </c>
      <c r="AI687" s="30"/>
      <c r="AJ687" s="21">
        <f t="shared" si="480"/>
        <v>0</v>
      </c>
      <c r="AK687" s="21">
        <f t="shared" si="481"/>
        <v>0</v>
      </c>
      <c r="AL687" s="21">
        <f t="shared" si="482"/>
        <v>0</v>
      </c>
      <c r="AN687" s="39">
        <v>21</v>
      </c>
      <c r="AO687" s="39">
        <f t="shared" si="483"/>
        <v>0</v>
      </c>
      <c r="AP687" s="39">
        <f t="shared" si="484"/>
        <v>0</v>
      </c>
      <c r="AQ687" s="34" t="s">
        <v>11</v>
      </c>
      <c r="AV687" s="39">
        <f t="shared" si="485"/>
        <v>0</v>
      </c>
      <c r="AW687" s="39">
        <f t="shared" si="486"/>
        <v>0</v>
      </c>
      <c r="AX687" s="39">
        <f t="shared" si="487"/>
        <v>0</v>
      </c>
      <c r="AY687" s="40" t="s">
        <v>2018</v>
      </c>
      <c r="AZ687" s="40" t="s">
        <v>2041</v>
      </c>
      <c r="BA687" s="30" t="s">
        <v>2045</v>
      </c>
      <c r="BC687" s="39">
        <f t="shared" si="488"/>
        <v>0</v>
      </c>
      <c r="BD687" s="39">
        <f t="shared" si="489"/>
        <v>0</v>
      </c>
      <c r="BE687" s="39">
        <v>0</v>
      </c>
      <c r="BF687" s="39">
        <f t="shared" si="490"/>
        <v>0</v>
      </c>
      <c r="BH687" s="21">
        <f t="shared" si="491"/>
        <v>0</v>
      </c>
      <c r="BI687" s="21">
        <f t="shared" si="492"/>
        <v>0</v>
      </c>
      <c r="BJ687" s="21">
        <f t="shared" si="493"/>
        <v>0</v>
      </c>
    </row>
    <row r="688" spans="1:62">
      <c r="A688" s="5" t="s">
        <v>502</v>
      </c>
      <c r="B688" s="5"/>
      <c r="C688" s="5" t="s">
        <v>1107</v>
      </c>
      <c r="D688" s="5" t="s">
        <v>1812</v>
      </c>
      <c r="E688" s="5" t="s">
        <v>1943</v>
      </c>
      <c r="F688" s="21">
        <v>1</v>
      </c>
      <c r="G688" s="753">
        <v>0</v>
      </c>
      <c r="H688" s="21">
        <f t="shared" si="467"/>
        <v>0</v>
      </c>
      <c r="I688" s="21">
        <f t="shared" si="468"/>
        <v>0</v>
      </c>
      <c r="J688" s="21">
        <f t="shared" si="469"/>
        <v>0</v>
      </c>
      <c r="K688" s="21">
        <v>0</v>
      </c>
      <c r="L688" s="21">
        <f t="shared" si="470"/>
        <v>0</v>
      </c>
      <c r="M688" s="34" t="s">
        <v>1960</v>
      </c>
      <c r="O688">
        <f t="shared" si="471"/>
        <v>0</v>
      </c>
      <c r="Z688" s="39">
        <f t="shared" si="472"/>
        <v>0</v>
      </c>
      <c r="AB688" s="39">
        <f t="shared" si="473"/>
        <v>0</v>
      </c>
      <c r="AC688" s="39">
        <f t="shared" si="474"/>
        <v>0</v>
      </c>
      <c r="AD688" s="39">
        <f t="shared" si="475"/>
        <v>0</v>
      </c>
      <c r="AE688" s="39">
        <f t="shared" si="476"/>
        <v>0</v>
      </c>
      <c r="AF688" s="39">
        <f t="shared" si="477"/>
        <v>0</v>
      </c>
      <c r="AG688" s="39">
        <f t="shared" si="478"/>
        <v>0</v>
      </c>
      <c r="AH688" s="39">
        <f t="shared" si="479"/>
        <v>0</v>
      </c>
      <c r="AI688" s="30"/>
      <c r="AJ688" s="21">
        <f t="shared" si="480"/>
        <v>0</v>
      </c>
      <c r="AK688" s="21">
        <f t="shared" si="481"/>
        <v>0</v>
      </c>
      <c r="AL688" s="21">
        <f t="shared" si="482"/>
        <v>0</v>
      </c>
      <c r="AN688" s="39">
        <v>21</v>
      </c>
      <c r="AO688" s="39">
        <f t="shared" si="483"/>
        <v>0</v>
      </c>
      <c r="AP688" s="39">
        <f t="shared" si="484"/>
        <v>0</v>
      </c>
      <c r="AQ688" s="34" t="s">
        <v>11</v>
      </c>
      <c r="AV688" s="39">
        <f t="shared" si="485"/>
        <v>0</v>
      </c>
      <c r="AW688" s="39">
        <f t="shared" si="486"/>
        <v>0</v>
      </c>
      <c r="AX688" s="39">
        <f t="shared" si="487"/>
        <v>0</v>
      </c>
      <c r="AY688" s="40" t="s">
        <v>2018</v>
      </c>
      <c r="AZ688" s="40" t="s">
        <v>2041</v>
      </c>
      <c r="BA688" s="30" t="s">
        <v>2045</v>
      </c>
      <c r="BC688" s="39">
        <f t="shared" si="488"/>
        <v>0</v>
      </c>
      <c r="BD688" s="39">
        <f t="shared" si="489"/>
        <v>0</v>
      </c>
      <c r="BE688" s="39">
        <v>0</v>
      </c>
      <c r="BF688" s="39">
        <f t="shared" si="490"/>
        <v>0</v>
      </c>
      <c r="BH688" s="21">
        <f t="shared" si="491"/>
        <v>0</v>
      </c>
      <c r="BI688" s="21">
        <f t="shared" si="492"/>
        <v>0</v>
      </c>
      <c r="BJ688" s="21">
        <f t="shared" si="493"/>
        <v>0</v>
      </c>
    </row>
    <row r="689" spans="1:62">
      <c r="A689" s="5" t="s">
        <v>503</v>
      </c>
      <c r="B689" s="5"/>
      <c r="C689" s="5" t="s">
        <v>1108</v>
      </c>
      <c r="D689" s="5" t="s">
        <v>1813</v>
      </c>
      <c r="E689" s="5" t="s">
        <v>1943</v>
      </c>
      <c r="F689" s="21">
        <v>1</v>
      </c>
      <c r="G689" s="753">
        <v>0</v>
      </c>
      <c r="H689" s="21">
        <f t="shared" si="467"/>
        <v>0</v>
      </c>
      <c r="I689" s="21">
        <f t="shared" si="468"/>
        <v>0</v>
      </c>
      <c r="J689" s="21">
        <f t="shared" si="469"/>
        <v>0</v>
      </c>
      <c r="K689" s="21">
        <v>0</v>
      </c>
      <c r="L689" s="21">
        <f t="shared" si="470"/>
        <v>0</v>
      </c>
      <c r="M689" s="34" t="s">
        <v>1960</v>
      </c>
      <c r="O689">
        <f t="shared" si="471"/>
        <v>0</v>
      </c>
      <c r="Z689" s="39">
        <f t="shared" si="472"/>
        <v>0</v>
      </c>
      <c r="AB689" s="39">
        <f t="shared" si="473"/>
        <v>0</v>
      </c>
      <c r="AC689" s="39">
        <f t="shared" si="474"/>
        <v>0</v>
      </c>
      <c r="AD689" s="39">
        <f t="shared" si="475"/>
        <v>0</v>
      </c>
      <c r="AE689" s="39">
        <f t="shared" si="476"/>
        <v>0</v>
      </c>
      <c r="AF689" s="39">
        <f t="shared" si="477"/>
        <v>0</v>
      </c>
      <c r="AG689" s="39">
        <f t="shared" si="478"/>
        <v>0</v>
      </c>
      <c r="AH689" s="39">
        <f t="shared" si="479"/>
        <v>0</v>
      </c>
      <c r="AI689" s="30"/>
      <c r="AJ689" s="21">
        <f t="shared" si="480"/>
        <v>0</v>
      </c>
      <c r="AK689" s="21">
        <f t="shared" si="481"/>
        <v>0</v>
      </c>
      <c r="AL689" s="21">
        <f t="shared" si="482"/>
        <v>0</v>
      </c>
      <c r="AN689" s="39">
        <v>21</v>
      </c>
      <c r="AO689" s="39">
        <f t="shared" si="483"/>
        <v>0</v>
      </c>
      <c r="AP689" s="39">
        <f t="shared" si="484"/>
        <v>0</v>
      </c>
      <c r="AQ689" s="34" t="s">
        <v>11</v>
      </c>
      <c r="AV689" s="39">
        <f t="shared" si="485"/>
        <v>0</v>
      </c>
      <c r="AW689" s="39">
        <f t="shared" si="486"/>
        <v>0</v>
      </c>
      <c r="AX689" s="39">
        <f t="shared" si="487"/>
        <v>0</v>
      </c>
      <c r="AY689" s="40" t="s">
        <v>2018</v>
      </c>
      <c r="AZ689" s="40" t="s">
        <v>2041</v>
      </c>
      <c r="BA689" s="30" t="s">
        <v>2045</v>
      </c>
      <c r="BC689" s="39">
        <f t="shared" si="488"/>
        <v>0</v>
      </c>
      <c r="BD689" s="39">
        <f t="shared" si="489"/>
        <v>0</v>
      </c>
      <c r="BE689" s="39">
        <v>0</v>
      </c>
      <c r="BF689" s="39">
        <f t="shared" si="490"/>
        <v>0</v>
      </c>
      <c r="BH689" s="21">
        <f t="shared" si="491"/>
        <v>0</v>
      </c>
      <c r="BI689" s="21">
        <f t="shared" si="492"/>
        <v>0</v>
      </c>
      <c r="BJ689" s="21">
        <f t="shared" si="493"/>
        <v>0</v>
      </c>
    </row>
    <row r="690" spans="1:62">
      <c r="A690" s="5" t="s">
        <v>504</v>
      </c>
      <c r="B690" s="5"/>
      <c r="C690" s="5" t="s">
        <v>1109</v>
      </c>
      <c r="D690" s="5" t="s">
        <v>1814</v>
      </c>
      <c r="E690" s="5" t="s">
        <v>1943</v>
      </c>
      <c r="F690" s="21">
        <v>1</v>
      </c>
      <c r="G690" s="753">
        <v>0</v>
      </c>
      <c r="H690" s="21">
        <f t="shared" si="467"/>
        <v>0</v>
      </c>
      <c r="I690" s="21">
        <f t="shared" si="468"/>
        <v>0</v>
      </c>
      <c r="J690" s="21">
        <f t="shared" si="469"/>
        <v>0</v>
      </c>
      <c r="K690" s="21">
        <v>0</v>
      </c>
      <c r="L690" s="21">
        <f t="shared" si="470"/>
        <v>0</v>
      </c>
      <c r="M690" s="34" t="s">
        <v>1960</v>
      </c>
      <c r="O690">
        <f t="shared" si="471"/>
        <v>0</v>
      </c>
      <c r="Z690" s="39">
        <f t="shared" si="472"/>
        <v>0</v>
      </c>
      <c r="AB690" s="39">
        <f t="shared" si="473"/>
        <v>0</v>
      </c>
      <c r="AC690" s="39">
        <f t="shared" si="474"/>
        <v>0</v>
      </c>
      <c r="AD690" s="39">
        <f t="shared" si="475"/>
        <v>0</v>
      </c>
      <c r="AE690" s="39">
        <f t="shared" si="476"/>
        <v>0</v>
      </c>
      <c r="AF690" s="39">
        <f t="shared" si="477"/>
        <v>0</v>
      </c>
      <c r="AG690" s="39">
        <f t="shared" si="478"/>
        <v>0</v>
      </c>
      <c r="AH690" s="39">
        <f t="shared" si="479"/>
        <v>0</v>
      </c>
      <c r="AI690" s="30"/>
      <c r="AJ690" s="21">
        <f t="shared" si="480"/>
        <v>0</v>
      </c>
      <c r="AK690" s="21">
        <f t="shared" si="481"/>
        <v>0</v>
      </c>
      <c r="AL690" s="21">
        <f t="shared" si="482"/>
        <v>0</v>
      </c>
      <c r="AN690" s="39">
        <v>21</v>
      </c>
      <c r="AO690" s="39">
        <f t="shared" si="483"/>
        <v>0</v>
      </c>
      <c r="AP690" s="39">
        <f t="shared" si="484"/>
        <v>0</v>
      </c>
      <c r="AQ690" s="34" t="s">
        <v>11</v>
      </c>
      <c r="AV690" s="39">
        <f t="shared" si="485"/>
        <v>0</v>
      </c>
      <c r="AW690" s="39">
        <f t="shared" si="486"/>
        <v>0</v>
      </c>
      <c r="AX690" s="39">
        <f t="shared" si="487"/>
        <v>0</v>
      </c>
      <c r="AY690" s="40" t="s">
        <v>2018</v>
      </c>
      <c r="AZ690" s="40" t="s">
        <v>2041</v>
      </c>
      <c r="BA690" s="30" t="s">
        <v>2045</v>
      </c>
      <c r="BC690" s="39">
        <f t="shared" si="488"/>
        <v>0</v>
      </c>
      <c r="BD690" s="39">
        <f t="shared" si="489"/>
        <v>0</v>
      </c>
      <c r="BE690" s="39">
        <v>0</v>
      </c>
      <c r="BF690" s="39">
        <f t="shared" si="490"/>
        <v>0</v>
      </c>
      <c r="BH690" s="21">
        <f t="shared" si="491"/>
        <v>0</v>
      </c>
      <c r="BI690" s="21">
        <f t="shared" si="492"/>
        <v>0</v>
      </c>
      <c r="BJ690" s="21">
        <f t="shared" si="493"/>
        <v>0</v>
      </c>
    </row>
    <row r="691" spans="1:62">
      <c r="A691" s="5" t="s">
        <v>505</v>
      </c>
      <c r="B691" s="5"/>
      <c r="C691" s="5" t="s">
        <v>1110</v>
      </c>
      <c r="D691" s="5" t="s">
        <v>1815</v>
      </c>
      <c r="E691" s="5" t="s">
        <v>1943</v>
      </c>
      <c r="F691" s="21">
        <v>1</v>
      </c>
      <c r="G691" s="753">
        <v>0</v>
      </c>
      <c r="H691" s="21">
        <f t="shared" si="467"/>
        <v>0</v>
      </c>
      <c r="I691" s="21">
        <f t="shared" si="468"/>
        <v>0</v>
      </c>
      <c r="J691" s="21">
        <f t="shared" si="469"/>
        <v>0</v>
      </c>
      <c r="K691" s="21">
        <v>0</v>
      </c>
      <c r="L691" s="21">
        <f t="shared" si="470"/>
        <v>0</v>
      </c>
      <c r="M691" s="34" t="s">
        <v>1960</v>
      </c>
      <c r="O691">
        <f t="shared" si="471"/>
        <v>0</v>
      </c>
      <c r="Z691" s="39">
        <f t="shared" si="472"/>
        <v>0</v>
      </c>
      <c r="AB691" s="39">
        <f t="shared" si="473"/>
        <v>0</v>
      </c>
      <c r="AC691" s="39">
        <f t="shared" si="474"/>
        <v>0</v>
      </c>
      <c r="AD691" s="39">
        <f t="shared" si="475"/>
        <v>0</v>
      </c>
      <c r="AE691" s="39">
        <f t="shared" si="476"/>
        <v>0</v>
      </c>
      <c r="AF691" s="39">
        <f t="shared" si="477"/>
        <v>0</v>
      </c>
      <c r="AG691" s="39">
        <f t="shared" si="478"/>
        <v>0</v>
      </c>
      <c r="AH691" s="39">
        <f t="shared" si="479"/>
        <v>0</v>
      </c>
      <c r="AI691" s="30"/>
      <c r="AJ691" s="21">
        <f t="shared" si="480"/>
        <v>0</v>
      </c>
      <c r="AK691" s="21">
        <f t="shared" si="481"/>
        <v>0</v>
      </c>
      <c r="AL691" s="21">
        <f t="shared" si="482"/>
        <v>0</v>
      </c>
      <c r="AN691" s="39">
        <v>21</v>
      </c>
      <c r="AO691" s="39">
        <f t="shared" si="483"/>
        <v>0</v>
      </c>
      <c r="AP691" s="39">
        <f t="shared" si="484"/>
        <v>0</v>
      </c>
      <c r="AQ691" s="34" t="s">
        <v>11</v>
      </c>
      <c r="AV691" s="39">
        <f t="shared" si="485"/>
        <v>0</v>
      </c>
      <c r="AW691" s="39">
        <f t="shared" si="486"/>
        <v>0</v>
      </c>
      <c r="AX691" s="39">
        <f t="shared" si="487"/>
        <v>0</v>
      </c>
      <c r="AY691" s="40" t="s">
        <v>2018</v>
      </c>
      <c r="AZ691" s="40" t="s">
        <v>2041</v>
      </c>
      <c r="BA691" s="30" t="s">
        <v>2045</v>
      </c>
      <c r="BC691" s="39">
        <f t="shared" si="488"/>
        <v>0</v>
      </c>
      <c r="BD691" s="39">
        <f t="shared" si="489"/>
        <v>0</v>
      </c>
      <c r="BE691" s="39">
        <v>0</v>
      </c>
      <c r="BF691" s="39">
        <f t="shared" si="490"/>
        <v>0</v>
      </c>
      <c r="BH691" s="21">
        <f t="shared" si="491"/>
        <v>0</v>
      </c>
      <c r="BI691" s="21">
        <f t="shared" si="492"/>
        <v>0</v>
      </c>
      <c r="BJ691" s="21">
        <f t="shared" si="493"/>
        <v>0</v>
      </c>
    </row>
    <row r="692" spans="1:62">
      <c r="A692" s="5" t="s">
        <v>506</v>
      </c>
      <c r="B692" s="5"/>
      <c r="C692" s="5" t="s">
        <v>1111</v>
      </c>
      <c r="D692" s="5" t="s">
        <v>1816</v>
      </c>
      <c r="E692" s="5" t="s">
        <v>1943</v>
      </c>
      <c r="F692" s="21">
        <v>1</v>
      </c>
      <c r="G692" s="753">
        <v>0</v>
      </c>
      <c r="H692" s="21">
        <f t="shared" ref="H692:H715" si="494">F692*AO692</f>
        <v>0</v>
      </c>
      <c r="I692" s="21">
        <f t="shared" ref="I692:I715" si="495">F692*AP692</f>
        <v>0</v>
      </c>
      <c r="J692" s="21">
        <f t="shared" ref="J692:J715" si="496">F692*G692</f>
        <v>0</v>
      </c>
      <c r="K692" s="21">
        <v>0</v>
      </c>
      <c r="L692" s="21">
        <f t="shared" ref="L692:L715" si="497">F692*K692</f>
        <v>0</v>
      </c>
      <c r="M692" s="34" t="s">
        <v>1960</v>
      </c>
      <c r="O692">
        <f t="shared" si="471"/>
        <v>0</v>
      </c>
      <c r="Z692" s="39">
        <f t="shared" ref="Z692:Z715" si="498">IF(AQ692="5",BJ692,0)</f>
        <v>0</v>
      </c>
      <c r="AB692" s="39">
        <f t="shared" ref="AB692:AB715" si="499">IF(AQ692="1",BH692,0)</f>
        <v>0</v>
      </c>
      <c r="AC692" s="39">
        <f t="shared" ref="AC692:AC715" si="500">IF(AQ692="1",BI692,0)</f>
        <v>0</v>
      </c>
      <c r="AD692" s="39">
        <f t="shared" ref="AD692:AD715" si="501">IF(AQ692="7",BH692,0)</f>
        <v>0</v>
      </c>
      <c r="AE692" s="39">
        <f t="shared" ref="AE692:AE715" si="502">IF(AQ692="7",BI692,0)</f>
        <v>0</v>
      </c>
      <c r="AF692" s="39">
        <f t="shared" ref="AF692:AF715" si="503">IF(AQ692="2",BH692,0)</f>
        <v>0</v>
      </c>
      <c r="AG692" s="39">
        <f t="shared" ref="AG692:AG715" si="504">IF(AQ692="2",BI692,0)</f>
        <v>0</v>
      </c>
      <c r="AH692" s="39">
        <f t="shared" ref="AH692:AH715" si="505">IF(AQ692="0",BJ692,0)</f>
        <v>0</v>
      </c>
      <c r="AI692" s="30"/>
      <c r="AJ692" s="21">
        <f t="shared" ref="AJ692:AJ715" si="506">IF(AN692=0,J692,0)</f>
        <v>0</v>
      </c>
      <c r="AK692" s="21">
        <f t="shared" ref="AK692:AK715" si="507">IF(AN692=15,J692,0)</f>
        <v>0</v>
      </c>
      <c r="AL692" s="21">
        <f t="shared" ref="AL692:AL715" si="508">IF(AN692=21,J692,0)</f>
        <v>0</v>
      </c>
      <c r="AN692" s="39">
        <v>21</v>
      </c>
      <c r="AO692" s="39">
        <f t="shared" ref="AO692:AO715" si="509">G692*0</f>
        <v>0</v>
      </c>
      <c r="AP692" s="39">
        <f t="shared" ref="AP692:AP715" si="510">G692*(1-0)</f>
        <v>0</v>
      </c>
      <c r="AQ692" s="34" t="s">
        <v>11</v>
      </c>
      <c r="AV692" s="39">
        <f t="shared" ref="AV692:AV715" si="511">AW692+AX692</f>
        <v>0</v>
      </c>
      <c r="AW692" s="39">
        <f t="shared" ref="AW692:AW715" si="512">F692*AO692</f>
        <v>0</v>
      </c>
      <c r="AX692" s="39">
        <f t="shared" ref="AX692:AX715" si="513">F692*AP692</f>
        <v>0</v>
      </c>
      <c r="AY692" s="40" t="s">
        <v>2018</v>
      </c>
      <c r="AZ692" s="40" t="s">
        <v>2041</v>
      </c>
      <c r="BA692" s="30" t="s">
        <v>2045</v>
      </c>
      <c r="BC692" s="39">
        <f t="shared" ref="BC692:BC715" si="514">AW692+AX692</f>
        <v>0</v>
      </c>
      <c r="BD692" s="39">
        <f t="shared" ref="BD692:BD715" si="515">G692/(100-BE692)*100</f>
        <v>0</v>
      </c>
      <c r="BE692" s="39">
        <v>0</v>
      </c>
      <c r="BF692" s="39">
        <f t="shared" ref="BF692:BF715" si="516">L692</f>
        <v>0</v>
      </c>
      <c r="BH692" s="21">
        <f t="shared" ref="BH692:BH715" si="517">F692*AO692</f>
        <v>0</v>
      </c>
      <c r="BI692" s="21">
        <f t="shared" ref="BI692:BI715" si="518">F692*AP692</f>
        <v>0</v>
      </c>
      <c r="BJ692" s="21">
        <f t="shared" ref="BJ692:BJ715" si="519">F692*G692</f>
        <v>0</v>
      </c>
    </row>
    <row r="693" spans="1:62">
      <c r="A693" s="5" t="s">
        <v>507</v>
      </c>
      <c r="B693" s="5"/>
      <c r="C693" s="5" t="s">
        <v>1112</v>
      </c>
      <c r="D693" s="5" t="s">
        <v>1817</v>
      </c>
      <c r="E693" s="5" t="s">
        <v>1943</v>
      </c>
      <c r="F693" s="21">
        <v>1</v>
      </c>
      <c r="G693" s="753">
        <v>0</v>
      </c>
      <c r="H693" s="21">
        <f t="shared" si="494"/>
        <v>0</v>
      </c>
      <c r="I693" s="21">
        <f t="shared" si="495"/>
        <v>0</v>
      </c>
      <c r="J693" s="21">
        <f t="shared" si="496"/>
        <v>0</v>
      </c>
      <c r="K693" s="21">
        <v>0</v>
      </c>
      <c r="L693" s="21">
        <f t="shared" si="497"/>
        <v>0</v>
      </c>
      <c r="M693" s="34" t="s">
        <v>1960</v>
      </c>
      <c r="O693">
        <f t="shared" si="471"/>
        <v>0</v>
      </c>
      <c r="Z693" s="39">
        <f t="shared" si="498"/>
        <v>0</v>
      </c>
      <c r="AB693" s="39">
        <f t="shared" si="499"/>
        <v>0</v>
      </c>
      <c r="AC693" s="39">
        <f t="shared" si="500"/>
        <v>0</v>
      </c>
      <c r="AD693" s="39">
        <f t="shared" si="501"/>
        <v>0</v>
      </c>
      <c r="AE693" s="39">
        <f t="shared" si="502"/>
        <v>0</v>
      </c>
      <c r="AF693" s="39">
        <f t="shared" si="503"/>
        <v>0</v>
      </c>
      <c r="AG693" s="39">
        <f t="shared" si="504"/>
        <v>0</v>
      </c>
      <c r="AH693" s="39">
        <f t="shared" si="505"/>
        <v>0</v>
      </c>
      <c r="AI693" s="30"/>
      <c r="AJ693" s="21">
        <f t="shared" si="506"/>
        <v>0</v>
      </c>
      <c r="AK693" s="21">
        <f t="shared" si="507"/>
        <v>0</v>
      </c>
      <c r="AL693" s="21">
        <f t="shared" si="508"/>
        <v>0</v>
      </c>
      <c r="AN693" s="39">
        <v>21</v>
      </c>
      <c r="AO693" s="39">
        <f t="shared" si="509"/>
        <v>0</v>
      </c>
      <c r="AP693" s="39">
        <f t="shared" si="510"/>
        <v>0</v>
      </c>
      <c r="AQ693" s="34" t="s">
        <v>11</v>
      </c>
      <c r="AV693" s="39">
        <f t="shared" si="511"/>
        <v>0</v>
      </c>
      <c r="AW693" s="39">
        <f t="shared" si="512"/>
        <v>0</v>
      </c>
      <c r="AX693" s="39">
        <f t="shared" si="513"/>
        <v>0</v>
      </c>
      <c r="AY693" s="40" t="s">
        <v>2018</v>
      </c>
      <c r="AZ693" s="40" t="s">
        <v>2041</v>
      </c>
      <c r="BA693" s="30" t="s">
        <v>2045</v>
      </c>
      <c r="BC693" s="39">
        <f t="shared" si="514"/>
        <v>0</v>
      </c>
      <c r="BD693" s="39">
        <f t="shared" si="515"/>
        <v>0</v>
      </c>
      <c r="BE693" s="39">
        <v>0</v>
      </c>
      <c r="BF693" s="39">
        <f t="shared" si="516"/>
        <v>0</v>
      </c>
      <c r="BH693" s="21">
        <f t="shared" si="517"/>
        <v>0</v>
      </c>
      <c r="BI693" s="21">
        <f t="shared" si="518"/>
        <v>0</v>
      </c>
      <c r="BJ693" s="21">
        <f t="shared" si="519"/>
        <v>0</v>
      </c>
    </row>
    <row r="694" spans="1:62">
      <c r="A694" s="5" t="s">
        <v>508</v>
      </c>
      <c r="B694" s="5"/>
      <c r="C694" s="5" t="s">
        <v>1113</v>
      </c>
      <c r="D694" s="5" t="s">
        <v>1818</v>
      </c>
      <c r="E694" s="5" t="s">
        <v>1943</v>
      </c>
      <c r="F694" s="21">
        <v>1</v>
      </c>
      <c r="G694" s="753">
        <v>0</v>
      </c>
      <c r="H694" s="21">
        <f t="shared" si="494"/>
        <v>0</v>
      </c>
      <c r="I694" s="21">
        <f t="shared" si="495"/>
        <v>0</v>
      </c>
      <c r="J694" s="21">
        <f t="shared" si="496"/>
        <v>0</v>
      </c>
      <c r="K694" s="21">
        <v>0</v>
      </c>
      <c r="L694" s="21">
        <f t="shared" si="497"/>
        <v>0</v>
      </c>
      <c r="M694" s="34" t="s">
        <v>1960</v>
      </c>
      <c r="O694">
        <f t="shared" si="471"/>
        <v>0</v>
      </c>
      <c r="Z694" s="39">
        <f t="shared" si="498"/>
        <v>0</v>
      </c>
      <c r="AB694" s="39">
        <f t="shared" si="499"/>
        <v>0</v>
      </c>
      <c r="AC694" s="39">
        <f t="shared" si="500"/>
        <v>0</v>
      </c>
      <c r="AD694" s="39">
        <f t="shared" si="501"/>
        <v>0</v>
      </c>
      <c r="AE694" s="39">
        <f t="shared" si="502"/>
        <v>0</v>
      </c>
      <c r="AF694" s="39">
        <f t="shared" si="503"/>
        <v>0</v>
      </c>
      <c r="AG694" s="39">
        <f t="shared" si="504"/>
        <v>0</v>
      </c>
      <c r="AH694" s="39">
        <f t="shared" si="505"/>
        <v>0</v>
      </c>
      <c r="AI694" s="30"/>
      <c r="AJ694" s="21">
        <f t="shared" si="506"/>
        <v>0</v>
      </c>
      <c r="AK694" s="21">
        <f t="shared" si="507"/>
        <v>0</v>
      </c>
      <c r="AL694" s="21">
        <f t="shared" si="508"/>
        <v>0</v>
      </c>
      <c r="AN694" s="39">
        <v>21</v>
      </c>
      <c r="AO694" s="39">
        <f t="shared" si="509"/>
        <v>0</v>
      </c>
      <c r="AP694" s="39">
        <f t="shared" si="510"/>
        <v>0</v>
      </c>
      <c r="AQ694" s="34" t="s">
        <v>11</v>
      </c>
      <c r="AV694" s="39">
        <f t="shared" si="511"/>
        <v>0</v>
      </c>
      <c r="AW694" s="39">
        <f t="shared" si="512"/>
        <v>0</v>
      </c>
      <c r="AX694" s="39">
        <f t="shared" si="513"/>
        <v>0</v>
      </c>
      <c r="AY694" s="40" t="s">
        <v>2018</v>
      </c>
      <c r="AZ694" s="40" t="s">
        <v>2041</v>
      </c>
      <c r="BA694" s="30" t="s">
        <v>2045</v>
      </c>
      <c r="BC694" s="39">
        <f t="shared" si="514"/>
        <v>0</v>
      </c>
      <c r="BD694" s="39">
        <f t="shared" si="515"/>
        <v>0</v>
      </c>
      <c r="BE694" s="39">
        <v>0</v>
      </c>
      <c r="BF694" s="39">
        <f t="shared" si="516"/>
        <v>0</v>
      </c>
      <c r="BH694" s="21">
        <f t="shared" si="517"/>
        <v>0</v>
      </c>
      <c r="BI694" s="21">
        <f t="shared" si="518"/>
        <v>0</v>
      </c>
      <c r="BJ694" s="21">
        <f t="shared" si="519"/>
        <v>0</v>
      </c>
    </row>
    <row r="695" spans="1:62">
      <c r="A695" s="5" t="s">
        <v>509</v>
      </c>
      <c r="B695" s="5"/>
      <c r="C695" s="5" t="s">
        <v>1114</v>
      </c>
      <c r="D695" s="5" t="s">
        <v>1819</v>
      </c>
      <c r="E695" s="5" t="s">
        <v>1943</v>
      </c>
      <c r="F695" s="21">
        <v>1</v>
      </c>
      <c r="G695" s="753">
        <v>0</v>
      </c>
      <c r="H695" s="21">
        <f t="shared" si="494"/>
        <v>0</v>
      </c>
      <c r="I695" s="21">
        <f t="shared" si="495"/>
        <v>0</v>
      </c>
      <c r="J695" s="21">
        <f t="shared" si="496"/>
        <v>0</v>
      </c>
      <c r="K695" s="21">
        <v>0</v>
      </c>
      <c r="L695" s="21">
        <f t="shared" si="497"/>
        <v>0</v>
      </c>
      <c r="M695" s="34" t="s">
        <v>1960</v>
      </c>
      <c r="O695">
        <f t="shared" si="471"/>
        <v>0</v>
      </c>
      <c r="Z695" s="39">
        <f t="shared" si="498"/>
        <v>0</v>
      </c>
      <c r="AB695" s="39">
        <f t="shared" si="499"/>
        <v>0</v>
      </c>
      <c r="AC695" s="39">
        <f t="shared" si="500"/>
        <v>0</v>
      </c>
      <c r="AD695" s="39">
        <f t="shared" si="501"/>
        <v>0</v>
      </c>
      <c r="AE695" s="39">
        <f t="shared" si="502"/>
        <v>0</v>
      </c>
      <c r="AF695" s="39">
        <f t="shared" si="503"/>
        <v>0</v>
      </c>
      <c r="AG695" s="39">
        <f t="shared" si="504"/>
        <v>0</v>
      </c>
      <c r="AH695" s="39">
        <f t="shared" si="505"/>
        <v>0</v>
      </c>
      <c r="AI695" s="30"/>
      <c r="AJ695" s="21">
        <f t="shared" si="506"/>
        <v>0</v>
      </c>
      <c r="AK695" s="21">
        <f t="shared" si="507"/>
        <v>0</v>
      </c>
      <c r="AL695" s="21">
        <f t="shared" si="508"/>
        <v>0</v>
      </c>
      <c r="AN695" s="39">
        <v>21</v>
      </c>
      <c r="AO695" s="39">
        <f t="shared" si="509"/>
        <v>0</v>
      </c>
      <c r="AP695" s="39">
        <f t="shared" si="510"/>
        <v>0</v>
      </c>
      <c r="AQ695" s="34" t="s">
        <v>11</v>
      </c>
      <c r="AV695" s="39">
        <f t="shared" si="511"/>
        <v>0</v>
      </c>
      <c r="AW695" s="39">
        <f t="shared" si="512"/>
        <v>0</v>
      </c>
      <c r="AX695" s="39">
        <f t="shared" si="513"/>
        <v>0</v>
      </c>
      <c r="AY695" s="40" t="s">
        <v>2018</v>
      </c>
      <c r="AZ695" s="40" t="s">
        <v>2041</v>
      </c>
      <c r="BA695" s="30" t="s">
        <v>2045</v>
      </c>
      <c r="BC695" s="39">
        <f t="shared" si="514"/>
        <v>0</v>
      </c>
      <c r="BD695" s="39">
        <f t="shared" si="515"/>
        <v>0</v>
      </c>
      <c r="BE695" s="39">
        <v>0</v>
      </c>
      <c r="BF695" s="39">
        <f t="shared" si="516"/>
        <v>0</v>
      </c>
      <c r="BH695" s="21">
        <f t="shared" si="517"/>
        <v>0</v>
      </c>
      <c r="BI695" s="21">
        <f t="shared" si="518"/>
        <v>0</v>
      </c>
      <c r="BJ695" s="21">
        <f t="shared" si="519"/>
        <v>0</v>
      </c>
    </row>
    <row r="696" spans="1:62">
      <c r="A696" s="5" t="s">
        <v>510</v>
      </c>
      <c r="B696" s="5"/>
      <c r="C696" s="5" t="s">
        <v>1115</v>
      </c>
      <c r="D696" s="5" t="s">
        <v>1820</v>
      </c>
      <c r="E696" s="5" t="s">
        <v>1943</v>
      </c>
      <c r="F696" s="21">
        <v>1</v>
      </c>
      <c r="G696" s="753">
        <v>0</v>
      </c>
      <c r="H696" s="21">
        <f t="shared" si="494"/>
        <v>0</v>
      </c>
      <c r="I696" s="21">
        <f t="shared" si="495"/>
        <v>0</v>
      </c>
      <c r="J696" s="21">
        <f t="shared" si="496"/>
        <v>0</v>
      </c>
      <c r="K696" s="21">
        <v>0</v>
      </c>
      <c r="L696" s="21">
        <f t="shared" si="497"/>
        <v>0</v>
      </c>
      <c r="M696" s="34" t="s">
        <v>1960</v>
      </c>
      <c r="O696">
        <f t="shared" si="471"/>
        <v>0</v>
      </c>
      <c r="Z696" s="39">
        <f t="shared" si="498"/>
        <v>0</v>
      </c>
      <c r="AB696" s="39">
        <f t="shared" si="499"/>
        <v>0</v>
      </c>
      <c r="AC696" s="39">
        <f t="shared" si="500"/>
        <v>0</v>
      </c>
      <c r="AD696" s="39">
        <f t="shared" si="501"/>
        <v>0</v>
      </c>
      <c r="AE696" s="39">
        <f t="shared" si="502"/>
        <v>0</v>
      </c>
      <c r="AF696" s="39">
        <f t="shared" si="503"/>
        <v>0</v>
      </c>
      <c r="AG696" s="39">
        <f t="shared" si="504"/>
        <v>0</v>
      </c>
      <c r="AH696" s="39">
        <f t="shared" si="505"/>
        <v>0</v>
      </c>
      <c r="AI696" s="30"/>
      <c r="AJ696" s="21">
        <f t="shared" si="506"/>
        <v>0</v>
      </c>
      <c r="AK696" s="21">
        <f t="shared" si="507"/>
        <v>0</v>
      </c>
      <c r="AL696" s="21">
        <f t="shared" si="508"/>
        <v>0</v>
      </c>
      <c r="AN696" s="39">
        <v>21</v>
      </c>
      <c r="AO696" s="39">
        <f t="shared" si="509"/>
        <v>0</v>
      </c>
      <c r="AP696" s="39">
        <f t="shared" si="510"/>
        <v>0</v>
      </c>
      <c r="AQ696" s="34" t="s">
        <v>11</v>
      </c>
      <c r="AV696" s="39">
        <f t="shared" si="511"/>
        <v>0</v>
      </c>
      <c r="AW696" s="39">
        <f t="shared" si="512"/>
        <v>0</v>
      </c>
      <c r="AX696" s="39">
        <f t="shared" si="513"/>
        <v>0</v>
      </c>
      <c r="AY696" s="40" t="s">
        <v>2018</v>
      </c>
      <c r="AZ696" s="40" t="s">
        <v>2041</v>
      </c>
      <c r="BA696" s="30" t="s">
        <v>2045</v>
      </c>
      <c r="BC696" s="39">
        <f t="shared" si="514"/>
        <v>0</v>
      </c>
      <c r="BD696" s="39">
        <f t="shared" si="515"/>
        <v>0</v>
      </c>
      <c r="BE696" s="39">
        <v>0</v>
      </c>
      <c r="BF696" s="39">
        <f t="shared" si="516"/>
        <v>0</v>
      </c>
      <c r="BH696" s="21">
        <f t="shared" si="517"/>
        <v>0</v>
      </c>
      <c r="BI696" s="21">
        <f t="shared" si="518"/>
        <v>0</v>
      </c>
      <c r="BJ696" s="21">
        <f t="shared" si="519"/>
        <v>0</v>
      </c>
    </row>
    <row r="697" spans="1:62">
      <c r="A697" s="5" t="s">
        <v>511</v>
      </c>
      <c r="B697" s="5"/>
      <c r="C697" s="5" t="s">
        <v>1116</v>
      </c>
      <c r="D697" s="5" t="s">
        <v>1821</v>
      </c>
      <c r="E697" s="5" t="s">
        <v>1943</v>
      </c>
      <c r="F697" s="21">
        <v>1</v>
      </c>
      <c r="G697" s="753">
        <v>0</v>
      </c>
      <c r="H697" s="21">
        <f t="shared" si="494"/>
        <v>0</v>
      </c>
      <c r="I697" s="21">
        <f t="shared" si="495"/>
        <v>0</v>
      </c>
      <c r="J697" s="21">
        <f t="shared" si="496"/>
        <v>0</v>
      </c>
      <c r="K697" s="21">
        <v>0</v>
      </c>
      <c r="L697" s="21">
        <f t="shared" si="497"/>
        <v>0</v>
      </c>
      <c r="M697" s="34" t="s">
        <v>1960</v>
      </c>
      <c r="O697">
        <f t="shared" si="471"/>
        <v>0</v>
      </c>
      <c r="Z697" s="39">
        <f t="shared" si="498"/>
        <v>0</v>
      </c>
      <c r="AB697" s="39">
        <f t="shared" si="499"/>
        <v>0</v>
      </c>
      <c r="AC697" s="39">
        <f t="shared" si="500"/>
        <v>0</v>
      </c>
      <c r="AD697" s="39">
        <f t="shared" si="501"/>
        <v>0</v>
      </c>
      <c r="AE697" s="39">
        <f t="shared" si="502"/>
        <v>0</v>
      </c>
      <c r="AF697" s="39">
        <f t="shared" si="503"/>
        <v>0</v>
      </c>
      <c r="AG697" s="39">
        <f t="shared" si="504"/>
        <v>0</v>
      </c>
      <c r="AH697" s="39">
        <f t="shared" si="505"/>
        <v>0</v>
      </c>
      <c r="AI697" s="30"/>
      <c r="AJ697" s="21">
        <f t="shared" si="506"/>
        <v>0</v>
      </c>
      <c r="AK697" s="21">
        <f t="shared" si="507"/>
        <v>0</v>
      </c>
      <c r="AL697" s="21">
        <f t="shared" si="508"/>
        <v>0</v>
      </c>
      <c r="AN697" s="39">
        <v>21</v>
      </c>
      <c r="AO697" s="39">
        <f t="shared" si="509"/>
        <v>0</v>
      </c>
      <c r="AP697" s="39">
        <f t="shared" si="510"/>
        <v>0</v>
      </c>
      <c r="AQ697" s="34" t="s">
        <v>11</v>
      </c>
      <c r="AV697" s="39">
        <f t="shared" si="511"/>
        <v>0</v>
      </c>
      <c r="AW697" s="39">
        <f t="shared" si="512"/>
        <v>0</v>
      </c>
      <c r="AX697" s="39">
        <f t="shared" si="513"/>
        <v>0</v>
      </c>
      <c r="AY697" s="40" t="s">
        <v>2018</v>
      </c>
      <c r="AZ697" s="40" t="s">
        <v>2041</v>
      </c>
      <c r="BA697" s="30" t="s">
        <v>2045</v>
      </c>
      <c r="BC697" s="39">
        <f t="shared" si="514"/>
        <v>0</v>
      </c>
      <c r="BD697" s="39">
        <f t="shared" si="515"/>
        <v>0</v>
      </c>
      <c r="BE697" s="39">
        <v>0</v>
      </c>
      <c r="BF697" s="39">
        <f t="shared" si="516"/>
        <v>0</v>
      </c>
      <c r="BH697" s="21">
        <f t="shared" si="517"/>
        <v>0</v>
      </c>
      <c r="BI697" s="21">
        <f t="shared" si="518"/>
        <v>0</v>
      </c>
      <c r="BJ697" s="21">
        <f t="shared" si="519"/>
        <v>0</v>
      </c>
    </row>
    <row r="698" spans="1:62">
      <c r="A698" s="5" t="s">
        <v>512</v>
      </c>
      <c r="B698" s="5"/>
      <c r="C698" s="5" t="s">
        <v>1117</v>
      </c>
      <c r="D698" s="5" t="s">
        <v>1822</v>
      </c>
      <c r="E698" s="5" t="s">
        <v>1943</v>
      </c>
      <c r="F698" s="21">
        <v>1</v>
      </c>
      <c r="G698" s="753">
        <v>0</v>
      </c>
      <c r="H698" s="21">
        <f t="shared" si="494"/>
        <v>0</v>
      </c>
      <c r="I698" s="21">
        <f t="shared" si="495"/>
        <v>0</v>
      </c>
      <c r="J698" s="21">
        <f t="shared" si="496"/>
        <v>0</v>
      </c>
      <c r="K698" s="21">
        <v>0</v>
      </c>
      <c r="L698" s="21">
        <f t="shared" si="497"/>
        <v>0</v>
      </c>
      <c r="M698" s="34" t="s">
        <v>1960</v>
      </c>
      <c r="O698">
        <f t="shared" si="471"/>
        <v>0</v>
      </c>
      <c r="Z698" s="39">
        <f t="shared" si="498"/>
        <v>0</v>
      </c>
      <c r="AB698" s="39">
        <f t="shared" si="499"/>
        <v>0</v>
      </c>
      <c r="AC698" s="39">
        <f t="shared" si="500"/>
        <v>0</v>
      </c>
      <c r="AD698" s="39">
        <f t="shared" si="501"/>
        <v>0</v>
      </c>
      <c r="AE698" s="39">
        <f t="shared" si="502"/>
        <v>0</v>
      </c>
      <c r="AF698" s="39">
        <f t="shared" si="503"/>
        <v>0</v>
      </c>
      <c r="AG698" s="39">
        <f t="shared" si="504"/>
        <v>0</v>
      </c>
      <c r="AH698" s="39">
        <f t="shared" si="505"/>
        <v>0</v>
      </c>
      <c r="AI698" s="30"/>
      <c r="AJ698" s="21">
        <f t="shared" si="506"/>
        <v>0</v>
      </c>
      <c r="AK698" s="21">
        <f t="shared" si="507"/>
        <v>0</v>
      </c>
      <c r="AL698" s="21">
        <f t="shared" si="508"/>
        <v>0</v>
      </c>
      <c r="AN698" s="39">
        <v>21</v>
      </c>
      <c r="AO698" s="39">
        <f t="shared" si="509"/>
        <v>0</v>
      </c>
      <c r="AP698" s="39">
        <f t="shared" si="510"/>
        <v>0</v>
      </c>
      <c r="AQ698" s="34" t="s">
        <v>11</v>
      </c>
      <c r="AV698" s="39">
        <f t="shared" si="511"/>
        <v>0</v>
      </c>
      <c r="AW698" s="39">
        <f t="shared" si="512"/>
        <v>0</v>
      </c>
      <c r="AX698" s="39">
        <f t="shared" si="513"/>
        <v>0</v>
      </c>
      <c r="AY698" s="40" t="s">
        <v>2018</v>
      </c>
      <c r="AZ698" s="40" t="s">
        <v>2041</v>
      </c>
      <c r="BA698" s="30" t="s">
        <v>2045</v>
      </c>
      <c r="BC698" s="39">
        <f t="shared" si="514"/>
        <v>0</v>
      </c>
      <c r="BD698" s="39">
        <f t="shared" si="515"/>
        <v>0</v>
      </c>
      <c r="BE698" s="39">
        <v>0</v>
      </c>
      <c r="BF698" s="39">
        <f t="shared" si="516"/>
        <v>0</v>
      </c>
      <c r="BH698" s="21">
        <f t="shared" si="517"/>
        <v>0</v>
      </c>
      <c r="BI698" s="21">
        <f t="shared" si="518"/>
        <v>0</v>
      </c>
      <c r="BJ698" s="21">
        <f t="shared" si="519"/>
        <v>0</v>
      </c>
    </row>
    <row r="699" spans="1:62">
      <c r="A699" s="5" t="s">
        <v>513</v>
      </c>
      <c r="B699" s="5"/>
      <c r="C699" s="5" t="s">
        <v>1118</v>
      </c>
      <c r="D699" s="5" t="s">
        <v>1823</v>
      </c>
      <c r="E699" s="5" t="s">
        <v>1943</v>
      </c>
      <c r="F699" s="21">
        <v>1</v>
      </c>
      <c r="G699" s="753">
        <v>0</v>
      </c>
      <c r="H699" s="21">
        <f t="shared" si="494"/>
        <v>0</v>
      </c>
      <c r="I699" s="21">
        <f t="shared" si="495"/>
        <v>0</v>
      </c>
      <c r="J699" s="21">
        <f t="shared" si="496"/>
        <v>0</v>
      </c>
      <c r="K699" s="21">
        <v>0</v>
      </c>
      <c r="L699" s="21">
        <f t="shared" si="497"/>
        <v>0</v>
      </c>
      <c r="M699" s="34" t="s">
        <v>1960</v>
      </c>
      <c r="O699">
        <f t="shared" si="471"/>
        <v>0</v>
      </c>
      <c r="Z699" s="39">
        <f t="shared" si="498"/>
        <v>0</v>
      </c>
      <c r="AB699" s="39">
        <f t="shared" si="499"/>
        <v>0</v>
      </c>
      <c r="AC699" s="39">
        <f t="shared" si="500"/>
        <v>0</v>
      </c>
      <c r="AD699" s="39">
        <f t="shared" si="501"/>
        <v>0</v>
      </c>
      <c r="AE699" s="39">
        <f t="shared" si="502"/>
        <v>0</v>
      </c>
      <c r="AF699" s="39">
        <f t="shared" si="503"/>
        <v>0</v>
      </c>
      <c r="AG699" s="39">
        <f t="shared" si="504"/>
        <v>0</v>
      </c>
      <c r="AH699" s="39">
        <f t="shared" si="505"/>
        <v>0</v>
      </c>
      <c r="AI699" s="30"/>
      <c r="AJ699" s="21">
        <f t="shared" si="506"/>
        <v>0</v>
      </c>
      <c r="AK699" s="21">
        <f t="shared" si="507"/>
        <v>0</v>
      </c>
      <c r="AL699" s="21">
        <f t="shared" si="508"/>
        <v>0</v>
      </c>
      <c r="AN699" s="39">
        <v>21</v>
      </c>
      <c r="AO699" s="39">
        <f t="shared" si="509"/>
        <v>0</v>
      </c>
      <c r="AP699" s="39">
        <f t="shared" si="510"/>
        <v>0</v>
      </c>
      <c r="AQ699" s="34" t="s">
        <v>11</v>
      </c>
      <c r="AV699" s="39">
        <f t="shared" si="511"/>
        <v>0</v>
      </c>
      <c r="AW699" s="39">
        <f t="shared" si="512"/>
        <v>0</v>
      </c>
      <c r="AX699" s="39">
        <f t="shared" si="513"/>
        <v>0</v>
      </c>
      <c r="AY699" s="40" t="s">
        <v>2018</v>
      </c>
      <c r="AZ699" s="40" t="s">
        <v>2041</v>
      </c>
      <c r="BA699" s="30" t="s">
        <v>2045</v>
      </c>
      <c r="BC699" s="39">
        <f t="shared" si="514"/>
        <v>0</v>
      </c>
      <c r="BD699" s="39">
        <f t="shared" si="515"/>
        <v>0</v>
      </c>
      <c r="BE699" s="39">
        <v>0</v>
      </c>
      <c r="BF699" s="39">
        <f t="shared" si="516"/>
        <v>0</v>
      </c>
      <c r="BH699" s="21">
        <f t="shared" si="517"/>
        <v>0</v>
      </c>
      <c r="BI699" s="21">
        <f t="shared" si="518"/>
        <v>0</v>
      </c>
      <c r="BJ699" s="21">
        <f t="shared" si="519"/>
        <v>0</v>
      </c>
    </row>
    <row r="700" spans="1:62">
      <c r="A700" s="5" t="s">
        <v>514</v>
      </c>
      <c r="B700" s="5"/>
      <c r="C700" s="5" t="s">
        <v>1119</v>
      </c>
      <c r="D700" s="5" t="s">
        <v>1824</v>
      </c>
      <c r="E700" s="5" t="s">
        <v>1943</v>
      </c>
      <c r="F700" s="21">
        <v>1</v>
      </c>
      <c r="G700" s="753">
        <v>0</v>
      </c>
      <c r="H700" s="21">
        <f t="shared" si="494"/>
        <v>0</v>
      </c>
      <c r="I700" s="21">
        <f t="shared" si="495"/>
        <v>0</v>
      </c>
      <c r="J700" s="21">
        <f t="shared" si="496"/>
        <v>0</v>
      </c>
      <c r="K700" s="21">
        <v>0</v>
      </c>
      <c r="L700" s="21">
        <f t="shared" si="497"/>
        <v>0</v>
      </c>
      <c r="M700" s="34" t="s">
        <v>1960</v>
      </c>
      <c r="O700">
        <f t="shared" si="471"/>
        <v>0</v>
      </c>
      <c r="Z700" s="39">
        <f t="shared" si="498"/>
        <v>0</v>
      </c>
      <c r="AB700" s="39">
        <f t="shared" si="499"/>
        <v>0</v>
      </c>
      <c r="AC700" s="39">
        <f t="shared" si="500"/>
        <v>0</v>
      </c>
      <c r="AD700" s="39">
        <f t="shared" si="501"/>
        <v>0</v>
      </c>
      <c r="AE700" s="39">
        <f t="shared" si="502"/>
        <v>0</v>
      </c>
      <c r="AF700" s="39">
        <f t="shared" si="503"/>
        <v>0</v>
      </c>
      <c r="AG700" s="39">
        <f t="shared" si="504"/>
        <v>0</v>
      </c>
      <c r="AH700" s="39">
        <f t="shared" si="505"/>
        <v>0</v>
      </c>
      <c r="AI700" s="30"/>
      <c r="AJ700" s="21">
        <f t="shared" si="506"/>
        <v>0</v>
      </c>
      <c r="AK700" s="21">
        <f t="shared" si="507"/>
        <v>0</v>
      </c>
      <c r="AL700" s="21">
        <f t="shared" si="508"/>
        <v>0</v>
      </c>
      <c r="AN700" s="39">
        <v>21</v>
      </c>
      <c r="AO700" s="39">
        <f t="shared" si="509"/>
        <v>0</v>
      </c>
      <c r="AP700" s="39">
        <f t="shared" si="510"/>
        <v>0</v>
      </c>
      <c r="AQ700" s="34" t="s">
        <v>11</v>
      </c>
      <c r="AV700" s="39">
        <f t="shared" si="511"/>
        <v>0</v>
      </c>
      <c r="AW700" s="39">
        <f t="shared" si="512"/>
        <v>0</v>
      </c>
      <c r="AX700" s="39">
        <f t="shared" si="513"/>
        <v>0</v>
      </c>
      <c r="AY700" s="40" t="s">
        <v>2018</v>
      </c>
      <c r="AZ700" s="40" t="s">
        <v>2041</v>
      </c>
      <c r="BA700" s="30" t="s">
        <v>2045</v>
      </c>
      <c r="BC700" s="39">
        <f t="shared" si="514"/>
        <v>0</v>
      </c>
      <c r="BD700" s="39">
        <f t="shared" si="515"/>
        <v>0</v>
      </c>
      <c r="BE700" s="39">
        <v>0</v>
      </c>
      <c r="BF700" s="39">
        <f t="shared" si="516"/>
        <v>0</v>
      </c>
      <c r="BH700" s="21">
        <f t="shared" si="517"/>
        <v>0</v>
      </c>
      <c r="BI700" s="21">
        <f t="shared" si="518"/>
        <v>0</v>
      </c>
      <c r="BJ700" s="21">
        <f t="shared" si="519"/>
        <v>0</v>
      </c>
    </row>
    <row r="701" spans="1:62">
      <c r="A701" s="5" t="s">
        <v>515</v>
      </c>
      <c r="B701" s="5"/>
      <c r="C701" s="5" t="s">
        <v>1120</v>
      </c>
      <c r="D701" s="5" t="s">
        <v>1825</v>
      </c>
      <c r="E701" s="5" t="s">
        <v>1943</v>
      </c>
      <c r="F701" s="21">
        <v>1</v>
      </c>
      <c r="G701" s="753">
        <v>0</v>
      </c>
      <c r="H701" s="21">
        <f t="shared" si="494"/>
        <v>0</v>
      </c>
      <c r="I701" s="21">
        <f t="shared" si="495"/>
        <v>0</v>
      </c>
      <c r="J701" s="21">
        <f t="shared" si="496"/>
        <v>0</v>
      </c>
      <c r="K701" s="21">
        <v>0</v>
      </c>
      <c r="L701" s="21">
        <f t="shared" si="497"/>
        <v>0</v>
      </c>
      <c r="M701" s="34" t="s">
        <v>1960</v>
      </c>
      <c r="O701">
        <f t="shared" si="471"/>
        <v>0</v>
      </c>
      <c r="Z701" s="39">
        <f t="shared" si="498"/>
        <v>0</v>
      </c>
      <c r="AB701" s="39">
        <f t="shared" si="499"/>
        <v>0</v>
      </c>
      <c r="AC701" s="39">
        <f t="shared" si="500"/>
        <v>0</v>
      </c>
      <c r="AD701" s="39">
        <f t="shared" si="501"/>
        <v>0</v>
      </c>
      <c r="AE701" s="39">
        <f t="shared" si="502"/>
        <v>0</v>
      </c>
      <c r="AF701" s="39">
        <f t="shared" si="503"/>
        <v>0</v>
      </c>
      <c r="AG701" s="39">
        <f t="shared" si="504"/>
        <v>0</v>
      </c>
      <c r="AH701" s="39">
        <f t="shared" si="505"/>
        <v>0</v>
      </c>
      <c r="AI701" s="30"/>
      <c r="AJ701" s="21">
        <f t="shared" si="506"/>
        <v>0</v>
      </c>
      <c r="AK701" s="21">
        <f t="shared" si="507"/>
        <v>0</v>
      </c>
      <c r="AL701" s="21">
        <f t="shared" si="508"/>
        <v>0</v>
      </c>
      <c r="AN701" s="39">
        <v>21</v>
      </c>
      <c r="AO701" s="39">
        <f t="shared" si="509"/>
        <v>0</v>
      </c>
      <c r="AP701" s="39">
        <f t="shared" si="510"/>
        <v>0</v>
      </c>
      <c r="AQ701" s="34" t="s">
        <v>11</v>
      </c>
      <c r="AV701" s="39">
        <f t="shared" si="511"/>
        <v>0</v>
      </c>
      <c r="AW701" s="39">
        <f t="shared" si="512"/>
        <v>0</v>
      </c>
      <c r="AX701" s="39">
        <f t="shared" si="513"/>
        <v>0</v>
      </c>
      <c r="AY701" s="40" t="s">
        <v>2018</v>
      </c>
      <c r="AZ701" s="40" t="s">
        <v>2041</v>
      </c>
      <c r="BA701" s="30" t="s">
        <v>2045</v>
      </c>
      <c r="BC701" s="39">
        <f t="shared" si="514"/>
        <v>0</v>
      </c>
      <c r="BD701" s="39">
        <f t="shared" si="515"/>
        <v>0</v>
      </c>
      <c r="BE701" s="39">
        <v>0</v>
      </c>
      <c r="BF701" s="39">
        <f t="shared" si="516"/>
        <v>0</v>
      </c>
      <c r="BH701" s="21">
        <f t="shared" si="517"/>
        <v>0</v>
      </c>
      <c r="BI701" s="21">
        <f t="shared" si="518"/>
        <v>0</v>
      </c>
      <c r="BJ701" s="21">
        <f t="shared" si="519"/>
        <v>0</v>
      </c>
    </row>
    <row r="702" spans="1:62">
      <c r="A702" s="5" t="s">
        <v>516</v>
      </c>
      <c r="B702" s="5"/>
      <c r="C702" s="5" t="s">
        <v>1121</v>
      </c>
      <c r="D702" s="5" t="s">
        <v>1826</v>
      </c>
      <c r="E702" s="5" t="s">
        <v>1943</v>
      </c>
      <c r="F702" s="21">
        <v>1</v>
      </c>
      <c r="G702" s="753">
        <v>0</v>
      </c>
      <c r="H702" s="21">
        <f t="shared" si="494"/>
        <v>0</v>
      </c>
      <c r="I702" s="21">
        <f t="shared" si="495"/>
        <v>0</v>
      </c>
      <c r="J702" s="21">
        <f t="shared" si="496"/>
        <v>0</v>
      </c>
      <c r="K702" s="21">
        <v>0</v>
      </c>
      <c r="L702" s="21">
        <f t="shared" si="497"/>
        <v>0</v>
      </c>
      <c r="M702" s="34" t="s">
        <v>1960</v>
      </c>
      <c r="O702">
        <f t="shared" si="471"/>
        <v>0</v>
      </c>
      <c r="Z702" s="39">
        <f t="shared" si="498"/>
        <v>0</v>
      </c>
      <c r="AB702" s="39">
        <f t="shared" si="499"/>
        <v>0</v>
      </c>
      <c r="AC702" s="39">
        <f t="shared" si="500"/>
        <v>0</v>
      </c>
      <c r="AD702" s="39">
        <f t="shared" si="501"/>
        <v>0</v>
      </c>
      <c r="AE702" s="39">
        <f t="shared" si="502"/>
        <v>0</v>
      </c>
      <c r="AF702" s="39">
        <f t="shared" si="503"/>
        <v>0</v>
      </c>
      <c r="AG702" s="39">
        <f t="shared" si="504"/>
        <v>0</v>
      </c>
      <c r="AH702" s="39">
        <f t="shared" si="505"/>
        <v>0</v>
      </c>
      <c r="AI702" s="30"/>
      <c r="AJ702" s="21">
        <f t="shared" si="506"/>
        <v>0</v>
      </c>
      <c r="AK702" s="21">
        <f t="shared" si="507"/>
        <v>0</v>
      </c>
      <c r="AL702" s="21">
        <f t="shared" si="508"/>
        <v>0</v>
      </c>
      <c r="AN702" s="39">
        <v>21</v>
      </c>
      <c r="AO702" s="39">
        <f t="shared" si="509"/>
        <v>0</v>
      </c>
      <c r="AP702" s="39">
        <f t="shared" si="510"/>
        <v>0</v>
      </c>
      <c r="AQ702" s="34" t="s">
        <v>11</v>
      </c>
      <c r="AV702" s="39">
        <f t="shared" si="511"/>
        <v>0</v>
      </c>
      <c r="AW702" s="39">
        <f t="shared" si="512"/>
        <v>0</v>
      </c>
      <c r="AX702" s="39">
        <f t="shared" si="513"/>
        <v>0</v>
      </c>
      <c r="AY702" s="40" t="s">
        <v>2018</v>
      </c>
      <c r="AZ702" s="40" t="s">
        <v>2041</v>
      </c>
      <c r="BA702" s="30" t="s">
        <v>2045</v>
      </c>
      <c r="BC702" s="39">
        <f t="shared" si="514"/>
        <v>0</v>
      </c>
      <c r="BD702" s="39">
        <f t="shared" si="515"/>
        <v>0</v>
      </c>
      <c r="BE702" s="39">
        <v>0</v>
      </c>
      <c r="BF702" s="39">
        <f t="shared" si="516"/>
        <v>0</v>
      </c>
      <c r="BH702" s="21">
        <f t="shared" si="517"/>
        <v>0</v>
      </c>
      <c r="BI702" s="21">
        <f t="shared" si="518"/>
        <v>0</v>
      </c>
      <c r="BJ702" s="21">
        <f t="shared" si="519"/>
        <v>0</v>
      </c>
    </row>
    <row r="703" spans="1:62">
      <c r="A703" s="5" t="s">
        <v>517</v>
      </c>
      <c r="B703" s="5"/>
      <c r="C703" s="5" t="s">
        <v>1122</v>
      </c>
      <c r="D703" s="5" t="s">
        <v>1827</v>
      </c>
      <c r="E703" s="5" t="s">
        <v>1943</v>
      </c>
      <c r="F703" s="21">
        <v>2</v>
      </c>
      <c r="G703" s="753">
        <v>0</v>
      </c>
      <c r="H703" s="21">
        <f t="shared" si="494"/>
        <v>0</v>
      </c>
      <c r="I703" s="21">
        <f t="shared" si="495"/>
        <v>0</v>
      </c>
      <c r="J703" s="21">
        <f t="shared" si="496"/>
        <v>0</v>
      </c>
      <c r="K703" s="21">
        <v>0</v>
      </c>
      <c r="L703" s="21">
        <f t="shared" si="497"/>
        <v>0</v>
      </c>
      <c r="M703" s="34" t="s">
        <v>1960</v>
      </c>
      <c r="O703">
        <f t="shared" si="471"/>
        <v>0</v>
      </c>
      <c r="Z703" s="39">
        <f t="shared" si="498"/>
        <v>0</v>
      </c>
      <c r="AB703" s="39">
        <f t="shared" si="499"/>
        <v>0</v>
      </c>
      <c r="AC703" s="39">
        <f t="shared" si="500"/>
        <v>0</v>
      </c>
      <c r="AD703" s="39">
        <f t="shared" si="501"/>
        <v>0</v>
      </c>
      <c r="AE703" s="39">
        <f t="shared" si="502"/>
        <v>0</v>
      </c>
      <c r="AF703" s="39">
        <f t="shared" si="503"/>
        <v>0</v>
      </c>
      <c r="AG703" s="39">
        <f t="shared" si="504"/>
        <v>0</v>
      </c>
      <c r="AH703" s="39">
        <f t="shared" si="505"/>
        <v>0</v>
      </c>
      <c r="AI703" s="30"/>
      <c r="AJ703" s="21">
        <f t="shared" si="506"/>
        <v>0</v>
      </c>
      <c r="AK703" s="21">
        <f t="shared" si="507"/>
        <v>0</v>
      </c>
      <c r="AL703" s="21">
        <f t="shared" si="508"/>
        <v>0</v>
      </c>
      <c r="AN703" s="39">
        <v>21</v>
      </c>
      <c r="AO703" s="39">
        <f t="shared" si="509"/>
        <v>0</v>
      </c>
      <c r="AP703" s="39">
        <f t="shared" si="510"/>
        <v>0</v>
      </c>
      <c r="AQ703" s="34" t="s">
        <v>11</v>
      </c>
      <c r="AV703" s="39">
        <f t="shared" si="511"/>
        <v>0</v>
      </c>
      <c r="AW703" s="39">
        <f t="shared" si="512"/>
        <v>0</v>
      </c>
      <c r="AX703" s="39">
        <f t="shared" si="513"/>
        <v>0</v>
      </c>
      <c r="AY703" s="40" t="s">
        <v>2018</v>
      </c>
      <c r="AZ703" s="40" t="s">
        <v>2041</v>
      </c>
      <c r="BA703" s="30" t="s">
        <v>2045</v>
      </c>
      <c r="BC703" s="39">
        <f t="shared" si="514"/>
        <v>0</v>
      </c>
      <c r="BD703" s="39">
        <f t="shared" si="515"/>
        <v>0</v>
      </c>
      <c r="BE703" s="39">
        <v>0</v>
      </c>
      <c r="BF703" s="39">
        <f t="shared" si="516"/>
        <v>0</v>
      </c>
      <c r="BH703" s="21">
        <f t="shared" si="517"/>
        <v>0</v>
      </c>
      <c r="BI703" s="21">
        <f t="shared" si="518"/>
        <v>0</v>
      </c>
      <c r="BJ703" s="21">
        <f t="shared" si="519"/>
        <v>0</v>
      </c>
    </row>
    <row r="704" spans="1:62">
      <c r="A704" s="5" t="s">
        <v>518</v>
      </c>
      <c r="B704" s="5"/>
      <c r="C704" s="5" t="s">
        <v>1123</v>
      </c>
      <c r="D704" s="5" t="s">
        <v>1828</v>
      </c>
      <c r="E704" s="5" t="s">
        <v>1943</v>
      </c>
      <c r="F704" s="21">
        <v>2</v>
      </c>
      <c r="G704" s="753">
        <v>0</v>
      </c>
      <c r="H704" s="21">
        <f t="shared" si="494"/>
        <v>0</v>
      </c>
      <c r="I704" s="21">
        <f t="shared" si="495"/>
        <v>0</v>
      </c>
      <c r="J704" s="21">
        <f t="shared" si="496"/>
        <v>0</v>
      </c>
      <c r="K704" s="21">
        <v>0</v>
      </c>
      <c r="L704" s="21">
        <f t="shared" si="497"/>
        <v>0</v>
      </c>
      <c r="M704" s="34" t="s">
        <v>1960</v>
      </c>
      <c r="O704">
        <f t="shared" si="471"/>
        <v>0</v>
      </c>
      <c r="Z704" s="39">
        <f t="shared" si="498"/>
        <v>0</v>
      </c>
      <c r="AB704" s="39">
        <f t="shared" si="499"/>
        <v>0</v>
      </c>
      <c r="AC704" s="39">
        <f t="shared" si="500"/>
        <v>0</v>
      </c>
      <c r="AD704" s="39">
        <f t="shared" si="501"/>
        <v>0</v>
      </c>
      <c r="AE704" s="39">
        <f t="shared" si="502"/>
        <v>0</v>
      </c>
      <c r="AF704" s="39">
        <f t="shared" si="503"/>
        <v>0</v>
      </c>
      <c r="AG704" s="39">
        <f t="shared" si="504"/>
        <v>0</v>
      </c>
      <c r="AH704" s="39">
        <f t="shared" si="505"/>
        <v>0</v>
      </c>
      <c r="AI704" s="30"/>
      <c r="AJ704" s="21">
        <f t="shared" si="506"/>
        <v>0</v>
      </c>
      <c r="AK704" s="21">
        <f t="shared" si="507"/>
        <v>0</v>
      </c>
      <c r="AL704" s="21">
        <f t="shared" si="508"/>
        <v>0</v>
      </c>
      <c r="AN704" s="39">
        <v>21</v>
      </c>
      <c r="AO704" s="39">
        <f t="shared" si="509"/>
        <v>0</v>
      </c>
      <c r="AP704" s="39">
        <f t="shared" si="510"/>
        <v>0</v>
      </c>
      <c r="AQ704" s="34" t="s">
        <v>11</v>
      </c>
      <c r="AV704" s="39">
        <f t="shared" si="511"/>
        <v>0</v>
      </c>
      <c r="AW704" s="39">
        <f t="shared" si="512"/>
        <v>0</v>
      </c>
      <c r="AX704" s="39">
        <f t="shared" si="513"/>
        <v>0</v>
      </c>
      <c r="AY704" s="40" t="s">
        <v>2018</v>
      </c>
      <c r="AZ704" s="40" t="s">
        <v>2041</v>
      </c>
      <c r="BA704" s="30" t="s">
        <v>2045</v>
      </c>
      <c r="BC704" s="39">
        <f t="shared" si="514"/>
        <v>0</v>
      </c>
      <c r="BD704" s="39">
        <f t="shared" si="515"/>
        <v>0</v>
      </c>
      <c r="BE704" s="39">
        <v>0</v>
      </c>
      <c r="BF704" s="39">
        <f t="shared" si="516"/>
        <v>0</v>
      </c>
      <c r="BH704" s="21">
        <f t="shared" si="517"/>
        <v>0</v>
      </c>
      <c r="BI704" s="21">
        <f t="shared" si="518"/>
        <v>0</v>
      </c>
      <c r="BJ704" s="21">
        <f t="shared" si="519"/>
        <v>0</v>
      </c>
    </row>
    <row r="705" spans="1:62">
      <c r="A705" s="5" t="s">
        <v>519</v>
      </c>
      <c r="B705" s="5"/>
      <c r="C705" s="5" t="s">
        <v>1124</v>
      </c>
      <c r="D705" s="5" t="s">
        <v>1829</v>
      </c>
      <c r="E705" s="5" t="s">
        <v>1943</v>
      </c>
      <c r="F705" s="21">
        <v>2</v>
      </c>
      <c r="G705" s="753">
        <v>0</v>
      </c>
      <c r="H705" s="21">
        <f t="shared" si="494"/>
        <v>0</v>
      </c>
      <c r="I705" s="21">
        <f t="shared" si="495"/>
        <v>0</v>
      </c>
      <c r="J705" s="21">
        <f t="shared" si="496"/>
        <v>0</v>
      </c>
      <c r="K705" s="21">
        <v>0</v>
      </c>
      <c r="L705" s="21">
        <f t="shared" si="497"/>
        <v>0</v>
      </c>
      <c r="M705" s="34" t="s">
        <v>1960</v>
      </c>
      <c r="O705">
        <f t="shared" si="471"/>
        <v>0</v>
      </c>
      <c r="Z705" s="39">
        <f t="shared" si="498"/>
        <v>0</v>
      </c>
      <c r="AB705" s="39">
        <f t="shared" si="499"/>
        <v>0</v>
      </c>
      <c r="AC705" s="39">
        <f t="shared" si="500"/>
        <v>0</v>
      </c>
      <c r="AD705" s="39">
        <f t="shared" si="501"/>
        <v>0</v>
      </c>
      <c r="AE705" s="39">
        <f t="shared" si="502"/>
        <v>0</v>
      </c>
      <c r="AF705" s="39">
        <f t="shared" si="503"/>
        <v>0</v>
      </c>
      <c r="AG705" s="39">
        <f t="shared" si="504"/>
        <v>0</v>
      </c>
      <c r="AH705" s="39">
        <f t="shared" si="505"/>
        <v>0</v>
      </c>
      <c r="AI705" s="30"/>
      <c r="AJ705" s="21">
        <f t="shared" si="506"/>
        <v>0</v>
      </c>
      <c r="AK705" s="21">
        <f t="shared" si="507"/>
        <v>0</v>
      </c>
      <c r="AL705" s="21">
        <f t="shared" si="508"/>
        <v>0</v>
      </c>
      <c r="AN705" s="39">
        <v>21</v>
      </c>
      <c r="AO705" s="39">
        <f t="shared" si="509"/>
        <v>0</v>
      </c>
      <c r="AP705" s="39">
        <f t="shared" si="510"/>
        <v>0</v>
      </c>
      <c r="AQ705" s="34" t="s">
        <v>11</v>
      </c>
      <c r="AV705" s="39">
        <f t="shared" si="511"/>
        <v>0</v>
      </c>
      <c r="AW705" s="39">
        <f t="shared" si="512"/>
        <v>0</v>
      </c>
      <c r="AX705" s="39">
        <f t="shared" si="513"/>
        <v>0</v>
      </c>
      <c r="AY705" s="40" t="s">
        <v>2018</v>
      </c>
      <c r="AZ705" s="40" t="s">
        <v>2041</v>
      </c>
      <c r="BA705" s="30" t="s">
        <v>2045</v>
      </c>
      <c r="BC705" s="39">
        <f t="shared" si="514"/>
        <v>0</v>
      </c>
      <c r="BD705" s="39">
        <f t="shared" si="515"/>
        <v>0</v>
      </c>
      <c r="BE705" s="39">
        <v>0</v>
      </c>
      <c r="BF705" s="39">
        <f t="shared" si="516"/>
        <v>0</v>
      </c>
      <c r="BH705" s="21">
        <f t="shared" si="517"/>
        <v>0</v>
      </c>
      <c r="BI705" s="21">
        <f t="shared" si="518"/>
        <v>0</v>
      </c>
      <c r="BJ705" s="21">
        <f t="shared" si="519"/>
        <v>0</v>
      </c>
    </row>
    <row r="706" spans="1:62">
      <c r="A706" s="5" t="s">
        <v>520</v>
      </c>
      <c r="B706" s="5"/>
      <c r="C706" s="5" t="s">
        <v>1125</v>
      </c>
      <c r="D706" s="5" t="s">
        <v>1830</v>
      </c>
      <c r="E706" s="5" t="s">
        <v>1943</v>
      </c>
      <c r="F706" s="21">
        <v>1</v>
      </c>
      <c r="G706" s="753">
        <v>0</v>
      </c>
      <c r="H706" s="21">
        <f t="shared" si="494"/>
        <v>0</v>
      </c>
      <c r="I706" s="21">
        <f t="shared" si="495"/>
        <v>0</v>
      </c>
      <c r="J706" s="21">
        <f t="shared" si="496"/>
        <v>0</v>
      </c>
      <c r="K706" s="21">
        <v>0</v>
      </c>
      <c r="L706" s="21">
        <f t="shared" si="497"/>
        <v>0</v>
      </c>
      <c r="M706" s="34" t="s">
        <v>1960</v>
      </c>
      <c r="O706">
        <f t="shared" si="471"/>
        <v>0</v>
      </c>
      <c r="Z706" s="39">
        <f t="shared" si="498"/>
        <v>0</v>
      </c>
      <c r="AB706" s="39">
        <f t="shared" si="499"/>
        <v>0</v>
      </c>
      <c r="AC706" s="39">
        <f t="shared" si="500"/>
        <v>0</v>
      </c>
      <c r="AD706" s="39">
        <f t="shared" si="501"/>
        <v>0</v>
      </c>
      <c r="AE706" s="39">
        <f t="shared" si="502"/>
        <v>0</v>
      </c>
      <c r="AF706" s="39">
        <f t="shared" si="503"/>
        <v>0</v>
      </c>
      <c r="AG706" s="39">
        <f t="shared" si="504"/>
        <v>0</v>
      </c>
      <c r="AH706" s="39">
        <f t="shared" si="505"/>
        <v>0</v>
      </c>
      <c r="AI706" s="30"/>
      <c r="AJ706" s="21">
        <f t="shared" si="506"/>
        <v>0</v>
      </c>
      <c r="AK706" s="21">
        <f t="shared" si="507"/>
        <v>0</v>
      </c>
      <c r="AL706" s="21">
        <f t="shared" si="508"/>
        <v>0</v>
      </c>
      <c r="AN706" s="39">
        <v>21</v>
      </c>
      <c r="AO706" s="39">
        <f t="shared" si="509"/>
        <v>0</v>
      </c>
      <c r="AP706" s="39">
        <f t="shared" si="510"/>
        <v>0</v>
      </c>
      <c r="AQ706" s="34" t="s">
        <v>11</v>
      </c>
      <c r="AV706" s="39">
        <f t="shared" si="511"/>
        <v>0</v>
      </c>
      <c r="AW706" s="39">
        <f t="shared" si="512"/>
        <v>0</v>
      </c>
      <c r="AX706" s="39">
        <f t="shared" si="513"/>
        <v>0</v>
      </c>
      <c r="AY706" s="40" t="s">
        <v>2018</v>
      </c>
      <c r="AZ706" s="40" t="s">
        <v>2041</v>
      </c>
      <c r="BA706" s="30" t="s">
        <v>2045</v>
      </c>
      <c r="BC706" s="39">
        <f t="shared" si="514"/>
        <v>0</v>
      </c>
      <c r="BD706" s="39">
        <f t="shared" si="515"/>
        <v>0</v>
      </c>
      <c r="BE706" s="39">
        <v>0</v>
      </c>
      <c r="BF706" s="39">
        <f t="shared" si="516"/>
        <v>0</v>
      </c>
      <c r="BH706" s="21">
        <f t="shared" si="517"/>
        <v>0</v>
      </c>
      <c r="BI706" s="21">
        <f t="shared" si="518"/>
        <v>0</v>
      </c>
      <c r="BJ706" s="21">
        <f t="shared" si="519"/>
        <v>0</v>
      </c>
    </row>
    <row r="707" spans="1:62">
      <c r="A707" s="5" t="s">
        <v>521</v>
      </c>
      <c r="B707" s="5"/>
      <c r="C707" s="5" t="s">
        <v>1126</v>
      </c>
      <c r="D707" s="5" t="s">
        <v>1831</v>
      </c>
      <c r="E707" s="5" t="s">
        <v>1943</v>
      </c>
      <c r="F707" s="21">
        <v>1</v>
      </c>
      <c r="G707" s="753">
        <v>0</v>
      </c>
      <c r="H707" s="21">
        <f t="shared" si="494"/>
        <v>0</v>
      </c>
      <c r="I707" s="21">
        <f t="shared" si="495"/>
        <v>0</v>
      </c>
      <c r="J707" s="21">
        <f t="shared" si="496"/>
        <v>0</v>
      </c>
      <c r="K707" s="21">
        <v>0</v>
      </c>
      <c r="L707" s="21">
        <f t="shared" si="497"/>
        <v>0</v>
      </c>
      <c r="M707" s="34" t="s">
        <v>1960</v>
      </c>
      <c r="O707">
        <f t="shared" si="471"/>
        <v>0</v>
      </c>
      <c r="Z707" s="39">
        <f t="shared" si="498"/>
        <v>0</v>
      </c>
      <c r="AB707" s="39">
        <f t="shared" si="499"/>
        <v>0</v>
      </c>
      <c r="AC707" s="39">
        <f t="shared" si="500"/>
        <v>0</v>
      </c>
      <c r="AD707" s="39">
        <f t="shared" si="501"/>
        <v>0</v>
      </c>
      <c r="AE707" s="39">
        <f t="shared" si="502"/>
        <v>0</v>
      </c>
      <c r="AF707" s="39">
        <f t="shared" si="503"/>
        <v>0</v>
      </c>
      <c r="AG707" s="39">
        <f t="shared" si="504"/>
        <v>0</v>
      </c>
      <c r="AH707" s="39">
        <f t="shared" si="505"/>
        <v>0</v>
      </c>
      <c r="AI707" s="30"/>
      <c r="AJ707" s="21">
        <f t="shared" si="506"/>
        <v>0</v>
      </c>
      <c r="AK707" s="21">
        <f t="shared" si="507"/>
        <v>0</v>
      </c>
      <c r="AL707" s="21">
        <f t="shared" si="508"/>
        <v>0</v>
      </c>
      <c r="AN707" s="39">
        <v>21</v>
      </c>
      <c r="AO707" s="39">
        <f t="shared" si="509"/>
        <v>0</v>
      </c>
      <c r="AP707" s="39">
        <f t="shared" si="510"/>
        <v>0</v>
      </c>
      <c r="AQ707" s="34" t="s">
        <v>11</v>
      </c>
      <c r="AV707" s="39">
        <f t="shared" si="511"/>
        <v>0</v>
      </c>
      <c r="AW707" s="39">
        <f t="shared" si="512"/>
        <v>0</v>
      </c>
      <c r="AX707" s="39">
        <f t="shared" si="513"/>
        <v>0</v>
      </c>
      <c r="AY707" s="40" t="s">
        <v>2018</v>
      </c>
      <c r="AZ707" s="40" t="s">
        <v>2041</v>
      </c>
      <c r="BA707" s="30" t="s">
        <v>2045</v>
      </c>
      <c r="BC707" s="39">
        <f t="shared" si="514"/>
        <v>0</v>
      </c>
      <c r="BD707" s="39">
        <f t="shared" si="515"/>
        <v>0</v>
      </c>
      <c r="BE707" s="39">
        <v>0</v>
      </c>
      <c r="BF707" s="39">
        <f t="shared" si="516"/>
        <v>0</v>
      </c>
      <c r="BH707" s="21">
        <f t="shared" si="517"/>
        <v>0</v>
      </c>
      <c r="BI707" s="21">
        <f t="shared" si="518"/>
        <v>0</v>
      </c>
      <c r="BJ707" s="21">
        <f t="shared" si="519"/>
        <v>0</v>
      </c>
    </row>
    <row r="708" spans="1:62">
      <c r="A708" s="5" t="s">
        <v>522</v>
      </c>
      <c r="B708" s="5"/>
      <c r="C708" s="5" t="s">
        <v>1127</v>
      </c>
      <c r="D708" s="5" t="s">
        <v>1832</v>
      </c>
      <c r="E708" s="5" t="s">
        <v>1943</v>
      </c>
      <c r="F708" s="21">
        <v>1</v>
      </c>
      <c r="G708" s="753">
        <v>0</v>
      </c>
      <c r="H708" s="21">
        <f t="shared" si="494"/>
        <v>0</v>
      </c>
      <c r="I708" s="21">
        <f t="shared" si="495"/>
        <v>0</v>
      </c>
      <c r="J708" s="21">
        <f t="shared" si="496"/>
        <v>0</v>
      </c>
      <c r="K708" s="21">
        <v>0</v>
      </c>
      <c r="L708" s="21">
        <f t="shared" si="497"/>
        <v>0</v>
      </c>
      <c r="M708" s="34" t="s">
        <v>1960</v>
      </c>
      <c r="O708">
        <f t="shared" si="471"/>
        <v>0</v>
      </c>
      <c r="Z708" s="39">
        <f t="shared" si="498"/>
        <v>0</v>
      </c>
      <c r="AB708" s="39">
        <f t="shared" si="499"/>
        <v>0</v>
      </c>
      <c r="AC708" s="39">
        <f t="shared" si="500"/>
        <v>0</v>
      </c>
      <c r="AD708" s="39">
        <f t="shared" si="501"/>
        <v>0</v>
      </c>
      <c r="AE708" s="39">
        <f t="shared" si="502"/>
        <v>0</v>
      </c>
      <c r="AF708" s="39">
        <f t="shared" si="503"/>
        <v>0</v>
      </c>
      <c r="AG708" s="39">
        <f t="shared" si="504"/>
        <v>0</v>
      </c>
      <c r="AH708" s="39">
        <f t="shared" si="505"/>
        <v>0</v>
      </c>
      <c r="AI708" s="30"/>
      <c r="AJ708" s="21">
        <f t="shared" si="506"/>
        <v>0</v>
      </c>
      <c r="AK708" s="21">
        <f t="shared" si="507"/>
        <v>0</v>
      </c>
      <c r="AL708" s="21">
        <f t="shared" si="508"/>
        <v>0</v>
      </c>
      <c r="AN708" s="39">
        <v>21</v>
      </c>
      <c r="AO708" s="39">
        <f t="shared" si="509"/>
        <v>0</v>
      </c>
      <c r="AP708" s="39">
        <f t="shared" si="510"/>
        <v>0</v>
      </c>
      <c r="AQ708" s="34" t="s">
        <v>11</v>
      </c>
      <c r="AV708" s="39">
        <f t="shared" si="511"/>
        <v>0</v>
      </c>
      <c r="AW708" s="39">
        <f t="shared" si="512"/>
        <v>0</v>
      </c>
      <c r="AX708" s="39">
        <f t="shared" si="513"/>
        <v>0</v>
      </c>
      <c r="AY708" s="40" t="s">
        <v>2018</v>
      </c>
      <c r="AZ708" s="40" t="s">
        <v>2041</v>
      </c>
      <c r="BA708" s="30" t="s">
        <v>2045</v>
      </c>
      <c r="BC708" s="39">
        <f t="shared" si="514"/>
        <v>0</v>
      </c>
      <c r="BD708" s="39">
        <f t="shared" si="515"/>
        <v>0</v>
      </c>
      <c r="BE708" s="39">
        <v>0</v>
      </c>
      <c r="BF708" s="39">
        <f t="shared" si="516"/>
        <v>0</v>
      </c>
      <c r="BH708" s="21">
        <f t="shared" si="517"/>
        <v>0</v>
      </c>
      <c r="BI708" s="21">
        <f t="shared" si="518"/>
        <v>0</v>
      </c>
      <c r="BJ708" s="21">
        <f t="shared" si="519"/>
        <v>0</v>
      </c>
    </row>
    <row r="709" spans="1:62">
      <c r="A709" s="5" t="s">
        <v>523</v>
      </c>
      <c r="B709" s="5"/>
      <c r="C709" s="5" t="s">
        <v>1128</v>
      </c>
      <c r="D709" s="5" t="s">
        <v>1833</v>
      </c>
      <c r="E709" s="5" t="s">
        <v>1943</v>
      </c>
      <c r="F709" s="21">
        <v>1</v>
      </c>
      <c r="G709" s="753">
        <v>0</v>
      </c>
      <c r="H709" s="21">
        <f t="shared" si="494"/>
        <v>0</v>
      </c>
      <c r="I709" s="21">
        <f t="shared" si="495"/>
        <v>0</v>
      </c>
      <c r="J709" s="21">
        <f t="shared" si="496"/>
        <v>0</v>
      </c>
      <c r="K709" s="21">
        <v>0</v>
      </c>
      <c r="L709" s="21">
        <f t="shared" si="497"/>
        <v>0</v>
      </c>
      <c r="M709" s="34" t="s">
        <v>1960</v>
      </c>
      <c r="O709">
        <f t="shared" si="471"/>
        <v>0</v>
      </c>
      <c r="Z709" s="39">
        <f t="shared" si="498"/>
        <v>0</v>
      </c>
      <c r="AB709" s="39">
        <f t="shared" si="499"/>
        <v>0</v>
      </c>
      <c r="AC709" s="39">
        <f t="shared" si="500"/>
        <v>0</v>
      </c>
      <c r="AD709" s="39">
        <f t="shared" si="501"/>
        <v>0</v>
      </c>
      <c r="AE709" s="39">
        <f t="shared" si="502"/>
        <v>0</v>
      </c>
      <c r="AF709" s="39">
        <f t="shared" si="503"/>
        <v>0</v>
      </c>
      <c r="AG709" s="39">
        <f t="shared" si="504"/>
        <v>0</v>
      </c>
      <c r="AH709" s="39">
        <f t="shared" si="505"/>
        <v>0</v>
      </c>
      <c r="AI709" s="30"/>
      <c r="AJ709" s="21">
        <f t="shared" si="506"/>
        <v>0</v>
      </c>
      <c r="AK709" s="21">
        <f t="shared" si="507"/>
        <v>0</v>
      </c>
      <c r="AL709" s="21">
        <f t="shared" si="508"/>
        <v>0</v>
      </c>
      <c r="AN709" s="39">
        <v>21</v>
      </c>
      <c r="AO709" s="39">
        <f t="shared" si="509"/>
        <v>0</v>
      </c>
      <c r="AP709" s="39">
        <f t="shared" si="510"/>
        <v>0</v>
      </c>
      <c r="AQ709" s="34" t="s">
        <v>11</v>
      </c>
      <c r="AV709" s="39">
        <f t="shared" si="511"/>
        <v>0</v>
      </c>
      <c r="AW709" s="39">
        <f t="shared" si="512"/>
        <v>0</v>
      </c>
      <c r="AX709" s="39">
        <f t="shared" si="513"/>
        <v>0</v>
      </c>
      <c r="AY709" s="40" t="s">
        <v>2018</v>
      </c>
      <c r="AZ709" s="40" t="s">
        <v>2041</v>
      </c>
      <c r="BA709" s="30" t="s">
        <v>2045</v>
      </c>
      <c r="BC709" s="39">
        <f t="shared" si="514"/>
        <v>0</v>
      </c>
      <c r="BD709" s="39">
        <f t="shared" si="515"/>
        <v>0</v>
      </c>
      <c r="BE709" s="39">
        <v>0</v>
      </c>
      <c r="BF709" s="39">
        <f t="shared" si="516"/>
        <v>0</v>
      </c>
      <c r="BH709" s="21">
        <f t="shared" si="517"/>
        <v>0</v>
      </c>
      <c r="BI709" s="21">
        <f t="shared" si="518"/>
        <v>0</v>
      </c>
      <c r="BJ709" s="21">
        <f t="shared" si="519"/>
        <v>0</v>
      </c>
    </row>
    <row r="710" spans="1:62">
      <c r="A710" s="5" t="s">
        <v>524</v>
      </c>
      <c r="B710" s="5"/>
      <c r="C710" s="5" t="s">
        <v>1129</v>
      </c>
      <c r="D710" s="5" t="s">
        <v>1834</v>
      </c>
      <c r="E710" s="5" t="s">
        <v>1943</v>
      </c>
      <c r="F710" s="21">
        <v>1</v>
      </c>
      <c r="G710" s="753">
        <v>0</v>
      </c>
      <c r="H710" s="21">
        <f t="shared" si="494"/>
        <v>0</v>
      </c>
      <c r="I710" s="21">
        <f t="shared" si="495"/>
        <v>0</v>
      </c>
      <c r="J710" s="21">
        <f t="shared" si="496"/>
        <v>0</v>
      </c>
      <c r="K710" s="21">
        <v>0</v>
      </c>
      <c r="L710" s="21">
        <f t="shared" si="497"/>
        <v>0</v>
      </c>
      <c r="M710" s="34" t="s">
        <v>1960</v>
      </c>
      <c r="O710">
        <f t="shared" si="471"/>
        <v>0</v>
      </c>
      <c r="Z710" s="39">
        <f t="shared" si="498"/>
        <v>0</v>
      </c>
      <c r="AB710" s="39">
        <f t="shared" si="499"/>
        <v>0</v>
      </c>
      <c r="AC710" s="39">
        <f t="shared" si="500"/>
        <v>0</v>
      </c>
      <c r="AD710" s="39">
        <f t="shared" si="501"/>
        <v>0</v>
      </c>
      <c r="AE710" s="39">
        <f t="shared" si="502"/>
        <v>0</v>
      </c>
      <c r="AF710" s="39">
        <f t="shared" si="503"/>
        <v>0</v>
      </c>
      <c r="AG710" s="39">
        <f t="shared" si="504"/>
        <v>0</v>
      </c>
      <c r="AH710" s="39">
        <f t="shared" si="505"/>
        <v>0</v>
      </c>
      <c r="AI710" s="30"/>
      <c r="AJ710" s="21">
        <f t="shared" si="506"/>
        <v>0</v>
      </c>
      <c r="AK710" s="21">
        <f t="shared" si="507"/>
        <v>0</v>
      </c>
      <c r="AL710" s="21">
        <f t="shared" si="508"/>
        <v>0</v>
      </c>
      <c r="AN710" s="39">
        <v>21</v>
      </c>
      <c r="AO710" s="39">
        <f t="shared" si="509"/>
        <v>0</v>
      </c>
      <c r="AP710" s="39">
        <f t="shared" si="510"/>
        <v>0</v>
      </c>
      <c r="AQ710" s="34" t="s">
        <v>11</v>
      </c>
      <c r="AV710" s="39">
        <f t="shared" si="511"/>
        <v>0</v>
      </c>
      <c r="AW710" s="39">
        <f t="shared" si="512"/>
        <v>0</v>
      </c>
      <c r="AX710" s="39">
        <f t="shared" si="513"/>
        <v>0</v>
      </c>
      <c r="AY710" s="40" t="s">
        <v>2018</v>
      </c>
      <c r="AZ710" s="40" t="s">
        <v>2041</v>
      </c>
      <c r="BA710" s="30" t="s">
        <v>2045</v>
      </c>
      <c r="BC710" s="39">
        <f t="shared" si="514"/>
        <v>0</v>
      </c>
      <c r="BD710" s="39">
        <f t="shared" si="515"/>
        <v>0</v>
      </c>
      <c r="BE710" s="39">
        <v>0</v>
      </c>
      <c r="BF710" s="39">
        <f t="shared" si="516"/>
        <v>0</v>
      </c>
      <c r="BH710" s="21">
        <f t="shared" si="517"/>
        <v>0</v>
      </c>
      <c r="BI710" s="21">
        <f t="shared" si="518"/>
        <v>0</v>
      </c>
      <c r="BJ710" s="21">
        <f t="shared" si="519"/>
        <v>0</v>
      </c>
    </row>
    <row r="711" spans="1:62">
      <c r="A711" s="5" t="s">
        <v>525</v>
      </c>
      <c r="B711" s="5"/>
      <c r="C711" s="5" t="s">
        <v>1130</v>
      </c>
      <c r="D711" s="5" t="s">
        <v>1835</v>
      </c>
      <c r="E711" s="5" t="s">
        <v>1943</v>
      </c>
      <c r="F711" s="21">
        <v>1</v>
      </c>
      <c r="G711" s="753">
        <v>0</v>
      </c>
      <c r="H711" s="21">
        <f t="shared" si="494"/>
        <v>0</v>
      </c>
      <c r="I711" s="21">
        <f t="shared" si="495"/>
        <v>0</v>
      </c>
      <c r="J711" s="21">
        <f t="shared" si="496"/>
        <v>0</v>
      </c>
      <c r="K711" s="21">
        <v>0</v>
      </c>
      <c r="L711" s="21">
        <f t="shared" si="497"/>
        <v>0</v>
      </c>
      <c r="M711" s="34" t="s">
        <v>1960</v>
      </c>
      <c r="O711">
        <f t="shared" si="471"/>
        <v>0</v>
      </c>
      <c r="Z711" s="39">
        <f t="shared" si="498"/>
        <v>0</v>
      </c>
      <c r="AB711" s="39">
        <f t="shared" si="499"/>
        <v>0</v>
      </c>
      <c r="AC711" s="39">
        <f t="shared" si="500"/>
        <v>0</v>
      </c>
      <c r="AD711" s="39">
        <f t="shared" si="501"/>
        <v>0</v>
      </c>
      <c r="AE711" s="39">
        <f t="shared" si="502"/>
        <v>0</v>
      </c>
      <c r="AF711" s="39">
        <f t="shared" si="503"/>
        <v>0</v>
      </c>
      <c r="AG711" s="39">
        <f t="shared" si="504"/>
        <v>0</v>
      </c>
      <c r="AH711" s="39">
        <f t="shared" si="505"/>
        <v>0</v>
      </c>
      <c r="AI711" s="30"/>
      <c r="AJ711" s="21">
        <f t="shared" si="506"/>
        <v>0</v>
      </c>
      <c r="AK711" s="21">
        <f t="shared" si="507"/>
        <v>0</v>
      </c>
      <c r="AL711" s="21">
        <f t="shared" si="508"/>
        <v>0</v>
      </c>
      <c r="AN711" s="39">
        <v>21</v>
      </c>
      <c r="AO711" s="39">
        <f t="shared" si="509"/>
        <v>0</v>
      </c>
      <c r="AP711" s="39">
        <f t="shared" si="510"/>
        <v>0</v>
      </c>
      <c r="AQ711" s="34" t="s">
        <v>11</v>
      </c>
      <c r="AV711" s="39">
        <f t="shared" si="511"/>
        <v>0</v>
      </c>
      <c r="AW711" s="39">
        <f t="shared" si="512"/>
        <v>0</v>
      </c>
      <c r="AX711" s="39">
        <f t="shared" si="513"/>
        <v>0</v>
      </c>
      <c r="AY711" s="40" t="s">
        <v>2018</v>
      </c>
      <c r="AZ711" s="40" t="s">
        <v>2041</v>
      </c>
      <c r="BA711" s="30" t="s">
        <v>2045</v>
      </c>
      <c r="BC711" s="39">
        <f t="shared" si="514"/>
        <v>0</v>
      </c>
      <c r="BD711" s="39">
        <f t="shared" si="515"/>
        <v>0</v>
      </c>
      <c r="BE711" s="39">
        <v>0</v>
      </c>
      <c r="BF711" s="39">
        <f t="shared" si="516"/>
        <v>0</v>
      </c>
      <c r="BH711" s="21">
        <f t="shared" si="517"/>
        <v>0</v>
      </c>
      <c r="BI711" s="21">
        <f t="shared" si="518"/>
        <v>0</v>
      </c>
      <c r="BJ711" s="21">
        <f t="shared" si="519"/>
        <v>0</v>
      </c>
    </row>
    <row r="712" spans="1:62">
      <c r="A712" s="5" t="s">
        <v>526</v>
      </c>
      <c r="B712" s="5"/>
      <c r="C712" s="5" t="s">
        <v>1131</v>
      </c>
      <c r="D712" s="5" t="s">
        <v>1836</v>
      </c>
      <c r="E712" s="5" t="s">
        <v>1943</v>
      </c>
      <c r="F712" s="21">
        <v>1</v>
      </c>
      <c r="G712" s="753">
        <v>0</v>
      </c>
      <c r="H712" s="21">
        <f t="shared" si="494"/>
        <v>0</v>
      </c>
      <c r="I712" s="21">
        <f t="shared" si="495"/>
        <v>0</v>
      </c>
      <c r="J712" s="21">
        <f t="shared" si="496"/>
        <v>0</v>
      </c>
      <c r="K712" s="21">
        <v>0</v>
      </c>
      <c r="L712" s="21">
        <f t="shared" si="497"/>
        <v>0</v>
      </c>
      <c r="M712" s="34" t="s">
        <v>1960</v>
      </c>
      <c r="O712">
        <f t="shared" si="471"/>
        <v>0</v>
      </c>
      <c r="Z712" s="39">
        <f t="shared" si="498"/>
        <v>0</v>
      </c>
      <c r="AB712" s="39">
        <f t="shared" si="499"/>
        <v>0</v>
      </c>
      <c r="AC712" s="39">
        <f t="shared" si="500"/>
        <v>0</v>
      </c>
      <c r="AD712" s="39">
        <f t="shared" si="501"/>
        <v>0</v>
      </c>
      <c r="AE712" s="39">
        <f t="shared" si="502"/>
        <v>0</v>
      </c>
      <c r="AF712" s="39">
        <f t="shared" si="503"/>
        <v>0</v>
      </c>
      <c r="AG712" s="39">
        <f t="shared" si="504"/>
        <v>0</v>
      </c>
      <c r="AH712" s="39">
        <f t="shared" si="505"/>
        <v>0</v>
      </c>
      <c r="AI712" s="30"/>
      <c r="AJ712" s="21">
        <f t="shared" si="506"/>
        <v>0</v>
      </c>
      <c r="AK712" s="21">
        <f t="shared" si="507"/>
        <v>0</v>
      </c>
      <c r="AL712" s="21">
        <f t="shared" si="508"/>
        <v>0</v>
      </c>
      <c r="AN712" s="39">
        <v>21</v>
      </c>
      <c r="AO712" s="39">
        <f t="shared" si="509"/>
        <v>0</v>
      </c>
      <c r="AP712" s="39">
        <f t="shared" si="510"/>
        <v>0</v>
      </c>
      <c r="AQ712" s="34" t="s">
        <v>11</v>
      </c>
      <c r="AV712" s="39">
        <f t="shared" si="511"/>
        <v>0</v>
      </c>
      <c r="AW712" s="39">
        <f t="shared" si="512"/>
        <v>0</v>
      </c>
      <c r="AX712" s="39">
        <f t="shared" si="513"/>
        <v>0</v>
      </c>
      <c r="AY712" s="40" t="s">
        <v>2018</v>
      </c>
      <c r="AZ712" s="40" t="s">
        <v>2041</v>
      </c>
      <c r="BA712" s="30" t="s">
        <v>2045</v>
      </c>
      <c r="BC712" s="39">
        <f t="shared" si="514"/>
        <v>0</v>
      </c>
      <c r="BD712" s="39">
        <f t="shared" si="515"/>
        <v>0</v>
      </c>
      <c r="BE712" s="39">
        <v>0</v>
      </c>
      <c r="BF712" s="39">
        <f t="shared" si="516"/>
        <v>0</v>
      </c>
      <c r="BH712" s="21">
        <f t="shared" si="517"/>
        <v>0</v>
      </c>
      <c r="BI712" s="21">
        <f t="shared" si="518"/>
        <v>0</v>
      </c>
      <c r="BJ712" s="21">
        <f t="shared" si="519"/>
        <v>0</v>
      </c>
    </row>
    <row r="713" spans="1:62">
      <c r="A713" s="5" t="s">
        <v>527</v>
      </c>
      <c r="B713" s="5"/>
      <c r="C713" s="5" t="s">
        <v>1132</v>
      </c>
      <c r="D713" s="5" t="s">
        <v>1837</v>
      </c>
      <c r="E713" s="5" t="s">
        <v>1943</v>
      </c>
      <c r="F713" s="21">
        <v>1</v>
      </c>
      <c r="G713" s="753">
        <v>0</v>
      </c>
      <c r="H713" s="21">
        <f t="shared" si="494"/>
        <v>0</v>
      </c>
      <c r="I713" s="21">
        <f t="shared" si="495"/>
        <v>0</v>
      </c>
      <c r="J713" s="21">
        <f t="shared" si="496"/>
        <v>0</v>
      </c>
      <c r="K713" s="21">
        <v>0</v>
      </c>
      <c r="L713" s="21">
        <f t="shared" si="497"/>
        <v>0</v>
      </c>
      <c r="M713" s="34" t="s">
        <v>1960</v>
      </c>
      <c r="O713">
        <f t="shared" si="471"/>
        <v>0</v>
      </c>
      <c r="Z713" s="39">
        <f t="shared" si="498"/>
        <v>0</v>
      </c>
      <c r="AB713" s="39">
        <f t="shared" si="499"/>
        <v>0</v>
      </c>
      <c r="AC713" s="39">
        <f t="shared" si="500"/>
        <v>0</v>
      </c>
      <c r="AD713" s="39">
        <f t="shared" si="501"/>
        <v>0</v>
      </c>
      <c r="AE713" s="39">
        <f t="shared" si="502"/>
        <v>0</v>
      </c>
      <c r="AF713" s="39">
        <f t="shared" si="503"/>
        <v>0</v>
      </c>
      <c r="AG713" s="39">
        <f t="shared" si="504"/>
        <v>0</v>
      </c>
      <c r="AH713" s="39">
        <f t="shared" si="505"/>
        <v>0</v>
      </c>
      <c r="AI713" s="30"/>
      <c r="AJ713" s="21">
        <f t="shared" si="506"/>
        <v>0</v>
      </c>
      <c r="AK713" s="21">
        <f t="shared" si="507"/>
        <v>0</v>
      </c>
      <c r="AL713" s="21">
        <f t="shared" si="508"/>
        <v>0</v>
      </c>
      <c r="AN713" s="39">
        <v>21</v>
      </c>
      <c r="AO713" s="39">
        <f t="shared" si="509"/>
        <v>0</v>
      </c>
      <c r="AP713" s="39">
        <f t="shared" si="510"/>
        <v>0</v>
      </c>
      <c r="AQ713" s="34" t="s">
        <v>11</v>
      </c>
      <c r="AV713" s="39">
        <f t="shared" si="511"/>
        <v>0</v>
      </c>
      <c r="AW713" s="39">
        <f t="shared" si="512"/>
        <v>0</v>
      </c>
      <c r="AX713" s="39">
        <f t="shared" si="513"/>
        <v>0</v>
      </c>
      <c r="AY713" s="40" t="s">
        <v>2018</v>
      </c>
      <c r="AZ713" s="40" t="s">
        <v>2041</v>
      </c>
      <c r="BA713" s="30" t="s">
        <v>2045</v>
      </c>
      <c r="BC713" s="39">
        <f t="shared" si="514"/>
        <v>0</v>
      </c>
      <c r="BD713" s="39">
        <f t="shared" si="515"/>
        <v>0</v>
      </c>
      <c r="BE713" s="39">
        <v>0</v>
      </c>
      <c r="BF713" s="39">
        <f t="shared" si="516"/>
        <v>0</v>
      </c>
      <c r="BH713" s="21">
        <f t="shared" si="517"/>
        <v>0</v>
      </c>
      <c r="BI713" s="21">
        <f t="shared" si="518"/>
        <v>0</v>
      </c>
      <c r="BJ713" s="21">
        <f t="shared" si="519"/>
        <v>0</v>
      </c>
    </row>
    <row r="714" spans="1:62">
      <c r="A714" s="5" t="s">
        <v>528</v>
      </c>
      <c r="B714" s="5"/>
      <c r="C714" s="5" t="s">
        <v>1133</v>
      </c>
      <c r="D714" s="5" t="s">
        <v>5795</v>
      </c>
      <c r="E714" s="5" t="s">
        <v>1943</v>
      </c>
      <c r="F714" s="21">
        <v>1</v>
      </c>
      <c r="G714" s="753">
        <v>0</v>
      </c>
      <c r="H714" s="21">
        <f t="shared" si="494"/>
        <v>0</v>
      </c>
      <c r="I714" s="21">
        <f t="shared" si="495"/>
        <v>0</v>
      </c>
      <c r="J714" s="21">
        <f t="shared" si="496"/>
        <v>0</v>
      </c>
      <c r="K714" s="21">
        <v>0</v>
      </c>
      <c r="L714" s="21">
        <f t="shared" si="497"/>
        <v>0</v>
      </c>
      <c r="M714" s="34" t="s">
        <v>1960</v>
      </c>
      <c r="O714">
        <f t="shared" si="471"/>
        <v>0</v>
      </c>
      <c r="Z714" s="39">
        <f t="shared" si="498"/>
        <v>0</v>
      </c>
      <c r="AB714" s="39">
        <f t="shared" si="499"/>
        <v>0</v>
      </c>
      <c r="AC714" s="39">
        <f t="shared" si="500"/>
        <v>0</v>
      </c>
      <c r="AD714" s="39">
        <f t="shared" si="501"/>
        <v>0</v>
      </c>
      <c r="AE714" s="39">
        <f t="shared" si="502"/>
        <v>0</v>
      </c>
      <c r="AF714" s="39">
        <f t="shared" si="503"/>
        <v>0</v>
      </c>
      <c r="AG714" s="39">
        <f t="shared" si="504"/>
        <v>0</v>
      </c>
      <c r="AH714" s="39">
        <f t="shared" si="505"/>
        <v>0</v>
      </c>
      <c r="AI714" s="30"/>
      <c r="AJ714" s="21">
        <f t="shared" si="506"/>
        <v>0</v>
      </c>
      <c r="AK714" s="21">
        <f t="shared" si="507"/>
        <v>0</v>
      </c>
      <c r="AL714" s="21">
        <f t="shared" si="508"/>
        <v>0</v>
      </c>
      <c r="AN714" s="39">
        <v>21</v>
      </c>
      <c r="AO714" s="39">
        <f t="shared" si="509"/>
        <v>0</v>
      </c>
      <c r="AP714" s="39">
        <f t="shared" si="510"/>
        <v>0</v>
      </c>
      <c r="AQ714" s="34" t="s">
        <v>11</v>
      </c>
      <c r="AV714" s="39">
        <f t="shared" si="511"/>
        <v>0</v>
      </c>
      <c r="AW714" s="39">
        <f t="shared" si="512"/>
        <v>0</v>
      </c>
      <c r="AX714" s="39">
        <f t="shared" si="513"/>
        <v>0</v>
      </c>
      <c r="AY714" s="40" t="s">
        <v>2018</v>
      </c>
      <c r="AZ714" s="40" t="s">
        <v>2041</v>
      </c>
      <c r="BA714" s="30" t="s">
        <v>2045</v>
      </c>
      <c r="BC714" s="39">
        <f t="shared" si="514"/>
        <v>0</v>
      </c>
      <c r="BD714" s="39">
        <f t="shared" si="515"/>
        <v>0</v>
      </c>
      <c r="BE714" s="39">
        <v>0</v>
      </c>
      <c r="BF714" s="39">
        <f t="shared" si="516"/>
        <v>0</v>
      </c>
      <c r="BH714" s="21">
        <f t="shared" si="517"/>
        <v>0</v>
      </c>
      <c r="BI714" s="21">
        <f t="shared" si="518"/>
        <v>0</v>
      </c>
      <c r="BJ714" s="21">
        <f t="shared" si="519"/>
        <v>0</v>
      </c>
    </row>
    <row r="715" spans="1:62">
      <c r="A715" s="5" t="s">
        <v>529</v>
      </c>
      <c r="B715" s="5"/>
      <c r="C715" s="5" t="s">
        <v>1007</v>
      </c>
      <c r="D715" s="5" t="s">
        <v>1704</v>
      </c>
      <c r="E715" s="5" t="s">
        <v>1945</v>
      </c>
      <c r="F715" s="753">
        <v>0</v>
      </c>
      <c r="G715" s="753">
        <v>0</v>
      </c>
      <c r="H715" s="21">
        <f t="shared" si="494"/>
        <v>0</v>
      </c>
      <c r="I715" s="21">
        <f t="shared" si="495"/>
        <v>0</v>
      </c>
      <c r="J715" s="21">
        <f t="shared" si="496"/>
        <v>0</v>
      </c>
      <c r="K715" s="21">
        <v>0</v>
      </c>
      <c r="L715" s="21">
        <f t="shared" si="497"/>
        <v>0</v>
      </c>
      <c r="M715" s="34" t="s">
        <v>1961</v>
      </c>
      <c r="Z715" s="39">
        <f t="shared" si="498"/>
        <v>0</v>
      </c>
      <c r="AB715" s="39">
        <f t="shared" si="499"/>
        <v>0</v>
      </c>
      <c r="AC715" s="39">
        <f t="shared" si="500"/>
        <v>0</v>
      </c>
      <c r="AD715" s="39">
        <f t="shared" si="501"/>
        <v>0</v>
      </c>
      <c r="AE715" s="39">
        <f t="shared" si="502"/>
        <v>0</v>
      </c>
      <c r="AF715" s="39">
        <f t="shared" si="503"/>
        <v>0</v>
      </c>
      <c r="AG715" s="39">
        <f t="shared" si="504"/>
        <v>0</v>
      </c>
      <c r="AH715" s="39">
        <f t="shared" si="505"/>
        <v>0</v>
      </c>
      <c r="AI715" s="30"/>
      <c r="AJ715" s="21">
        <f t="shared" si="506"/>
        <v>0</v>
      </c>
      <c r="AK715" s="21">
        <f t="shared" si="507"/>
        <v>0</v>
      </c>
      <c r="AL715" s="21">
        <f t="shared" si="508"/>
        <v>0</v>
      </c>
      <c r="AN715" s="39">
        <v>21</v>
      </c>
      <c r="AO715" s="39">
        <f t="shared" si="509"/>
        <v>0</v>
      </c>
      <c r="AP715" s="39">
        <f t="shared" si="510"/>
        <v>0</v>
      </c>
      <c r="AQ715" s="34" t="s">
        <v>9</v>
      </c>
      <c r="AV715" s="39">
        <f t="shared" si="511"/>
        <v>0</v>
      </c>
      <c r="AW715" s="39">
        <f t="shared" si="512"/>
        <v>0</v>
      </c>
      <c r="AX715" s="39">
        <f t="shared" si="513"/>
        <v>0</v>
      </c>
      <c r="AY715" s="40" t="s">
        <v>2018</v>
      </c>
      <c r="AZ715" s="40" t="s">
        <v>2041</v>
      </c>
      <c r="BA715" s="30" t="s">
        <v>2045</v>
      </c>
      <c r="BC715" s="39">
        <f t="shared" si="514"/>
        <v>0</v>
      </c>
      <c r="BD715" s="39">
        <f t="shared" si="515"/>
        <v>0</v>
      </c>
      <c r="BE715" s="39">
        <v>0</v>
      </c>
      <c r="BF715" s="39">
        <f t="shared" si="516"/>
        <v>0</v>
      </c>
      <c r="BH715" s="21">
        <f t="shared" si="517"/>
        <v>0</v>
      </c>
      <c r="BI715" s="21">
        <f t="shared" si="518"/>
        <v>0</v>
      </c>
      <c r="BJ715" s="21">
        <f t="shared" si="519"/>
        <v>0</v>
      </c>
    </row>
    <row r="716" spans="1:62">
      <c r="A716" s="4"/>
      <c r="B716" s="14"/>
      <c r="C716" s="14" t="s">
        <v>1134</v>
      </c>
      <c r="D716" s="14" t="s">
        <v>1839</v>
      </c>
      <c r="E716" s="4" t="s">
        <v>4</v>
      </c>
      <c r="F716" s="4" t="s">
        <v>4</v>
      </c>
      <c r="G716" s="4" t="s">
        <v>4</v>
      </c>
      <c r="H716" s="42">
        <f>SUM(H717:H750)</f>
        <v>0</v>
      </c>
      <c r="I716" s="42">
        <f>SUM(I717:I750)</f>
        <v>0</v>
      </c>
      <c r="J716" s="42">
        <f>SUM(J717:J750)</f>
        <v>0</v>
      </c>
      <c r="K716" s="30"/>
      <c r="L716" s="42">
        <f>SUM(L717:L750)</f>
        <v>0</v>
      </c>
      <c r="M716" s="30"/>
      <c r="AI716" s="30"/>
      <c r="AS716" s="42">
        <f>SUM(AJ717:AJ750)</f>
        <v>0</v>
      </c>
      <c r="AT716" s="42">
        <f>SUM(AK717:AK750)</f>
        <v>0</v>
      </c>
      <c r="AU716" s="42">
        <f>SUM(AL717:AL750)</f>
        <v>0</v>
      </c>
    </row>
    <row r="717" spans="1:62">
      <c r="A717" s="5" t="s">
        <v>530</v>
      </c>
      <c r="B717" s="5"/>
      <c r="C717" s="5" t="s">
        <v>1135</v>
      </c>
      <c r="D717" s="5" t="s">
        <v>5788</v>
      </c>
      <c r="E717" s="5" t="s">
        <v>1943</v>
      </c>
      <c r="F717" s="21">
        <v>4</v>
      </c>
      <c r="G717" s="753">
        <v>0</v>
      </c>
      <c r="H717" s="21">
        <f t="shared" ref="H717:H750" si="520">F717*AO717</f>
        <v>0</v>
      </c>
      <c r="I717" s="21">
        <f t="shared" ref="I717:I750" si="521">F717*AP717</f>
        <v>0</v>
      </c>
      <c r="J717" s="21">
        <f t="shared" ref="J717:J750" si="522">F717*G717</f>
        <v>0</v>
      </c>
      <c r="K717" s="21">
        <v>0</v>
      </c>
      <c r="L717" s="21">
        <f t="shared" ref="L717:L750" si="523">F717*K717</f>
        <v>0</v>
      </c>
      <c r="M717" s="34" t="s">
        <v>1960</v>
      </c>
      <c r="O717">
        <f>0.8*G717</f>
        <v>0</v>
      </c>
      <c r="Z717" s="39">
        <f t="shared" ref="Z717:Z750" si="524">IF(AQ717="5",BJ717,0)</f>
        <v>0</v>
      </c>
      <c r="AB717" s="39">
        <f t="shared" ref="AB717:AB750" si="525">IF(AQ717="1",BH717,0)</f>
        <v>0</v>
      </c>
      <c r="AC717" s="39">
        <f t="shared" ref="AC717:AC750" si="526">IF(AQ717="1",BI717,0)</f>
        <v>0</v>
      </c>
      <c r="AD717" s="39">
        <f t="shared" ref="AD717:AD750" si="527">IF(AQ717="7",BH717,0)</f>
        <v>0</v>
      </c>
      <c r="AE717" s="39">
        <f t="shared" ref="AE717:AE750" si="528">IF(AQ717="7",BI717,0)</f>
        <v>0</v>
      </c>
      <c r="AF717" s="39">
        <f t="shared" ref="AF717:AF750" si="529">IF(AQ717="2",BH717,0)</f>
        <v>0</v>
      </c>
      <c r="AG717" s="39">
        <f t="shared" ref="AG717:AG750" si="530">IF(AQ717="2",BI717,0)</f>
        <v>0</v>
      </c>
      <c r="AH717" s="39">
        <f t="shared" ref="AH717:AH750" si="531">IF(AQ717="0",BJ717,0)</f>
        <v>0</v>
      </c>
      <c r="AI717" s="30"/>
      <c r="AJ717" s="21">
        <f t="shared" ref="AJ717:AJ750" si="532">IF(AN717=0,J717,0)</f>
        <v>0</v>
      </c>
      <c r="AK717" s="21">
        <f t="shared" ref="AK717:AK750" si="533">IF(AN717=15,J717,0)</f>
        <v>0</v>
      </c>
      <c r="AL717" s="21">
        <f t="shared" ref="AL717:AL750" si="534">IF(AN717=21,J717,0)</f>
        <v>0</v>
      </c>
      <c r="AN717" s="39">
        <v>21</v>
      </c>
      <c r="AO717" s="39">
        <f t="shared" ref="AO717:AO750" si="535">G717*0</f>
        <v>0</v>
      </c>
      <c r="AP717" s="39">
        <f t="shared" ref="AP717:AP750" si="536">G717*(1-0)</f>
        <v>0</v>
      </c>
      <c r="AQ717" s="34" t="s">
        <v>11</v>
      </c>
      <c r="AV717" s="39">
        <f t="shared" ref="AV717:AV750" si="537">AW717+AX717</f>
        <v>0</v>
      </c>
      <c r="AW717" s="39">
        <f t="shared" ref="AW717:AW750" si="538">F717*AO717</f>
        <v>0</v>
      </c>
      <c r="AX717" s="39">
        <f t="shared" ref="AX717:AX750" si="539">F717*AP717</f>
        <v>0</v>
      </c>
      <c r="AY717" s="40" t="s">
        <v>2019</v>
      </c>
      <c r="AZ717" s="40" t="s">
        <v>2041</v>
      </c>
      <c r="BA717" s="30" t="s">
        <v>2045</v>
      </c>
      <c r="BC717" s="39">
        <f t="shared" ref="BC717:BC750" si="540">AW717+AX717</f>
        <v>0</v>
      </c>
      <c r="BD717" s="39">
        <f t="shared" ref="BD717:BD750" si="541">G717/(100-BE717)*100</f>
        <v>0</v>
      </c>
      <c r="BE717" s="39">
        <v>0</v>
      </c>
      <c r="BF717" s="39">
        <f t="shared" ref="BF717:BF750" si="542">L717</f>
        <v>0</v>
      </c>
      <c r="BH717" s="21">
        <f t="shared" ref="BH717:BH750" si="543">F717*AO717</f>
        <v>0</v>
      </c>
      <c r="BI717" s="21">
        <f t="shared" ref="BI717:BI750" si="544">F717*AP717</f>
        <v>0</v>
      </c>
      <c r="BJ717" s="21">
        <f t="shared" ref="BJ717:BJ750" si="545">F717*G717</f>
        <v>0</v>
      </c>
    </row>
    <row r="718" spans="1:62">
      <c r="A718" s="5" t="s">
        <v>531</v>
      </c>
      <c r="B718" s="5"/>
      <c r="C718" s="5" t="s">
        <v>1136</v>
      </c>
      <c r="D718" s="5" t="s">
        <v>5789</v>
      </c>
      <c r="E718" s="5" t="s">
        <v>1943</v>
      </c>
      <c r="F718" s="21">
        <v>3</v>
      </c>
      <c r="G718" s="753">
        <v>0</v>
      </c>
      <c r="H718" s="21">
        <f t="shared" si="520"/>
        <v>0</v>
      </c>
      <c r="I718" s="21">
        <f t="shared" si="521"/>
        <v>0</v>
      </c>
      <c r="J718" s="21">
        <f t="shared" si="522"/>
        <v>0</v>
      </c>
      <c r="K718" s="21">
        <v>0</v>
      </c>
      <c r="L718" s="21">
        <f t="shared" si="523"/>
        <v>0</v>
      </c>
      <c r="M718" s="34" t="s">
        <v>1960</v>
      </c>
      <c r="O718">
        <f t="shared" ref="O718:O750" si="546">0.8*G718</f>
        <v>0</v>
      </c>
      <c r="Z718" s="39">
        <f t="shared" si="524"/>
        <v>0</v>
      </c>
      <c r="AB718" s="39">
        <f t="shared" si="525"/>
        <v>0</v>
      </c>
      <c r="AC718" s="39">
        <f t="shared" si="526"/>
        <v>0</v>
      </c>
      <c r="AD718" s="39">
        <f t="shared" si="527"/>
        <v>0</v>
      </c>
      <c r="AE718" s="39">
        <f t="shared" si="528"/>
        <v>0</v>
      </c>
      <c r="AF718" s="39">
        <f t="shared" si="529"/>
        <v>0</v>
      </c>
      <c r="AG718" s="39">
        <f t="shared" si="530"/>
        <v>0</v>
      </c>
      <c r="AH718" s="39">
        <f t="shared" si="531"/>
        <v>0</v>
      </c>
      <c r="AI718" s="30"/>
      <c r="AJ718" s="21">
        <f t="shared" si="532"/>
        <v>0</v>
      </c>
      <c r="AK718" s="21">
        <f t="shared" si="533"/>
        <v>0</v>
      </c>
      <c r="AL718" s="21">
        <f t="shared" si="534"/>
        <v>0</v>
      </c>
      <c r="AN718" s="39">
        <v>21</v>
      </c>
      <c r="AO718" s="39">
        <f t="shared" si="535"/>
        <v>0</v>
      </c>
      <c r="AP718" s="39">
        <f t="shared" si="536"/>
        <v>0</v>
      </c>
      <c r="AQ718" s="34" t="s">
        <v>11</v>
      </c>
      <c r="AV718" s="39">
        <f t="shared" si="537"/>
        <v>0</v>
      </c>
      <c r="AW718" s="39">
        <f t="shared" si="538"/>
        <v>0</v>
      </c>
      <c r="AX718" s="39">
        <f t="shared" si="539"/>
        <v>0</v>
      </c>
      <c r="AY718" s="40" t="s">
        <v>2019</v>
      </c>
      <c r="AZ718" s="40" t="s">
        <v>2041</v>
      </c>
      <c r="BA718" s="30" t="s">
        <v>2045</v>
      </c>
      <c r="BC718" s="39">
        <f t="shared" si="540"/>
        <v>0</v>
      </c>
      <c r="BD718" s="39">
        <f t="shared" si="541"/>
        <v>0</v>
      </c>
      <c r="BE718" s="39">
        <v>0</v>
      </c>
      <c r="BF718" s="39">
        <f t="shared" si="542"/>
        <v>0</v>
      </c>
      <c r="BH718" s="21">
        <f t="shared" si="543"/>
        <v>0</v>
      </c>
      <c r="BI718" s="21">
        <f t="shared" si="544"/>
        <v>0</v>
      </c>
      <c r="BJ718" s="21">
        <f t="shared" si="545"/>
        <v>0</v>
      </c>
    </row>
    <row r="719" spans="1:62">
      <c r="A719" s="5" t="s">
        <v>532</v>
      </c>
      <c r="B719" s="5"/>
      <c r="C719" s="5" t="s">
        <v>1137</v>
      </c>
      <c r="D719" s="5" t="s">
        <v>5790</v>
      </c>
      <c r="E719" s="5" t="s">
        <v>1943</v>
      </c>
      <c r="F719" s="21">
        <v>1</v>
      </c>
      <c r="G719" s="753">
        <v>0</v>
      </c>
      <c r="H719" s="21">
        <f t="shared" si="520"/>
        <v>0</v>
      </c>
      <c r="I719" s="21">
        <f t="shared" si="521"/>
        <v>0</v>
      </c>
      <c r="J719" s="21">
        <f t="shared" si="522"/>
        <v>0</v>
      </c>
      <c r="K719" s="21">
        <v>0</v>
      </c>
      <c r="L719" s="21">
        <f t="shared" si="523"/>
        <v>0</v>
      </c>
      <c r="M719" s="34" t="s">
        <v>1960</v>
      </c>
      <c r="O719">
        <f t="shared" si="546"/>
        <v>0</v>
      </c>
      <c r="Z719" s="39">
        <f t="shared" si="524"/>
        <v>0</v>
      </c>
      <c r="AB719" s="39">
        <f t="shared" si="525"/>
        <v>0</v>
      </c>
      <c r="AC719" s="39">
        <f t="shared" si="526"/>
        <v>0</v>
      </c>
      <c r="AD719" s="39">
        <f t="shared" si="527"/>
        <v>0</v>
      </c>
      <c r="AE719" s="39">
        <f t="shared" si="528"/>
        <v>0</v>
      </c>
      <c r="AF719" s="39">
        <f t="shared" si="529"/>
        <v>0</v>
      </c>
      <c r="AG719" s="39">
        <f t="shared" si="530"/>
        <v>0</v>
      </c>
      <c r="AH719" s="39">
        <f t="shared" si="531"/>
        <v>0</v>
      </c>
      <c r="AI719" s="30"/>
      <c r="AJ719" s="21">
        <f t="shared" si="532"/>
        <v>0</v>
      </c>
      <c r="AK719" s="21">
        <f t="shared" si="533"/>
        <v>0</v>
      </c>
      <c r="AL719" s="21">
        <f t="shared" si="534"/>
        <v>0</v>
      </c>
      <c r="AN719" s="39">
        <v>21</v>
      </c>
      <c r="AO719" s="39">
        <f t="shared" si="535"/>
        <v>0</v>
      </c>
      <c r="AP719" s="39">
        <f t="shared" si="536"/>
        <v>0</v>
      </c>
      <c r="AQ719" s="34" t="s">
        <v>11</v>
      </c>
      <c r="AV719" s="39">
        <f t="shared" si="537"/>
        <v>0</v>
      </c>
      <c r="AW719" s="39">
        <f t="shared" si="538"/>
        <v>0</v>
      </c>
      <c r="AX719" s="39">
        <f t="shared" si="539"/>
        <v>0</v>
      </c>
      <c r="AY719" s="40" t="s">
        <v>2019</v>
      </c>
      <c r="AZ719" s="40" t="s">
        <v>2041</v>
      </c>
      <c r="BA719" s="30" t="s">
        <v>2045</v>
      </c>
      <c r="BC719" s="39">
        <f t="shared" si="540"/>
        <v>0</v>
      </c>
      <c r="BD719" s="39">
        <f t="shared" si="541"/>
        <v>0</v>
      </c>
      <c r="BE719" s="39">
        <v>0</v>
      </c>
      <c r="BF719" s="39">
        <f t="shared" si="542"/>
        <v>0</v>
      </c>
      <c r="BH719" s="21">
        <f t="shared" si="543"/>
        <v>0</v>
      </c>
      <c r="BI719" s="21">
        <f t="shared" si="544"/>
        <v>0</v>
      </c>
      <c r="BJ719" s="21">
        <f t="shared" si="545"/>
        <v>0</v>
      </c>
    </row>
    <row r="720" spans="1:62">
      <c r="A720" s="5" t="s">
        <v>533</v>
      </c>
      <c r="B720" s="5"/>
      <c r="C720" s="5" t="s">
        <v>1138</v>
      </c>
      <c r="D720" s="5" t="s">
        <v>5786</v>
      </c>
      <c r="E720" s="5" t="s">
        <v>1943</v>
      </c>
      <c r="F720" s="21">
        <v>2</v>
      </c>
      <c r="G720" s="753">
        <v>0</v>
      </c>
      <c r="H720" s="21">
        <f t="shared" si="520"/>
        <v>0</v>
      </c>
      <c r="I720" s="21">
        <f t="shared" si="521"/>
        <v>0</v>
      </c>
      <c r="J720" s="21">
        <f t="shared" si="522"/>
        <v>0</v>
      </c>
      <c r="K720" s="21">
        <v>0</v>
      </c>
      <c r="L720" s="21">
        <f t="shared" si="523"/>
        <v>0</v>
      </c>
      <c r="M720" s="34" t="s">
        <v>1960</v>
      </c>
      <c r="O720">
        <f t="shared" si="546"/>
        <v>0</v>
      </c>
      <c r="Z720" s="39">
        <f t="shared" si="524"/>
        <v>0</v>
      </c>
      <c r="AB720" s="39">
        <f t="shared" si="525"/>
        <v>0</v>
      </c>
      <c r="AC720" s="39">
        <f t="shared" si="526"/>
        <v>0</v>
      </c>
      <c r="AD720" s="39">
        <f t="shared" si="527"/>
        <v>0</v>
      </c>
      <c r="AE720" s="39">
        <f t="shared" si="528"/>
        <v>0</v>
      </c>
      <c r="AF720" s="39">
        <f t="shared" si="529"/>
        <v>0</v>
      </c>
      <c r="AG720" s="39">
        <f t="shared" si="530"/>
        <v>0</v>
      </c>
      <c r="AH720" s="39">
        <f t="shared" si="531"/>
        <v>0</v>
      </c>
      <c r="AI720" s="30"/>
      <c r="AJ720" s="21">
        <f t="shared" si="532"/>
        <v>0</v>
      </c>
      <c r="AK720" s="21">
        <f t="shared" si="533"/>
        <v>0</v>
      </c>
      <c r="AL720" s="21">
        <f t="shared" si="534"/>
        <v>0</v>
      </c>
      <c r="AN720" s="39">
        <v>21</v>
      </c>
      <c r="AO720" s="39">
        <f t="shared" si="535"/>
        <v>0</v>
      </c>
      <c r="AP720" s="39">
        <f t="shared" si="536"/>
        <v>0</v>
      </c>
      <c r="AQ720" s="34" t="s">
        <v>11</v>
      </c>
      <c r="AV720" s="39">
        <f t="shared" si="537"/>
        <v>0</v>
      </c>
      <c r="AW720" s="39">
        <f t="shared" si="538"/>
        <v>0</v>
      </c>
      <c r="AX720" s="39">
        <f t="shared" si="539"/>
        <v>0</v>
      </c>
      <c r="AY720" s="40" t="s">
        <v>2019</v>
      </c>
      <c r="AZ720" s="40" t="s">
        <v>2041</v>
      </c>
      <c r="BA720" s="30" t="s">
        <v>2045</v>
      </c>
      <c r="BC720" s="39">
        <f t="shared" si="540"/>
        <v>0</v>
      </c>
      <c r="BD720" s="39">
        <f t="shared" si="541"/>
        <v>0</v>
      </c>
      <c r="BE720" s="39">
        <v>0</v>
      </c>
      <c r="BF720" s="39">
        <f t="shared" si="542"/>
        <v>0</v>
      </c>
      <c r="BH720" s="21">
        <f t="shared" si="543"/>
        <v>0</v>
      </c>
      <c r="BI720" s="21">
        <f t="shared" si="544"/>
        <v>0</v>
      </c>
      <c r="BJ720" s="21">
        <f t="shared" si="545"/>
        <v>0</v>
      </c>
    </row>
    <row r="721" spans="1:62">
      <c r="A721" s="5" t="s">
        <v>534</v>
      </c>
      <c r="B721" s="5"/>
      <c r="C721" s="5" t="s">
        <v>1139</v>
      </c>
      <c r="D721" s="5" t="s">
        <v>5787</v>
      </c>
      <c r="E721" s="5" t="s">
        <v>1943</v>
      </c>
      <c r="F721" s="21">
        <v>1</v>
      </c>
      <c r="G721" s="753">
        <v>0</v>
      </c>
      <c r="H721" s="21">
        <f t="shared" si="520"/>
        <v>0</v>
      </c>
      <c r="I721" s="21">
        <f t="shared" si="521"/>
        <v>0</v>
      </c>
      <c r="J721" s="21">
        <f t="shared" si="522"/>
        <v>0</v>
      </c>
      <c r="K721" s="21">
        <v>0</v>
      </c>
      <c r="L721" s="21">
        <f t="shared" si="523"/>
        <v>0</v>
      </c>
      <c r="M721" s="34" t="s">
        <v>1960</v>
      </c>
      <c r="O721">
        <f t="shared" si="546"/>
        <v>0</v>
      </c>
      <c r="Z721" s="39">
        <f t="shared" si="524"/>
        <v>0</v>
      </c>
      <c r="AB721" s="39">
        <f t="shared" si="525"/>
        <v>0</v>
      </c>
      <c r="AC721" s="39">
        <f t="shared" si="526"/>
        <v>0</v>
      </c>
      <c r="AD721" s="39">
        <f t="shared" si="527"/>
        <v>0</v>
      </c>
      <c r="AE721" s="39">
        <f t="shared" si="528"/>
        <v>0</v>
      </c>
      <c r="AF721" s="39">
        <f t="shared" si="529"/>
        <v>0</v>
      </c>
      <c r="AG721" s="39">
        <f t="shared" si="530"/>
        <v>0</v>
      </c>
      <c r="AH721" s="39">
        <f t="shared" si="531"/>
        <v>0</v>
      </c>
      <c r="AI721" s="30"/>
      <c r="AJ721" s="21">
        <f t="shared" si="532"/>
        <v>0</v>
      </c>
      <c r="AK721" s="21">
        <f t="shared" si="533"/>
        <v>0</v>
      </c>
      <c r="AL721" s="21">
        <f t="shared" si="534"/>
        <v>0</v>
      </c>
      <c r="AN721" s="39">
        <v>21</v>
      </c>
      <c r="AO721" s="39">
        <f t="shared" si="535"/>
        <v>0</v>
      </c>
      <c r="AP721" s="39">
        <f t="shared" si="536"/>
        <v>0</v>
      </c>
      <c r="AQ721" s="34" t="s">
        <v>11</v>
      </c>
      <c r="AV721" s="39">
        <f t="shared" si="537"/>
        <v>0</v>
      </c>
      <c r="AW721" s="39">
        <f t="shared" si="538"/>
        <v>0</v>
      </c>
      <c r="AX721" s="39">
        <f t="shared" si="539"/>
        <v>0</v>
      </c>
      <c r="AY721" s="40" t="s">
        <v>2019</v>
      </c>
      <c r="AZ721" s="40" t="s">
        <v>2041</v>
      </c>
      <c r="BA721" s="30" t="s">
        <v>2045</v>
      </c>
      <c r="BC721" s="39">
        <f t="shared" si="540"/>
        <v>0</v>
      </c>
      <c r="BD721" s="39">
        <f t="shared" si="541"/>
        <v>0</v>
      </c>
      <c r="BE721" s="39">
        <v>0</v>
      </c>
      <c r="BF721" s="39">
        <f t="shared" si="542"/>
        <v>0</v>
      </c>
      <c r="BH721" s="21">
        <f t="shared" si="543"/>
        <v>0</v>
      </c>
      <c r="BI721" s="21">
        <f t="shared" si="544"/>
        <v>0</v>
      </c>
      <c r="BJ721" s="21">
        <f t="shared" si="545"/>
        <v>0</v>
      </c>
    </row>
    <row r="722" spans="1:62">
      <c r="A722" s="5" t="s">
        <v>535</v>
      </c>
      <c r="B722" s="5"/>
      <c r="C722" s="5" t="s">
        <v>1140</v>
      </c>
      <c r="D722" s="5" t="s">
        <v>5799</v>
      </c>
      <c r="E722" s="5" t="s">
        <v>1943</v>
      </c>
      <c r="F722" s="21">
        <v>1</v>
      </c>
      <c r="G722" s="753">
        <v>0</v>
      </c>
      <c r="H722" s="21">
        <f t="shared" si="520"/>
        <v>0</v>
      </c>
      <c r="I722" s="21">
        <f t="shared" si="521"/>
        <v>0</v>
      </c>
      <c r="J722" s="21">
        <f t="shared" si="522"/>
        <v>0</v>
      </c>
      <c r="K722" s="21">
        <v>0</v>
      </c>
      <c r="L722" s="21">
        <f t="shared" si="523"/>
        <v>0</v>
      </c>
      <c r="M722" s="34" t="s">
        <v>1960</v>
      </c>
      <c r="O722">
        <f t="shared" si="546"/>
        <v>0</v>
      </c>
      <c r="Z722" s="39">
        <f t="shared" si="524"/>
        <v>0</v>
      </c>
      <c r="AB722" s="39">
        <f t="shared" si="525"/>
        <v>0</v>
      </c>
      <c r="AC722" s="39">
        <f t="shared" si="526"/>
        <v>0</v>
      </c>
      <c r="AD722" s="39">
        <f t="shared" si="527"/>
        <v>0</v>
      </c>
      <c r="AE722" s="39">
        <f t="shared" si="528"/>
        <v>0</v>
      </c>
      <c r="AF722" s="39">
        <f t="shared" si="529"/>
        <v>0</v>
      </c>
      <c r="AG722" s="39">
        <f t="shared" si="530"/>
        <v>0</v>
      </c>
      <c r="AH722" s="39">
        <f t="shared" si="531"/>
        <v>0</v>
      </c>
      <c r="AI722" s="30"/>
      <c r="AJ722" s="21">
        <f t="shared" si="532"/>
        <v>0</v>
      </c>
      <c r="AK722" s="21">
        <f t="shared" si="533"/>
        <v>0</v>
      </c>
      <c r="AL722" s="21">
        <f t="shared" si="534"/>
        <v>0</v>
      </c>
      <c r="AN722" s="39">
        <v>21</v>
      </c>
      <c r="AO722" s="39">
        <f t="shared" si="535"/>
        <v>0</v>
      </c>
      <c r="AP722" s="39">
        <f t="shared" si="536"/>
        <v>0</v>
      </c>
      <c r="AQ722" s="34" t="s">
        <v>11</v>
      </c>
      <c r="AV722" s="39">
        <f t="shared" si="537"/>
        <v>0</v>
      </c>
      <c r="AW722" s="39">
        <f t="shared" si="538"/>
        <v>0</v>
      </c>
      <c r="AX722" s="39">
        <f t="shared" si="539"/>
        <v>0</v>
      </c>
      <c r="AY722" s="40" t="s">
        <v>2019</v>
      </c>
      <c r="AZ722" s="40" t="s">
        <v>2041</v>
      </c>
      <c r="BA722" s="30" t="s">
        <v>2045</v>
      </c>
      <c r="BC722" s="39">
        <f t="shared" si="540"/>
        <v>0</v>
      </c>
      <c r="BD722" s="39">
        <f t="shared" si="541"/>
        <v>0</v>
      </c>
      <c r="BE722" s="39">
        <v>0</v>
      </c>
      <c r="BF722" s="39">
        <f t="shared" si="542"/>
        <v>0</v>
      </c>
      <c r="BH722" s="21">
        <f t="shared" si="543"/>
        <v>0</v>
      </c>
      <c r="BI722" s="21">
        <f t="shared" si="544"/>
        <v>0</v>
      </c>
      <c r="BJ722" s="21">
        <f t="shared" si="545"/>
        <v>0</v>
      </c>
    </row>
    <row r="723" spans="1:62">
      <c r="A723" s="5" t="s">
        <v>536</v>
      </c>
      <c r="B723" s="5"/>
      <c r="C723" s="5" t="s">
        <v>1141</v>
      </c>
      <c r="D723" s="5" t="s">
        <v>1846</v>
      </c>
      <c r="E723" s="5" t="s">
        <v>1943</v>
      </c>
      <c r="F723" s="21">
        <v>1</v>
      </c>
      <c r="G723" s="753">
        <v>0</v>
      </c>
      <c r="H723" s="21">
        <f t="shared" si="520"/>
        <v>0</v>
      </c>
      <c r="I723" s="21">
        <f t="shared" si="521"/>
        <v>0</v>
      </c>
      <c r="J723" s="21">
        <f t="shared" si="522"/>
        <v>0</v>
      </c>
      <c r="K723" s="21">
        <v>0</v>
      </c>
      <c r="L723" s="21">
        <f t="shared" si="523"/>
        <v>0</v>
      </c>
      <c r="M723" s="34" t="s">
        <v>1960</v>
      </c>
      <c r="O723">
        <f t="shared" si="546"/>
        <v>0</v>
      </c>
      <c r="Z723" s="39">
        <f t="shared" si="524"/>
        <v>0</v>
      </c>
      <c r="AB723" s="39">
        <f t="shared" si="525"/>
        <v>0</v>
      </c>
      <c r="AC723" s="39">
        <f t="shared" si="526"/>
        <v>0</v>
      </c>
      <c r="AD723" s="39">
        <f t="shared" si="527"/>
        <v>0</v>
      </c>
      <c r="AE723" s="39">
        <f t="shared" si="528"/>
        <v>0</v>
      </c>
      <c r="AF723" s="39">
        <f t="shared" si="529"/>
        <v>0</v>
      </c>
      <c r="AG723" s="39">
        <f t="shared" si="530"/>
        <v>0</v>
      </c>
      <c r="AH723" s="39">
        <f t="shared" si="531"/>
        <v>0</v>
      </c>
      <c r="AI723" s="30"/>
      <c r="AJ723" s="21">
        <f t="shared" si="532"/>
        <v>0</v>
      </c>
      <c r="AK723" s="21">
        <f t="shared" si="533"/>
        <v>0</v>
      </c>
      <c r="AL723" s="21">
        <f t="shared" si="534"/>
        <v>0</v>
      </c>
      <c r="AN723" s="39">
        <v>21</v>
      </c>
      <c r="AO723" s="39">
        <f t="shared" si="535"/>
        <v>0</v>
      </c>
      <c r="AP723" s="39">
        <f t="shared" si="536"/>
        <v>0</v>
      </c>
      <c r="AQ723" s="34" t="s">
        <v>11</v>
      </c>
      <c r="AV723" s="39">
        <f t="shared" si="537"/>
        <v>0</v>
      </c>
      <c r="AW723" s="39">
        <f t="shared" si="538"/>
        <v>0</v>
      </c>
      <c r="AX723" s="39">
        <f t="shared" si="539"/>
        <v>0</v>
      </c>
      <c r="AY723" s="40" t="s">
        <v>2019</v>
      </c>
      <c r="AZ723" s="40" t="s">
        <v>2041</v>
      </c>
      <c r="BA723" s="30" t="s">
        <v>2045</v>
      </c>
      <c r="BC723" s="39">
        <f t="shared" si="540"/>
        <v>0</v>
      </c>
      <c r="BD723" s="39">
        <f t="shared" si="541"/>
        <v>0</v>
      </c>
      <c r="BE723" s="39">
        <v>0</v>
      </c>
      <c r="BF723" s="39">
        <f t="shared" si="542"/>
        <v>0</v>
      </c>
      <c r="BH723" s="21">
        <f t="shared" si="543"/>
        <v>0</v>
      </c>
      <c r="BI723" s="21">
        <f t="shared" si="544"/>
        <v>0</v>
      </c>
      <c r="BJ723" s="21">
        <f t="shared" si="545"/>
        <v>0</v>
      </c>
    </row>
    <row r="724" spans="1:62">
      <c r="A724" s="5" t="s">
        <v>537</v>
      </c>
      <c r="B724" s="5"/>
      <c r="C724" s="5" t="s">
        <v>1142</v>
      </c>
      <c r="D724" s="5" t="s">
        <v>1847</v>
      </c>
      <c r="E724" s="5" t="s">
        <v>1943</v>
      </c>
      <c r="F724" s="21">
        <v>1</v>
      </c>
      <c r="G724" s="753">
        <v>0</v>
      </c>
      <c r="H724" s="21">
        <f t="shared" si="520"/>
        <v>0</v>
      </c>
      <c r="I724" s="21">
        <f t="shared" si="521"/>
        <v>0</v>
      </c>
      <c r="J724" s="21">
        <f t="shared" si="522"/>
        <v>0</v>
      </c>
      <c r="K724" s="21">
        <v>0</v>
      </c>
      <c r="L724" s="21">
        <f t="shared" si="523"/>
        <v>0</v>
      </c>
      <c r="M724" s="34" t="s">
        <v>1960</v>
      </c>
      <c r="O724">
        <f t="shared" si="546"/>
        <v>0</v>
      </c>
      <c r="Z724" s="39">
        <f t="shared" si="524"/>
        <v>0</v>
      </c>
      <c r="AB724" s="39">
        <f t="shared" si="525"/>
        <v>0</v>
      </c>
      <c r="AC724" s="39">
        <f t="shared" si="526"/>
        <v>0</v>
      </c>
      <c r="AD724" s="39">
        <f t="shared" si="527"/>
        <v>0</v>
      </c>
      <c r="AE724" s="39">
        <f t="shared" si="528"/>
        <v>0</v>
      </c>
      <c r="AF724" s="39">
        <f t="shared" si="529"/>
        <v>0</v>
      </c>
      <c r="AG724" s="39">
        <f t="shared" si="530"/>
        <v>0</v>
      </c>
      <c r="AH724" s="39">
        <f t="shared" si="531"/>
        <v>0</v>
      </c>
      <c r="AI724" s="30"/>
      <c r="AJ724" s="21">
        <f t="shared" si="532"/>
        <v>0</v>
      </c>
      <c r="AK724" s="21">
        <f t="shared" si="533"/>
        <v>0</v>
      </c>
      <c r="AL724" s="21">
        <f t="shared" si="534"/>
        <v>0</v>
      </c>
      <c r="AN724" s="39">
        <v>21</v>
      </c>
      <c r="AO724" s="39">
        <f t="shared" si="535"/>
        <v>0</v>
      </c>
      <c r="AP724" s="39">
        <f t="shared" si="536"/>
        <v>0</v>
      </c>
      <c r="AQ724" s="34" t="s">
        <v>11</v>
      </c>
      <c r="AV724" s="39">
        <f t="shared" si="537"/>
        <v>0</v>
      </c>
      <c r="AW724" s="39">
        <f t="shared" si="538"/>
        <v>0</v>
      </c>
      <c r="AX724" s="39">
        <f t="shared" si="539"/>
        <v>0</v>
      </c>
      <c r="AY724" s="40" t="s">
        <v>2019</v>
      </c>
      <c r="AZ724" s="40" t="s">
        <v>2041</v>
      </c>
      <c r="BA724" s="30" t="s">
        <v>2045</v>
      </c>
      <c r="BC724" s="39">
        <f t="shared" si="540"/>
        <v>0</v>
      </c>
      <c r="BD724" s="39">
        <f t="shared" si="541"/>
        <v>0</v>
      </c>
      <c r="BE724" s="39">
        <v>0</v>
      </c>
      <c r="BF724" s="39">
        <f t="shared" si="542"/>
        <v>0</v>
      </c>
      <c r="BH724" s="21">
        <f t="shared" si="543"/>
        <v>0</v>
      </c>
      <c r="BI724" s="21">
        <f t="shared" si="544"/>
        <v>0</v>
      </c>
      <c r="BJ724" s="21">
        <f t="shared" si="545"/>
        <v>0</v>
      </c>
    </row>
    <row r="725" spans="1:62">
      <c r="A725" s="5" t="s">
        <v>538</v>
      </c>
      <c r="B725" s="5"/>
      <c r="C725" s="5" t="s">
        <v>1143</v>
      </c>
      <c r="D725" s="5" t="s">
        <v>1848</v>
      </c>
      <c r="E725" s="5" t="s">
        <v>1943</v>
      </c>
      <c r="F725" s="21">
        <v>1</v>
      </c>
      <c r="G725" s="753">
        <v>0</v>
      </c>
      <c r="H725" s="21">
        <f t="shared" si="520"/>
        <v>0</v>
      </c>
      <c r="I725" s="21">
        <f t="shared" si="521"/>
        <v>0</v>
      </c>
      <c r="J725" s="21">
        <f t="shared" si="522"/>
        <v>0</v>
      </c>
      <c r="K725" s="21">
        <v>0</v>
      </c>
      <c r="L725" s="21">
        <f t="shared" si="523"/>
        <v>0</v>
      </c>
      <c r="M725" s="34" t="s">
        <v>1960</v>
      </c>
      <c r="O725">
        <f t="shared" si="546"/>
        <v>0</v>
      </c>
      <c r="Z725" s="39">
        <f t="shared" si="524"/>
        <v>0</v>
      </c>
      <c r="AB725" s="39">
        <f t="shared" si="525"/>
        <v>0</v>
      </c>
      <c r="AC725" s="39">
        <f t="shared" si="526"/>
        <v>0</v>
      </c>
      <c r="AD725" s="39">
        <f t="shared" si="527"/>
        <v>0</v>
      </c>
      <c r="AE725" s="39">
        <f t="shared" si="528"/>
        <v>0</v>
      </c>
      <c r="AF725" s="39">
        <f t="shared" si="529"/>
        <v>0</v>
      </c>
      <c r="AG725" s="39">
        <f t="shared" si="530"/>
        <v>0</v>
      </c>
      <c r="AH725" s="39">
        <f t="shared" si="531"/>
        <v>0</v>
      </c>
      <c r="AI725" s="30"/>
      <c r="AJ725" s="21">
        <f t="shared" si="532"/>
        <v>0</v>
      </c>
      <c r="AK725" s="21">
        <f t="shared" si="533"/>
        <v>0</v>
      </c>
      <c r="AL725" s="21">
        <f t="shared" si="534"/>
        <v>0</v>
      </c>
      <c r="AN725" s="39">
        <v>21</v>
      </c>
      <c r="AO725" s="39">
        <f t="shared" si="535"/>
        <v>0</v>
      </c>
      <c r="AP725" s="39">
        <f t="shared" si="536"/>
        <v>0</v>
      </c>
      <c r="AQ725" s="34" t="s">
        <v>11</v>
      </c>
      <c r="AV725" s="39">
        <f t="shared" si="537"/>
        <v>0</v>
      </c>
      <c r="AW725" s="39">
        <f t="shared" si="538"/>
        <v>0</v>
      </c>
      <c r="AX725" s="39">
        <f t="shared" si="539"/>
        <v>0</v>
      </c>
      <c r="AY725" s="40" t="s">
        <v>2019</v>
      </c>
      <c r="AZ725" s="40" t="s">
        <v>2041</v>
      </c>
      <c r="BA725" s="30" t="s">
        <v>2045</v>
      </c>
      <c r="BC725" s="39">
        <f t="shared" si="540"/>
        <v>0</v>
      </c>
      <c r="BD725" s="39">
        <f t="shared" si="541"/>
        <v>0</v>
      </c>
      <c r="BE725" s="39">
        <v>0</v>
      </c>
      <c r="BF725" s="39">
        <f t="shared" si="542"/>
        <v>0</v>
      </c>
      <c r="BH725" s="21">
        <f t="shared" si="543"/>
        <v>0</v>
      </c>
      <c r="BI725" s="21">
        <f t="shared" si="544"/>
        <v>0</v>
      </c>
      <c r="BJ725" s="21">
        <f t="shared" si="545"/>
        <v>0</v>
      </c>
    </row>
    <row r="726" spans="1:62">
      <c r="A726" s="5" t="s">
        <v>539</v>
      </c>
      <c r="B726" s="5"/>
      <c r="C726" s="5" t="s">
        <v>1144</v>
      </c>
      <c r="D726" s="5" t="s">
        <v>1849</v>
      </c>
      <c r="E726" s="5" t="s">
        <v>1943</v>
      </c>
      <c r="F726" s="21">
        <v>1</v>
      </c>
      <c r="G726" s="753">
        <v>0</v>
      </c>
      <c r="H726" s="21">
        <f t="shared" si="520"/>
        <v>0</v>
      </c>
      <c r="I726" s="21">
        <f t="shared" si="521"/>
        <v>0</v>
      </c>
      <c r="J726" s="21">
        <f t="shared" si="522"/>
        <v>0</v>
      </c>
      <c r="K726" s="21">
        <v>0</v>
      </c>
      <c r="L726" s="21">
        <f t="shared" si="523"/>
        <v>0</v>
      </c>
      <c r="M726" s="34" t="s">
        <v>1960</v>
      </c>
      <c r="O726">
        <f t="shared" si="546"/>
        <v>0</v>
      </c>
      <c r="Z726" s="39">
        <f t="shared" si="524"/>
        <v>0</v>
      </c>
      <c r="AB726" s="39">
        <f t="shared" si="525"/>
        <v>0</v>
      </c>
      <c r="AC726" s="39">
        <f t="shared" si="526"/>
        <v>0</v>
      </c>
      <c r="AD726" s="39">
        <f t="shared" si="527"/>
        <v>0</v>
      </c>
      <c r="AE726" s="39">
        <f t="shared" si="528"/>
        <v>0</v>
      </c>
      <c r="AF726" s="39">
        <f t="shared" si="529"/>
        <v>0</v>
      </c>
      <c r="AG726" s="39">
        <f t="shared" si="530"/>
        <v>0</v>
      </c>
      <c r="AH726" s="39">
        <f t="shared" si="531"/>
        <v>0</v>
      </c>
      <c r="AI726" s="30"/>
      <c r="AJ726" s="21">
        <f t="shared" si="532"/>
        <v>0</v>
      </c>
      <c r="AK726" s="21">
        <f t="shared" si="533"/>
        <v>0</v>
      </c>
      <c r="AL726" s="21">
        <f t="shared" si="534"/>
        <v>0</v>
      </c>
      <c r="AN726" s="39">
        <v>21</v>
      </c>
      <c r="AO726" s="39">
        <f t="shared" si="535"/>
        <v>0</v>
      </c>
      <c r="AP726" s="39">
        <f t="shared" si="536"/>
        <v>0</v>
      </c>
      <c r="AQ726" s="34" t="s">
        <v>11</v>
      </c>
      <c r="AV726" s="39">
        <f t="shared" si="537"/>
        <v>0</v>
      </c>
      <c r="AW726" s="39">
        <f t="shared" si="538"/>
        <v>0</v>
      </c>
      <c r="AX726" s="39">
        <f t="shared" si="539"/>
        <v>0</v>
      </c>
      <c r="AY726" s="40" t="s">
        <v>2019</v>
      </c>
      <c r="AZ726" s="40" t="s">
        <v>2041</v>
      </c>
      <c r="BA726" s="30" t="s">
        <v>2045</v>
      </c>
      <c r="BC726" s="39">
        <f t="shared" si="540"/>
        <v>0</v>
      </c>
      <c r="BD726" s="39">
        <f t="shared" si="541"/>
        <v>0</v>
      </c>
      <c r="BE726" s="39">
        <v>0</v>
      </c>
      <c r="BF726" s="39">
        <f t="shared" si="542"/>
        <v>0</v>
      </c>
      <c r="BH726" s="21">
        <f t="shared" si="543"/>
        <v>0</v>
      </c>
      <c r="BI726" s="21">
        <f t="shared" si="544"/>
        <v>0</v>
      </c>
      <c r="BJ726" s="21">
        <f t="shared" si="545"/>
        <v>0</v>
      </c>
    </row>
    <row r="727" spans="1:62">
      <c r="A727" s="5" t="s">
        <v>540</v>
      </c>
      <c r="B727" s="5"/>
      <c r="C727" s="5" t="s">
        <v>1145</v>
      </c>
      <c r="D727" s="5" t="s">
        <v>1850</v>
      </c>
      <c r="E727" s="5" t="s">
        <v>1943</v>
      </c>
      <c r="F727" s="21">
        <v>1</v>
      </c>
      <c r="G727" s="753">
        <v>0</v>
      </c>
      <c r="H727" s="21">
        <f t="shared" si="520"/>
        <v>0</v>
      </c>
      <c r="I727" s="21">
        <f t="shared" si="521"/>
        <v>0</v>
      </c>
      <c r="J727" s="21">
        <f t="shared" si="522"/>
        <v>0</v>
      </c>
      <c r="K727" s="21">
        <v>0</v>
      </c>
      <c r="L727" s="21">
        <f t="shared" si="523"/>
        <v>0</v>
      </c>
      <c r="M727" s="34" t="s">
        <v>1960</v>
      </c>
      <c r="O727">
        <f t="shared" si="546"/>
        <v>0</v>
      </c>
      <c r="Z727" s="39">
        <f t="shared" si="524"/>
        <v>0</v>
      </c>
      <c r="AB727" s="39">
        <f t="shared" si="525"/>
        <v>0</v>
      </c>
      <c r="AC727" s="39">
        <f t="shared" si="526"/>
        <v>0</v>
      </c>
      <c r="AD727" s="39">
        <f t="shared" si="527"/>
        <v>0</v>
      </c>
      <c r="AE727" s="39">
        <f t="shared" si="528"/>
        <v>0</v>
      </c>
      <c r="AF727" s="39">
        <f t="shared" si="529"/>
        <v>0</v>
      </c>
      <c r="AG727" s="39">
        <f t="shared" si="530"/>
        <v>0</v>
      </c>
      <c r="AH727" s="39">
        <f t="shared" si="531"/>
        <v>0</v>
      </c>
      <c r="AI727" s="30"/>
      <c r="AJ727" s="21">
        <f t="shared" si="532"/>
        <v>0</v>
      </c>
      <c r="AK727" s="21">
        <f t="shared" si="533"/>
        <v>0</v>
      </c>
      <c r="AL727" s="21">
        <f t="shared" si="534"/>
        <v>0</v>
      </c>
      <c r="AN727" s="39">
        <v>21</v>
      </c>
      <c r="AO727" s="39">
        <f t="shared" si="535"/>
        <v>0</v>
      </c>
      <c r="AP727" s="39">
        <f t="shared" si="536"/>
        <v>0</v>
      </c>
      <c r="AQ727" s="34" t="s">
        <v>11</v>
      </c>
      <c r="AV727" s="39">
        <f t="shared" si="537"/>
        <v>0</v>
      </c>
      <c r="AW727" s="39">
        <f t="shared" si="538"/>
        <v>0</v>
      </c>
      <c r="AX727" s="39">
        <f t="shared" si="539"/>
        <v>0</v>
      </c>
      <c r="AY727" s="40" t="s">
        <v>2019</v>
      </c>
      <c r="AZ727" s="40" t="s">
        <v>2041</v>
      </c>
      <c r="BA727" s="30" t="s">
        <v>2045</v>
      </c>
      <c r="BC727" s="39">
        <f t="shared" si="540"/>
        <v>0</v>
      </c>
      <c r="BD727" s="39">
        <f t="shared" si="541"/>
        <v>0</v>
      </c>
      <c r="BE727" s="39">
        <v>0</v>
      </c>
      <c r="BF727" s="39">
        <f t="shared" si="542"/>
        <v>0</v>
      </c>
      <c r="BH727" s="21">
        <f t="shared" si="543"/>
        <v>0</v>
      </c>
      <c r="BI727" s="21">
        <f t="shared" si="544"/>
        <v>0</v>
      </c>
      <c r="BJ727" s="21">
        <f t="shared" si="545"/>
        <v>0</v>
      </c>
    </row>
    <row r="728" spans="1:62">
      <c r="A728" s="5" t="s">
        <v>541</v>
      </c>
      <c r="B728" s="5"/>
      <c r="C728" s="5" t="s">
        <v>1146</v>
      </c>
      <c r="D728" s="5" t="s">
        <v>5800</v>
      </c>
      <c r="E728" s="5" t="s">
        <v>1943</v>
      </c>
      <c r="F728" s="21">
        <v>1</v>
      </c>
      <c r="G728" s="753">
        <v>0</v>
      </c>
      <c r="H728" s="21">
        <f t="shared" si="520"/>
        <v>0</v>
      </c>
      <c r="I728" s="21">
        <f t="shared" si="521"/>
        <v>0</v>
      </c>
      <c r="J728" s="21">
        <f t="shared" si="522"/>
        <v>0</v>
      </c>
      <c r="K728" s="21">
        <v>0</v>
      </c>
      <c r="L728" s="21">
        <f t="shared" si="523"/>
        <v>0</v>
      </c>
      <c r="M728" s="34" t="s">
        <v>1960</v>
      </c>
      <c r="O728">
        <f t="shared" si="546"/>
        <v>0</v>
      </c>
      <c r="Z728" s="39">
        <f t="shared" si="524"/>
        <v>0</v>
      </c>
      <c r="AB728" s="39">
        <f t="shared" si="525"/>
        <v>0</v>
      </c>
      <c r="AC728" s="39">
        <f t="shared" si="526"/>
        <v>0</v>
      </c>
      <c r="AD728" s="39">
        <f t="shared" si="527"/>
        <v>0</v>
      </c>
      <c r="AE728" s="39">
        <f t="shared" si="528"/>
        <v>0</v>
      </c>
      <c r="AF728" s="39">
        <f t="shared" si="529"/>
        <v>0</v>
      </c>
      <c r="AG728" s="39">
        <f t="shared" si="530"/>
        <v>0</v>
      </c>
      <c r="AH728" s="39">
        <f t="shared" si="531"/>
        <v>0</v>
      </c>
      <c r="AI728" s="30"/>
      <c r="AJ728" s="21">
        <f t="shared" si="532"/>
        <v>0</v>
      </c>
      <c r="AK728" s="21">
        <f t="shared" si="533"/>
        <v>0</v>
      </c>
      <c r="AL728" s="21">
        <f t="shared" si="534"/>
        <v>0</v>
      </c>
      <c r="AN728" s="39">
        <v>21</v>
      </c>
      <c r="AO728" s="39">
        <f t="shared" si="535"/>
        <v>0</v>
      </c>
      <c r="AP728" s="39">
        <f t="shared" si="536"/>
        <v>0</v>
      </c>
      <c r="AQ728" s="34" t="s">
        <v>11</v>
      </c>
      <c r="AV728" s="39">
        <f t="shared" si="537"/>
        <v>0</v>
      </c>
      <c r="AW728" s="39">
        <f t="shared" si="538"/>
        <v>0</v>
      </c>
      <c r="AX728" s="39">
        <f t="shared" si="539"/>
        <v>0</v>
      </c>
      <c r="AY728" s="40" t="s">
        <v>2019</v>
      </c>
      <c r="AZ728" s="40" t="s">
        <v>2041</v>
      </c>
      <c r="BA728" s="30" t="s">
        <v>2045</v>
      </c>
      <c r="BC728" s="39">
        <f t="shared" si="540"/>
        <v>0</v>
      </c>
      <c r="BD728" s="39">
        <f t="shared" si="541"/>
        <v>0</v>
      </c>
      <c r="BE728" s="39">
        <v>0</v>
      </c>
      <c r="BF728" s="39">
        <f t="shared" si="542"/>
        <v>0</v>
      </c>
      <c r="BH728" s="21">
        <f t="shared" si="543"/>
        <v>0</v>
      </c>
      <c r="BI728" s="21">
        <f t="shared" si="544"/>
        <v>0</v>
      </c>
      <c r="BJ728" s="21">
        <f t="shared" si="545"/>
        <v>0</v>
      </c>
    </row>
    <row r="729" spans="1:62">
      <c r="A729" s="5" t="s">
        <v>542</v>
      </c>
      <c r="B729" s="5"/>
      <c r="C729" s="5" t="s">
        <v>1147</v>
      </c>
      <c r="D729" s="5" t="s">
        <v>1852</v>
      </c>
      <c r="E729" s="5" t="s">
        <v>1943</v>
      </c>
      <c r="F729" s="21">
        <v>1</v>
      </c>
      <c r="G729" s="753">
        <v>0</v>
      </c>
      <c r="H729" s="21">
        <f t="shared" si="520"/>
        <v>0</v>
      </c>
      <c r="I729" s="21">
        <f t="shared" si="521"/>
        <v>0</v>
      </c>
      <c r="J729" s="21">
        <f t="shared" si="522"/>
        <v>0</v>
      </c>
      <c r="K729" s="21">
        <v>0</v>
      </c>
      <c r="L729" s="21">
        <f t="shared" si="523"/>
        <v>0</v>
      </c>
      <c r="M729" s="34" t="s">
        <v>1960</v>
      </c>
      <c r="O729">
        <f t="shared" si="546"/>
        <v>0</v>
      </c>
      <c r="Z729" s="39">
        <f t="shared" si="524"/>
        <v>0</v>
      </c>
      <c r="AB729" s="39">
        <f t="shared" si="525"/>
        <v>0</v>
      </c>
      <c r="AC729" s="39">
        <f t="shared" si="526"/>
        <v>0</v>
      </c>
      <c r="AD729" s="39">
        <f t="shared" si="527"/>
        <v>0</v>
      </c>
      <c r="AE729" s="39">
        <f t="shared" si="528"/>
        <v>0</v>
      </c>
      <c r="AF729" s="39">
        <f t="shared" si="529"/>
        <v>0</v>
      </c>
      <c r="AG729" s="39">
        <f t="shared" si="530"/>
        <v>0</v>
      </c>
      <c r="AH729" s="39">
        <f t="shared" si="531"/>
        <v>0</v>
      </c>
      <c r="AI729" s="30"/>
      <c r="AJ729" s="21">
        <f t="shared" si="532"/>
        <v>0</v>
      </c>
      <c r="AK729" s="21">
        <f t="shared" si="533"/>
        <v>0</v>
      </c>
      <c r="AL729" s="21">
        <f t="shared" si="534"/>
        <v>0</v>
      </c>
      <c r="AN729" s="39">
        <v>21</v>
      </c>
      <c r="AO729" s="39">
        <f t="shared" si="535"/>
        <v>0</v>
      </c>
      <c r="AP729" s="39">
        <f t="shared" si="536"/>
        <v>0</v>
      </c>
      <c r="AQ729" s="34" t="s">
        <v>11</v>
      </c>
      <c r="AV729" s="39">
        <f t="shared" si="537"/>
        <v>0</v>
      </c>
      <c r="AW729" s="39">
        <f t="shared" si="538"/>
        <v>0</v>
      </c>
      <c r="AX729" s="39">
        <f t="shared" si="539"/>
        <v>0</v>
      </c>
      <c r="AY729" s="40" t="s">
        <v>2019</v>
      </c>
      <c r="AZ729" s="40" t="s">
        <v>2041</v>
      </c>
      <c r="BA729" s="30" t="s">
        <v>2045</v>
      </c>
      <c r="BC729" s="39">
        <f t="shared" si="540"/>
        <v>0</v>
      </c>
      <c r="BD729" s="39">
        <f t="shared" si="541"/>
        <v>0</v>
      </c>
      <c r="BE729" s="39">
        <v>0</v>
      </c>
      <c r="BF729" s="39">
        <f t="shared" si="542"/>
        <v>0</v>
      </c>
      <c r="BH729" s="21">
        <f t="shared" si="543"/>
        <v>0</v>
      </c>
      <c r="BI729" s="21">
        <f t="shared" si="544"/>
        <v>0</v>
      </c>
      <c r="BJ729" s="21">
        <f t="shared" si="545"/>
        <v>0</v>
      </c>
    </row>
    <row r="730" spans="1:62">
      <c r="A730" s="5" t="s">
        <v>543</v>
      </c>
      <c r="B730" s="5"/>
      <c r="C730" s="5" t="s">
        <v>1148</v>
      </c>
      <c r="D730" s="5" t="s">
        <v>5801</v>
      </c>
      <c r="E730" s="5" t="s">
        <v>1943</v>
      </c>
      <c r="F730" s="21">
        <v>1</v>
      </c>
      <c r="G730" s="753">
        <v>0</v>
      </c>
      <c r="H730" s="21">
        <f t="shared" si="520"/>
        <v>0</v>
      </c>
      <c r="I730" s="21">
        <f t="shared" si="521"/>
        <v>0</v>
      </c>
      <c r="J730" s="21">
        <f t="shared" si="522"/>
        <v>0</v>
      </c>
      <c r="K730" s="21">
        <v>0</v>
      </c>
      <c r="L730" s="21">
        <f t="shared" si="523"/>
        <v>0</v>
      </c>
      <c r="M730" s="34" t="s">
        <v>1960</v>
      </c>
      <c r="O730">
        <f t="shared" si="546"/>
        <v>0</v>
      </c>
      <c r="Z730" s="39">
        <f t="shared" si="524"/>
        <v>0</v>
      </c>
      <c r="AB730" s="39">
        <f t="shared" si="525"/>
        <v>0</v>
      </c>
      <c r="AC730" s="39">
        <f t="shared" si="526"/>
        <v>0</v>
      </c>
      <c r="AD730" s="39">
        <f t="shared" si="527"/>
        <v>0</v>
      </c>
      <c r="AE730" s="39">
        <f t="shared" si="528"/>
        <v>0</v>
      </c>
      <c r="AF730" s="39">
        <f t="shared" si="529"/>
        <v>0</v>
      </c>
      <c r="AG730" s="39">
        <f t="shared" si="530"/>
        <v>0</v>
      </c>
      <c r="AH730" s="39">
        <f t="shared" si="531"/>
        <v>0</v>
      </c>
      <c r="AI730" s="30"/>
      <c r="AJ730" s="21">
        <f t="shared" si="532"/>
        <v>0</v>
      </c>
      <c r="AK730" s="21">
        <f t="shared" si="533"/>
        <v>0</v>
      </c>
      <c r="AL730" s="21">
        <f t="shared" si="534"/>
        <v>0</v>
      </c>
      <c r="AN730" s="39">
        <v>21</v>
      </c>
      <c r="AO730" s="39">
        <f t="shared" si="535"/>
        <v>0</v>
      </c>
      <c r="AP730" s="39">
        <f t="shared" si="536"/>
        <v>0</v>
      </c>
      <c r="AQ730" s="34" t="s">
        <v>11</v>
      </c>
      <c r="AV730" s="39">
        <f t="shared" si="537"/>
        <v>0</v>
      </c>
      <c r="AW730" s="39">
        <f t="shared" si="538"/>
        <v>0</v>
      </c>
      <c r="AX730" s="39">
        <f t="shared" si="539"/>
        <v>0</v>
      </c>
      <c r="AY730" s="40" t="s">
        <v>2019</v>
      </c>
      <c r="AZ730" s="40" t="s">
        <v>2041</v>
      </c>
      <c r="BA730" s="30" t="s">
        <v>2045</v>
      </c>
      <c r="BC730" s="39">
        <f t="shared" si="540"/>
        <v>0</v>
      </c>
      <c r="BD730" s="39">
        <f t="shared" si="541"/>
        <v>0</v>
      </c>
      <c r="BE730" s="39">
        <v>0</v>
      </c>
      <c r="BF730" s="39">
        <f t="shared" si="542"/>
        <v>0</v>
      </c>
      <c r="BH730" s="21">
        <f t="shared" si="543"/>
        <v>0</v>
      </c>
      <c r="BI730" s="21">
        <f t="shared" si="544"/>
        <v>0</v>
      </c>
      <c r="BJ730" s="21">
        <f t="shared" si="545"/>
        <v>0</v>
      </c>
    </row>
    <row r="731" spans="1:62">
      <c r="A731" s="5" t="s">
        <v>544</v>
      </c>
      <c r="B731" s="5"/>
      <c r="C731" s="5" t="s">
        <v>1149</v>
      </c>
      <c r="D731" s="5" t="s">
        <v>5802</v>
      </c>
      <c r="E731" s="5" t="s">
        <v>1943</v>
      </c>
      <c r="F731" s="21">
        <v>1</v>
      </c>
      <c r="G731" s="753">
        <v>0</v>
      </c>
      <c r="H731" s="21">
        <f t="shared" si="520"/>
        <v>0</v>
      </c>
      <c r="I731" s="21">
        <f t="shared" si="521"/>
        <v>0</v>
      </c>
      <c r="J731" s="21">
        <f t="shared" si="522"/>
        <v>0</v>
      </c>
      <c r="K731" s="21">
        <v>0</v>
      </c>
      <c r="L731" s="21">
        <f t="shared" si="523"/>
        <v>0</v>
      </c>
      <c r="M731" s="34" t="s">
        <v>1960</v>
      </c>
      <c r="O731">
        <f t="shared" si="546"/>
        <v>0</v>
      </c>
      <c r="Z731" s="39">
        <f t="shared" si="524"/>
        <v>0</v>
      </c>
      <c r="AB731" s="39">
        <f t="shared" si="525"/>
        <v>0</v>
      </c>
      <c r="AC731" s="39">
        <f t="shared" si="526"/>
        <v>0</v>
      </c>
      <c r="AD731" s="39">
        <f t="shared" si="527"/>
        <v>0</v>
      </c>
      <c r="AE731" s="39">
        <f t="shared" si="528"/>
        <v>0</v>
      </c>
      <c r="AF731" s="39">
        <f t="shared" si="529"/>
        <v>0</v>
      </c>
      <c r="AG731" s="39">
        <f t="shared" si="530"/>
        <v>0</v>
      </c>
      <c r="AH731" s="39">
        <f t="shared" si="531"/>
        <v>0</v>
      </c>
      <c r="AI731" s="30"/>
      <c r="AJ731" s="21">
        <f t="shared" si="532"/>
        <v>0</v>
      </c>
      <c r="AK731" s="21">
        <f t="shared" si="533"/>
        <v>0</v>
      </c>
      <c r="AL731" s="21">
        <f t="shared" si="534"/>
        <v>0</v>
      </c>
      <c r="AN731" s="39">
        <v>21</v>
      </c>
      <c r="AO731" s="39">
        <f t="shared" si="535"/>
        <v>0</v>
      </c>
      <c r="AP731" s="39">
        <f t="shared" si="536"/>
        <v>0</v>
      </c>
      <c r="AQ731" s="34" t="s">
        <v>11</v>
      </c>
      <c r="AV731" s="39">
        <f t="shared" si="537"/>
        <v>0</v>
      </c>
      <c r="AW731" s="39">
        <f t="shared" si="538"/>
        <v>0</v>
      </c>
      <c r="AX731" s="39">
        <f t="shared" si="539"/>
        <v>0</v>
      </c>
      <c r="AY731" s="40" t="s">
        <v>2019</v>
      </c>
      <c r="AZ731" s="40" t="s">
        <v>2041</v>
      </c>
      <c r="BA731" s="30" t="s">
        <v>2045</v>
      </c>
      <c r="BC731" s="39">
        <f t="shared" si="540"/>
        <v>0</v>
      </c>
      <c r="BD731" s="39">
        <f t="shared" si="541"/>
        <v>0</v>
      </c>
      <c r="BE731" s="39">
        <v>0</v>
      </c>
      <c r="BF731" s="39">
        <f t="shared" si="542"/>
        <v>0</v>
      </c>
      <c r="BH731" s="21">
        <f t="shared" si="543"/>
        <v>0</v>
      </c>
      <c r="BI731" s="21">
        <f t="shared" si="544"/>
        <v>0</v>
      </c>
      <c r="BJ731" s="21">
        <f t="shared" si="545"/>
        <v>0</v>
      </c>
    </row>
    <row r="732" spans="1:62">
      <c r="A732" s="5" t="s">
        <v>545</v>
      </c>
      <c r="B732" s="5"/>
      <c r="C732" s="5" t="s">
        <v>1150</v>
      </c>
      <c r="D732" s="5" t="s">
        <v>1855</v>
      </c>
      <c r="E732" s="5" t="s">
        <v>1943</v>
      </c>
      <c r="F732" s="21">
        <v>1</v>
      </c>
      <c r="G732" s="753">
        <v>0</v>
      </c>
      <c r="H732" s="21">
        <f t="shared" si="520"/>
        <v>0</v>
      </c>
      <c r="I732" s="21">
        <f t="shared" si="521"/>
        <v>0</v>
      </c>
      <c r="J732" s="21">
        <f t="shared" si="522"/>
        <v>0</v>
      </c>
      <c r="K732" s="21">
        <v>0</v>
      </c>
      <c r="L732" s="21">
        <f t="shared" si="523"/>
        <v>0</v>
      </c>
      <c r="M732" s="34" t="s">
        <v>1960</v>
      </c>
      <c r="O732">
        <f t="shared" si="546"/>
        <v>0</v>
      </c>
      <c r="Z732" s="39">
        <f t="shared" si="524"/>
        <v>0</v>
      </c>
      <c r="AB732" s="39">
        <f t="shared" si="525"/>
        <v>0</v>
      </c>
      <c r="AC732" s="39">
        <f t="shared" si="526"/>
        <v>0</v>
      </c>
      <c r="AD732" s="39">
        <f t="shared" si="527"/>
        <v>0</v>
      </c>
      <c r="AE732" s="39">
        <f t="shared" si="528"/>
        <v>0</v>
      </c>
      <c r="AF732" s="39">
        <f t="shared" si="529"/>
        <v>0</v>
      </c>
      <c r="AG732" s="39">
        <f t="shared" si="530"/>
        <v>0</v>
      </c>
      <c r="AH732" s="39">
        <f t="shared" si="531"/>
        <v>0</v>
      </c>
      <c r="AI732" s="30"/>
      <c r="AJ732" s="21">
        <f t="shared" si="532"/>
        <v>0</v>
      </c>
      <c r="AK732" s="21">
        <f t="shared" si="533"/>
        <v>0</v>
      </c>
      <c r="AL732" s="21">
        <f t="shared" si="534"/>
        <v>0</v>
      </c>
      <c r="AN732" s="39">
        <v>21</v>
      </c>
      <c r="AO732" s="39">
        <f t="shared" si="535"/>
        <v>0</v>
      </c>
      <c r="AP732" s="39">
        <f t="shared" si="536"/>
        <v>0</v>
      </c>
      <c r="AQ732" s="34" t="s">
        <v>11</v>
      </c>
      <c r="AV732" s="39">
        <f t="shared" si="537"/>
        <v>0</v>
      </c>
      <c r="AW732" s="39">
        <f t="shared" si="538"/>
        <v>0</v>
      </c>
      <c r="AX732" s="39">
        <f t="shared" si="539"/>
        <v>0</v>
      </c>
      <c r="AY732" s="40" t="s">
        <v>2019</v>
      </c>
      <c r="AZ732" s="40" t="s">
        <v>2041</v>
      </c>
      <c r="BA732" s="30" t="s">
        <v>2045</v>
      </c>
      <c r="BC732" s="39">
        <f t="shared" si="540"/>
        <v>0</v>
      </c>
      <c r="BD732" s="39">
        <f t="shared" si="541"/>
        <v>0</v>
      </c>
      <c r="BE732" s="39">
        <v>0</v>
      </c>
      <c r="BF732" s="39">
        <f t="shared" si="542"/>
        <v>0</v>
      </c>
      <c r="BH732" s="21">
        <f t="shared" si="543"/>
        <v>0</v>
      </c>
      <c r="BI732" s="21">
        <f t="shared" si="544"/>
        <v>0</v>
      </c>
      <c r="BJ732" s="21">
        <f t="shared" si="545"/>
        <v>0</v>
      </c>
    </row>
    <row r="733" spans="1:62">
      <c r="A733" s="5" t="s">
        <v>546</v>
      </c>
      <c r="B733" s="5"/>
      <c r="C733" s="5" t="s">
        <v>1151</v>
      </c>
      <c r="D733" s="5" t="s">
        <v>1856</v>
      </c>
      <c r="E733" s="5" t="s">
        <v>1943</v>
      </c>
      <c r="F733" s="21">
        <v>1</v>
      </c>
      <c r="G733" s="753">
        <v>0</v>
      </c>
      <c r="H733" s="21">
        <f t="shared" si="520"/>
        <v>0</v>
      </c>
      <c r="I733" s="21">
        <f t="shared" si="521"/>
        <v>0</v>
      </c>
      <c r="J733" s="21">
        <f t="shared" si="522"/>
        <v>0</v>
      </c>
      <c r="K733" s="21">
        <v>0</v>
      </c>
      <c r="L733" s="21">
        <f t="shared" si="523"/>
        <v>0</v>
      </c>
      <c r="M733" s="34" t="s">
        <v>1960</v>
      </c>
      <c r="O733">
        <f t="shared" si="546"/>
        <v>0</v>
      </c>
      <c r="Z733" s="39">
        <f t="shared" si="524"/>
        <v>0</v>
      </c>
      <c r="AB733" s="39">
        <f t="shared" si="525"/>
        <v>0</v>
      </c>
      <c r="AC733" s="39">
        <f t="shared" si="526"/>
        <v>0</v>
      </c>
      <c r="AD733" s="39">
        <f t="shared" si="527"/>
        <v>0</v>
      </c>
      <c r="AE733" s="39">
        <f t="shared" si="528"/>
        <v>0</v>
      </c>
      <c r="AF733" s="39">
        <f t="shared" si="529"/>
        <v>0</v>
      </c>
      <c r="AG733" s="39">
        <f t="shared" si="530"/>
        <v>0</v>
      </c>
      <c r="AH733" s="39">
        <f t="shared" si="531"/>
        <v>0</v>
      </c>
      <c r="AI733" s="30"/>
      <c r="AJ733" s="21">
        <f t="shared" si="532"/>
        <v>0</v>
      </c>
      <c r="AK733" s="21">
        <f t="shared" si="533"/>
        <v>0</v>
      </c>
      <c r="AL733" s="21">
        <f t="shared" si="534"/>
        <v>0</v>
      </c>
      <c r="AN733" s="39">
        <v>21</v>
      </c>
      <c r="AO733" s="39">
        <f t="shared" si="535"/>
        <v>0</v>
      </c>
      <c r="AP733" s="39">
        <f t="shared" si="536"/>
        <v>0</v>
      </c>
      <c r="AQ733" s="34" t="s">
        <v>11</v>
      </c>
      <c r="AV733" s="39">
        <f t="shared" si="537"/>
        <v>0</v>
      </c>
      <c r="AW733" s="39">
        <f t="shared" si="538"/>
        <v>0</v>
      </c>
      <c r="AX733" s="39">
        <f t="shared" si="539"/>
        <v>0</v>
      </c>
      <c r="AY733" s="40" t="s">
        <v>2019</v>
      </c>
      <c r="AZ733" s="40" t="s">
        <v>2041</v>
      </c>
      <c r="BA733" s="30" t="s">
        <v>2045</v>
      </c>
      <c r="BC733" s="39">
        <f t="shared" si="540"/>
        <v>0</v>
      </c>
      <c r="BD733" s="39">
        <f t="shared" si="541"/>
        <v>0</v>
      </c>
      <c r="BE733" s="39">
        <v>0</v>
      </c>
      <c r="BF733" s="39">
        <f t="shared" si="542"/>
        <v>0</v>
      </c>
      <c r="BH733" s="21">
        <f t="shared" si="543"/>
        <v>0</v>
      </c>
      <c r="BI733" s="21">
        <f t="shared" si="544"/>
        <v>0</v>
      </c>
      <c r="BJ733" s="21">
        <f t="shared" si="545"/>
        <v>0</v>
      </c>
    </row>
    <row r="734" spans="1:62">
      <c r="A734" s="5" t="s">
        <v>547</v>
      </c>
      <c r="B734" s="5"/>
      <c r="C734" s="5" t="s">
        <v>1152</v>
      </c>
      <c r="D734" s="5" t="s">
        <v>1857</v>
      </c>
      <c r="E734" s="5" t="s">
        <v>1943</v>
      </c>
      <c r="F734" s="21">
        <v>1</v>
      </c>
      <c r="G734" s="753">
        <v>0</v>
      </c>
      <c r="H734" s="21">
        <f t="shared" si="520"/>
        <v>0</v>
      </c>
      <c r="I734" s="21">
        <f t="shared" si="521"/>
        <v>0</v>
      </c>
      <c r="J734" s="21">
        <f t="shared" si="522"/>
        <v>0</v>
      </c>
      <c r="K734" s="21">
        <v>0</v>
      </c>
      <c r="L734" s="21">
        <f t="shared" si="523"/>
        <v>0</v>
      </c>
      <c r="M734" s="34" t="s">
        <v>1960</v>
      </c>
      <c r="O734">
        <f t="shared" si="546"/>
        <v>0</v>
      </c>
      <c r="Z734" s="39">
        <f t="shared" si="524"/>
        <v>0</v>
      </c>
      <c r="AB734" s="39">
        <f t="shared" si="525"/>
        <v>0</v>
      </c>
      <c r="AC734" s="39">
        <f t="shared" si="526"/>
        <v>0</v>
      </c>
      <c r="AD734" s="39">
        <f t="shared" si="527"/>
        <v>0</v>
      </c>
      <c r="AE734" s="39">
        <f t="shared" si="528"/>
        <v>0</v>
      </c>
      <c r="AF734" s="39">
        <f t="shared" si="529"/>
        <v>0</v>
      </c>
      <c r="AG734" s="39">
        <f t="shared" si="530"/>
        <v>0</v>
      </c>
      <c r="AH734" s="39">
        <f t="shared" si="531"/>
        <v>0</v>
      </c>
      <c r="AI734" s="30"/>
      <c r="AJ734" s="21">
        <f t="shared" si="532"/>
        <v>0</v>
      </c>
      <c r="AK734" s="21">
        <f t="shared" si="533"/>
        <v>0</v>
      </c>
      <c r="AL734" s="21">
        <f t="shared" si="534"/>
        <v>0</v>
      </c>
      <c r="AN734" s="39">
        <v>21</v>
      </c>
      <c r="AO734" s="39">
        <f t="shared" si="535"/>
        <v>0</v>
      </c>
      <c r="AP734" s="39">
        <f t="shared" si="536"/>
        <v>0</v>
      </c>
      <c r="AQ734" s="34" t="s">
        <v>11</v>
      </c>
      <c r="AV734" s="39">
        <f t="shared" si="537"/>
        <v>0</v>
      </c>
      <c r="AW734" s="39">
        <f t="shared" si="538"/>
        <v>0</v>
      </c>
      <c r="AX734" s="39">
        <f t="shared" si="539"/>
        <v>0</v>
      </c>
      <c r="AY734" s="40" t="s">
        <v>2019</v>
      </c>
      <c r="AZ734" s="40" t="s">
        <v>2041</v>
      </c>
      <c r="BA734" s="30" t="s">
        <v>2045</v>
      </c>
      <c r="BC734" s="39">
        <f t="shared" si="540"/>
        <v>0</v>
      </c>
      <c r="BD734" s="39">
        <f t="shared" si="541"/>
        <v>0</v>
      </c>
      <c r="BE734" s="39">
        <v>0</v>
      </c>
      <c r="BF734" s="39">
        <f t="shared" si="542"/>
        <v>0</v>
      </c>
      <c r="BH734" s="21">
        <f t="shared" si="543"/>
        <v>0</v>
      </c>
      <c r="BI734" s="21">
        <f t="shared" si="544"/>
        <v>0</v>
      </c>
      <c r="BJ734" s="21">
        <f t="shared" si="545"/>
        <v>0</v>
      </c>
    </row>
    <row r="735" spans="1:62">
      <c r="A735" s="5" t="s">
        <v>548</v>
      </c>
      <c r="B735" s="5"/>
      <c r="C735" s="5" t="s">
        <v>1153</v>
      </c>
      <c r="D735" s="5" t="s">
        <v>1858</v>
      </c>
      <c r="E735" s="5" t="s">
        <v>1943</v>
      </c>
      <c r="F735" s="21">
        <v>1</v>
      </c>
      <c r="G735" s="753">
        <v>0</v>
      </c>
      <c r="H735" s="21">
        <f t="shared" si="520"/>
        <v>0</v>
      </c>
      <c r="I735" s="21">
        <f t="shared" si="521"/>
        <v>0</v>
      </c>
      <c r="J735" s="21">
        <f t="shared" si="522"/>
        <v>0</v>
      </c>
      <c r="K735" s="21">
        <v>0</v>
      </c>
      <c r="L735" s="21">
        <f t="shared" si="523"/>
        <v>0</v>
      </c>
      <c r="M735" s="34" t="s">
        <v>1960</v>
      </c>
      <c r="O735">
        <f t="shared" si="546"/>
        <v>0</v>
      </c>
      <c r="Z735" s="39">
        <f t="shared" si="524"/>
        <v>0</v>
      </c>
      <c r="AB735" s="39">
        <f t="shared" si="525"/>
        <v>0</v>
      </c>
      <c r="AC735" s="39">
        <f t="shared" si="526"/>
        <v>0</v>
      </c>
      <c r="AD735" s="39">
        <f t="shared" si="527"/>
        <v>0</v>
      </c>
      <c r="AE735" s="39">
        <f t="shared" si="528"/>
        <v>0</v>
      </c>
      <c r="AF735" s="39">
        <f t="shared" si="529"/>
        <v>0</v>
      </c>
      <c r="AG735" s="39">
        <f t="shared" si="530"/>
        <v>0</v>
      </c>
      <c r="AH735" s="39">
        <f t="shared" si="531"/>
        <v>0</v>
      </c>
      <c r="AI735" s="30"/>
      <c r="AJ735" s="21">
        <f t="shared" si="532"/>
        <v>0</v>
      </c>
      <c r="AK735" s="21">
        <f t="shared" si="533"/>
        <v>0</v>
      </c>
      <c r="AL735" s="21">
        <f t="shared" si="534"/>
        <v>0</v>
      </c>
      <c r="AN735" s="39">
        <v>21</v>
      </c>
      <c r="AO735" s="39">
        <f t="shared" si="535"/>
        <v>0</v>
      </c>
      <c r="AP735" s="39">
        <f t="shared" si="536"/>
        <v>0</v>
      </c>
      <c r="AQ735" s="34" t="s">
        <v>11</v>
      </c>
      <c r="AV735" s="39">
        <f t="shared" si="537"/>
        <v>0</v>
      </c>
      <c r="AW735" s="39">
        <f t="shared" si="538"/>
        <v>0</v>
      </c>
      <c r="AX735" s="39">
        <f t="shared" si="539"/>
        <v>0</v>
      </c>
      <c r="AY735" s="40" t="s">
        <v>2019</v>
      </c>
      <c r="AZ735" s="40" t="s">
        <v>2041</v>
      </c>
      <c r="BA735" s="30" t="s">
        <v>2045</v>
      </c>
      <c r="BC735" s="39">
        <f t="shared" si="540"/>
        <v>0</v>
      </c>
      <c r="BD735" s="39">
        <f t="shared" si="541"/>
        <v>0</v>
      </c>
      <c r="BE735" s="39">
        <v>0</v>
      </c>
      <c r="BF735" s="39">
        <f t="shared" si="542"/>
        <v>0</v>
      </c>
      <c r="BH735" s="21">
        <f t="shared" si="543"/>
        <v>0</v>
      </c>
      <c r="BI735" s="21">
        <f t="shared" si="544"/>
        <v>0</v>
      </c>
      <c r="BJ735" s="21">
        <f t="shared" si="545"/>
        <v>0</v>
      </c>
    </row>
    <row r="736" spans="1:62">
      <c r="A736" s="5" t="s">
        <v>549</v>
      </c>
      <c r="B736" s="5"/>
      <c r="C736" s="5" t="s">
        <v>1154</v>
      </c>
      <c r="D736" s="5" t="s">
        <v>5803</v>
      </c>
      <c r="E736" s="5" t="s">
        <v>1943</v>
      </c>
      <c r="F736" s="21">
        <v>2</v>
      </c>
      <c r="G736" s="753">
        <v>0</v>
      </c>
      <c r="H736" s="21">
        <f t="shared" si="520"/>
        <v>0</v>
      </c>
      <c r="I736" s="21">
        <f t="shared" si="521"/>
        <v>0</v>
      </c>
      <c r="J736" s="21">
        <f t="shared" si="522"/>
        <v>0</v>
      </c>
      <c r="K736" s="21">
        <v>0</v>
      </c>
      <c r="L736" s="21">
        <f t="shared" si="523"/>
        <v>0</v>
      </c>
      <c r="M736" s="34" t="s">
        <v>1960</v>
      </c>
      <c r="O736">
        <f t="shared" si="546"/>
        <v>0</v>
      </c>
      <c r="Z736" s="39">
        <f t="shared" si="524"/>
        <v>0</v>
      </c>
      <c r="AB736" s="39">
        <f t="shared" si="525"/>
        <v>0</v>
      </c>
      <c r="AC736" s="39">
        <f t="shared" si="526"/>
        <v>0</v>
      </c>
      <c r="AD736" s="39">
        <f t="shared" si="527"/>
        <v>0</v>
      </c>
      <c r="AE736" s="39">
        <f t="shared" si="528"/>
        <v>0</v>
      </c>
      <c r="AF736" s="39">
        <f t="shared" si="529"/>
        <v>0</v>
      </c>
      <c r="AG736" s="39">
        <f t="shared" si="530"/>
        <v>0</v>
      </c>
      <c r="AH736" s="39">
        <f t="shared" si="531"/>
        <v>0</v>
      </c>
      <c r="AI736" s="30"/>
      <c r="AJ736" s="21">
        <f t="shared" si="532"/>
        <v>0</v>
      </c>
      <c r="AK736" s="21">
        <f t="shared" si="533"/>
        <v>0</v>
      </c>
      <c r="AL736" s="21">
        <f t="shared" si="534"/>
        <v>0</v>
      </c>
      <c r="AN736" s="39">
        <v>21</v>
      </c>
      <c r="AO736" s="39">
        <f t="shared" si="535"/>
        <v>0</v>
      </c>
      <c r="AP736" s="39">
        <f t="shared" si="536"/>
        <v>0</v>
      </c>
      <c r="AQ736" s="34" t="s">
        <v>11</v>
      </c>
      <c r="AV736" s="39">
        <f t="shared" si="537"/>
        <v>0</v>
      </c>
      <c r="AW736" s="39">
        <f t="shared" si="538"/>
        <v>0</v>
      </c>
      <c r="AX736" s="39">
        <f t="shared" si="539"/>
        <v>0</v>
      </c>
      <c r="AY736" s="40" t="s">
        <v>2019</v>
      </c>
      <c r="AZ736" s="40" t="s">
        <v>2041</v>
      </c>
      <c r="BA736" s="30" t="s">
        <v>2045</v>
      </c>
      <c r="BC736" s="39">
        <f t="shared" si="540"/>
        <v>0</v>
      </c>
      <c r="BD736" s="39">
        <f t="shared" si="541"/>
        <v>0</v>
      </c>
      <c r="BE736" s="39">
        <v>0</v>
      </c>
      <c r="BF736" s="39">
        <f t="shared" si="542"/>
        <v>0</v>
      </c>
      <c r="BH736" s="21">
        <f t="shared" si="543"/>
        <v>0</v>
      </c>
      <c r="BI736" s="21">
        <f t="shared" si="544"/>
        <v>0</v>
      </c>
      <c r="BJ736" s="21">
        <f t="shared" si="545"/>
        <v>0</v>
      </c>
    </row>
    <row r="737" spans="1:62">
      <c r="A737" s="5" t="s">
        <v>550</v>
      </c>
      <c r="B737" s="5"/>
      <c r="C737" s="5" t="s">
        <v>1155</v>
      </c>
      <c r="D737" s="5" t="s">
        <v>1860</v>
      </c>
      <c r="E737" s="5" t="s">
        <v>1943</v>
      </c>
      <c r="F737" s="21">
        <v>1</v>
      </c>
      <c r="G737" s="753">
        <v>0</v>
      </c>
      <c r="H737" s="21">
        <f t="shared" si="520"/>
        <v>0</v>
      </c>
      <c r="I737" s="21">
        <f t="shared" si="521"/>
        <v>0</v>
      </c>
      <c r="J737" s="21">
        <f t="shared" si="522"/>
        <v>0</v>
      </c>
      <c r="K737" s="21">
        <v>0</v>
      </c>
      <c r="L737" s="21">
        <f t="shared" si="523"/>
        <v>0</v>
      </c>
      <c r="M737" s="34" t="s">
        <v>1960</v>
      </c>
      <c r="O737">
        <f t="shared" si="546"/>
        <v>0</v>
      </c>
      <c r="Z737" s="39">
        <f t="shared" si="524"/>
        <v>0</v>
      </c>
      <c r="AB737" s="39">
        <f t="shared" si="525"/>
        <v>0</v>
      </c>
      <c r="AC737" s="39">
        <f t="shared" si="526"/>
        <v>0</v>
      </c>
      <c r="AD737" s="39">
        <f t="shared" si="527"/>
        <v>0</v>
      </c>
      <c r="AE737" s="39">
        <f t="shared" si="528"/>
        <v>0</v>
      </c>
      <c r="AF737" s="39">
        <f t="shared" si="529"/>
        <v>0</v>
      </c>
      <c r="AG737" s="39">
        <f t="shared" si="530"/>
        <v>0</v>
      </c>
      <c r="AH737" s="39">
        <f t="shared" si="531"/>
        <v>0</v>
      </c>
      <c r="AI737" s="30"/>
      <c r="AJ737" s="21">
        <f t="shared" si="532"/>
        <v>0</v>
      </c>
      <c r="AK737" s="21">
        <f t="shared" si="533"/>
        <v>0</v>
      </c>
      <c r="AL737" s="21">
        <f t="shared" si="534"/>
        <v>0</v>
      </c>
      <c r="AN737" s="39">
        <v>21</v>
      </c>
      <c r="AO737" s="39">
        <f t="shared" si="535"/>
        <v>0</v>
      </c>
      <c r="AP737" s="39">
        <f t="shared" si="536"/>
        <v>0</v>
      </c>
      <c r="AQ737" s="34" t="s">
        <v>11</v>
      </c>
      <c r="AV737" s="39">
        <f t="shared" si="537"/>
        <v>0</v>
      </c>
      <c r="AW737" s="39">
        <f t="shared" si="538"/>
        <v>0</v>
      </c>
      <c r="AX737" s="39">
        <f t="shared" si="539"/>
        <v>0</v>
      </c>
      <c r="AY737" s="40" t="s">
        <v>2019</v>
      </c>
      <c r="AZ737" s="40" t="s">
        <v>2041</v>
      </c>
      <c r="BA737" s="30" t="s">
        <v>2045</v>
      </c>
      <c r="BC737" s="39">
        <f t="shared" si="540"/>
        <v>0</v>
      </c>
      <c r="BD737" s="39">
        <f t="shared" si="541"/>
        <v>0</v>
      </c>
      <c r="BE737" s="39">
        <v>0</v>
      </c>
      <c r="BF737" s="39">
        <f t="shared" si="542"/>
        <v>0</v>
      </c>
      <c r="BH737" s="21">
        <f t="shared" si="543"/>
        <v>0</v>
      </c>
      <c r="BI737" s="21">
        <f t="shared" si="544"/>
        <v>0</v>
      </c>
      <c r="BJ737" s="21">
        <f t="shared" si="545"/>
        <v>0</v>
      </c>
    </row>
    <row r="738" spans="1:62">
      <c r="A738" s="5" t="s">
        <v>551</v>
      </c>
      <c r="B738" s="5"/>
      <c r="C738" s="5" t="s">
        <v>1156</v>
      </c>
      <c r="D738" s="5" t="s">
        <v>1861</v>
      </c>
      <c r="E738" s="5" t="s">
        <v>1943</v>
      </c>
      <c r="F738" s="21">
        <v>1</v>
      </c>
      <c r="G738" s="753">
        <v>0</v>
      </c>
      <c r="H738" s="21">
        <f t="shared" si="520"/>
        <v>0</v>
      </c>
      <c r="I738" s="21">
        <f t="shared" si="521"/>
        <v>0</v>
      </c>
      <c r="J738" s="21">
        <f t="shared" si="522"/>
        <v>0</v>
      </c>
      <c r="K738" s="21">
        <v>0</v>
      </c>
      <c r="L738" s="21">
        <f t="shared" si="523"/>
        <v>0</v>
      </c>
      <c r="M738" s="34" t="s">
        <v>1960</v>
      </c>
      <c r="O738">
        <f t="shared" si="546"/>
        <v>0</v>
      </c>
      <c r="Z738" s="39">
        <f t="shared" si="524"/>
        <v>0</v>
      </c>
      <c r="AB738" s="39">
        <f t="shared" si="525"/>
        <v>0</v>
      </c>
      <c r="AC738" s="39">
        <f t="shared" si="526"/>
        <v>0</v>
      </c>
      <c r="AD738" s="39">
        <f t="shared" si="527"/>
        <v>0</v>
      </c>
      <c r="AE738" s="39">
        <f t="shared" si="528"/>
        <v>0</v>
      </c>
      <c r="AF738" s="39">
        <f t="shared" si="529"/>
        <v>0</v>
      </c>
      <c r="AG738" s="39">
        <f t="shared" si="530"/>
        <v>0</v>
      </c>
      <c r="AH738" s="39">
        <f t="shared" si="531"/>
        <v>0</v>
      </c>
      <c r="AI738" s="30"/>
      <c r="AJ738" s="21">
        <f t="shared" si="532"/>
        <v>0</v>
      </c>
      <c r="AK738" s="21">
        <f t="shared" si="533"/>
        <v>0</v>
      </c>
      <c r="AL738" s="21">
        <f t="shared" si="534"/>
        <v>0</v>
      </c>
      <c r="AN738" s="39">
        <v>21</v>
      </c>
      <c r="AO738" s="39">
        <f t="shared" si="535"/>
        <v>0</v>
      </c>
      <c r="AP738" s="39">
        <f t="shared" si="536"/>
        <v>0</v>
      </c>
      <c r="AQ738" s="34" t="s">
        <v>11</v>
      </c>
      <c r="AV738" s="39">
        <f t="shared" si="537"/>
        <v>0</v>
      </c>
      <c r="AW738" s="39">
        <f t="shared" si="538"/>
        <v>0</v>
      </c>
      <c r="AX738" s="39">
        <f t="shared" si="539"/>
        <v>0</v>
      </c>
      <c r="AY738" s="40" t="s">
        <v>2019</v>
      </c>
      <c r="AZ738" s="40" t="s">
        <v>2041</v>
      </c>
      <c r="BA738" s="30" t="s">
        <v>2045</v>
      </c>
      <c r="BC738" s="39">
        <f t="shared" si="540"/>
        <v>0</v>
      </c>
      <c r="BD738" s="39">
        <f t="shared" si="541"/>
        <v>0</v>
      </c>
      <c r="BE738" s="39">
        <v>0</v>
      </c>
      <c r="BF738" s="39">
        <f t="shared" si="542"/>
        <v>0</v>
      </c>
      <c r="BH738" s="21">
        <f t="shared" si="543"/>
        <v>0</v>
      </c>
      <c r="BI738" s="21">
        <f t="shared" si="544"/>
        <v>0</v>
      </c>
      <c r="BJ738" s="21">
        <f t="shared" si="545"/>
        <v>0</v>
      </c>
    </row>
    <row r="739" spans="1:62">
      <c r="A739" s="5" t="s">
        <v>552</v>
      </c>
      <c r="B739" s="5"/>
      <c r="C739" s="5" t="s">
        <v>1157</v>
      </c>
      <c r="D739" s="5" t="s">
        <v>5804</v>
      </c>
      <c r="E739" s="5" t="s">
        <v>1943</v>
      </c>
      <c r="F739" s="21">
        <v>1</v>
      </c>
      <c r="G739" s="753">
        <v>0</v>
      </c>
      <c r="H739" s="21">
        <f t="shared" si="520"/>
        <v>0</v>
      </c>
      <c r="I739" s="21">
        <f t="shared" si="521"/>
        <v>0</v>
      </c>
      <c r="J739" s="21">
        <f t="shared" si="522"/>
        <v>0</v>
      </c>
      <c r="K739" s="21">
        <v>0</v>
      </c>
      <c r="L739" s="21">
        <f t="shared" si="523"/>
        <v>0</v>
      </c>
      <c r="M739" s="34" t="s">
        <v>1960</v>
      </c>
      <c r="O739">
        <f t="shared" si="546"/>
        <v>0</v>
      </c>
      <c r="Z739" s="39">
        <f t="shared" si="524"/>
        <v>0</v>
      </c>
      <c r="AB739" s="39">
        <f t="shared" si="525"/>
        <v>0</v>
      </c>
      <c r="AC739" s="39">
        <f t="shared" si="526"/>
        <v>0</v>
      </c>
      <c r="AD739" s="39">
        <f t="shared" si="527"/>
        <v>0</v>
      </c>
      <c r="AE739" s="39">
        <f t="shared" si="528"/>
        <v>0</v>
      </c>
      <c r="AF739" s="39">
        <f t="shared" si="529"/>
        <v>0</v>
      </c>
      <c r="AG739" s="39">
        <f t="shared" si="530"/>
        <v>0</v>
      </c>
      <c r="AH739" s="39">
        <f t="shared" si="531"/>
        <v>0</v>
      </c>
      <c r="AI739" s="30"/>
      <c r="AJ739" s="21">
        <f t="shared" si="532"/>
        <v>0</v>
      </c>
      <c r="AK739" s="21">
        <f t="shared" si="533"/>
        <v>0</v>
      </c>
      <c r="AL739" s="21">
        <f t="shared" si="534"/>
        <v>0</v>
      </c>
      <c r="AN739" s="39">
        <v>21</v>
      </c>
      <c r="AO739" s="39">
        <f t="shared" si="535"/>
        <v>0</v>
      </c>
      <c r="AP739" s="39">
        <f t="shared" si="536"/>
        <v>0</v>
      </c>
      <c r="AQ739" s="34" t="s">
        <v>11</v>
      </c>
      <c r="AV739" s="39">
        <f t="shared" si="537"/>
        <v>0</v>
      </c>
      <c r="AW739" s="39">
        <f t="shared" si="538"/>
        <v>0</v>
      </c>
      <c r="AX739" s="39">
        <f t="shared" si="539"/>
        <v>0</v>
      </c>
      <c r="AY739" s="40" t="s">
        <v>2019</v>
      </c>
      <c r="AZ739" s="40" t="s">
        <v>2041</v>
      </c>
      <c r="BA739" s="30" t="s">
        <v>2045</v>
      </c>
      <c r="BC739" s="39">
        <f t="shared" si="540"/>
        <v>0</v>
      </c>
      <c r="BD739" s="39">
        <f t="shared" si="541"/>
        <v>0</v>
      </c>
      <c r="BE739" s="39">
        <v>0</v>
      </c>
      <c r="BF739" s="39">
        <f t="shared" si="542"/>
        <v>0</v>
      </c>
      <c r="BH739" s="21">
        <f t="shared" si="543"/>
        <v>0</v>
      </c>
      <c r="BI739" s="21">
        <f t="shared" si="544"/>
        <v>0</v>
      </c>
      <c r="BJ739" s="21">
        <f t="shared" si="545"/>
        <v>0</v>
      </c>
    </row>
    <row r="740" spans="1:62">
      <c r="A740" s="5" t="s">
        <v>553</v>
      </c>
      <c r="B740" s="5"/>
      <c r="C740" s="5" t="s">
        <v>1158</v>
      </c>
      <c r="D740" s="5" t="s">
        <v>5805</v>
      </c>
      <c r="E740" s="5" t="s">
        <v>1943</v>
      </c>
      <c r="F740" s="21">
        <v>1</v>
      </c>
      <c r="G740" s="753">
        <v>0</v>
      </c>
      <c r="H740" s="21">
        <f t="shared" si="520"/>
        <v>0</v>
      </c>
      <c r="I740" s="21">
        <f t="shared" si="521"/>
        <v>0</v>
      </c>
      <c r="J740" s="21">
        <f t="shared" si="522"/>
        <v>0</v>
      </c>
      <c r="K740" s="21">
        <v>0</v>
      </c>
      <c r="L740" s="21">
        <f t="shared" si="523"/>
        <v>0</v>
      </c>
      <c r="M740" s="34" t="s">
        <v>1960</v>
      </c>
      <c r="O740">
        <f t="shared" si="546"/>
        <v>0</v>
      </c>
      <c r="Z740" s="39">
        <f t="shared" si="524"/>
        <v>0</v>
      </c>
      <c r="AB740" s="39">
        <f t="shared" si="525"/>
        <v>0</v>
      </c>
      <c r="AC740" s="39">
        <f t="shared" si="526"/>
        <v>0</v>
      </c>
      <c r="AD740" s="39">
        <f t="shared" si="527"/>
        <v>0</v>
      </c>
      <c r="AE740" s="39">
        <f t="shared" si="528"/>
        <v>0</v>
      </c>
      <c r="AF740" s="39">
        <f t="shared" si="529"/>
        <v>0</v>
      </c>
      <c r="AG740" s="39">
        <f t="shared" si="530"/>
        <v>0</v>
      </c>
      <c r="AH740" s="39">
        <f t="shared" si="531"/>
        <v>0</v>
      </c>
      <c r="AI740" s="30"/>
      <c r="AJ740" s="21">
        <f t="shared" si="532"/>
        <v>0</v>
      </c>
      <c r="AK740" s="21">
        <f t="shared" si="533"/>
        <v>0</v>
      </c>
      <c r="AL740" s="21">
        <f t="shared" si="534"/>
        <v>0</v>
      </c>
      <c r="AN740" s="39">
        <v>21</v>
      </c>
      <c r="AO740" s="39">
        <f t="shared" si="535"/>
        <v>0</v>
      </c>
      <c r="AP740" s="39">
        <f t="shared" si="536"/>
        <v>0</v>
      </c>
      <c r="AQ740" s="34" t="s">
        <v>11</v>
      </c>
      <c r="AV740" s="39">
        <f t="shared" si="537"/>
        <v>0</v>
      </c>
      <c r="AW740" s="39">
        <f t="shared" si="538"/>
        <v>0</v>
      </c>
      <c r="AX740" s="39">
        <f t="shared" si="539"/>
        <v>0</v>
      </c>
      <c r="AY740" s="40" t="s">
        <v>2019</v>
      </c>
      <c r="AZ740" s="40" t="s">
        <v>2041</v>
      </c>
      <c r="BA740" s="30" t="s">
        <v>2045</v>
      </c>
      <c r="BC740" s="39">
        <f t="shared" si="540"/>
        <v>0</v>
      </c>
      <c r="BD740" s="39">
        <f t="shared" si="541"/>
        <v>0</v>
      </c>
      <c r="BE740" s="39">
        <v>0</v>
      </c>
      <c r="BF740" s="39">
        <f t="shared" si="542"/>
        <v>0</v>
      </c>
      <c r="BH740" s="21">
        <f t="shared" si="543"/>
        <v>0</v>
      </c>
      <c r="BI740" s="21">
        <f t="shared" si="544"/>
        <v>0</v>
      </c>
      <c r="BJ740" s="21">
        <f t="shared" si="545"/>
        <v>0</v>
      </c>
    </row>
    <row r="741" spans="1:62">
      <c r="A741" s="5" t="s">
        <v>554</v>
      </c>
      <c r="B741" s="5"/>
      <c r="C741" s="5" t="s">
        <v>1159</v>
      </c>
      <c r="D741" s="5" t="s">
        <v>5806</v>
      </c>
      <c r="E741" s="5" t="s">
        <v>1943</v>
      </c>
      <c r="F741" s="21">
        <v>1</v>
      </c>
      <c r="G741" s="753">
        <v>0</v>
      </c>
      <c r="H741" s="21">
        <f t="shared" si="520"/>
        <v>0</v>
      </c>
      <c r="I741" s="21">
        <f t="shared" si="521"/>
        <v>0</v>
      </c>
      <c r="J741" s="21">
        <f t="shared" si="522"/>
        <v>0</v>
      </c>
      <c r="K741" s="21">
        <v>0</v>
      </c>
      <c r="L741" s="21">
        <f t="shared" si="523"/>
        <v>0</v>
      </c>
      <c r="M741" s="34" t="s">
        <v>1960</v>
      </c>
      <c r="O741">
        <f t="shared" si="546"/>
        <v>0</v>
      </c>
      <c r="Z741" s="39">
        <f t="shared" si="524"/>
        <v>0</v>
      </c>
      <c r="AB741" s="39">
        <f t="shared" si="525"/>
        <v>0</v>
      </c>
      <c r="AC741" s="39">
        <f t="shared" si="526"/>
        <v>0</v>
      </c>
      <c r="AD741" s="39">
        <f t="shared" si="527"/>
        <v>0</v>
      </c>
      <c r="AE741" s="39">
        <f t="shared" si="528"/>
        <v>0</v>
      </c>
      <c r="AF741" s="39">
        <f t="shared" si="529"/>
        <v>0</v>
      </c>
      <c r="AG741" s="39">
        <f t="shared" si="530"/>
        <v>0</v>
      </c>
      <c r="AH741" s="39">
        <f t="shared" si="531"/>
        <v>0</v>
      </c>
      <c r="AI741" s="30"/>
      <c r="AJ741" s="21">
        <f t="shared" si="532"/>
        <v>0</v>
      </c>
      <c r="AK741" s="21">
        <f t="shared" si="533"/>
        <v>0</v>
      </c>
      <c r="AL741" s="21">
        <f t="shared" si="534"/>
        <v>0</v>
      </c>
      <c r="AN741" s="39">
        <v>21</v>
      </c>
      <c r="AO741" s="39">
        <f t="shared" si="535"/>
        <v>0</v>
      </c>
      <c r="AP741" s="39">
        <f t="shared" si="536"/>
        <v>0</v>
      </c>
      <c r="AQ741" s="34" t="s">
        <v>11</v>
      </c>
      <c r="AV741" s="39">
        <f t="shared" si="537"/>
        <v>0</v>
      </c>
      <c r="AW741" s="39">
        <f t="shared" si="538"/>
        <v>0</v>
      </c>
      <c r="AX741" s="39">
        <f t="shared" si="539"/>
        <v>0</v>
      </c>
      <c r="AY741" s="40" t="s">
        <v>2019</v>
      </c>
      <c r="AZ741" s="40" t="s">
        <v>2041</v>
      </c>
      <c r="BA741" s="30" t="s">
        <v>2045</v>
      </c>
      <c r="BC741" s="39">
        <f t="shared" si="540"/>
        <v>0</v>
      </c>
      <c r="BD741" s="39">
        <f t="shared" si="541"/>
        <v>0</v>
      </c>
      <c r="BE741" s="39">
        <v>0</v>
      </c>
      <c r="BF741" s="39">
        <f t="shared" si="542"/>
        <v>0</v>
      </c>
      <c r="BH741" s="21">
        <f t="shared" si="543"/>
        <v>0</v>
      </c>
      <c r="BI741" s="21">
        <f t="shared" si="544"/>
        <v>0</v>
      </c>
      <c r="BJ741" s="21">
        <f t="shared" si="545"/>
        <v>0</v>
      </c>
    </row>
    <row r="742" spans="1:62">
      <c r="A742" s="5" t="s">
        <v>555</v>
      </c>
      <c r="B742" s="5"/>
      <c r="C742" s="5" t="s">
        <v>1160</v>
      </c>
      <c r="D742" s="5" t="s">
        <v>5807</v>
      </c>
      <c r="E742" s="5" t="s">
        <v>1943</v>
      </c>
      <c r="F742" s="21">
        <v>1</v>
      </c>
      <c r="G742" s="753">
        <v>0</v>
      </c>
      <c r="H742" s="21">
        <f t="shared" si="520"/>
        <v>0</v>
      </c>
      <c r="I742" s="21">
        <f t="shared" si="521"/>
        <v>0</v>
      </c>
      <c r="J742" s="21">
        <f t="shared" si="522"/>
        <v>0</v>
      </c>
      <c r="K742" s="21">
        <v>0</v>
      </c>
      <c r="L742" s="21">
        <f t="shared" si="523"/>
        <v>0</v>
      </c>
      <c r="M742" s="34" t="s">
        <v>1960</v>
      </c>
      <c r="O742">
        <f t="shared" si="546"/>
        <v>0</v>
      </c>
      <c r="Z742" s="39">
        <f t="shared" si="524"/>
        <v>0</v>
      </c>
      <c r="AB742" s="39">
        <f t="shared" si="525"/>
        <v>0</v>
      </c>
      <c r="AC742" s="39">
        <f t="shared" si="526"/>
        <v>0</v>
      </c>
      <c r="AD742" s="39">
        <f t="shared" si="527"/>
        <v>0</v>
      </c>
      <c r="AE742" s="39">
        <f t="shared" si="528"/>
        <v>0</v>
      </c>
      <c r="AF742" s="39">
        <f t="shared" si="529"/>
        <v>0</v>
      </c>
      <c r="AG742" s="39">
        <f t="shared" si="530"/>
        <v>0</v>
      </c>
      <c r="AH742" s="39">
        <f t="shared" si="531"/>
        <v>0</v>
      </c>
      <c r="AI742" s="30"/>
      <c r="AJ742" s="21">
        <f t="shared" si="532"/>
        <v>0</v>
      </c>
      <c r="AK742" s="21">
        <f t="shared" si="533"/>
        <v>0</v>
      </c>
      <c r="AL742" s="21">
        <f t="shared" si="534"/>
        <v>0</v>
      </c>
      <c r="AN742" s="39">
        <v>21</v>
      </c>
      <c r="AO742" s="39">
        <f t="shared" si="535"/>
        <v>0</v>
      </c>
      <c r="AP742" s="39">
        <f t="shared" si="536"/>
        <v>0</v>
      </c>
      <c r="AQ742" s="34" t="s">
        <v>11</v>
      </c>
      <c r="AV742" s="39">
        <f t="shared" si="537"/>
        <v>0</v>
      </c>
      <c r="AW742" s="39">
        <f t="shared" si="538"/>
        <v>0</v>
      </c>
      <c r="AX742" s="39">
        <f t="shared" si="539"/>
        <v>0</v>
      </c>
      <c r="AY742" s="40" t="s">
        <v>2019</v>
      </c>
      <c r="AZ742" s="40" t="s">
        <v>2041</v>
      </c>
      <c r="BA742" s="30" t="s">
        <v>2045</v>
      </c>
      <c r="BC742" s="39">
        <f t="shared" si="540"/>
        <v>0</v>
      </c>
      <c r="BD742" s="39">
        <f t="shared" si="541"/>
        <v>0</v>
      </c>
      <c r="BE742" s="39">
        <v>0</v>
      </c>
      <c r="BF742" s="39">
        <f t="shared" si="542"/>
        <v>0</v>
      </c>
      <c r="BH742" s="21">
        <f t="shared" si="543"/>
        <v>0</v>
      </c>
      <c r="BI742" s="21">
        <f t="shared" si="544"/>
        <v>0</v>
      </c>
      <c r="BJ742" s="21">
        <f t="shared" si="545"/>
        <v>0</v>
      </c>
    </row>
    <row r="743" spans="1:62">
      <c r="A743" s="5" t="s">
        <v>556</v>
      </c>
      <c r="B743" s="5"/>
      <c r="C743" s="5" t="s">
        <v>1161</v>
      </c>
      <c r="D743" s="5" t="s">
        <v>5808</v>
      </c>
      <c r="E743" s="5" t="s">
        <v>1943</v>
      </c>
      <c r="F743" s="21">
        <v>1</v>
      </c>
      <c r="G743" s="753">
        <v>0</v>
      </c>
      <c r="H743" s="21">
        <f t="shared" si="520"/>
        <v>0</v>
      </c>
      <c r="I743" s="21">
        <f t="shared" si="521"/>
        <v>0</v>
      </c>
      <c r="J743" s="21">
        <f t="shared" si="522"/>
        <v>0</v>
      </c>
      <c r="K743" s="21">
        <v>0</v>
      </c>
      <c r="L743" s="21">
        <f t="shared" si="523"/>
        <v>0</v>
      </c>
      <c r="M743" s="34" t="s">
        <v>1960</v>
      </c>
      <c r="O743">
        <f t="shared" si="546"/>
        <v>0</v>
      </c>
      <c r="Z743" s="39">
        <f t="shared" si="524"/>
        <v>0</v>
      </c>
      <c r="AB743" s="39">
        <f t="shared" si="525"/>
        <v>0</v>
      </c>
      <c r="AC743" s="39">
        <f t="shared" si="526"/>
        <v>0</v>
      </c>
      <c r="AD743" s="39">
        <f t="shared" si="527"/>
        <v>0</v>
      </c>
      <c r="AE743" s="39">
        <f t="shared" si="528"/>
        <v>0</v>
      </c>
      <c r="AF743" s="39">
        <f t="shared" si="529"/>
        <v>0</v>
      </c>
      <c r="AG743" s="39">
        <f t="shared" si="530"/>
        <v>0</v>
      </c>
      <c r="AH743" s="39">
        <f t="shared" si="531"/>
        <v>0</v>
      </c>
      <c r="AI743" s="30"/>
      <c r="AJ743" s="21">
        <f t="shared" si="532"/>
        <v>0</v>
      </c>
      <c r="AK743" s="21">
        <f t="shared" si="533"/>
        <v>0</v>
      </c>
      <c r="AL743" s="21">
        <f t="shared" si="534"/>
        <v>0</v>
      </c>
      <c r="AN743" s="39">
        <v>21</v>
      </c>
      <c r="AO743" s="39">
        <f t="shared" si="535"/>
        <v>0</v>
      </c>
      <c r="AP743" s="39">
        <f t="shared" si="536"/>
        <v>0</v>
      </c>
      <c r="AQ743" s="34" t="s">
        <v>11</v>
      </c>
      <c r="AV743" s="39">
        <f t="shared" si="537"/>
        <v>0</v>
      </c>
      <c r="AW743" s="39">
        <f t="shared" si="538"/>
        <v>0</v>
      </c>
      <c r="AX743" s="39">
        <f t="shared" si="539"/>
        <v>0</v>
      </c>
      <c r="AY743" s="40" t="s">
        <v>2019</v>
      </c>
      <c r="AZ743" s="40" t="s">
        <v>2041</v>
      </c>
      <c r="BA743" s="30" t="s">
        <v>2045</v>
      </c>
      <c r="BC743" s="39">
        <f t="shared" si="540"/>
        <v>0</v>
      </c>
      <c r="BD743" s="39">
        <f t="shared" si="541"/>
        <v>0</v>
      </c>
      <c r="BE743" s="39">
        <v>0</v>
      </c>
      <c r="BF743" s="39">
        <f t="shared" si="542"/>
        <v>0</v>
      </c>
      <c r="BH743" s="21">
        <f t="shared" si="543"/>
        <v>0</v>
      </c>
      <c r="BI743" s="21">
        <f t="shared" si="544"/>
        <v>0</v>
      </c>
      <c r="BJ743" s="21">
        <f t="shared" si="545"/>
        <v>0</v>
      </c>
    </row>
    <row r="744" spans="1:62">
      <c r="A744" s="5" t="s">
        <v>557</v>
      </c>
      <c r="B744" s="5"/>
      <c r="C744" s="5" t="s">
        <v>1162</v>
      </c>
      <c r="D744" s="5" t="s">
        <v>5809</v>
      </c>
      <c r="E744" s="5" t="s">
        <v>1943</v>
      </c>
      <c r="F744" s="21">
        <v>1</v>
      </c>
      <c r="G744" s="753">
        <v>0</v>
      </c>
      <c r="H744" s="21">
        <f t="shared" si="520"/>
        <v>0</v>
      </c>
      <c r="I744" s="21">
        <f t="shared" si="521"/>
        <v>0</v>
      </c>
      <c r="J744" s="21">
        <f t="shared" si="522"/>
        <v>0</v>
      </c>
      <c r="K744" s="21">
        <v>0</v>
      </c>
      <c r="L744" s="21">
        <f t="shared" si="523"/>
        <v>0</v>
      </c>
      <c r="M744" s="34" t="s">
        <v>1960</v>
      </c>
      <c r="O744">
        <f t="shared" si="546"/>
        <v>0</v>
      </c>
      <c r="Z744" s="39">
        <f t="shared" si="524"/>
        <v>0</v>
      </c>
      <c r="AB744" s="39">
        <f t="shared" si="525"/>
        <v>0</v>
      </c>
      <c r="AC744" s="39">
        <f t="shared" si="526"/>
        <v>0</v>
      </c>
      <c r="AD744" s="39">
        <f t="shared" si="527"/>
        <v>0</v>
      </c>
      <c r="AE744" s="39">
        <f t="shared" si="528"/>
        <v>0</v>
      </c>
      <c r="AF744" s="39">
        <f t="shared" si="529"/>
        <v>0</v>
      </c>
      <c r="AG744" s="39">
        <f t="shared" si="530"/>
        <v>0</v>
      </c>
      <c r="AH744" s="39">
        <f t="shared" si="531"/>
        <v>0</v>
      </c>
      <c r="AI744" s="30"/>
      <c r="AJ744" s="21">
        <f t="shared" si="532"/>
        <v>0</v>
      </c>
      <c r="AK744" s="21">
        <f t="shared" si="533"/>
        <v>0</v>
      </c>
      <c r="AL744" s="21">
        <f t="shared" si="534"/>
        <v>0</v>
      </c>
      <c r="AN744" s="39">
        <v>21</v>
      </c>
      <c r="AO744" s="39">
        <f t="shared" si="535"/>
        <v>0</v>
      </c>
      <c r="AP744" s="39">
        <f t="shared" si="536"/>
        <v>0</v>
      </c>
      <c r="AQ744" s="34" t="s">
        <v>11</v>
      </c>
      <c r="AV744" s="39">
        <f t="shared" si="537"/>
        <v>0</v>
      </c>
      <c r="AW744" s="39">
        <f t="shared" si="538"/>
        <v>0</v>
      </c>
      <c r="AX744" s="39">
        <f t="shared" si="539"/>
        <v>0</v>
      </c>
      <c r="AY744" s="40" t="s">
        <v>2019</v>
      </c>
      <c r="AZ744" s="40" t="s">
        <v>2041</v>
      </c>
      <c r="BA744" s="30" t="s">
        <v>2045</v>
      </c>
      <c r="BC744" s="39">
        <f t="shared" si="540"/>
        <v>0</v>
      </c>
      <c r="BD744" s="39">
        <f t="shared" si="541"/>
        <v>0</v>
      </c>
      <c r="BE744" s="39">
        <v>0</v>
      </c>
      <c r="BF744" s="39">
        <f t="shared" si="542"/>
        <v>0</v>
      </c>
      <c r="BH744" s="21">
        <f t="shared" si="543"/>
        <v>0</v>
      </c>
      <c r="BI744" s="21">
        <f t="shared" si="544"/>
        <v>0</v>
      </c>
      <c r="BJ744" s="21">
        <f t="shared" si="545"/>
        <v>0</v>
      </c>
    </row>
    <row r="745" spans="1:62">
      <c r="A745" s="5" t="s">
        <v>558</v>
      </c>
      <c r="B745" s="5"/>
      <c r="C745" s="5" t="s">
        <v>1163</v>
      </c>
      <c r="D745" s="5" t="s">
        <v>5810</v>
      </c>
      <c r="E745" s="5" t="s">
        <v>1943</v>
      </c>
      <c r="F745" s="21">
        <v>1</v>
      </c>
      <c r="G745" s="753">
        <v>0</v>
      </c>
      <c r="H745" s="21">
        <f t="shared" si="520"/>
        <v>0</v>
      </c>
      <c r="I745" s="21">
        <f t="shared" si="521"/>
        <v>0</v>
      </c>
      <c r="J745" s="21">
        <f t="shared" si="522"/>
        <v>0</v>
      </c>
      <c r="K745" s="21">
        <v>0</v>
      </c>
      <c r="L745" s="21">
        <f t="shared" si="523"/>
        <v>0</v>
      </c>
      <c r="M745" s="34" t="s">
        <v>1960</v>
      </c>
      <c r="O745">
        <f t="shared" si="546"/>
        <v>0</v>
      </c>
      <c r="Z745" s="39">
        <f t="shared" si="524"/>
        <v>0</v>
      </c>
      <c r="AB745" s="39">
        <f t="shared" si="525"/>
        <v>0</v>
      </c>
      <c r="AC745" s="39">
        <f t="shared" si="526"/>
        <v>0</v>
      </c>
      <c r="AD745" s="39">
        <f t="shared" si="527"/>
        <v>0</v>
      </c>
      <c r="AE745" s="39">
        <f t="shared" si="528"/>
        <v>0</v>
      </c>
      <c r="AF745" s="39">
        <f t="shared" si="529"/>
        <v>0</v>
      </c>
      <c r="AG745" s="39">
        <f t="shared" si="530"/>
        <v>0</v>
      </c>
      <c r="AH745" s="39">
        <f t="shared" si="531"/>
        <v>0</v>
      </c>
      <c r="AI745" s="30"/>
      <c r="AJ745" s="21">
        <f t="shared" si="532"/>
        <v>0</v>
      </c>
      <c r="AK745" s="21">
        <f t="shared" si="533"/>
        <v>0</v>
      </c>
      <c r="AL745" s="21">
        <f t="shared" si="534"/>
        <v>0</v>
      </c>
      <c r="AN745" s="39">
        <v>21</v>
      </c>
      <c r="AO745" s="39">
        <f t="shared" si="535"/>
        <v>0</v>
      </c>
      <c r="AP745" s="39">
        <f t="shared" si="536"/>
        <v>0</v>
      </c>
      <c r="AQ745" s="34" t="s">
        <v>11</v>
      </c>
      <c r="AV745" s="39">
        <f t="shared" si="537"/>
        <v>0</v>
      </c>
      <c r="AW745" s="39">
        <f t="shared" si="538"/>
        <v>0</v>
      </c>
      <c r="AX745" s="39">
        <f t="shared" si="539"/>
        <v>0</v>
      </c>
      <c r="AY745" s="40" t="s">
        <v>2019</v>
      </c>
      <c r="AZ745" s="40" t="s">
        <v>2041</v>
      </c>
      <c r="BA745" s="30" t="s">
        <v>2045</v>
      </c>
      <c r="BC745" s="39">
        <f t="shared" si="540"/>
        <v>0</v>
      </c>
      <c r="BD745" s="39">
        <f t="shared" si="541"/>
        <v>0</v>
      </c>
      <c r="BE745" s="39">
        <v>0</v>
      </c>
      <c r="BF745" s="39">
        <f t="shared" si="542"/>
        <v>0</v>
      </c>
      <c r="BH745" s="21">
        <f t="shared" si="543"/>
        <v>0</v>
      </c>
      <c r="BI745" s="21">
        <f t="shared" si="544"/>
        <v>0</v>
      </c>
      <c r="BJ745" s="21">
        <f t="shared" si="545"/>
        <v>0</v>
      </c>
    </row>
    <row r="746" spans="1:62">
      <c r="A746" s="5" t="s">
        <v>559</v>
      </c>
      <c r="B746" s="5"/>
      <c r="C746" s="5" t="s">
        <v>1164</v>
      </c>
      <c r="D746" s="5" t="s">
        <v>1869</v>
      </c>
      <c r="E746" s="5" t="s">
        <v>1943</v>
      </c>
      <c r="F746" s="21">
        <v>1</v>
      </c>
      <c r="G746" s="753">
        <v>0</v>
      </c>
      <c r="H746" s="21">
        <f t="shared" si="520"/>
        <v>0</v>
      </c>
      <c r="I746" s="21">
        <f t="shared" si="521"/>
        <v>0</v>
      </c>
      <c r="J746" s="21">
        <f t="shared" si="522"/>
        <v>0</v>
      </c>
      <c r="K746" s="21">
        <v>0</v>
      </c>
      <c r="L746" s="21">
        <f t="shared" si="523"/>
        <v>0</v>
      </c>
      <c r="M746" s="34" t="s">
        <v>1960</v>
      </c>
      <c r="O746">
        <f t="shared" si="546"/>
        <v>0</v>
      </c>
      <c r="Z746" s="39">
        <f t="shared" si="524"/>
        <v>0</v>
      </c>
      <c r="AB746" s="39">
        <f t="shared" si="525"/>
        <v>0</v>
      </c>
      <c r="AC746" s="39">
        <f t="shared" si="526"/>
        <v>0</v>
      </c>
      <c r="AD746" s="39">
        <f t="shared" si="527"/>
        <v>0</v>
      </c>
      <c r="AE746" s="39">
        <f t="shared" si="528"/>
        <v>0</v>
      </c>
      <c r="AF746" s="39">
        <f t="shared" si="529"/>
        <v>0</v>
      </c>
      <c r="AG746" s="39">
        <f t="shared" si="530"/>
        <v>0</v>
      </c>
      <c r="AH746" s="39">
        <f t="shared" si="531"/>
        <v>0</v>
      </c>
      <c r="AI746" s="30"/>
      <c r="AJ746" s="21">
        <f t="shared" si="532"/>
        <v>0</v>
      </c>
      <c r="AK746" s="21">
        <f t="shared" si="533"/>
        <v>0</v>
      </c>
      <c r="AL746" s="21">
        <f t="shared" si="534"/>
        <v>0</v>
      </c>
      <c r="AN746" s="39">
        <v>21</v>
      </c>
      <c r="AO746" s="39">
        <f t="shared" si="535"/>
        <v>0</v>
      </c>
      <c r="AP746" s="39">
        <f t="shared" si="536"/>
        <v>0</v>
      </c>
      <c r="AQ746" s="34" t="s">
        <v>11</v>
      </c>
      <c r="AV746" s="39">
        <f t="shared" si="537"/>
        <v>0</v>
      </c>
      <c r="AW746" s="39">
        <f t="shared" si="538"/>
        <v>0</v>
      </c>
      <c r="AX746" s="39">
        <f t="shared" si="539"/>
        <v>0</v>
      </c>
      <c r="AY746" s="40" t="s">
        <v>2019</v>
      </c>
      <c r="AZ746" s="40" t="s">
        <v>2041</v>
      </c>
      <c r="BA746" s="30" t="s">
        <v>2045</v>
      </c>
      <c r="BC746" s="39">
        <f t="shared" si="540"/>
        <v>0</v>
      </c>
      <c r="BD746" s="39">
        <f t="shared" si="541"/>
        <v>0</v>
      </c>
      <c r="BE746" s="39">
        <v>0</v>
      </c>
      <c r="BF746" s="39">
        <f t="shared" si="542"/>
        <v>0</v>
      </c>
      <c r="BH746" s="21">
        <f t="shared" si="543"/>
        <v>0</v>
      </c>
      <c r="BI746" s="21">
        <f t="shared" si="544"/>
        <v>0</v>
      </c>
      <c r="BJ746" s="21">
        <f t="shared" si="545"/>
        <v>0</v>
      </c>
    </row>
    <row r="747" spans="1:62">
      <c r="A747" s="5" t="s">
        <v>560</v>
      </c>
      <c r="B747" s="5"/>
      <c r="C747" s="5" t="s">
        <v>1165</v>
      </c>
      <c r="D747" s="5" t="s">
        <v>1870</v>
      </c>
      <c r="E747" s="5" t="s">
        <v>1943</v>
      </c>
      <c r="F747" s="21">
        <v>2</v>
      </c>
      <c r="G747" s="753">
        <v>0</v>
      </c>
      <c r="H747" s="21">
        <f t="shared" si="520"/>
        <v>0</v>
      </c>
      <c r="I747" s="21">
        <f t="shared" si="521"/>
        <v>0</v>
      </c>
      <c r="J747" s="21">
        <f t="shared" si="522"/>
        <v>0</v>
      </c>
      <c r="K747" s="21">
        <v>0</v>
      </c>
      <c r="L747" s="21">
        <f t="shared" si="523"/>
        <v>0</v>
      </c>
      <c r="M747" s="34" t="s">
        <v>1960</v>
      </c>
      <c r="O747">
        <f t="shared" si="546"/>
        <v>0</v>
      </c>
      <c r="Z747" s="39">
        <f t="shared" si="524"/>
        <v>0</v>
      </c>
      <c r="AB747" s="39">
        <f t="shared" si="525"/>
        <v>0</v>
      </c>
      <c r="AC747" s="39">
        <f t="shared" si="526"/>
        <v>0</v>
      </c>
      <c r="AD747" s="39">
        <f t="shared" si="527"/>
        <v>0</v>
      </c>
      <c r="AE747" s="39">
        <f t="shared" si="528"/>
        <v>0</v>
      </c>
      <c r="AF747" s="39">
        <f t="shared" si="529"/>
        <v>0</v>
      </c>
      <c r="AG747" s="39">
        <f t="shared" si="530"/>
        <v>0</v>
      </c>
      <c r="AH747" s="39">
        <f t="shared" si="531"/>
        <v>0</v>
      </c>
      <c r="AI747" s="30"/>
      <c r="AJ747" s="21">
        <f t="shared" si="532"/>
        <v>0</v>
      </c>
      <c r="AK747" s="21">
        <f t="shared" si="533"/>
        <v>0</v>
      </c>
      <c r="AL747" s="21">
        <f t="shared" si="534"/>
        <v>0</v>
      </c>
      <c r="AN747" s="39">
        <v>21</v>
      </c>
      <c r="AO747" s="39">
        <f t="shared" si="535"/>
        <v>0</v>
      </c>
      <c r="AP747" s="39">
        <f t="shared" si="536"/>
        <v>0</v>
      </c>
      <c r="AQ747" s="34" t="s">
        <v>11</v>
      </c>
      <c r="AV747" s="39">
        <f t="shared" si="537"/>
        <v>0</v>
      </c>
      <c r="AW747" s="39">
        <f t="shared" si="538"/>
        <v>0</v>
      </c>
      <c r="AX747" s="39">
        <f t="shared" si="539"/>
        <v>0</v>
      </c>
      <c r="AY747" s="40" t="s">
        <v>2019</v>
      </c>
      <c r="AZ747" s="40" t="s">
        <v>2041</v>
      </c>
      <c r="BA747" s="30" t="s">
        <v>2045</v>
      </c>
      <c r="BC747" s="39">
        <f t="shared" si="540"/>
        <v>0</v>
      </c>
      <c r="BD747" s="39">
        <f t="shared" si="541"/>
        <v>0</v>
      </c>
      <c r="BE747" s="39">
        <v>0</v>
      </c>
      <c r="BF747" s="39">
        <f t="shared" si="542"/>
        <v>0</v>
      </c>
      <c r="BH747" s="21">
        <f t="shared" si="543"/>
        <v>0</v>
      </c>
      <c r="BI747" s="21">
        <f t="shared" si="544"/>
        <v>0</v>
      </c>
      <c r="BJ747" s="21">
        <f t="shared" si="545"/>
        <v>0</v>
      </c>
    </row>
    <row r="748" spans="1:62">
      <c r="A748" s="5" t="s">
        <v>561</v>
      </c>
      <c r="B748" s="5"/>
      <c r="C748" s="5" t="s">
        <v>1166</v>
      </c>
      <c r="D748" s="5" t="s">
        <v>1871</v>
      </c>
      <c r="E748" s="5" t="s">
        <v>1943</v>
      </c>
      <c r="F748" s="21">
        <v>5</v>
      </c>
      <c r="G748" s="753">
        <v>0</v>
      </c>
      <c r="H748" s="21">
        <f t="shared" si="520"/>
        <v>0</v>
      </c>
      <c r="I748" s="21">
        <f t="shared" si="521"/>
        <v>0</v>
      </c>
      <c r="J748" s="21">
        <f t="shared" si="522"/>
        <v>0</v>
      </c>
      <c r="K748" s="21">
        <v>0</v>
      </c>
      <c r="L748" s="21">
        <f t="shared" si="523"/>
        <v>0</v>
      </c>
      <c r="M748" s="34" t="s">
        <v>1960</v>
      </c>
      <c r="O748">
        <f t="shared" si="546"/>
        <v>0</v>
      </c>
      <c r="Z748" s="39">
        <f t="shared" si="524"/>
        <v>0</v>
      </c>
      <c r="AB748" s="39">
        <f t="shared" si="525"/>
        <v>0</v>
      </c>
      <c r="AC748" s="39">
        <f t="shared" si="526"/>
        <v>0</v>
      </c>
      <c r="AD748" s="39">
        <f t="shared" si="527"/>
        <v>0</v>
      </c>
      <c r="AE748" s="39">
        <f t="shared" si="528"/>
        <v>0</v>
      </c>
      <c r="AF748" s="39">
        <f t="shared" si="529"/>
        <v>0</v>
      </c>
      <c r="AG748" s="39">
        <f t="shared" si="530"/>
        <v>0</v>
      </c>
      <c r="AH748" s="39">
        <f t="shared" si="531"/>
        <v>0</v>
      </c>
      <c r="AI748" s="30"/>
      <c r="AJ748" s="21">
        <f t="shared" si="532"/>
        <v>0</v>
      </c>
      <c r="AK748" s="21">
        <f t="shared" si="533"/>
        <v>0</v>
      </c>
      <c r="AL748" s="21">
        <f t="shared" si="534"/>
        <v>0</v>
      </c>
      <c r="AN748" s="39">
        <v>21</v>
      </c>
      <c r="AO748" s="39">
        <f t="shared" si="535"/>
        <v>0</v>
      </c>
      <c r="AP748" s="39">
        <f t="shared" si="536"/>
        <v>0</v>
      </c>
      <c r="AQ748" s="34" t="s">
        <v>11</v>
      </c>
      <c r="AV748" s="39">
        <f t="shared" si="537"/>
        <v>0</v>
      </c>
      <c r="AW748" s="39">
        <f t="shared" si="538"/>
        <v>0</v>
      </c>
      <c r="AX748" s="39">
        <f t="shared" si="539"/>
        <v>0</v>
      </c>
      <c r="AY748" s="40" t="s">
        <v>2019</v>
      </c>
      <c r="AZ748" s="40" t="s">
        <v>2041</v>
      </c>
      <c r="BA748" s="30" t="s">
        <v>2045</v>
      </c>
      <c r="BC748" s="39">
        <f t="shared" si="540"/>
        <v>0</v>
      </c>
      <c r="BD748" s="39">
        <f t="shared" si="541"/>
        <v>0</v>
      </c>
      <c r="BE748" s="39">
        <v>0</v>
      </c>
      <c r="BF748" s="39">
        <f t="shared" si="542"/>
        <v>0</v>
      </c>
      <c r="BH748" s="21">
        <f t="shared" si="543"/>
        <v>0</v>
      </c>
      <c r="BI748" s="21">
        <f t="shared" si="544"/>
        <v>0</v>
      </c>
      <c r="BJ748" s="21">
        <f t="shared" si="545"/>
        <v>0</v>
      </c>
    </row>
    <row r="749" spans="1:62">
      <c r="A749" s="5" t="s">
        <v>562</v>
      </c>
      <c r="B749" s="5"/>
      <c r="C749" s="5" t="s">
        <v>1167</v>
      </c>
      <c r="D749" s="5" t="s">
        <v>1872</v>
      </c>
      <c r="E749" s="5" t="s">
        <v>1943</v>
      </c>
      <c r="F749" s="21">
        <v>3</v>
      </c>
      <c r="G749" s="753">
        <v>0</v>
      </c>
      <c r="H749" s="21">
        <f t="shared" si="520"/>
        <v>0</v>
      </c>
      <c r="I749" s="21">
        <f t="shared" si="521"/>
        <v>0</v>
      </c>
      <c r="J749" s="21">
        <f t="shared" si="522"/>
        <v>0</v>
      </c>
      <c r="K749" s="21">
        <v>0</v>
      </c>
      <c r="L749" s="21">
        <f t="shared" si="523"/>
        <v>0</v>
      </c>
      <c r="M749" s="34" t="s">
        <v>1960</v>
      </c>
      <c r="O749">
        <f t="shared" si="546"/>
        <v>0</v>
      </c>
      <c r="Z749" s="39">
        <f t="shared" si="524"/>
        <v>0</v>
      </c>
      <c r="AB749" s="39">
        <f t="shared" si="525"/>
        <v>0</v>
      </c>
      <c r="AC749" s="39">
        <f t="shared" si="526"/>
        <v>0</v>
      </c>
      <c r="AD749" s="39">
        <f t="shared" si="527"/>
        <v>0</v>
      </c>
      <c r="AE749" s="39">
        <f t="shared" si="528"/>
        <v>0</v>
      </c>
      <c r="AF749" s="39">
        <f t="shared" si="529"/>
        <v>0</v>
      </c>
      <c r="AG749" s="39">
        <f t="shared" si="530"/>
        <v>0</v>
      </c>
      <c r="AH749" s="39">
        <f t="shared" si="531"/>
        <v>0</v>
      </c>
      <c r="AI749" s="30"/>
      <c r="AJ749" s="21">
        <f t="shared" si="532"/>
        <v>0</v>
      </c>
      <c r="AK749" s="21">
        <f t="shared" si="533"/>
        <v>0</v>
      </c>
      <c r="AL749" s="21">
        <f t="shared" si="534"/>
        <v>0</v>
      </c>
      <c r="AN749" s="39">
        <v>21</v>
      </c>
      <c r="AO749" s="39">
        <f t="shared" si="535"/>
        <v>0</v>
      </c>
      <c r="AP749" s="39">
        <f t="shared" si="536"/>
        <v>0</v>
      </c>
      <c r="AQ749" s="34" t="s">
        <v>11</v>
      </c>
      <c r="AV749" s="39">
        <f t="shared" si="537"/>
        <v>0</v>
      </c>
      <c r="AW749" s="39">
        <f t="shared" si="538"/>
        <v>0</v>
      </c>
      <c r="AX749" s="39">
        <f t="shared" si="539"/>
        <v>0</v>
      </c>
      <c r="AY749" s="40" t="s">
        <v>2019</v>
      </c>
      <c r="AZ749" s="40" t="s">
        <v>2041</v>
      </c>
      <c r="BA749" s="30" t="s">
        <v>2045</v>
      </c>
      <c r="BC749" s="39">
        <f t="shared" si="540"/>
        <v>0</v>
      </c>
      <c r="BD749" s="39">
        <f t="shared" si="541"/>
        <v>0</v>
      </c>
      <c r="BE749" s="39">
        <v>0</v>
      </c>
      <c r="BF749" s="39">
        <f t="shared" si="542"/>
        <v>0</v>
      </c>
      <c r="BH749" s="21">
        <f t="shared" si="543"/>
        <v>0</v>
      </c>
      <c r="BI749" s="21">
        <f t="shared" si="544"/>
        <v>0</v>
      </c>
      <c r="BJ749" s="21">
        <f t="shared" si="545"/>
        <v>0</v>
      </c>
    </row>
    <row r="750" spans="1:62">
      <c r="A750" s="5" t="s">
        <v>563</v>
      </c>
      <c r="B750" s="5"/>
      <c r="C750" s="5" t="s">
        <v>1077</v>
      </c>
      <c r="D750" s="5" t="s">
        <v>1782</v>
      </c>
      <c r="E750" s="5" t="s">
        <v>1945</v>
      </c>
      <c r="F750" s="753">
        <v>0</v>
      </c>
      <c r="G750" s="753">
        <v>0</v>
      </c>
      <c r="H750" s="21">
        <f t="shared" si="520"/>
        <v>0</v>
      </c>
      <c r="I750" s="21">
        <f t="shared" si="521"/>
        <v>0</v>
      </c>
      <c r="J750" s="21">
        <f t="shared" si="522"/>
        <v>0</v>
      </c>
      <c r="K750" s="21">
        <v>0</v>
      </c>
      <c r="L750" s="21">
        <f t="shared" si="523"/>
        <v>0</v>
      </c>
      <c r="M750" s="34" t="s">
        <v>1961</v>
      </c>
      <c r="O750">
        <f t="shared" si="546"/>
        <v>0</v>
      </c>
      <c r="Z750" s="39">
        <f t="shared" si="524"/>
        <v>0</v>
      </c>
      <c r="AB750" s="39">
        <f t="shared" si="525"/>
        <v>0</v>
      </c>
      <c r="AC750" s="39">
        <f t="shared" si="526"/>
        <v>0</v>
      </c>
      <c r="AD750" s="39">
        <f t="shared" si="527"/>
        <v>0</v>
      </c>
      <c r="AE750" s="39">
        <f t="shared" si="528"/>
        <v>0</v>
      </c>
      <c r="AF750" s="39">
        <f t="shared" si="529"/>
        <v>0</v>
      </c>
      <c r="AG750" s="39">
        <f t="shared" si="530"/>
        <v>0</v>
      </c>
      <c r="AH750" s="39">
        <f t="shared" si="531"/>
        <v>0</v>
      </c>
      <c r="AI750" s="30"/>
      <c r="AJ750" s="21">
        <f t="shared" si="532"/>
        <v>0</v>
      </c>
      <c r="AK750" s="21">
        <f t="shared" si="533"/>
        <v>0</v>
      </c>
      <c r="AL750" s="21">
        <f t="shared" si="534"/>
        <v>0</v>
      </c>
      <c r="AN750" s="39">
        <v>21</v>
      </c>
      <c r="AO750" s="39">
        <f t="shared" si="535"/>
        <v>0</v>
      </c>
      <c r="AP750" s="39">
        <f t="shared" si="536"/>
        <v>0</v>
      </c>
      <c r="AQ750" s="34" t="s">
        <v>9</v>
      </c>
      <c r="AV750" s="39">
        <f t="shared" si="537"/>
        <v>0</v>
      </c>
      <c r="AW750" s="39">
        <f t="shared" si="538"/>
        <v>0</v>
      </c>
      <c r="AX750" s="39">
        <f t="shared" si="539"/>
        <v>0</v>
      </c>
      <c r="AY750" s="40" t="s">
        <v>2019</v>
      </c>
      <c r="AZ750" s="40" t="s">
        <v>2041</v>
      </c>
      <c r="BA750" s="30" t="s">
        <v>2045</v>
      </c>
      <c r="BC750" s="39">
        <f t="shared" si="540"/>
        <v>0</v>
      </c>
      <c r="BD750" s="39">
        <f t="shared" si="541"/>
        <v>0</v>
      </c>
      <c r="BE750" s="39">
        <v>0</v>
      </c>
      <c r="BF750" s="39">
        <f t="shared" si="542"/>
        <v>0</v>
      </c>
      <c r="BH750" s="21">
        <f t="shared" si="543"/>
        <v>0</v>
      </c>
      <c r="BI750" s="21">
        <f t="shared" si="544"/>
        <v>0</v>
      </c>
      <c r="BJ750" s="21">
        <f t="shared" si="545"/>
        <v>0</v>
      </c>
    </row>
    <row r="751" spans="1:62">
      <c r="A751" s="4"/>
      <c r="B751" s="14"/>
      <c r="C751" s="14" t="s">
        <v>1168</v>
      </c>
      <c r="D751" s="14" t="s">
        <v>1873</v>
      </c>
      <c r="E751" s="4" t="s">
        <v>4</v>
      </c>
      <c r="F751" s="4" t="s">
        <v>4</v>
      </c>
      <c r="G751" s="4" t="s">
        <v>4</v>
      </c>
      <c r="H751" s="42">
        <f>SUM(H752:H760)</f>
        <v>0</v>
      </c>
      <c r="I751" s="42">
        <f>SUM(I752:I760)</f>
        <v>0</v>
      </c>
      <c r="J751" s="42">
        <f>SUM(J752:J760)</f>
        <v>0</v>
      </c>
      <c r="K751" s="30"/>
      <c r="L751" s="42">
        <f>SUM(L752:L760)</f>
        <v>15.731195260500002</v>
      </c>
      <c r="M751" s="30"/>
      <c r="AI751" s="30"/>
      <c r="AS751" s="42">
        <f>SUM(AJ752:AJ760)</f>
        <v>0</v>
      </c>
      <c r="AT751" s="42">
        <f>SUM(AK752:AK760)</f>
        <v>0</v>
      </c>
      <c r="AU751" s="42">
        <f>SUM(AL752:AL760)</f>
        <v>0</v>
      </c>
    </row>
    <row r="752" spans="1:62">
      <c r="A752" s="5" t="s">
        <v>564</v>
      </c>
      <c r="B752" s="5"/>
      <c r="C752" s="5" t="s">
        <v>1169</v>
      </c>
      <c r="D752" s="5" t="s">
        <v>1874</v>
      </c>
      <c r="E752" s="5" t="s">
        <v>1940</v>
      </c>
      <c r="F752" s="21">
        <v>566.35450000000003</v>
      </c>
      <c r="G752" s="753">
        <v>0</v>
      </c>
      <c r="H752" s="21">
        <f t="shared" ref="H752:H760" si="547">F752*AO752</f>
        <v>0</v>
      </c>
      <c r="I752" s="21">
        <f t="shared" ref="I752:I760" si="548">F752*AP752</f>
        <v>0</v>
      </c>
      <c r="J752" s="21">
        <f t="shared" ref="J752:J760" si="549">F752*G752</f>
        <v>0</v>
      </c>
      <c r="K752" s="21">
        <v>2.1000000000000001E-4</v>
      </c>
      <c r="L752" s="21">
        <f t="shared" ref="L752:L760" si="550">F752*K752</f>
        <v>0.11893444500000001</v>
      </c>
      <c r="M752" s="34" t="s">
        <v>1961</v>
      </c>
      <c r="Z752" s="39">
        <f t="shared" ref="Z752:Z760" si="551">IF(AQ752="5",BJ752,0)</f>
        <v>0</v>
      </c>
      <c r="AB752" s="39">
        <f t="shared" ref="AB752:AB760" si="552">IF(AQ752="1",BH752,0)</f>
        <v>0</v>
      </c>
      <c r="AC752" s="39">
        <f t="shared" ref="AC752:AC760" si="553">IF(AQ752="1",BI752,0)</f>
        <v>0</v>
      </c>
      <c r="AD752" s="39">
        <f t="shared" ref="AD752:AD760" si="554">IF(AQ752="7",BH752,0)</f>
        <v>0</v>
      </c>
      <c r="AE752" s="39">
        <f t="shared" ref="AE752:AE760" si="555">IF(AQ752="7",BI752,0)</f>
        <v>0</v>
      </c>
      <c r="AF752" s="39">
        <f t="shared" ref="AF752:AF760" si="556">IF(AQ752="2",BH752,0)</f>
        <v>0</v>
      </c>
      <c r="AG752" s="39">
        <f t="shared" ref="AG752:AG760" si="557">IF(AQ752="2",BI752,0)</f>
        <v>0</v>
      </c>
      <c r="AH752" s="39">
        <f t="shared" ref="AH752:AH760" si="558">IF(AQ752="0",BJ752,0)</f>
        <v>0</v>
      </c>
      <c r="AI752" s="30"/>
      <c r="AJ752" s="21">
        <f t="shared" ref="AJ752:AJ760" si="559">IF(AN752=0,J752,0)</f>
        <v>0</v>
      </c>
      <c r="AK752" s="21">
        <f t="shared" ref="AK752:AK760" si="560">IF(AN752=15,J752,0)</f>
        <v>0</v>
      </c>
      <c r="AL752" s="21">
        <f t="shared" ref="AL752:AL760" si="561">IF(AN752=21,J752,0)</f>
        <v>0</v>
      </c>
      <c r="AN752" s="39">
        <v>21</v>
      </c>
      <c r="AO752" s="39">
        <f>G752*0.47693919717521</f>
        <v>0</v>
      </c>
      <c r="AP752" s="39">
        <f>G752*(1-0.47693919717521)</f>
        <v>0</v>
      </c>
      <c r="AQ752" s="34" t="s">
        <v>11</v>
      </c>
      <c r="AV752" s="39">
        <f t="shared" ref="AV752:AV760" si="562">AW752+AX752</f>
        <v>0</v>
      </c>
      <c r="AW752" s="39">
        <f t="shared" ref="AW752:AW760" si="563">F752*AO752</f>
        <v>0</v>
      </c>
      <c r="AX752" s="39">
        <f t="shared" ref="AX752:AX760" si="564">F752*AP752</f>
        <v>0</v>
      </c>
      <c r="AY752" s="40" t="s">
        <v>2020</v>
      </c>
      <c r="AZ752" s="40" t="s">
        <v>2042</v>
      </c>
      <c r="BA752" s="30" t="s">
        <v>2045</v>
      </c>
      <c r="BC752" s="39">
        <f t="shared" ref="BC752:BC760" si="565">AW752+AX752</f>
        <v>0</v>
      </c>
      <c r="BD752" s="39">
        <f t="shared" ref="BD752:BD760" si="566">G752/(100-BE752)*100</f>
        <v>0</v>
      </c>
      <c r="BE752" s="39">
        <v>0</v>
      </c>
      <c r="BF752" s="39">
        <f t="shared" ref="BF752:BF760" si="567">L752</f>
        <v>0.11893444500000001</v>
      </c>
      <c r="BH752" s="21">
        <f t="shared" ref="BH752:BH760" si="568">F752*AO752</f>
        <v>0</v>
      </c>
      <c r="BI752" s="21">
        <f t="shared" ref="BI752:BI760" si="569">F752*AP752</f>
        <v>0</v>
      </c>
      <c r="BJ752" s="21">
        <f t="shared" ref="BJ752:BJ760" si="570">F752*G752</f>
        <v>0</v>
      </c>
    </row>
    <row r="753" spans="1:62">
      <c r="A753" s="5" t="s">
        <v>565</v>
      </c>
      <c r="B753" s="5"/>
      <c r="C753" s="5" t="s">
        <v>1170</v>
      </c>
      <c r="D753" s="5" t="s">
        <v>1875</v>
      </c>
      <c r="E753" s="5" t="s">
        <v>1940</v>
      </c>
      <c r="F753" s="21">
        <v>566.17822999999999</v>
      </c>
      <c r="G753" s="753">
        <v>0</v>
      </c>
      <c r="H753" s="21">
        <f t="shared" si="547"/>
        <v>0</v>
      </c>
      <c r="I753" s="21">
        <f t="shared" si="548"/>
        <v>0</v>
      </c>
      <c r="J753" s="21">
        <f t="shared" si="549"/>
        <v>0</v>
      </c>
      <c r="K753" s="21">
        <v>3.8500000000000001E-3</v>
      </c>
      <c r="L753" s="21">
        <f t="shared" si="550"/>
        <v>2.1797861854999998</v>
      </c>
      <c r="M753" s="34" t="s">
        <v>1961</v>
      </c>
      <c r="Z753" s="39">
        <f t="shared" si="551"/>
        <v>0</v>
      </c>
      <c r="AB753" s="39">
        <f t="shared" si="552"/>
        <v>0</v>
      </c>
      <c r="AC753" s="39">
        <f t="shared" si="553"/>
        <v>0</v>
      </c>
      <c r="AD753" s="39">
        <f t="shared" si="554"/>
        <v>0</v>
      </c>
      <c r="AE753" s="39">
        <f t="shared" si="555"/>
        <v>0</v>
      </c>
      <c r="AF753" s="39">
        <f t="shared" si="556"/>
        <v>0</v>
      </c>
      <c r="AG753" s="39">
        <f t="shared" si="557"/>
        <v>0</v>
      </c>
      <c r="AH753" s="39">
        <f t="shared" si="558"/>
        <v>0</v>
      </c>
      <c r="AI753" s="30"/>
      <c r="AJ753" s="21">
        <f t="shared" si="559"/>
        <v>0</v>
      </c>
      <c r="AK753" s="21">
        <f t="shared" si="560"/>
        <v>0</v>
      </c>
      <c r="AL753" s="21">
        <f t="shared" si="561"/>
        <v>0</v>
      </c>
      <c r="AN753" s="39">
        <v>21</v>
      </c>
      <c r="AO753" s="39">
        <f>G753*0.258899998475745</f>
        <v>0</v>
      </c>
      <c r="AP753" s="39">
        <f>G753*(1-0.258899998475745)</f>
        <v>0</v>
      </c>
      <c r="AQ753" s="34" t="s">
        <v>11</v>
      </c>
      <c r="AV753" s="39">
        <f t="shared" si="562"/>
        <v>0</v>
      </c>
      <c r="AW753" s="39">
        <f t="shared" si="563"/>
        <v>0</v>
      </c>
      <c r="AX753" s="39">
        <f t="shared" si="564"/>
        <v>0</v>
      </c>
      <c r="AY753" s="40" t="s">
        <v>2020</v>
      </c>
      <c r="AZ753" s="40" t="s">
        <v>2042</v>
      </c>
      <c r="BA753" s="30" t="s">
        <v>2045</v>
      </c>
      <c r="BC753" s="39">
        <f t="shared" si="565"/>
        <v>0</v>
      </c>
      <c r="BD753" s="39">
        <f t="shared" si="566"/>
        <v>0</v>
      </c>
      <c r="BE753" s="39">
        <v>0</v>
      </c>
      <c r="BF753" s="39">
        <f t="shared" si="567"/>
        <v>2.1797861854999998</v>
      </c>
      <c r="BH753" s="21">
        <f t="shared" si="568"/>
        <v>0</v>
      </c>
      <c r="BI753" s="21">
        <f t="shared" si="569"/>
        <v>0</v>
      </c>
      <c r="BJ753" s="21">
        <f t="shared" si="570"/>
        <v>0</v>
      </c>
    </row>
    <row r="754" spans="1:62">
      <c r="A754" s="6" t="s">
        <v>566</v>
      </c>
      <c r="B754" s="6"/>
      <c r="C754" s="6" t="s">
        <v>1171</v>
      </c>
      <c r="D754" s="6" t="s">
        <v>1876</v>
      </c>
      <c r="E754" s="6" t="s">
        <v>1940</v>
      </c>
      <c r="F754" s="22">
        <v>196.28399999999999</v>
      </c>
      <c r="G754" s="754">
        <v>0</v>
      </c>
      <c r="H754" s="22">
        <f t="shared" si="547"/>
        <v>0</v>
      </c>
      <c r="I754" s="22">
        <f t="shared" si="548"/>
        <v>0</v>
      </c>
      <c r="J754" s="22">
        <f t="shared" si="549"/>
        <v>0</v>
      </c>
      <c r="K754" s="22">
        <v>1.9199999999999998E-2</v>
      </c>
      <c r="L754" s="22">
        <f t="shared" si="550"/>
        <v>3.7686527999999995</v>
      </c>
      <c r="M754" s="35" t="s">
        <v>1961</v>
      </c>
      <c r="Z754" s="39">
        <f t="shared" si="551"/>
        <v>0</v>
      </c>
      <c r="AB754" s="39">
        <f t="shared" si="552"/>
        <v>0</v>
      </c>
      <c r="AC754" s="39">
        <f t="shared" si="553"/>
        <v>0</v>
      </c>
      <c r="AD754" s="39">
        <f t="shared" si="554"/>
        <v>0</v>
      </c>
      <c r="AE754" s="39">
        <f t="shared" si="555"/>
        <v>0</v>
      </c>
      <c r="AF754" s="39">
        <f t="shared" si="556"/>
        <v>0</v>
      </c>
      <c r="AG754" s="39">
        <f t="shared" si="557"/>
        <v>0</v>
      </c>
      <c r="AH754" s="39">
        <f t="shared" si="558"/>
        <v>0</v>
      </c>
      <c r="AI754" s="30"/>
      <c r="AJ754" s="22">
        <f t="shared" si="559"/>
        <v>0</v>
      </c>
      <c r="AK754" s="22">
        <f t="shared" si="560"/>
        <v>0</v>
      </c>
      <c r="AL754" s="22">
        <f t="shared" si="561"/>
        <v>0</v>
      </c>
      <c r="AN754" s="39">
        <v>21</v>
      </c>
      <c r="AO754" s="39">
        <f>G754*1</f>
        <v>0</v>
      </c>
      <c r="AP754" s="39">
        <f>G754*(1-1)</f>
        <v>0</v>
      </c>
      <c r="AQ754" s="35" t="s">
        <v>11</v>
      </c>
      <c r="AV754" s="39">
        <f t="shared" si="562"/>
        <v>0</v>
      </c>
      <c r="AW754" s="39">
        <f t="shared" si="563"/>
        <v>0</v>
      </c>
      <c r="AX754" s="39">
        <f t="shared" si="564"/>
        <v>0</v>
      </c>
      <c r="AY754" s="40" t="s">
        <v>2020</v>
      </c>
      <c r="AZ754" s="40" t="s">
        <v>2042</v>
      </c>
      <c r="BA754" s="30" t="s">
        <v>2045</v>
      </c>
      <c r="BC754" s="39">
        <f t="shared" si="565"/>
        <v>0</v>
      </c>
      <c r="BD754" s="39">
        <f t="shared" si="566"/>
        <v>0</v>
      </c>
      <c r="BE754" s="39">
        <v>0</v>
      </c>
      <c r="BF754" s="39">
        <f t="shared" si="567"/>
        <v>3.7686527999999995</v>
      </c>
      <c r="BH754" s="22">
        <f t="shared" si="568"/>
        <v>0</v>
      </c>
      <c r="BI754" s="22">
        <f t="shared" si="569"/>
        <v>0</v>
      </c>
      <c r="BJ754" s="22">
        <f t="shared" si="570"/>
        <v>0</v>
      </c>
    </row>
    <row r="755" spans="1:62">
      <c r="A755" s="6" t="s">
        <v>567</v>
      </c>
      <c r="B755" s="6"/>
      <c r="C755" s="6" t="s">
        <v>1172</v>
      </c>
      <c r="D755" s="6" t="s">
        <v>1877</v>
      </c>
      <c r="E755" s="6" t="s">
        <v>1940</v>
      </c>
      <c r="F755" s="22">
        <v>336.31810000000002</v>
      </c>
      <c r="G755" s="754">
        <v>0</v>
      </c>
      <c r="H755" s="22">
        <f t="shared" si="547"/>
        <v>0</v>
      </c>
      <c r="I755" s="22">
        <f t="shared" si="548"/>
        <v>0</v>
      </c>
      <c r="J755" s="22">
        <f t="shared" si="549"/>
        <v>0</v>
      </c>
      <c r="K755" s="22">
        <v>1.9199999999999998E-2</v>
      </c>
      <c r="L755" s="22">
        <f t="shared" si="550"/>
        <v>6.4573075199999996</v>
      </c>
      <c r="M755" s="35" t="s">
        <v>1961</v>
      </c>
      <c r="Z755" s="39">
        <f t="shared" si="551"/>
        <v>0</v>
      </c>
      <c r="AB755" s="39">
        <f t="shared" si="552"/>
        <v>0</v>
      </c>
      <c r="AC755" s="39">
        <f t="shared" si="553"/>
        <v>0</v>
      </c>
      <c r="AD755" s="39">
        <f t="shared" si="554"/>
        <v>0</v>
      </c>
      <c r="AE755" s="39">
        <f t="shared" si="555"/>
        <v>0</v>
      </c>
      <c r="AF755" s="39">
        <f t="shared" si="556"/>
        <v>0</v>
      </c>
      <c r="AG755" s="39">
        <f t="shared" si="557"/>
        <v>0</v>
      </c>
      <c r="AH755" s="39">
        <f t="shared" si="558"/>
        <v>0</v>
      </c>
      <c r="AI755" s="30"/>
      <c r="AJ755" s="22">
        <f t="shared" si="559"/>
        <v>0</v>
      </c>
      <c r="AK755" s="22">
        <f t="shared" si="560"/>
        <v>0</v>
      </c>
      <c r="AL755" s="22">
        <f t="shared" si="561"/>
        <v>0</v>
      </c>
      <c r="AN755" s="39">
        <v>21</v>
      </c>
      <c r="AO755" s="39">
        <f>G755*1</f>
        <v>0</v>
      </c>
      <c r="AP755" s="39">
        <f>G755*(1-1)</f>
        <v>0</v>
      </c>
      <c r="AQ755" s="35" t="s">
        <v>11</v>
      </c>
      <c r="AV755" s="39">
        <f t="shared" si="562"/>
        <v>0</v>
      </c>
      <c r="AW755" s="39">
        <f t="shared" si="563"/>
        <v>0</v>
      </c>
      <c r="AX755" s="39">
        <f t="shared" si="564"/>
        <v>0</v>
      </c>
      <c r="AY755" s="40" t="s">
        <v>2020</v>
      </c>
      <c r="AZ755" s="40" t="s">
        <v>2042</v>
      </c>
      <c r="BA755" s="30" t="s">
        <v>2045</v>
      </c>
      <c r="BC755" s="39">
        <f t="shared" si="565"/>
        <v>0</v>
      </c>
      <c r="BD755" s="39">
        <f t="shared" si="566"/>
        <v>0</v>
      </c>
      <c r="BE755" s="39">
        <v>0</v>
      </c>
      <c r="BF755" s="39">
        <f t="shared" si="567"/>
        <v>6.4573075199999996</v>
      </c>
      <c r="BH755" s="22">
        <f t="shared" si="568"/>
        <v>0</v>
      </c>
      <c r="BI755" s="22">
        <f t="shared" si="569"/>
        <v>0</v>
      </c>
      <c r="BJ755" s="22">
        <f t="shared" si="570"/>
        <v>0</v>
      </c>
    </row>
    <row r="756" spans="1:62">
      <c r="A756" s="6" t="s">
        <v>568</v>
      </c>
      <c r="B756" s="6"/>
      <c r="C756" s="6" t="s">
        <v>1173</v>
      </c>
      <c r="D756" s="6" t="s">
        <v>1878</v>
      </c>
      <c r="E756" s="6" t="s">
        <v>1940</v>
      </c>
      <c r="F756" s="22">
        <v>23.221</v>
      </c>
      <c r="G756" s="754">
        <v>0</v>
      </c>
      <c r="H756" s="22">
        <f t="shared" si="547"/>
        <v>0</v>
      </c>
      <c r="I756" s="22">
        <f t="shared" si="548"/>
        <v>0</v>
      </c>
      <c r="J756" s="22">
        <f t="shared" si="549"/>
        <v>0</v>
      </c>
      <c r="K756" s="22">
        <v>1.9199999999999998E-2</v>
      </c>
      <c r="L756" s="22">
        <f t="shared" si="550"/>
        <v>0.44584319999999994</v>
      </c>
      <c r="M756" s="35" t="s">
        <v>1961</v>
      </c>
      <c r="Z756" s="39">
        <f t="shared" si="551"/>
        <v>0</v>
      </c>
      <c r="AB756" s="39">
        <f t="shared" si="552"/>
        <v>0</v>
      </c>
      <c r="AC756" s="39">
        <f t="shared" si="553"/>
        <v>0</v>
      </c>
      <c r="AD756" s="39">
        <f t="shared" si="554"/>
        <v>0</v>
      </c>
      <c r="AE756" s="39">
        <f t="shared" si="555"/>
        <v>0</v>
      </c>
      <c r="AF756" s="39">
        <f t="shared" si="556"/>
        <v>0</v>
      </c>
      <c r="AG756" s="39">
        <f t="shared" si="557"/>
        <v>0</v>
      </c>
      <c r="AH756" s="39">
        <f t="shared" si="558"/>
        <v>0</v>
      </c>
      <c r="AI756" s="30"/>
      <c r="AJ756" s="22">
        <f t="shared" si="559"/>
        <v>0</v>
      </c>
      <c r="AK756" s="22">
        <f t="shared" si="560"/>
        <v>0</v>
      </c>
      <c r="AL756" s="22">
        <f t="shared" si="561"/>
        <v>0</v>
      </c>
      <c r="AN756" s="39">
        <v>21</v>
      </c>
      <c r="AO756" s="39">
        <f>G756*1</f>
        <v>0</v>
      </c>
      <c r="AP756" s="39">
        <f>G756*(1-1)</f>
        <v>0</v>
      </c>
      <c r="AQ756" s="35" t="s">
        <v>11</v>
      </c>
      <c r="AV756" s="39">
        <f t="shared" si="562"/>
        <v>0</v>
      </c>
      <c r="AW756" s="39">
        <f t="shared" si="563"/>
        <v>0</v>
      </c>
      <c r="AX756" s="39">
        <f t="shared" si="564"/>
        <v>0</v>
      </c>
      <c r="AY756" s="40" t="s">
        <v>2020</v>
      </c>
      <c r="AZ756" s="40" t="s">
        <v>2042</v>
      </c>
      <c r="BA756" s="30" t="s">
        <v>2045</v>
      </c>
      <c r="BC756" s="39">
        <f t="shared" si="565"/>
        <v>0</v>
      </c>
      <c r="BD756" s="39">
        <f t="shared" si="566"/>
        <v>0</v>
      </c>
      <c r="BE756" s="39">
        <v>0</v>
      </c>
      <c r="BF756" s="39">
        <f t="shared" si="567"/>
        <v>0.44584319999999994</v>
      </c>
      <c r="BH756" s="22">
        <f t="shared" si="568"/>
        <v>0</v>
      </c>
      <c r="BI756" s="22">
        <f t="shared" si="569"/>
        <v>0</v>
      </c>
      <c r="BJ756" s="22">
        <f t="shared" si="570"/>
        <v>0</v>
      </c>
    </row>
    <row r="757" spans="1:62">
      <c r="A757" s="6" t="s">
        <v>569</v>
      </c>
      <c r="B757" s="6"/>
      <c r="C757" s="6" t="s">
        <v>1174</v>
      </c>
      <c r="D757" s="6" t="s">
        <v>1879</v>
      </c>
      <c r="E757" s="6" t="s">
        <v>1940</v>
      </c>
      <c r="F757" s="22">
        <v>43.78</v>
      </c>
      <c r="G757" s="754">
        <v>0</v>
      </c>
      <c r="H757" s="22">
        <f t="shared" si="547"/>
        <v>0</v>
      </c>
      <c r="I757" s="22">
        <f t="shared" si="548"/>
        <v>0</v>
      </c>
      <c r="J757" s="22">
        <f t="shared" si="549"/>
        <v>0</v>
      </c>
      <c r="K757" s="22">
        <v>1.4200000000000001E-2</v>
      </c>
      <c r="L757" s="22">
        <f t="shared" si="550"/>
        <v>0.62167600000000001</v>
      </c>
      <c r="M757" s="35" t="s">
        <v>1961</v>
      </c>
      <c r="Z757" s="39">
        <f t="shared" si="551"/>
        <v>0</v>
      </c>
      <c r="AB757" s="39">
        <f t="shared" si="552"/>
        <v>0</v>
      </c>
      <c r="AC757" s="39">
        <f t="shared" si="553"/>
        <v>0</v>
      </c>
      <c r="AD757" s="39">
        <f t="shared" si="554"/>
        <v>0</v>
      </c>
      <c r="AE757" s="39">
        <f t="shared" si="555"/>
        <v>0</v>
      </c>
      <c r="AF757" s="39">
        <f t="shared" si="556"/>
        <v>0</v>
      </c>
      <c r="AG757" s="39">
        <f t="shared" si="557"/>
        <v>0</v>
      </c>
      <c r="AH757" s="39">
        <f t="shared" si="558"/>
        <v>0</v>
      </c>
      <c r="AI757" s="30"/>
      <c r="AJ757" s="22">
        <f t="shared" si="559"/>
        <v>0</v>
      </c>
      <c r="AK757" s="22">
        <f t="shared" si="560"/>
        <v>0</v>
      </c>
      <c r="AL757" s="22">
        <f t="shared" si="561"/>
        <v>0</v>
      </c>
      <c r="AN757" s="39">
        <v>21</v>
      </c>
      <c r="AO757" s="39">
        <f>G757*1</f>
        <v>0</v>
      </c>
      <c r="AP757" s="39">
        <f>G757*(1-1)</f>
        <v>0</v>
      </c>
      <c r="AQ757" s="35" t="s">
        <v>11</v>
      </c>
      <c r="AV757" s="39">
        <f t="shared" si="562"/>
        <v>0</v>
      </c>
      <c r="AW757" s="39">
        <f t="shared" si="563"/>
        <v>0</v>
      </c>
      <c r="AX757" s="39">
        <f t="shared" si="564"/>
        <v>0</v>
      </c>
      <c r="AY757" s="40" t="s">
        <v>2020</v>
      </c>
      <c r="AZ757" s="40" t="s">
        <v>2042</v>
      </c>
      <c r="BA757" s="30" t="s">
        <v>2045</v>
      </c>
      <c r="BC757" s="39">
        <f t="shared" si="565"/>
        <v>0</v>
      </c>
      <c r="BD757" s="39">
        <f t="shared" si="566"/>
        <v>0</v>
      </c>
      <c r="BE757" s="39">
        <v>0</v>
      </c>
      <c r="BF757" s="39">
        <f t="shared" si="567"/>
        <v>0.62167600000000001</v>
      </c>
      <c r="BH757" s="22">
        <f t="shared" si="568"/>
        <v>0</v>
      </c>
      <c r="BI757" s="22">
        <f t="shared" si="569"/>
        <v>0</v>
      </c>
      <c r="BJ757" s="22">
        <f t="shared" si="570"/>
        <v>0</v>
      </c>
    </row>
    <row r="758" spans="1:62">
      <c r="A758" s="5" t="s">
        <v>570</v>
      </c>
      <c r="B758" s="5"/>
      <c r="C758" s="5" t="s">
        <v>1175</v>
      </c>
      <c r="D758" s="5" t="s">
        <v>1880</v>
      </c>
      <c r="E758" s="5" t="s">
        <v>1939</v>
      </c>
      <c r="F758" s="21">
        <v>133.43700000000001</v>
      </c>
      <c r="G758" s="753">
        <v>0</v>
      </c>
      <c r="H758" s="21">
        <f t="shared" si="547"/>
        <v>0</v>
      </c>
      <c r="I758" s="21">
        <f t="shared" si="548"/>
        <v>0</v>
      </c>
      <c r="J758" s="21">
        <f t="shared" si="549"/>
        <v>0</v>
      </c>
      <c r="K758" s="21">
        <v>4.0999999999999999E-4</v>
      </c>
      <c r="L758" s="21">
        <f t="shared" si="550"/>
        <v>5.4709170000000001E-2</v>
      </c>
      <c r="M758" s="34" t="s">
        <v>1961</v>
      </c>
      <c r="Z758" s="39">
        <f t="shared" si="551"/>
        <v>0</v>
      </c>
      <c r="AB758" s="39">
        <f t="shared" si="552"/>
        <v>0</v>
      </c>
      <c r="AC758" s="39">
        <f t="shared" si="553"/>
        <v>0</v>
      </c>
      <c r="AD758" s="39">
        <f t="shared" si="554"/>
        <v>0</v>
      </c>
      <c r="AE758" s="39">
        <f t="shared" si="555"/>
        <v>0</v>
      </c>
      <c r="AF758" s="39">
        <f t="shared" si="556"/>
        <v>0</v>
      </c>
      <c r="AG758" s="39">
        <f t="shared" si="557"/>
        <v>0</v>
      </c>
      <c r="AH758" s="39">
        <f t="shared" si="558"/>
        <v>0</v>
      </c>
      <c r="AI758" s="30"/>
      <c r="AJ758" s="21">
        <f t="shared" si="559"/>
        <v>0</v>
      </c>
      <c r="AK758" s="21">
        <f t="shared" si="560"/>
        <v>0</v>
      </c>
      <c r="AL758" s="21">
        <f t="shared" si="561"/>
        <v>0</v>
      </c>
      <c r="AN758" s="39">
        <v>21</v>
      </c>
      <c r="AO758" s="39">
        <f>G758*0.174105286048687</f>
        <v>0</v>
      </c>
      <c r="AP758" s="39">
        <f>G758*(1-0.174105286048687)</f>
        <v>0</v>
      </c>
      <c r="AQ758" s="34" t="s">
        <v>11</v>
      </c>
      <c r="AV758" s="39">
        <f t="shared" si="562"/>
        <v>0</v>
      </c>
      <c r="AW758" s="39">
        <f t="shared" si="563"/>
        <v>0</v>
      </c>
      <c r="AX758" s="39">
        <f t="shared" si="564"/>
        <v>0</v>
      </c>
      <c r="AY758" s="40" t="s">
        <v>2020</v>
      </c>
      <c r="AZ758" s="40" t="s">
        <v>2042</v>
      </c>
      <c r="BA758" s="30" t="s">
        <v>2045</v>
      </c>
      <c r="BC758" s="39">
        <f t="shared" si="565"/>
        <v>0</v>
      </c>
      <c r="BD758" s="39">
        <f t="shared" si="566"/>
        <v>0</v>
      </c>
      <c r="BE758" s="39">
        <v>0</v>
      </c>
      <c r="BF758" s="39">
        <f t="shared" si="567"/>
        <v>5.4709170000000001E-2</v>
      </c>
      <c r="BH758" s="21">
        <f t="shared" si="568"/>
        <v>0</v>
      </c>
      <c r="BI758" s="21">
        <f t="shared" si="569"/>
        <v>0</v>
      </c>
      <c r="BJ758" s="21">
        <f t="shared" si="570"/>
        <v>0</v>
      </c>
    </row>
    <row r="759" spans="1:62">
      <c r="A759" s="6" t="s">
        <v>571</v>
      </c>
      <c r="B759" s="6"/>
      <c r="C759" s="6" t="s">
        <v>1176</v>
      </c>
      <c r="D759" s="6" t="s">
        <v>1881</v>
      </c>
      <c r="E759" s="6" t="s">
        <v>1939</v>
      </c>
      <c r="F759" s="22">
        <v>146.7807</v>
      </c>
      <c r="G759" s="754">
        <v>0</v>
      </c>
      <c r="H759" s="22">
        <f t="shared" si="547"/>
        <v>0</v>
      </c>
      <c r="I759" s="22">
        <f t="shared" si="548"/>
        <v>0</v>
      </c>
      <c r="J759" s="22">
        <f t="shared" si="549"/>
        <v>0</v>
      </c>
      <c r="K759" s="22">
        <v>1.4200000000000001E-2</v>
      </c>
      <c r="L759" s="22">
        <f t="shared" si="550"/>
        <v>2.08428594</v>
      </c>
      <c r="M759" s="35" t="s">
        <v>1960</v>
      </c>
      <c r="O759">
        <f>0.95*G759</f>
        <v>0</v>
      </c>
      <c r="Z759" s="39">
        <f t="shared" si="551"/>
        <v>0</v>
      </c>
      <c r="AB759" s="39">
        <f t="shared" si="552"/>
        <v>0</v>
      </c>
      <c r="AC759" s="39">
        <f t="shared" si="553"/>
        <v>0</v>
      </c>
      <c r="AD759" s="39">
        <f t="shared" si="554"/>
        <v>0</v>
      </c>
      <c r="AE759" s="39">
        <f t="shared" si="555"/>
        <v>0</v>
      </c>
      <c r="AF759" s="39">
        <f t="shared" si="556"/>
        <v>0</v>
      </c>
      <c r="AG759" s="39">
        <f t="shared" si="557"/>
        <v>0</v>
      </c>
      <c r="AH759" s="39">
        <f t="shared" si="558"/>
        <v>0</v>
      </c>
      <c r="AI759" s="30"/>
      <c r="AJ759" s="22">
        <f t="shared" si="559"/>
        <v>0</v>
      </c>
      <c r="AK759" s="22">
        <f t="shared" si="560"/>
        <v>0</v>
      </c>
      <c r="AL759" s="22">
        <f t="shared" si="561"/>
        <v>0</v>
      </c>
      <c r="AN759" s="39">
        <v>21</v>
      </c>
      <c r="AO759" s="39">
        <f>G759*1</f>
        <v>0</v>
      </c>
      <c r="AP759" s="39">
        <f>G759*(1-1)</f>
        <v>0</v>
      </c>
      <c r="AQ759" s="35" t="s">
        <v>11</v>
      </c>
      <c r="AV759" s="39">
        <f t="shared" si="562"/>
        <v>0</v>
      </c>
      <c r="AW759" s="39">
        <f t="shared" si="563"/>
        <v>0</v>
      </c>
      <c r="AX759" s="39">
        <f t="shared" si="564"/>
        <v>0</v>
      </c>
      <c r="AY759" s="40" t="s">
        <v>2020</v>
      </c>
      <c r="AZ759" s="40" t="s">
        <v>2042</v>
      </c>
      <c r="BA759" s="30" t="s">
        <v>2045</v>
      </c>
      <c r="BC759" s="39">
        <f t="shared" si="565"/>
        <v>0</v>
      </c>
      <c r="BD759" s="39">
        <f t="shared" si="566"/>
        <v>0</v>
      </c>
      <c r="BE759" s="39">
        <v>0</v>
      </c>
      <c r="BF759" s="39">
        <f t="shared" si="567"/>
        <v>2.08428594</v>
      </c>
      <c r="BH759" s="22">
        <f t="shared" si="568"/>
        <v>0</v>
      </c>
      <c r="BI759" s="22">
        <f t="shared" si="569"/>
        <v>0</v>
      </c>
      <c r="BJ759" s="22">
        <f t="shared" si="570"/>
        <v>0</v>
      </c>
    </row>
    <row r="760" spans="1:62">
      <c r="A760" s="5" t="s">
        <v>572</v>
      </c>
      <c r="B760" s="5"/>
      <c r="C760" s="5" t="s">
        <v>1177</v>
      </c>
      <c r="D760" s="5" t="s">
        <v>1882</v>
      </c>
      <c r="E760" s="5" t="s">
        <v>1945</v>
      </c>
      <c r="F760" s="753">
        <v>0</v>
      </c>
      <c r="G760" s="753">
        <v>0</v>
      </c>
      <c r="H760" s="21">
        <f t="shared" si="547"/>
        <v>0</v>
      </c>
      <c r="I760" s="21">
        <f t="shared" si="548"/>
        <v>0</v>
      </c>
      <c r="J760" s="21">
        <f t="shared" si="549"/>
        <v>0</v>
      </c>
      <c r="K760" s="21">
        <v>0</v>
      </c>
      <c r="L760" s="21">
        <f t="shared" si="550"/>
        <v>0</v>
      </c>
      <c r="M760" s="34" t="s">
        <v>1961</v>
      </c>
      <c r="Z760" s="39">
        <f t="shared" si="551"/>
        <v>0</v>
      </c>
      <c r="AB760" s="39">
        <f t="shared" si="552"/>
        <v>0</v>
      </c>
      <c r="AC760" s="39">
        <f t="shared" si="553"/>
        <v>0</v>
      </c>
      <c r="AD760" s="39">
        <f t="shared" si="554"/>
        <v>0</v>
      </c>
      <c r="AE760" s="39">
        <f t="shared" si="555"/>
        <v>0</v>
      </c>
      <c r="AF760" s="39">
        <f t="shared" si="556"/>
        <v>0</v>
      </c>
      <c r="AG760" s="39">
        <f t="shared" si="557"/>
        <v>0</v>
      </c>
      <c r="AH760" s="39">
        <f t="shared" si="558"/>
        <v>0</v>
      </c>
      <c r="AI760" s="30"/>
      <c r="AJ760" s="21">
        <f t="shared" si="559"/>
        <v>0</v>
      </c>
      <c r="AK760" s="21">
        <f t="shared" si="560"/>
        <v>0</v>
      </c>
      <c r="AL760" s="21">
        <f t="shared" si="561"/>
        <v>0</v>
      </c>
      <c r="AN760" s="39">
        <v>21</v>
      </c>
      <c r="AO760" s="39">
        <f>G760*0</f>
        <v>0</v>
      </c>
      <c r="AP760" s="39">
        <f>G760*(1-0)</f>
        <v>0</v>
      </c>
      <c r="AQ760" s="34" t="s">
        <v>9</v>
      </c>
      <c r="AV760" s="39">
        <f t="shared" si="562"/>
        <v>0</v>
      </c>
      <c r="AW760" s="39">
        <f t="shared" si="563"/>
        <v>0</v>
      </c>
      <c r="AX760" s="39">
        <f t="shared" si="564"/>
        <v>0</v>
      </c>
      <c r="AY760" s="40" t="s">
        <v>2020</v>
      </c>
      <c r="AZ760" s="40" t="s">
        <v>2042</v>
      </c>
      <c r="BA760" s="30" t="s">
        <v>2045</v>
      </c>
      <c r="BC760" s="39">
        <f t="shared" si="565"/>
        <v>0</v>
      </c>
      <c r="BD760" s="39">
        <f t="shared" si="566"/>
        <v>0</v>
      </c>
      <c r="BE760" s="39">
        <v>0</v>
      </c>
      <c r="BF760" s="39">
        <f t="shared" si="567"/>
        <v>0</v>
      </c>
      <c r="BH760" s="21">
        <f t="shared" si="568"/>
        <v>0</v>
      </c>
      <c r="BI760" s="21">
        <f t="shared" si="569"/>
        <v>0</v>
      </c>
      <c r="BJ760" s="21">
        <f t="shared" si="570"/>
        <v>0</v>
      </c>
    </row>
    <row r="761" spans="1:62">
      <c r="A761" s="4"/>
      <c r="B761" s="14"/>
      <c r="C761" s="14" t="s">
        <v>1178</v>
      </c>
      <c r="D761" s="14" t="s">
        <v>1883</v>
      </c>
      <c r="E761" s="4" t="s">
        <v>4</v>
      </c>
      <c r="F761" s="4" t="s">
        <v>4</v>
      </c>
      <c r="G761" s="4" t="s">
        <v>4</v>
      </c>
      <c r="H761" s="42">
        <f>SUM(H762:H769)</f>
        <v>0</v>
      </c>
      <c r="I761" s="42">
        <f>SUM(I762:I769)</f>
        <v>0</v>
      </c>
      <c r="J761" s="42">
        <f>SUM(J762:J769)</f>
        <v>0</v>
      </c>
      <c r="K761" s="30"/>
      <c r="L761" s="42">
        <f>SUM(L762:L769)</f>
        <v>2.33911655</v>
      </c>
      <c r="M761" s="30"/>
      <c r="AI761" s="30"/>
      <c r="AS761" s="42">
        <f>SUM(AJ762:AJ769)</f>
        <v>0</v>
      </c>
      <c r="AT761" s="42">
        <f>SUM(AK762:AK769)</f>
        <v>0</v>
      </c>
      <c r="AU761" s="42">
        <f>SUM(AL762:AL769)</f>
        <v>0</v>
      </c>
    </row>
    <row r="762" spans="1:62">
      <c r="A762" s="5" t="s">
        <v>573</v>
      </c>
      <c r="B762" s="5"/>
      <c r="C762" s="5" t="s">
        <v>1179</v>
      </c>
      <c r="D762" s="5" t="s">
        <v>1884</v>
      </c>
      <c r="E762" s="5" t="s">
        <v>1940</v>
      </c>
      <c r="F762" s="21">
        <v>633.50049999999999</v>
      </c>
      <c r="G762" s="753">
        <v>0</v>
      </c>
      <c r="H762" s="21">
        <f>F762*AO762</f>
        <v>0</v>
      </c>
      <c r="I762" s="21">
        <f>F762*AP762</f>
        <v>0</v>
      </c>
      <c r="J762" s="21">
        <f>F762*G762</f>
        <v>0</v>
      </c>
      <c r="K762" s="21">
        <v>0</v>
      </c>
      <c r="L762" s="21">
        <f>F762*K762</f>
        <v>0</v>
      </c>
      <c r="M762" s="34" t="s">
        <v>1960</v>
      </c>
      <c r="O762">
        <f>0.95*G762</f>
        <v>0</v>
      </c>
      <c r="Z762" s="39">
        <f>IF(AQ762="5",BJ762,0)</f>
        <v>0</v>
      </c>
      <c r="AB762" s="39">
        <f>IF(AQ762="1",BH762,0)</f>
        <v>0</v>
      </c>
      <c r="AC762" s="39">
        <f>IF(AQ762="1",BI762,0)</f>
        <v>0</v>
      </c>
      <c r="AD762" s="39">
        <f>IF(AQ762="7",BH762,0)</f>
        <v>0</v>
      </c>
      <c r="AE762" s="39">
        <f>IF(AQ762="7",BI762,0)</f>
        <v>0</v>
      </c>
      <c r="AF762" s="39">
        <f>IF(AQ762="2",BH762,0)</f>
        <v>0</v>
      </c>
      <c r="AG762" s="39">
        <f>IF(AQ762="2",BI762,0)</f>
        <v>0</v>
      </c>
      <c r="AH762" s="39">
        <f>IF(AQ762="0",BJ762,0)</f>
        <v>0</v>
      </c>
      <c r="AI762" s="30"/>
      <c r="AJ762" s="21">
        <f>IF(AN762=0,J762,0)</f>
        <v>0</v>
      </c>
      <c r="AK762" s="21">
        <f>IF(AN762=15,J762,0)</f>
        <v>0</v>
      </c>
      <c r="AL762" s="21">
        <f>IF(AN762=21,J762,0)</f>
        <v>0</v>
      </c>
      <c r="AN762" s="39">
        <v>21</v>
      </c>
      <c r="AO762" s="39">
        <f>G762*0</f>
        <v>0</v>
      </c>
      <c r="AP762" s="39">
        <f>G762*(1-0)</f>
        <v>0</v>
      </c>
      <c r="AQ762" s="34" t="s">
        <v>11</v>
      </c>
      <c r="AV762" s="39">
        <f>AW762+AX762</f>
        <v>0</v>
      </c>
      <c r="AW762" s="39">
        <f>F762*AO762</f>
        <v>0</v>
      </c>
      <c r="AX762" s="39">
        <f>F762*AP762</f>
        <v>0</v>
      </c>
      <c r="AY762" s="40" t="s">
        <v>2021</v>
      </c>
      <c r="AZ762" s="40" t="s">
        <v>2042</v>
      </c>
      <c r="BA762" s="30" t="s">
        <v>2045</v>
      </c>
      <c r="BC762" s="39">
        <f>AW762+AX762</f>
        <v>0</v>
      </c>
      <c r="BD762" s="39">
        <f>G762/(100-BE762)*100</f>
        <v>0</v>
      </c>
      <c r="BE762" s="39">
        <v>0</v>
      </c>
      <c r="BF762" s="39">
        <f>L762</f>
        <v>0</v>
      </c>
      <c r="BH762" s="21">
        <f>F762*AO762</f>
        <v>0</v>
      </c>
      <c r="BI762" s="21">
        <f>F762*AP762</f>
        <v>0</v>
      </c>
      <c r="BJ762" s="21">
        <f>F762*G762</f>
        <v>0</v>
      </c>
    </row>
    <row r="763" spans="1:62">
      <c r="C763" s="17" t="s">
        <v>605</v>
      </c>
      <c r="D763" s="917" t="s">
        <v>1885</v>
      </c>
      <c r="E763" s="918"/>
      <c r="F763" s="918"/>
      <c r="G763" s="918"/>
      <c r="H763" s="918"/>
      <c r="I763" s="918"/>
      <c r="J763" s="918"/>
      <c r="K763" s="918"/>
      <c r="L763" s="918"/>
      <c r="M763" s="918"/>
    </row>
    <row r="764" spans="1:62">
      <c r="A764" s="5" t="s">
        <v>574</v>
      </c>
      <c r="B764" s="5"/>
      <c r="C764" s="5" t="s">
        <v>1180</v>
      </c>
      <c r="D764" s="5" t="s">
        <v>1886</v>
      </c>
      <c r="E764" s="5" t="s">
        <v>1940</v>
      </c>
      <c r="F764" s="21">
        <v>633.50049999999999</v>
      </c>
      <c r="G764" s="753">
        <v>0</v>
      </c>
      <c r="H764" s="21">
        <f>F764*AO764</f>
        <v>0</v>
      </c>
      <c r="I764" s="21">
        <f>F764*AP764</f>
        <v>0</v>
      </c>
      <c r="J764" s="21">
        <f>F764*G764</f>
        <v>0</v>
      </c>
      <c r="K764" s="21">
        <v>0</v>
      </c>
      <c r="L764" s="21">
        <f>F764*K764</f>
        <v>0</v>
      </c>
      <c r="M764" s="34" t="s">
        <v>1961</v>
      </c>
      <c r="Z764" s="39">
        <f>IF(AQ764="5",BJ764,0)</f>
        <v>0</v>
      </c>
      <c r="AB764" s="39">
        <f>IF(AQ764="1",BH764,0)</f>
        <v>0</v>
      </c>
      <c r="AC764" s="39">
        <f>IF(AQ764="1",BI764,0)</f>
        <v>0</v>
      </c>
      <c r="AD764" s="39">
        <f>IF(AQ764="7",BH764,0)</f>
        <v>0</v>
      </c>
      <c r="AE764" s="39">
        <f>IF(AQ764="7",BI764,0)</f>
        <v>0</v>
      </c>
      <c r="AF764" s="39">
        <f>IF(AQ764="2",BH764,0)</f>
        <v>0</v>
      </c>
      <c r="AG764" s="39">
        <f>IF(AQ764="2",BI764,0)</f>
        <v>0</v>
      </c>
      <c r="AH764" s="39">
        <f>IF(AQ764="0",BJ764,0)</f>
        <v>0</v>
      </c>
      <c r="AI764" s="30"/>
      <c r="AJ764" s="21">
        <f>IF(AN764=0,J764,0)</f>
        <v>0</v>
      </c>
      <c r="AK764" s="21">
        <f>IF(AN764=15,J764,0)</f>
        <v>0</v>
      </c>
      <c r="AL764" s="21">
        <f>IF(AN764=21,J764,0)</f>
        <v>0</v>
      </c>
      <c r="AN764" s="39">
        <v>21</v>
      </c>
      <c r="AO764" s="39">
        <f>G764*0.4769000607607</f>
        <v>0</v>
      </c>
      <c r="AP764" s="39">
        <f>G764*(1-0.4769000607607)</f>
        <v>0</v>
      </c>
      <c r="AQ764" s="34" t="s">
        <v>11</v>
      </c>
      <c r="AV764" s="39">
        <f>AW764+AX764</f>
        <v>0</v>
      </c>
      <c r="AW764" s="39">
        <f>F764*AO764</f>
        <v>0</v>
      </c>
      <c r="AX764" s="39">
        <f>F764*AP764</f>
        <v>0</v>
      </c>
      <c r="AY764" s="40" t="s">
        <v>2021</v>
      </c>
      <c r="AZ764" s="40" t="s">
        <v>2042</v>
      </c>
      <c r="BA764" s="30" t="s">
        <v>2045</v>
      </c>
      <c r="BC764" s="39">
        <f>AW764+AX764</f>
        <v>0</v>
      </c>
      <c r="BD764" s="39">
        <f>G764/(100-BE764)*100</f>
        <v>0</v>
      </c>
      <c r="BE764" s="39">
        <v>0</v>
      </c>
      <c r="BF764" s="39">
        <f>L764</f>
        <v>0</v>
      </c>
      <c r="BH764" s="21">
        <f>F764*AO764</f>
        <v>0</v>
      </c>
      <c r="BI764" s="21">
        <f>F764*AP764</f>
        <v>0</v>
      </c>
      <c r="BJ764" s="21">
        <f>F764*G764</f>
        <v>0</v>
      </c>
    </row>
    <row r="765" spans="1:62">
      <c r="A765" s="5" t="s">
        <v>575</v>
      </c>
      <c r="B765" s="5"/>
      <c r="C765" s="5" t="s">
        <v>1181</v>
      </c>
      <c r="D765" s="5" t="s">
        <v>1887</v>
      </c>
      <c r="E765" s="5" t="s">
        <v>1939</v>
      </c>
      <c r="F765" s="21">
        <v>256.30900000000003</v>
      </c>
      <c r="G765" s="753">
        <v>0</v>
      </c>
      <c r="H765" s="21">
        <f>F765*AO765</f>
        <v>0</v>
      </c>
      <c r="I765" s="21">
        <f>F765*AP765</f>
        <v>0</v>
      </c>
      <c r="J765" s="21">
        <f>F765*G765</f>
        <v>0</v>
      </c>
      <c r="K765" s="21">
        <v>8.0000000000000007E-5</v>
      </c>
      <c r="L765" s="21">
        <f>F765*K765</f>
        <v>2.0504720000000004E-2</v>
      </c>
      <c r="M765" s="34" t="s">
        <v>1961</v>
      </c>
      <c r="Z765" s="39">
        <f>IF(AQ765="5",BJ765,0)</f>
        <v>0</v>
      </c>
      <c r="AB765" s="39">
        <f>IF(AQ765="1",BH765,0)</f>
        <v>0</v>
      </c>
      <c r="AC765" s="39">
        <f>IF(AQ765="1",BI765,0)</f>
        <v>0</v>
      </c>
      <c r="AD765" s="39">
        <f>IF(AQ765="7",BH765,0)</f>
        <v>0</v>
      </c>
      <c r="AE765" s="39">
        <f>IF(AQ765="7",BI765,0)</f>
        <v>0</v>
      </c>
      <c r="AF765" s="39">
        <f>IF(AQ765="2",BH765,0)</f>
        <v>0</v>
      </c>
      <c r="AG765" s="39">
        <f>IF(AQ765="2",BI765,0)</f>
        <v>0</v>
      </c>
      <c r="AH765" s="39">
        <f>IF(AQ765="0",BJ765,0)</f>
        <v>0</v>
      </c>
      <c r="AI765" s="30"/>
      <c r="AJ765" s="21">
        <f>IF(AN765=0,J765,0)</f>
        <v>0</v>
      </c>
      <c r="AK765" s="21">
        <f>IF(AN765=15,J765,0)</f>
        <v>0</v>
      </c>
      <c r="AL765" s="21">
        <f>IF(AN765=21,J765,0)</f>
        <v>0</v>
      </c>
      <c r="AN765" s="39">
        <v>21</v>
      </c>
      <c r="AO765" s="39">
        <f>G765*0.310060921516795</f>
        <v>0</v>
      </c>
      <c r="AP765" s="39">
        <f>G765*(1-0.310060921516795)</f>
        <v>0</v>
      </c>
      <c r="AQ765" s="34" t="s">
        <v>11</v>
      </c>
      <c r="AV765" s="39">
        <f>AW765+AX765</f>
        <v>0</v>
      </c>
      <c r="AW765" s="39">
        <f>F765*AO765</f>
        <v>0</v>
      </c>
      <c r="AX765" s="39">
        <f>F765*AP765</f>
        <v>0</v>
      </c>
      <c r="AY765" s="40" t="s">
        <v>2021</v>
      </c>
      <c r="AZ765" s="40" t="s">
        <v>2042</v>
      </c>
      <c r="BA765" s="30" t="s">
        <v>2045</v>
      </c>
      <c r="BC765" s="39">
        <f>AW765+AX765</f>
        <v>0</v>
      </c>
      <c r="BD765" s="39">
        <f>G765/(100-BE765)*100</f>
        <v>0</v>
      </c>
      <c r="BE765" s="39">
        <v>0</v>
      </c>
      <c r="BF765" s="39">
        <f>L765</f>
        <v>2.0504720000000004E-2</v>
      </c>
      <c r="BH765" s="21">
        <f>F765*AO765</f>
        <v>0</v>
      </c>
      <c r="BI765" s="21">
        <f>F765*AP765</f>
        <v>0</v>
      </c>
      <c r="BJ765" s="21">
        <f>F765*G765</f>
        <v>0</v>
      </c>
    </row>
    <row r="766" spans="1:62">
      <c r="C766" s="16" t="s">
        <v>609</v>
      </c>
      <c r="D766" s="919" t="s">
        <v>1888</v>
      </c>
      <c r="E766" s="920"/>
      <c r="F766" s="920"/>
      <c r="G766" s="920"/>
      <c r="H766" s="920"/>
      <c r="I766" s="920"/>
      <c r="J766" s="920"/>
      <c r="K766" s="920"/>
      <c r="L766" s="920"/>
      <c r="M766" s="920"/>
    </row>
    <row r="767" spans="1:62">
      <c r="A767" s="5" t="s">
        <v>576</v>
      </c>
      <c r="B767" s="5"/>
      <c r="C767" s="5" t="s">
        <v>1182</v>
      </c>
      <c r="D767" s="5" t="s">
        <v>1889</v>
      </c>
      <c r="E767" s="5" t="s">
        <v>1940</v>
      </c>
      <c r="F767" s="21">
        <v>633.50049999999999</v>
      </c>
      <c r="G767" s="753">
        <v>0</v>
      </c>
      <c r="H767" s="21">
        <f>F767*AO767</f>
        <v>0</v>
      </c>
      <c r="I767" s="21">
        <f>F767*AP767</f>
        <v>0</v>
      </c>
      <c r="J767" s="21">
        <f>F767*G767</f>
        <v>0</v>
      </c>
      <c r="K767" s="21">
        <v>2.5000000000000001E-4</v>
      </c>
      <c r="L767" s="21">
        <f>F767*K767</f>
        <v>0.15837512500000001</v>
      </c>
      <c r="M767" s="34" t="s">
        <v>1961</v>
      </c>
      <c r="Z767" s="39">
        <f>IF(AQ767="5",BJ767,0)</f>
        <v>0</v>
      </c>
      <c r="AB767" s="39">
        <f>IF(AQ767="1",BH767,0)</f>
        <v>0</v>
      </c>
      <c r="AC767" s="39">
        <f>IF(AQ767="1",BI767,0)</f>
        <v>0</v>
      </c>
      <c r="AD767" s="39">
        <f>IF(AQ767="7",BH767,0)</f>
        <v>0</v>
      </c>
      <c r="AE767" s="39">
        <f>IF(AQ767="7",BI767,0)</f>
        <v>0</v>
      </c>
      <c r="AF767" s="39">
        <f>IF(AQ767="2",BH767,0)</f>
        <v>0</v>
      </c>
      <c r="AG767" s="39">
        <f>IF(AQ767="2",BI767,0)</f>
        <v>0</v>
      </c>
      <c r="AH767" s="39">
        <f>IF(AQ767="0",BJ767,0)</f>
        <v>0</v>
      </c>
      <c r="AI767" s="30"/>
      <c r="AJ767" s="21">
        <f>IF(AN767=0,J767,0)</f>
        <v>0</v>
      </c>
      <c r="AK767" s="21">
        <f>IF(AN767=15,J767,0)</f>
        <v>0</v>
      </c>
      <c r="AL767" s="21">
        <f>IF(AN767=21,J767,0)</f>
        <v>0</v>
      </c>
      <c r="AN767" s="39">
        <v>21</v>
      </c>
      <c r="AO767" s="39">
        <f>G767*0.269105055886436</f>
        <v>0</v>
      </c>
      <c r="AP767" s="39">
        <f>G767*(1-0.269105055886436)</f>
        <v>0</v>
      </c>
      <c r="AQ767" s="34" t="s">
        <v>11</v>
      </c>
      <c r="AV767" s="39">
        <f>AW767+AX767</f>
        <v>0</v>
      </c>
      <c r="AW767" s="39">
        <f>F767*AO767</f>
        <v>0</v>
      </c>
      <c r="AX767" s="39">
        <f>F767*AP767</f>
        <v>0</v>
      </c>
      <c r="AY767" s="40" t="s">
        <v>2021</v>
      </c>
      <c r="AZ767" s="40" t="s">
        <v>2042</v>
      </c>
      <c r="BA767" s="30" t="s">
        <v>2045</v>
      </c>
      <c r="BC767" s="39">
        <f>AW767+AX767</f>
        <v>0</v>
      </c>
      <c r="BD767" s="39">
        <f>G767/(100-BE767)*100</f>
        <v>0</v>
      </c>
      <c r="BE767" s="39">
        <v>0</v>
      </c>
      <c r="BF767" s="39">
        <f>L767</f>
        <v>0.15837512500000001</v>
      </c>
      <c r="BH767" s="21">
        <f>F767*AO767</f>
        <v>0</v>
      </c>
      <c r="BI767" s="21">
        <f>F767*AP767</f>
        <v>0</v>
      </c>
      <c r="BJ767" s="21">
        <f>F767*G767</f>
        <v>0</v>
      </c>
    </row>
    <row r="768" spans="1:62">
      <c r="A768" s="6" t="s">
        <v>577</v>
      </c>
      <c r="B768" s="6"/>
      <c r="C768" s="6" t="s">
        <v>1183</v>
      </c>
      <c r="D768" s="6" t="s">
        <v>1890</v>
      </c>
      <c r="E768" s="6" t="s">
        <v>1940</v>
      </c>
      <c r="F768" s="22">
        <v>696.85055</v>
      </c>
      <c r="G768" s="754">
        <v>0</v>
      </c>
      <c r="H768" s="22">
        <f>F768*AO768</f>
        <v>0</v>
      </c>
      <c r="I768" s="22">
        <f>F768*AP768</f>
        <v>0</v>
      </c>
      <c r="J768" s="22">
        <f>F768*G768</f>
        <v>0</v>
      </c>
      <c r="K768" s="22">
        <v>3.0999999999999999E-3</v>
      </c>
      <c r="L768" s="22">
        <f>F768*K768</f>
        <v>2.160236705</v>
      </c>
      <c r="M768" s="35" t="s">
        <v>1960</v>
      </c>
      <c r="O768">
        <f>0.95*G768</f>
        <v>0</v>
      </c>
      <c r="Z768" s="39">
        <f>IF(AQ768="5",BJ768,0)</f>
        <v>0</v>
      </c>
      <c r="AB768" s="39">
        <f>IF(AQ768="1",BH768,0)</f>
        <v>0</v>
      </c>
      <c r="AC768" s="39">
        <f>IF(AQ768="1",BI768,0)</f>
        <v>0</v>
      </c>
      <c r="AD768" s="39">
        <f>IF(AQ768="7",BH768,0)</f>
        <v>0</v>
      </c>
      <c r="AE768" s="39">
        <f>IF(AQ768="7",BI768,0)</f>
        <v>0</v>
      </c>
      <c r="AF768" s="39">
        <f>IF(AQ768="2",BH768,0)</f>
        <v>0</v>
      </c>
      <c r="AG768" s="39">
        <f>IF(AQ768="2",BI768,0)</f>
        <v>0</v>
      </c>
      <c r="AH768" s="39">
        <f>IF(AQ768="0",BJ768,0)</f>
        <v>0</v>
      </c>
      <c r="AI768" s="30"/>
      <c r="AJ768" s="22">
        <f>IF(AN768=0,J768,0)</f>
        <v>0</v>
      </c>
      <c r="AK768" s="22">
        <f>IF(AN768=15,J768,0)</f>
        <v>0</v>
      </c>
      <c r="AL768" s="22">
        <f>IF(AN768=21,J768,0)</f>
        <v>0</v>
      </c>
      <c r="AN768" s="39">
        <v>21</v>
      </c>
      <c r="AO768" s="39">
        <f>G768*1</f>
        <v>0</v>
      </c>
      <c r="AP768" s="39">
        <f>G768*(1-1)</f>
        <v>0</v>
      </c>
      <c r="AQ768" s="35" t="s">
        <v>11</v>
      </c>
      <c r="AV768" s="39">
        <f>AW768+AX768</f>
        <v>0</v>
      </c>
      <c r="AW768" s="39">
        <f>F768*AO768</f>
        <v>0</v>
      </c>
      <c r="AX768" s="39">
        <f>F768*AP768</f>
        <v>0</v>
      </c>
      <c r="AY768" s="40" t="s">
        <v>2021</v>
      </c>
      <c r="AZ768" s="40" t="s">
        <v>2042</v>
      </c>
      <c r="BA768" s="30" t="s">
        <v>2045</v>
      </c>
      <c r="BC768" s="39">
        <f>AW768+AX768</f>
        <v>0</v>
      </c>
      <c r="BD768" s="39">
        <f>G768/(100-BE768)*100</f>
        <v>0</v>
      </c>
      <c r="BE768" s="39">
        <v>0</v>
      </c>
      <c r="BF768" s="39">
        <f>L768</f>
        <v>2.160236705</v>
      </c>
      <c r="BH768" s="22">
        <f>F768*AO768</f>
        <v>0</v>
      </c>
      <c r="BI768" s="22">
        <f>F768*AP768</f>
        <v>0</v>
      </c>
      <c r="BJ768" s="22">
        <f>F768*G768</f>
        <v>0</v>
      </c>
    </row>
    <row r="769" spans="1:62">
      <c r="A769" s="5" t="s">
        <v>578</v>
      </c>
      <c r="B769" s="5"/>
      <c r="C769" s="5" t="s">
        <v>1184</v>
      </c>
      <c r="D769" s="5" t="s">
        <v>1891</v>
      </c>
      <c r="E769" s="5" t="s">
        <v>1945</v>
      </c>
      <c r="F769" s="753">
        <v>0</v>
      </c>
      <c r="G769" s="753">
        <v>0</v>
      </c>
      <c r="H769" s="21">
        <f>F769*AO769</f>
        <v>0</v>
      </c>
      <c r="I769" s="21">
        <f>F769*AP769</f>
        <v>0</v>
      </c>
      <c r="J769" s="21">
        <f>F769*G769</f>
        <v>0</v>
      </c>
      <c r="K769" s="21">
        <v>0</v>
      </c>
      <c r="L769" s="21">
        <f>F769*K769</f>
        <v>0</v>
      </c>
      <c r="M769" s="34" t="s">
        <v>1961</v>
      </c>
      <c r="Z769" s="39">
        <f>IF(AQ769="5",BJ769,0)</f>
        <v>0</v>
      </c>
      <c r="AB769" s="39">
        <f>IF(AQ769="1",BH769,0)</f>
        <v>0</v>
      </c>
      <c r="AC769" s="39">
        <f>IF(AQ769="1",BI769,0)</f>
        <v>0</v>
      </c>
      <c r="AD769" s="39">
        <f>IF(AQ769="7",BH769,0)</f>
        <v>0</v>
      </c>
      <c r="AE769" s="39">
        <f>IF(AQ769="7",BI769,0)</f>
        <v>0</v>
      </c>
      <c r="AF769" s="39">
        <f>IF(AQ769="2",BH769,0)</f>
        <v>0</v>
      </c>
      <c r="AG769" s="39">
        <f>IF(AQ769="2",BI769,0)</f>
        <v>0</v>
      </c>
      <c r="AH769" s="39">
        <f>IF(AQ769="0",BJ769,0)</f>
        <v>0</v>
      </c>
      <c r="AI769" s="30"/>
      <c r="AJ769" s="21">
        <f>IF(AN769=0,J769,0)</f>
        <v>0</v>
      </c>
      <c r="AK769" s="21">
        <f>IF(AN769=15,J769,0)</f>
        <v>0</v>
      </c>
      <c r="AL769" s="21">
        <f>IF(AN769=21,J769,0)</f>
        <v>0</v>
      </c>
      <c r="AN769" s="39">
        <v>21</v>
      </c>
      <c r="AO769" s="39">
        <f>G769*0</f>
        <v>0</v>
      </c>
      <c r="AP769" s="39">
        <f>G769*(1-0)</f>
        <v>0</v>
      </c>
      <c r="AQ769" s="34" t="s">
        <v>9</v>
      </c>
      <c r="AV769" s="39">
        <f>AW769+AX769</f>
        <v>0</v>
      </c>
      <c r="AW769" s="39">
        <f>F769*AO769</f>
        <v>0</v>
      </c>
      <c r="AX769" s="39">
        <f>F769*AP769</f>
        <v>0</v>
      </c>
      <c r="AY769" s="40" t="s">
        <v>2021</v>
      </c>
      <c r="AZ769" s="40" t="s">
        <v>2042</v>
      </c>
      <c r="BA769" s="30" t="s">
        <v>2045</v>
      </c>
      <c r="BC769" s="39">
        <f>AW769+AX769</f>
        <v>0</v>
      </c>
      <c r="BD769" s="39">
        <f>G769/(100-BE769)*100</f>
        <v>0</v>
      </c>
      <c r="BE769" s="39">
        <v>0</v>
      </c>
      <c r="BF769" s="39">
        <f>L769</f>
        <v>0</v>
      </c>
      <c r="BH769" s="21">
        <f>F769*AO769</f>
        <v>0</v>
      </c>
      <c r="BI769" s="21">
        <f>F769*AP769</f>
        <v>0</v>
      </c>
      <c r="BJ769" s="21">
        <f>F769*G769</f>
        <v>0</v>
      </c>
    </row>
    <row r="770" spans="1:62">
      <c r="A770" s="4"/>
      <c r="B770" s="14"/>
      <c r="C770" s="14" t="s">
        <v>1185</v>
      </c>
      <c r="D770" s="14" t="s">
        <v>1892</v>
      </c>
      <c r="E770" s="4" t="s">
        <v>4</v>
      </c>
      <c r="F770" s="4" t="s">
        <v>4</v>
      </c>
      <c r="G770" s="4" t="s">
        <v>4</v>
      </c>
      <c r="H770" s="42">
        <f>SUM(H771:H772)</f>
        <v>0</v>
      </c>
      <c r="I770" s="42">
        <f>SUM(I771:I772)</f>
        <v>0</v>
      </c>
      <c r="J770" s="42">
        <f>SUM(J771:J772)</f>
        <v>0</v>
      </c>
      <c r="K770" s="30"/>
      <c r="L770" s="42">
        <f>SUM(L771:L772)</f>
        <v>6.6845000000000002E-2</v>
      </c>
      <c r="M770" s="30"/>
      <c r="AI770" s="30"/>
      <c r="AS770" s="42">
        <f>SUM(AJ771:AJ772)</f>
        <v>0</v>
      </c>
      <c r="AT770" s="42">
        <f>SUM(AK771:AK772)</f>
        <v>0</v>
      </c>
      <c r="AU770" s="42">
        <f>SUM(AL771:AL772)</f>
        <v>0</v>
      </c>
    </row>
    <row r="771" spans="1:62">
      <c r="A771" s="5" t="s">
        <v>579</v>
      </c>
      <c r="B771" s="5"/>
      <c r="C771" s="5" t="s">
        <v>1186</v>
      </c>
      <c r="D771" s="5" t="s">
        <v>1893</v>
      </c>
      <c r="E771" s="5" t="s">
        <v>1940</v>
      </c>
      <c r="F771" s="21">
        <v>14.5</v>
      </c>
      <c r="G771" s="753">
        <v>0</v>
      </c>
      <c r="H771" s="21">
        <f>F771*AO771</f>
        <v>0</v>
      </c>
      <c r="I771" s="21">
        <f>F771*AP771</f>
        <v>0</v>
      </c>
      <c r="J771" s="21">
        <f>F771*G771</f>
        <v>0</v>
      </c>
      <c r="K771" s="21">
        <v>4.6100000000000004E-3</v>
      </c>
      <c r="L771" s="21">
        <f>F771*K771</f>
        <v>6.6845000000000002E-2</v>
      </c>
      <c r="M771" s="34" t="s">
        <v>1960</v>
      </c>
      <c r="O771">
        <f>0.95*G771</f>
        <v>0</v>
      </c>
      <c r="Z771" s="39">
        <f>IF(AQ771="5",BJ771,0)</f>
        <v>0</v>
      </c>
      <c r="AB771" s="39">
        <f>IF(AQ771="1",BH771,0)</f>
        <v>0</v>
      </c>
      <c r="AC771" s="39">
        <f>IF(AQ771="1",BI771,0)</f>
        <v>0</v>
      </c>
      <c r="AD771" s="39">
        <f>IF(AQ771="7",BH771,0)</f>
        <v>0</v>
      </c>
      <c r="AE771" s="39">
        <f>IF(AQ771="7",BI771,0)</f>
        <v>0</v>
      </c>
      <c r="AF771" s="39">
        <f>IF(AQ771="2",BH771,0)</f>
        <v>0</v>
      </c>
      <c r="AG771" s="39">
        <f>IF(AQ771="2",BI771,0)</f>
        <v>0</v>
      </c>
      <c r="AH771" s="39">
        <f>IF(AQ771="0",BJ771,0)</f>
        <v>0</v>
      </c>
      <c r="AI771" s="30"/>
      <c r="AJ771" s="21">
        <f>IF(AN771=0,J771,0)</f>
        <v>0</v>
      </c>
      <c r="AK771" s="21">
        <f>IF(AN771=15,J771,0)</f>
        <v>0</v>
      </c>
      <c r="AL771" s="21">
        <f>IF(AN771=21,J771,0)</f>
        <v>0</v>
      </c>
      <c r="AN771" s="39">
        <v>21</v>
      </c>
      <c r="AO771" s="39">
        <f>G771*0.744418604651163</f>
        <v>0</v>
      </c>
      <c r="AP771" s="39">
        <f>G771*(1-0.744418604651163)</f>
        <v>0</v>
      </c>
      <c r="AQ771" s="34" t="s">
        <v>11</v>
      </c>
      <c r="AV771" s="39">
        <f>AW771+AX771</f>
        <v>0</v>
      </c>
      <c r="AW771" s="39">
        <f>F771*AO771</f>
        <v>0</v>
      </c>
      <c r="AX771" s="39">
        <f>F771*AP771</f>
        <v>0</v>
      </c>
      <c r="AY771" s="40" t="s">
        <v>2022</v>
      </c>
      <c r="AZ771" s="40" t="s">
        <v>2042</v>
      </c>
      <c r="BA771" s="30" t="s">
        <v>2045</v>
      </c>
      <c r="BC771" s="39">
        <f>AW771+AX771</f>
        <v>0</v>
      </c>
      <c r="BD771" s="39">
        <f>G771/(100-BE771)*100</f>
        <v>0</v>
      </c>
      <c r="BE771" s="39">
        <v>0</v>
      </c>
      <c r="BF771" s="39">
        <f>L771</f>
        <v>6.6845000000000002E-2</v>
      </c>
      <c r="BH771" s="21">
        <f>F771*AO771</f>
        <v>0</v>
      </c>
      <c r="BI771" s="21">
        <f>F771*AP771</f>
        <v>0</v>
      </c>
      <c r="BJ771" s="21">
        <f>F771*G771</f>
        <v>0</v>
      </c>
    </row>
    <row r="772" spans="1:62">
      <c r="A772" s="5" t="s">
        <v>580</v>
      </c>
      <c r="B772" s="5"/>
      <c r="C772" s="5" t="s">
        <v>1187</v>
      </c>
      <c r="D772" s="5" t="s">
        <v>1894</v>
      </c>
      <c r="E772" s="5" t="s">
        <v>1945</v>
      </c>
      <c r="F772" s="753">
        <v>0</v>
      </c>
      <c r="G772" s="753">
        <v>0</v>
      </c>
      <c r="H772" s="21">
        <f>F772*AO772</f>
        <v>0</v>
      </c>
      <c r="I772" s="21">
        <f>F772*AP772</f>
        <v>0</v>
      </c>
      <c r="J772" s="21">
        <f>F772*G772</f>
        <v>0</v>
      </c>
      <c r="K772" s="21">
        <v>0</v>
      </c>
      <c r="L772" s="21">
        <f>F772*K772</f>
        <v>0</v>
      </c>
      <c r="M772" s="34" t="s">
        <v>1961</v>
      </c>
      <c r="Z772" s="39">
        <f>IF(AQ772="5",BJ772,0)</f>
        <v>0</v>
      </c>
      <c r="AB772" s="39">
        <f>IF(AQ772="1",BH772,0)</f>
        <v>0</v>
      </c>
      <c r="AC772" s="39">
        <f>IF(AQ772="1",BI772,0)</f>
        <v>0</v>
      </c>
      <c r="AD772" s="39">
        <f>IF(AQ772="7",BH772,0)</f>
        <v>0</v>
      </c>
      <c r="AE772" s="39">
        <f>IF(AQ772="7",BI772,0)</f>
        <v>0</v>
      </c>
      <c r="AF772" s="39">
        <f>IF(AQ772="2",BH772,0)</f>
        <v>0</v>
      </c>
      <c r="AG772" s="39">
        <f>IF(AQ772="2",BI772,0)</f>
        <v>0</v>
      </c>
      <c r="AH772" s="39">
        <f>IF(AQ772="0",BJ772,0)</f>
        <v>0</v>
      </c>
      <c r="AI772" s="30"/>
      <c r="AJ772" s="21">
        <f>IF(AN772=0,J772,0)</f>
        <v>0</v>
      </c>
      <c r="AK772" s="21">
        <f>IF(AN772=15,J772,0)</f>
        <v>0</v>
      </c>
      <c r="AL772" s="21">
        <f>IF(AN772=21,J772,0)</f>
        <v>0</v>
      </c>
      <c r="AN772" s="39">
        <v>21</v>
      </c>
      <c r="AO772" s="39">
        <f>G772*0</f>
        <v>0</v>
      </c>
      <c r="AP772" s="39">
        <f>G772*(1-0)</f>
        <v>0</v>
      </c>
      <c r="AQ772" s="34" t="s">
        <v>9</v>
      </c>
      <c r="AV772" s="39">
        <f>AW772+AX772</f>
        <v>0</v>
      </c>
      <c r="AW772" s="39">
        <f>F772*AO772</f>
        <v>0</v>
      </c>
      <c r="AX772" s="39">
        <f>F772*AP772</f>
        <v>0</v>
      </c>
      <c r="AY772" s="40" t="s">
        <v>2022</v>
      </c>
      <c r="AZ772" s="40" t="s">
        <v>2042</v>
      </c>
      <c r="BA772" s="30" t="s">
        <v>2045</v>
      </c>
      <c r="BC772" s="39">
        <f>AW772+AX772</f>
        <v>0</v>
      </c>
      <c r="BD772" s="39">
        <f>G772/(100-BE772)*100</f>
        <v>0</v>
      </c>
      <c r="BE772" s="39">
        <v>0</v>
      </c>
      <c r="BF772" s="39">
        <f>L772</f>
        <v>0</v>
      </c>
      <c r="BH772" s="21">
        <f>F772*AO772</f>
        <v>0</v>
      </c>
      <c r="BI772" s="21">
        <f>F772*AP772</f>
        <v>0</v>
      </c>
      <c r="BJ772" s="21">
        <f>F772*G772</f>
        <v>0</v>
      </c>
    </row>
    <row r="773" spans="1:62">
      <c r="A773" s="4"/>
      <c r="B773" s="14"/>
      <c r="C773" s="14" t="s">
        <v>1188</v>
      </c>
      <c r="D773" s="14" t="s">
        <v>1895</v>
      </c>
      <c r="E773" s="4" t="s">
        <v>4</v>
      </c>
      <c r="F773" s="4" t="s">
        <v>4</v>
      </c>
      <c r="G773" s="4" t="s">
        <v>4</v>
      </c>
      <c r="H773" s="42">
        <f>SUM(H774:H784)</f>
        <v>0</v>
      </c>
      <c r="I773" s="42">
        <f>SUM(I774:I784)</f>
        <v>0</v>
      </c>
      <c r="J773" s="42">
        <f>SUM(J774:J784)</f>
        <v>0</v>
      </c>
      <c r="K773" s="30"/>
      <c r="L773" s="42">
        <f>SUM(L774:L784)</f>
        <v>19.39439316</v>
      </c>
      <c r="M773" s="30"/>
      <c r="AI773" s="30"/>
      <c r="AS773" s="42">
        <f>SUM(AJ774:AJ784)</f>
        <v>0</v>
      </c>
      <c r="AT773" s="42">
        <f>SUM(AK774:AK784)</f>
        <v>0</v>
      </c>
      <c r="AU773" s="42">
        <f>SUM(AL774:AL784)</f>
        <v>0</v>
      </c>
    </row>
    <row r="774" spans="1:62">
      <c r="A774" s="5" t="s">
        <v>581</v>
      </c>
      <c r="B774" s="5"/>
      <c r="C774" s="5" t="s">
        <v>1189</v>
      </c>
      <c r="D774" s="5" t="s">
        <v>1896</v>
      </c>
      <c r="E774" s="5" t="s">
        <v>1940</v>
      </c>
      <c r="F774" s="21">
        <v>952.90800000000002</v>
      </c>
      <c r="G774" s="753">
        <v>0</v>
      </c>
      <c r="H774" s="21">
        <f t="shared" ref="H774:H780" si="571">F774*AO774</f>
        <v>0</v>
      </c>
      <c r="I774" s="21">
        <f t="shared" ref="I774:I780" si="572">F774*AP774</f>
        <v>0</v>
      </c>
      <c r="J774" s="21">
        <f t="shared" ref="J774:J780" si="573">F774*G774</f>
        <v>0</v>
      </c>
      <c r="K774" s="21">
        <v>4.1900000000000001E-3</v>
      </c>
      <c r="L774" s="21">
        <f t="shared" ref="L774:L780" si="574">F774*K774</f>
        <v>3.9926845200000001</v>
      </c>
      <c r="M774" s="34" t="s">
        <v>1961</v>
      </c>
      <c r="Z774" s="39">
        <f t="shared" ref="Z774:Z780" si="575">IF(AQ774="5",BJ774,0)</f>
        <v>0</v>
      </c>
      <c r="AB774" s="39">
        <f t="shared" ref="AB774:AB780" si="576">IF(AQ774="1",BH774,0)</f>
        <v>0</v>
      </c>
      <c r="AC774" s="39">
        <f t="shared" ref="AC774:AC780" si="577">IF(AQ774="1",BI774,0)</f>
        <v>0</v>
      </c>
      <c r="AD774" s="39">
        <f t="shared" ref="AD774:AD780" si="578">IF(AQ774="7",BH774,0)</f>
        <v>0</v>
      </c>
      <c r="AE774" s="39">
        <f t="shared" ref="AE774:AE780" si="579">IF(AQ774="7",BI774,0)</f>
        <v>0</v>
      </c>
      <c r="AF774" s="39">
        <f t="shared" ref="AF774:AF780" si="580">IF(AQ774="2",BH774,0)</f>
        <v>0</v>
      </c>
      <c r="AG774" s="39">
        <f t="shared" ref="AG774:AG780" si="581">IF(AQ774="2",BI774,0)</f>
        <v>0</v>
      </c>
      <c r="AH774" s="39">
        <f t="shared" ref="AH774:AH780" si="582">IF(AQ774="0",BJ774,0)</f>
        <v>0</v>
      </c>
      <c r="AI774" s="30"/>
      <c r="AJ774" s="21">
        <f t="shared" ref="AJ774:AJ780" si="583">IF(AN774=0,J774,0)</f>
        <v>0</v>
      </c>
      <c r="AK774" s="21">
        <f t="shared" ref="AK774:AK780" si="584">IF(AN774=15,J774,0)</f>
        <v>0</v>
      </c>
      <c r="AL774" s="21">
        <f t="shared" ref="AL774:AL780" si="585">IF(AN774=21,J774,0)</f>
        <v>0</v>
      </c>
      <c r="AN774" s="39">
        <v>21</v>
      </c>
      <c r="AO774" s="39">
        <f>G774*0.267677777777778</f>
        <v>0</v>
      </c>
      <c r="AP774" s="39">
        <f>G774*(1-0.267677777777778)</f>
        <v>0</v>
      </c>
      <c r="AQ774" s="34" t="s">
        <v>11</v>
      </c>
      <c r="AV774" s="39">
        <f t="shared" ref="AV774:AV780" si="586">AW774+AX774</f>
        <v>0</v>
      </c>
      <c r="AW774" s="39">
        <f t="shared" ref="AW774:AW780" si="587">F774*AO774</f>
        <v>0</v>
      </c>
      <c r="AX774" s="39">
        <f t="shared" ref="AX774:AX780" si="588">F774*AP774</f>
        <v>0</v>
      </c>
      <c r="AY774" s="40" t="s">
        <v>2023</v>
      </c>
      <c r="AZ774" s="40" t="s">
        <v>2043</v>
      </c>
      <c r="BA774" s="30" t="s">
        <v>2045</v>
      </c>
      <c r="BC774" s="39">
        <f t="shared" ref="BC774:BC780" si="589">AW774+AX774</f>
        <v>0</v>
      </c>
      <c r="BD774" s="39">
        <f t="shared" ref="BD774:BD780" si="590">G774/(100-BE774)*100</f>
        <v>0</v>
      </c>
      <c r="BE774" s="39">
        <v>0</v>
      </c>
      <c r="BF774" s="39">
        <f t="shared" ref="BF774:BF780" si="591">L774</f>
        <v>3.9926845200000001</v>
      </c>
      <c r="BH774" s="21">
        <f t="shared" ref="BH774:BH780" si="592">F774*AO774</f>
        <v>0</v>
      </c>
      <c r="BI774" s="21">
        <f t="shared" ref="BI774:BI780" si="593">F774*AP774</f>
        <v>0</v>
      </c>
      <c r="BJ774" s="21">
        <f t="shared" ref="BJ774:BJ780" si="594">F774*G774</f>
        <v>0</v>
      </c>
    </row>
    <row r="775" spans="1:62">
      <c r="A775" s="6" t="s">
        <v>582</v>
      </c>
      <c r="B775" s="6"/>
      <c r="C775" s="6" t="s">
        <v>1190</v>
      </c>
      <c r="D775" s="6" t="s">
        <v>1897</v>
      </c>
      <c r="E775" s="6" t="s">
        <v>1940</v>
      </c>
      <c r="F775" s="22">
        <v>103.88509999999999</v>
      </c>
      <c r="G775" s="754">
        <v>0</v>
      </c>
      <c r="H775" s="22">
        <f t="shared" si="571"/>
        <v>0</v>
      </c>
      <c r="I775" s="22">
        <f t="shared" si="572"/>
        <v>0</v>
      </c>
      <c r="J775" s="22">
        <f t="shared" si="573"/>
        <v>0</v>
      </c>
      <c r="K775" s="22">
        <v>1.4200000000000001E-2</v>
      </c>
      <c r="L775" s="22">
        <f t="shared" si="574"/>
        <v>1.4751684199999999</v>
      </c>
      <c r="M775" s="35" t="s">
        <v>1962</v>
      </c>
      <c r="O775">
        <f>0.95*G775</f>
        <v>0</v>
      </c>
      <c r="Z775" s="39">
        <f t="shared" si="575"/>
        <v>0</v>
      </c>
      <c r="AB775" s="39">
        <f t="shared" si="576"/>
        <v>0</v>
      </c>
      <c r="AC775" s="39">
        <f t="shared" si="577"/>
        <v>0</v>
      </c>
      <c r="AD775" s="39">
        <f t="shared" si="578"/>
        <v>0</v>
      </c>
      <c r="AE775" s="39">
        <f t="shared" si="579"/>
        <v>0</v>
      </c>
      <c r="AF775" s="39">
        <f t="shared" si="580"/>
        <v>0</v>
      </c>
      <c r="AG775" s="39">
        <f t="shared" si="581"/>
        <v>0</v>
      </c>
      <c r="AH775" s="39">
        <f t="shared" si="582"/>
        <v>0</v>
      </c>
      <c r="AI775" s="30"/>
      <c r="AJ775" s="22">
        <f t="shared" si="583"/>
        <v>0</v>
      </c>
      <c r="AK775" s="22">
        <f t="shared" si="584"/>
        <v>0</v>
      </c>
      <c r="AL775" s="22">
        <f t="shared" si="585"/>
        <v>0</v>
      </c>
      <c r="AN775" s="39">
        <v>21</v>
      </c>
      <c r="AO775" s="39">
        <f>G775*1</f>
        <v>0</v>
      </c>
      <c r="AP775" s="39">
        <f>G775*(1-1)</f>
        <v>0</v>
      </c>
      <c r="AQ775" s="35" t="s">
        <v>11</v>
      </c>
      <c r="AV775" s="39">
        <f t="shared" si="586"/>
        <v>0</v>
      </c>
      <c r="AW775" s="39">
        <f t="shared" si="587"/>
        <v>0</v>
      </c>
      <c r="AX775" s="39">
        <f t="shared" si="588"/>
        <v>0</v>
      </c>
      <c r="AY775" s="40" t="s">
        <v>2023</v>
      </c>
      <c r="AZ775" s="40" t="s">
        <v>2043</v>
      </c>
      <c r="BA775" s="30" t="s">
        <v>2045</v>
      </c>
      <c r="BC775" s="39">
        <f t="shared" si="589"/>
        <v>0</v>
      </c>
      <c r="BD775" s="39">
        <f t="shared" si="590"/>
        <v>0</v>
      </c>
      <c r="BE775" s="39">
        <v>0</v>
      </c>
      <c r="BF775" s="39">
        <f t="shared" si="591"/>
        <v>1.4751684199999999</v>
      </c>
      <c r="BH775" s="22">
        <f t="shared" si="592"/>
        <v>0</v>
      </c>
      <c r="BI775" s="22">
        <f t="shared" si="593"/>
        <v>0</v>
      </c>
      <c r="BJ775" s="22">
        <f t="shared" si="594"/>
        <v>0</v>
      </c>
    </row>
    <row r="776" spans="1:62">
      <c r="A776" s="6" t="s">
        <v>583</v>
      </c>
      <c r="B776" s="6"/>
      <c r="C776" s="6" t="s">
        <v>1176</v>
      </c>
      <c r="D776" s="6" t="s">
        <v>1898</v>
      </c>
      <c r="E776" s="6" t="s">
        <v>1940</v>
      </c>
      <c r="F776" s="22">
        <v>832.06529999999998</v>
      </c>
      <c r="G776" s="754">
        <v>0</v>
      </c>
      <c r="H776" s="22">
        <f t="shared" si="571"/>
        <v>0</v>
      </c>
      <c r="I776" s="22">
        <f t="shared" si="572"/>
        <v>0</v>
      </c>
      <c r="J776" s="22">
        <f t="shared" si="573"/>
        <v>0</v>
      </c>
      <c r="K776" s="22">
        <v>1.4200000000000001E-2</v>
      </c>
      <c r="L776" s="22">
        <f t="shared" si="574"/>
        <v>11.81532726</v>
      </c>
      <c r="M776" s="35" t="s">
        <v>1962</v>
      </c>
      <c r="O776">
        <f>0.95*G776</f>
        <v>0</v>
      </c>
      <c r="Z776" s="39">
        <f t="shared" si="575"/>
        <v>0</v>
      </c>
      <c r="AB776" s="39">
        <f t="shared" si="576"/>
        <v>0</v>
      </c>
      <c r="AC776" s="39">
        <f t="shared" si="577"/>
        <v>0</v>
      </c>
      <c r="AD776" s="39">
        <f t="shared" si="578"/>
        <v>0</v>
      </c>
      <c r="AE776" s="39">
        <f t="shared" si="579"/>
        <v>0</v>
      </c>
      <c r="AF776" s="39">
        <f t="shared" si="580"/>
        <v>0</v>
      </c>
      <c r="AG776" s="39">
        <f t="shared" si="581"/>
        <v>0</v>
      </c>
      <c r="AH776" s="39">
        <f t="shared" si="582"/>
        <v>0</v>
      </c>
      <c r="AI776" s="30"/>
      <c r="AJ776" s="22">
        <f t="shared" si="583"/>
        <v>0</v>
      </c>
      <c r="AK776" s="22">
        <f t="shared" si="584"/>
        <v>0</v>
      </c>
      <c r="AL776" s="22">
        <f t="shared" si="585"/>
        <v>0</v>
      </c>
      <c r="AN776" s="39">
        <v>21</v>
      </c>
      <c r="AO776" s="39">
        <f>G776*1</f>
        <v>0</v>
      </c>
      <c r="AP776" s="39">
        <f>G776*(1-1)</f>
        <v>0</v>
      </c>
      <c r="AQ776" s="35" t="s">
        <v>11</v>
      </c>
      <c r="AV776" s="39">
        <f t="shared" si="586"/>
        <v>0</v>
      </c>
      <c r="AW776" s="39">
        <f t="shared" si="587"/>
        <v>0</v>
      </c>
      <c r="AX776" s="39">
        <f t="shared" si="588"/>
        <v>0</v>
      </c>
      <c r="AY776" s="40" t="s">
        <v>2023</v>
      </c>
      <c r="AZ776" s="40" t="s">
        <v>2043</v>
      </c>
      <c r="BA776" s="30" t="s">
        <v>2045</v>
      </c>
      <c r="BC776" s="39">
        <f t="shared" si="589"/>
        <v>0</v>
      </c>
      <c r="BD776" s="39">
        <f t="shared" si="590"/>
        <v>0</v>
      </c>
      <c r="BE776" s="39">
        <v>0</v>
      </c>
      <c r="BF776" s="39">
        <f t="shared" si="591"/>
        <v>11.81532726</v>
      </c>
      <c r="BH776" s="22">
        <f t="shared" si="592"/>
        <v>0</v>
      </c>
      <c r="BI776" s="22">
        <f t="shared" si="593"/>
        <v>0</v>
      </c>
      <c r="BJ776" s="22">
        <f t="shared" si="594"/>
        <v>0</v>
      </c>
    </row>
    <row r="777" spans="1:62">
      <c r="A777" s="6" t="s">
        <v>584</v>
      </c>
      <c r="B777" s="6"/>
      <c r="C777" s="6" t="s">
        <v>1191</v>
      </c>
      <c r="D777" s="6" t="s">
        <v>1899</v>
      </c>
      <c r="E777" s="6" t="s">
        <v>1940</v>
      </c>
      <c r="F777" s="22">
        <v>112.2484</v>
      </c>
      <c r="G777" s="754">
        <v>0</v>
      </c>
      <c r="H777" s="22">
        <f t="shared" si="571"/>
        <v>0</v>
      </c>
      <c r="I777" s="22">
        <f t="shared" si="572"/>
        <v>0</v>
      </c>
      <c r="J777" s="22">
        <f t="shared" si="573"/>
        <v>0</v>
      </c>
      <c r="K777" s="22">
        <v>1.4200000000000001E-2</v>
      </c>
      <c r="L777" s="22">
        <f t="shared" si="574"/>
        <v>1.5939272800000002</v>
      </c>
      <c r="M777" s="35" t="s">
        <v>1962</v>
      </c>
      <c r="O777">
        <f>0.95*G777</f>
        <v>0</v>
      </c>
      <c r="Z777" s="39">
        <f t="shared" si="575"/>
        <v>0</v>
      </c>
      <c r="AB777" s="39">
        <f t="shared" si="576"/>
        <v>0</v>
      </c>
      <c r="AC777" s="39">
        <f t="shared" si="577"/>
        <v>0</v>
      </c>
      <c r="AD777" s="39">
        <f t="shared" si="578"/>
        <v>0</v>
      </c>
      <c r="AE777" s="39">
        <f t="shared" si="579"/>
        <v>0</v>
      </c>
      <c r="AF777" s="39">
        <f t="shared" si="580"/>
        <v>0</v>
      </c>
      <c r="AG777" s="39">
        <f t="shared" si="581"/>
        <v>0</v>
      </c>
      <c r="AH777" s="39">
        <f t="shared" si="582"/>
        <v>0</v>
      </c>
      <c r="AI777" s="30"/>
      <c r="AJ777" s="22">
        <f t="shared" si="583"/>
        <v>0</v>
      </c>
      <c r="AK777" s="22">
        <f t="shared" si="584"/>
        <v>0</v>
      </c>
      <c r="AL777" s="22">
        <f t="shared" si="585"/>
        <v>0</v>
      </c>
      <c r="AN777" s="39">
        <v>21</v>
      </c>
      <c r="AO777" s="39">
        <f>G777*1</f>
        <v>0</v>
      </c>
      <c r="AP777" s="39">
        <f>G777*(1-1)</f>
        <v>0</v>
      </c>
      <c r="AQ777" s="35" t="s">
        <v>11</v>
      </c>
      <c r="AV777" s="39">
        <f t="shared" si="586"/>
        <v>0</v>
      </c>
      <c r="AW777" s="39">
        <f t="shared" si="587"/>
        <v>0</v>
      </c>
      <c r="AX777" s="39">
        <f t="shared" si="588"/>
        <v>0</v>
      </c>
      <c r="AY777" s="40" t="s">
        <v>2023</v>
      </c>
      <c r="AZ777" s="40" t="s">
        <v>2043</v>
      </c>
      <c r="BA777" s="30" t="s">
        <v>2045</v>
      </c>
      <c r="BC777" s="39">
        <f t="shared" si="589"/>
        <v>0</v>
      </c>
      <c r="BD777" s="39">
        <f t="shared" si="590"/>
        <v>0</v>
      </c>
      <c r="BE777" s="39">
        <v>0</v>
      </c>
      <c r="BF777" s="39">
        <f t="shared" si="591"/>
        <v>1.5939272800000002</v>
      </c>
      <c r="BH777" s="22">
        <f t="shared" si="592"/>
        <v>0</v>
      </c>
      <c r="BI777" s="22">
        <f t="shared" si="593"/>
        <v>0</v>
      </c>
      <c r="BJ777" s="22">
        <f t="shared" si="594"/>
        <v>0</v>
      </c>
    </row>
    <row r="778" spans="1:62">
      <c r="A778" s="5" t="s">
        <v>585</v>
      </c>
      <c r="B778" s="5"/>
      <c r="C778" s="5" t="s">
        <v>1192</v>
      </c>
      <c r="D778" s="5" t="s">
        <v>1900</v>
      </c>
      <c r="E778" s="5" t="s">
        <v>1940</v>
      </c>
      <c r="F778" s="21">
        <v>960.85799999999995</v>
      </c>
      <c r="G778" s="753">
        <v>0</v>
      </c>
      <c r="H778" s="21">
        <f t="shared" si="571"/>
        <v>0</v>
      </c>
      <c r="I778" s="21">
        <f t="shared" si="572"/>
        <v>0</v>
      </c>
      <c r="J778" s="21">
        <f t="shared" si="573"/>
        <v>0</v>
      </c>
      <c r="K778" s="21">
        <v>2.1000000000000001E-4</v>
      </c>
      <c r="L778" s="21">
        <f t="shared" si="574"/>
        <v>0.20178018</v>
      </c>
      <c r="M778" s="34" t="s">
        <v>1961</v>
      </c>
      <c r="Z778" s="39">
        <f t="shared" si="575"/>
        <v>0</v>
      </c>
      <c r="AB778" s="39">
        <f t="shared" si="576"/>
        <v>0</v>
      </c>
      <c r="AC778" s="39">
        <f t="shared" si="577"/>
        <v>0</v>
      </c>
      <c r="AD778" s="39">
        <f t="shared" si="578"/>
        <v>0</v>
      </c>
      <c r="AE778" s="39">
        <f t="shared" si="579"/>
        <v>0</v>
      </c>
      <c r="AF778" s="39">
        <f t="shared" si="580"/>
        <v>0</v>
      </c>
      <c r="AG778" s="39">
        <f t="shared" si="581"/>
        <v>0</v>
      </c>
      <c r="AH778" s="39">
        <f t="shared" si="582"/>
        <v>0</v>
      </c>
      <c r="AI778" s="30"/>
      <c r="AJ778" s="21">
        <f t="shared" si="583"/>
        <v>0</v>
      </c>
      <c r="AK778" s="21">
        <f t="shared" si="584"/>
        <v>0</v>
      </c>
      <c r="AL778" s="21">
        <f t="shared" si="585"/>
        <v>0</v>
      </c>
      <c r="AN778" s="39">
        <v>21</v>
      </c>
      <c r="AO778" s="39">
        <f>G778*0.476939167973769</f>
        <v>0</v>
      </c>
      <c r="AP778" s="39">
        <f>G778*(1-0.476939167973769)</f>
        <v>0</v>
      </c>
      <c r="AQ778" s="34" t="s">
        <v>11</v>
      </c>
      <c r="AV778" s="39">
        <f t="shared" si="586"/>
        <v>0</v>
      </c>
      <c r="AW778" s="39">
        <f t="shared" si="587"/>
        <v>0</v>
      </c>
      <c r="AX778" s="39">
        <f t="shared" si="588"/>
        <v>0</v>
      </c>
      <c r="AY778" s="40" t="s">
        <v>2023</v>
      </c>
      <c r="AZ778" s="40" t="s">
        <v>2043</v>
      </c>
      <c r="BA778" s="30" t="s">
        <v>2045</v>
      </c>
      <c r="BC778" s="39">
        <f t="shared" si="589"/>
        <v>0</v>
      </c>
      <c r="BD778" s="39">
        <f t="shared" si="590"/>
        <v>0</v>
      </c>
      <c r="BE778" s="39">
        <v>0</v>
      </c>
      <c r="BF778" s="39">
        <f t="shared" si="591"/>
        <v>0.20178018</v>
      </c>
      <c r="BH778" s="21">
        <f t="shared" si="592"/>
        <v>0</v>
      </c>
      <c r="BI778" s="21">
        <f t="shared" si="593"/>
        <v>0</v>
      </c>
      <c r="BJ778" s="21">
        <f t="shared" si="594"/>
        <v>0</v>
      </c>
    </row>
    <row r="779" spans="1:62">
      <c r="A779" s="5" t="s">
        <v>586</v>
      </c>
      <c r="B779" s="5"/>
      <c r="C779" s="5" t="s">
        <v>1193</v>
      </c>
      <c r="D779" s="5" t="s">
        <v>1901</v>
      </c>
      <c r="E779" s="5" t="s">
        <v>1940</v>
      </c>
      <c r="F779" s="21">
        <v>49.200499999999998</v>
      </c>
      <c r="G779" s="753">
        <v>0</v>
      </c>
      <c r="H779" s="21">
        <f t="shared" si="571"/>
        <v>0</v>
      </c>
      <c r="I779" s="21">
        <f t="shared" si="572"/>
        <v>0</v>
      </c>
      <c r="J779" s="21">
        <f t="shared" si="573"/>
        <v>0</v>
      </c>
      <c r="K779" s="21">
        <v>0</v>
      </c>
      <c r="L779" s="21">
        <f t="shared" si="574"/>
        <v>0</v>
      </c>
      <c r="M779" s="34" t="s">
        <v>1961</v>
      </c>
      <c r="Z779" s="39">
        <f t="shared" si="575"/>
        <v>0</v>
      </c>
      <c r="AB779" s="39">
        <f t="shared" si="576"/>
        <v>0</v>
      </c>
      <c r="AC779" s="39">
        <f t="shared" si="577"/>
        <v>0</v>
      </c>
      <c r="AD779" s="39">
        <f t="shared" si="578"/>
        <v>0</v>
      </c>
      <c r="AE779" s="39">
        <f t="shared" si="579"/>
        <v>0</v>
      </c>
      <c r="AF779" s="39">
        <f t="shared" si="580"/>
        <v>0</v>
      </c>
      <c r="AG779" s="39">
        <f t="shared" si="581"/>
        <v>0</v>
      </c>
      <c r="AH779" s="39">
        <f t="shared" si="582"/>
        <v>0</v>
      </c>
      <c r="AI779" s="30"/>
      <c r="AJ779" s="21">
        <f t="shared" si="583"/>
        <v>0</v>
      </c>
      <c r="AK779" s="21">
        <f t="shared" si="584"/>
        <v>0</v>
      </c>
      <c r="AL779" s="21">
        <f t="shared" si="585"/>
        <v>0</v>
      </c>
      <c r="AN779" s="39">
        <v>21</v>
      </c>
      <c r="AO779" s="39">
        <f>G779*0</f>
        <v>0</v>
      </c>
      <c r="AP779" s="39">
        <f>G779*(1-0)</f>
        <v>0</v>
      </c>
      <c r="AQ779" s="34" t="s">
        <v>11</v>
      </c>
      <c r="AV779" s="39">
        <f t="shared" si="586"/>
        <v>0</v>
      </c>
      <c r="AW779" s="39">
        <f t="shared" si="587"/>
        <v>0</v>
      </c>
      <c r="AX779" s="39">
        <f t="shared" si="588"/>
        <v>0</v>
      </c>
      <c r="AY779" s="40" t="s">
        <v>2023</v>
      </c>
      <c r="AZ779" s="40" t="s">
        <v>2043</v>
      </c>
      <c r="BA779" s="30" t="s">
        <v>2045</v>
      </c>
      <c r="BC779" s="39">
        <f t="shared" si="589"/>
        <v>0</v>
      </c>
      <c r="BD779" s="39">
        <f t="shared" si="590"/>
        <v>0</v>
      </c>
      <c r="BE779" s="39">
        <v>0</v>
      </c>
      <c r="BF779" s="39">
        <f t="shared" si="591"/>
        <v>0</v>
      </c>
      <c r="BH779" s="21">
        <f t="shared" si="592"/>
        <v>0</v>
      </c>
      <c r="BI779" s="21">
        <f t="shared" si="593"/>
        <v>0</v>
      </c>
      <c r="BJ779" s="21">
        <f t="shared" si="594"/>
        <v>0</v>
      </c>
    </row>
    <row r="780" spans="1:62">
      <c r="A780" s="6" t="s">
        <v>587</v>
      </c>
      <c r="B780" s="6"/>
      <c r="C780" s="6" t="s">
        <v>1194</v>
      </c>
      <c r="D780" s="6" t="s">
        <v>1902</v>
      </c>
      <c r="E780" s="6" t="s">
        <v>1944</v>
      </c>
      <c r="F780" s="22">
        <v>147.60149999999999</v>
      </c>
      <c r="G780" s="754">
        <v>0</v>
      </c>
      <c r="H780" s="22">
        <f t="shared" si="571"/>
        <v>0</v>
      </c>
      <c r="I780" s="22">
        <f t="shared" si="572"/>
        <v>0</v>
      </c>
      <c r="J780" s="22">
        <f t="shared" si="573"/>
        <v>0</v>
      </c>
      <c r="K780" s="22">
        <v>1E-3</v>
      </c>
      <c r="L780" s="22">
        <f t="shared" si="574"/>
        <v>0.1476015</v>
      </c>
      <c r="M780" s="35" t="s">
        <v>1961</v>
      </c>
      <c r="Z780" s="39">
        <f t="shared" si="575"/>
        <v>0</v>
      </c>
      <c r="AB780" s="39">
        <f t="shared" si="576"/>
        <v>0</v>
      </c>
      <c r="AC780" s="39">
        <f t="shared" si="577"/>
        <v>0</v>
      </c>
      <c r="AD780" s="39">
        <f t="shared" si="578"/>
        <v>0</v>
      </c>
      <c r="AE780" s="39">
        <f t="shared" si="579"/>
        <v>0</v>
      </c>
      <c r="AF780" s="39">
        <f t="shared" si="580"/>
        <v>0</v>
      </c>
      <c r="AG780" s="39">
        <f t="shared" si="581"/>
        <v>0</v>
      </c>
      <c r="AH780" s="39">
        <f t="shared" si="582"/>
        <v>0</v>
      </c>
      <c r="AI780" s="30"/>
      <c r="AJ780" s="22">
        <f t="shared" si="583"/>
        <v>0</v>
      </c>
      <c r="AK780" s="22">
        <f t="shared" si="584"/>
        <v>0</v>
      </c>
      <c r="AL780" s="22">
        <f t="shared" si="585"/>
        <v>0</v>
      </c>
      <c r="AN780" s="39">
        <v>21</v>
      </c>
      <c r="AO780" s="39">
        <f>G780*1</f>
        <v>0</v>
      </c>
      <c r="AP780" s="39">
        <f>G780*(1-1)</f>
        <v>0</v>
      </c>
      <c r="AQ780" s="35" t="s">
        <v>11</v>
      </c>
      <c r="AV780" s="39">
        <f t="shared" si="586"/>
        <v>0</v>
      </c>
      <c r="AW780" s="39">
        <f t="shared" si="587"/>
        <v>0</v>
      </c>
      <c r="AX780" s="39">
        <f t="shared" si="588"/>
        <v>0</v>
      </c>
      <c r="AY780" s="40" t="s">
        <v>2023</v>
      </c>
      <c r="AZ780" s="40" t="s">
        <v>2043</v>
      </c>
      <c r="BA780" s="30" t="s">
        <v>2045</v>
      </c>
      <c r="BC780" s="39">
        <f t="shared" si="589"/>
        <v>0</v>
      </c>
      <c r="BD780" s="39">
        <f t="shared" si="590"/>
        <v>0</v>
      </c>
      <c r="BE780" s="39">
        <v>0</v>
      </c>
      <c r="BF780" s="39">
        <f t="shared" si="591"/>
        <v>0.1476015</v>
      </c>
      <c r="BH780" s="22">
        <f t="shared" si="592"/>
        <v>0</v>
      </c>
      <c r="BI780" s="22">
        <f t="shared" si="593"/>
        <v>0</v>
      </c>
      <c r="BJ780" s="22">
        <f t="shared" si="594"/>
        <v>0</v>
      </c>
    </row>
    <row r="781" spans="1:62" ht="38.4" customHeight="1">
      <c r="C781" s="17" t="s">
        <v>605</v>
      </c>
      <c r="D781" s="917" t="s">
        <v>1903</v>
      </c>
      <c r="E781" s="918"/>
      <c r="F781" s="918"/>
      <c r="G781" s="918"/>
      <c r="H781" s="918"/>
      <c r="I781" s="918"/>
      <c r="J781" s="918"/>
      <c r="K781" s="918"/>
      <c r="L781" s="918"/>
      <c r="M781" s="918"/>
    </row>
    <row r="782" spans="1:62">
      <c r="A782" s="5" t="s">
        <v>588</v>
      </c>
      <c r="B782" s="5"/>
      <c r="C782" s="5" t="s">
        <v>1195</v>
      </c>
      <c r="D782" s="5" t="s">
        <v>1904</v>
      </c>
      <c r="E782" s="5" t="s">
        <v>1940</v>
      </c>
      <c r="F782" s="21">
        <v>7.95</v>
      </c>
      <c r="G782" s="753">
        <v>0</v>
      </c>
      <c r="H782" s="21">
        <f>F782*AO782</f>
        <v>0</v>
      </c>
      <c r="I782" s="21">
        <f>F782*AP782</f>
        <v>0</v>
      </c>
      <c r="J782" s="21">
        <f>F782*G782</f>
        <v>0</v>
      </c>
      <c r="K782" s="21">
        <v>0</v>
      </c>
      <c r="L782" s="21">
        <f>F782*K782</f>
        <v>0</v>
      </c>
      <c r="M782" s="34" t="s">
        <v>1961</v>
      </c>
      <c r="Z782" s="39">
        <f>IF(AQ782="5",BJ782,0)</f>
        <v>0</v>
      </c>
      <c r="AB782" s="39">
        <f>IF(AQ782="1",BH782,0)</f>
        <v>0</v>
      </c>
      <c r="AC782" s="39">
        <f>IF(AQ782="1",BI782,0)</f>
        <v>0</v>
      </c>
      <c r="AD782" s="39">
        <f>IF(AQ782="7",BH782,0)</f>
        <v>0</v>
      </c>
      <c r="AE782" s="39">
        <f>IF(AQ782="7",BI782,0)</f>
        <v>0</v>
      </c>
      <c r="AF782" s="39">
        <f>IF(AQ782="2",BH782,0)</f>
        <v>0</v>
      </c>
      <c r="AG782" s="39">
        <f>IF(AQ782="2",BI782,0)</f>
        <v>0</v>
      </c>
      <c r="AH782" s="39">
        <f>IF(AQ782="0",BJ782,0)</f>
        <v>0</v>
      </c>
      <c r="AI782" s="30"/>
      <c r="AJ782" s="21">
        <f>IF(AN782=0,J782,0)</f>
        <v>0</v>
      </c>
      <c r="AK782" s="21">
        <f>IF(AN782=15,J782,0)</f>
        <v>0</v>
      </c>
      <c r="AL782" s="21">
        <f>IF(AN782=21,J782,0)</f>
        <v>0</v>
      </c>
      <c r="AN782" s="39">
        <v>21</v>
      </c>
      <c r="AO782" s="39">
        <f>G782*0</f>
        <v>0</v>
      </c>
      <c r="AP782" s="39">
        <f>G782*(1-0)</f>
        <v>0</v>
      </c>
      <c r="AQ782" s="34" t="s">
        <v>11</v>
      </c>
      <c r="AV782" s="39">
        <f>AW782+AX782</f>
        <v>0</v>
      </c>
      <c r="AW782" s="39">
        <f>F782*AO782</f>
        <v>0</v>
      </c>
      <c r="AX782" s="39">
        <f>F782*AP782</f>
        <v>0</v>
      </c>
      <c r="AY782" s="40" t="s">
        <v>2023</v>
      </c>
      <c r="AZ782" s="40" t="s">
        <v>2043</v>
      </c>
      <c r="BA782" s="30" t="s">
        <v>2045</v>
      </c>
      <c r="BC782" s="39">
        <f>AW782+AX782</f>
        <v>0</v>
      </c>
      <c r="BD782" s="39">
        <f>G782/(100-BE782)*100</f>
        <v>0</v>
      </c>
      <c r="BE782" s="39">
        <v>0</v>
      </c>
      <c r="BF782" s="39">
        <f>L782</f>
        <v>0</v>
      </c>
      <c r="BH782" s="21">
        <f>F782*AO782</f>
        <v>0</v>
      </c>
      <c r="BI782" s="21">
        <f>F782*AP782</f>
        <v>0</v>
      </c>
      <c r="BJ782" s="21">
        <f>F782*G782</f>
        <v>0</v>
      </c>
    </row>
    <row r="783" spans="1:62">
      <c r="A783" s="6" t="s">
        <v>589</v>
      </c>
      <c r="B783" s="6"/>
      <c r="C783" s="6" t="s">
        <v>1172</v>
      </c>
      <c r="D783" s="6" t="s">
        <v>1905</v>
      </c>
      <c r="E783" s="6" t="s">
        <v>1940</v>
      </c>
      <c r="F783" s="22">
        <v>8.7449999999999992</v>
      </c>
      <c r="G783" s="754">
        <v>0</v>
      </c>
      <c r="H783" s="22">
        <f>F783*AO783</f>
        <v>0</v>
      </c>
      <c r="I783" s="22">
        <f>F783*AP783</f>
        <v>0</v>
      </c>
      <c r="J783" s="22">
        <f>F783*G783</f>
        <v>0</v>
      </c>
      <c r="K783" s="22">
        <v>1.9199999999999998E-2</v>
      </c>
      <c r="L783" s="22">
        <f>F783*K783</f>
        <v>0.16790399999999997</v>
      </c>
      <c r="M783" s="35" t="s">
        <v>1961</v>
      </c>
      <c r="Z783" s="39">
        <f>IF(AQ783="5",BJ783,0)</f>
        <v>0</v>
      </c>
      <c r="AB783" s="39">
        <f>IF(AQ783="1",BH783,0)</f>
        <v>0</v>
      </c>
      <c r="AC783" s="39">
        <f>IF(AQ783="1",BI783,0)</f>
        <v>0</v>
      </c>
      <c r="AD783" s="39">
        <f>IF(AQ783="7",BH783,0)</f>
        <v>0</v>
      </c>
      <c r="AE783" s="39">
        <f>IF(AQ783="7",BI783,0)</f>
        <v>0</v>
      </c>
      <c r="AF783" s="39">
        <f>IF(AQ783="2",BH783,0)</f>
        <v>0</v>
      </c>
      <c r="AG783" s="39">
        <f>IF(AQ783="2",BI783,0)</f>
        <v>0</v>
      </c>
      <c r="AH783" s="39">
        <f>IF(AQ783="0",BJ783,0)</f>
        <v>0</v>
      </c>
      <c r="AI783" s="30"/>
      <c r="AJ783" s="22">
        <f>IF(AN783=0,J783,0)</f>
        <v>0</v>
      </c>
      <c r="AK783" s="22">
        <f>IF(AN783=15,J783,0)</f>
        <v>0</v>
      </c>
      <c r="AL783" s="22">
        <f>IF(AN783=21,J783,0)</f>
        <v>0</v>
      </c>
      <c r="AN783" s="39">
        <v>21</v>
      </c>
      <c r="AO783" s="39">
        <f>G783*1</f>
        <v>0</v>
      </c>
      <c r="AP783" s="39">
        <f>G783*(1-1)</f>
        <v>0</v>
      </c>
      <c r="AQ783" s="35" t="s">
        <v>11</v>
      </c>
      <c r="AV783" s="39">
        <f>AW783+AX783</f>
        <v>0</v>
      </c>
      <c r="AW783" s="39">
        <f>F783*AO783</f>
        <v>0</v>
      </c>
      <c r="AX783" s="39">
        <f>F783*AP783</f>
        <v>0</v>
      </c>
      <c r="AY783" s="40" t="s">
        <v>2023</v>
      </c>
      <c r="AZ783" s="40" t="s">
        <v>2043</v>
      </c>
      <c r="BA783" s="30" t="s">
        <v>2045</v>
      </c>
      <c r="BC783" s="39">
        <f>AW783+AX783</f>
        <v>0</v>
      </c>
      <c r="BD783" s="39">
        <f>G783/(100-BE783)*100</f>
        <v>0</v>
      </c>
      <c r="BE783" s="39">
        <v>0</v>
      </c>
      <c r="BF783" s="39">
        <f>L783</f>
        <v>0.16790399999999997</v>
      </c>
      <c r="BH783" s="22">
        <f>F783*AO783</f>
        <v>0</v>
      </c>
      <c r="BI783" s="22">
        <f>F783*AP783</f>
        <v>0</v>
      </c>
      <c r="BJ783" s="22">
        <f>F783*G783</f>
        <v>0</v>
      </c>
    </row>
    <row r="784" spans="1:62">
      <c r="A784" s="5" t="s">
        <v>590</v>
      </c>
      <c r="B784" s="5"/>
      <c r="C784" s="5" t="s">
        <v>1196</v>
      </c>
      <c r="D784" s="5" t="s">
        <v>1906</v>
      </c>
      <c r="E784" s="5" t="s">
        <v>1945</v>
      </c>
      <c r="F784" s="753">
        <v>0</v>
      </c>
      <c r="G784" s="753">
        <v>0</v>
      </c>
      <c r="H784" s="21">
        <f>F784*AO784</f>
        <v>0</v>
      </c>
      <c r="I784" s="21">
        <f>F784*AP784</f>
        <v>0</v>
      </c>
      <c r="J784" s="21">
        <f>F784*G784</f>
        <v>0</v>
      </c>
      <c r="K784" s="21">
        <v>0</v>
      </c>
      <c r="L784" s="21">
        <f>F784*K784</f>
        <v>0</v>
      </c>
      <c r="M784" s="34" t="s">
        <v>1961</v>
      </c>
      <c r="Z784" s="39">
        <f>IF(AQ784="5",BJ784,0)</f>
        <v>0</v>
      </c>
      <c r="AB784" s="39">
        <f>IF(AQ784="1",BH784,0)</f>
        <v>0</v>
      </c>
      <c r="AC784" s="39">
        <f>IF(AQ784="1",BI784,0)</f>
        <v>0</v>
      </c>
      <c r="AD784" s="39">
        <f>IF(AQ784="7",BH784,0)</f>
        <v>0</v>
      </c>
      <c r="AE784" s="39">
        <f>IF(AQ784="7",BI784,0)</f>
        <v>0</v>
      </c>
      <c r="AF784" s="39">
        <f>IF(AQ784="2",BH784,0)</f>
        <v>0</v>
      </c>
      <c r="AG784" s="39">
        <f>IF(AQ784="2",BI784,0)</f>
        <v>0</v>
      </c>
      <c r="AH784" s="39">
        <f>IF(AQ784="0",BJ784,0)</f>
        <v>0</v>
      </c>
      <c r="AI784" s="30"/>
      <c r="AJ784" s="21">
        <f>IF(AN784=0,J784,0)</f>
        <v>0</v>
      </c>
      <c r="AK784" s="21">
        <f>IF(AN784=15,J784,0)</f>
        <v>0</v>
      </c>
      <c r="AL784" s="21">
        <f>IF(AN784=21,J784,0)</f>
        <v>0</v>
      </c>
      <c r="AN784" s="39">
        <v>21</v>
      </c>
      <c r="AO784" s="39">
        <f>G784*0</f>
        <v>0</v>
      </c>
      <c r="AP784" s="39">
        <f>G784*(1-0)</f>
        <v>0</v>
      </c>
      <c r="AQ784" s="34" t="s">
        <v>9</v>
      </c>
      <c r="AV784" s="39">
        <f>AW784+AX784</f>
        <v>0</v>
      </c>
      <c r="AW784" s="39">
        <f>F784*AO784</f>
        <v>0</v>
      </c>
      <c r="AX784" s="39">
        <f>F784*AP784</f>
        <v>0</v>
      </c>
      <c r="AY784" s="40" t="s">
        <v>2023</v>
      </c>
      <c r="AZ784" s="40" t="s">
        <v>2043</v>
      </c>
      <c r="BA784" s="30" t="s">
        <v>2045</v>
      </c>
      <c r="BC784" s="39">
        <f>AW784+AX784</f>
        <v>0</v>
      </c>
      <c r="BD784" s="39">
        <f>G784/(100-BE784)*100</f>
        <v>0</v>
      </c>
      <c r="BE784" s="39">
        <v>0</v>
      </c>
      <c r="BF784" s="39">
        <f>L784</f>
        <v>0</v>
      </c>
      <c r="BH784" s="21">
        <f>F784*AO784</f>
        <v>0</v>
      </c>
      <c r="BI784" s="21">
        <f>F784*AP784</f>
        <v>0</v>
      </c>
      <c r="BJ784" s="21">
        <f>F784*G784</f>
        <v>0</v>
      </c>
    </row>
    <row r="785" spans="1:62">
      <c r="A785" s="4"/>
      <c r="B785" s="14"/>
      <c r="C785" s="14" t="s">
        <v>1197</v>
      </c>
      <c r="D785" s="14" t="s">
        <v>1907</v>
      </c>
      <c r="E785" s="4" t="s">
        <v>4</v>
      </c>
      <c r="F785" s="4" t="s">
        <v>4</v>
      </c>
      <c r="G785" s="4" t="s">
        <v>4</v>
      </c>
      <c r="H785" s="42">
        <f>SUM(H786:H788)</f>
        <v>0</v>
      </c>
      <c r="I785" s="42">
        <f>SUM(I786:I788)</f>
        <v>0</v>
      </c>
      <c r="J785" s="42">
        <f>SUM(J786:J788)</f>
        <v>0</v>
      </c>
      <c r="K785" s="30"/>
      <c r="L785" s="42">
        <f>SUM(L786:L788)</f>
        <v>15.49244515</v>
      </c>
      <c r="M785" s="30"/>
      <c r="AI785" s="30"/>
      <c r="AS785" s="42">
        <f>SUM(AJ786:AJ788)</f>
        <v>0</v>
      </c>
      <c r="AT785" s="42">
        <f>SUM(AK786:AK788)</f>
        <v>0</v>
      </c>
      <c r="AU785" s="42">
        <f>SUM(AL786:AL788)</f>
        <v>0</v>
      </c>
    </row>
    <row r="786" spans="1:62">
      <c r="A786" s="5" t="s">
        <v>591</v>
      </c>
      <c r="B786" s="5"/>
      <c r="C786" s="5" t="s">
        <v>1198</v>
      </c>
      <c r="D786" s="5" t="s">
        <v>1908</v>
      </c>
      <c r="E786" s="5" t="s">
        <v>1940</v>
      </c>
      <c r="F786" s="21">
        <v>128.005</v>
      </c>
      <c r="G786" s="753">
        <v>0</v>
      </c>
      <c r="H786" s="21">
        <f>F786*AO786</f>
        <v>0</v>
      </c>
      <c r="I786" s="21">
        <f>F786*AP786</f>
        <v>0</v>
      </c>
      <c r="J786" s="21">
        <f>F786*G786</f>
        <v>0</v>
      </c>
      <c r="K786" s="21">
        <v>0.12103</v>
      </c>
      <c r="L786" s="21">
        <f>F786*K786</f>
        <v>15.49244515</v>
      </c>
      <c r="M786" s="34" t="s">
        <v>1961</v>
      </c>
      <c r="Z786" s="39">
        <f>IF(AQ786="5",BJ786,0)</f>
        <v>0</v>
      </c>
      <c r="AB786" s="39">
        <f>IF(AQ786="1",BH786,0)</f>
        <v>0</v>
      </c>
      <c r="AC786" s="39">
        <f>IF(AQ786="1",BI786,0)</f>
        <v>0</v>
      </c>
      <c r="AD786" s="39">
        <f>IF(AQ786="7",BH786,0)</f>
        <v>0</v>
      </c>
      <c r="AE786" s="39">
        <f>IF(AQ786="7",BI786,0)</f>
        <v>0</v>
      </c>
      <c r="AF786" s="39">
        <f>IF(AQ786="2",BH786,0)</f>
        <v>0</v>
      </c>
      <c r="AG786" s="39">
        <f>IF(AQ786="2",BI786,0)</f>
        <v>0</v>
      </c>
      <c r="AH786" s="39">
        <f>IF(AQ786="0",BJ786,0)</f>
        <v>0</v>
      </c>
      <c r="AI786" s="30"/>
      <c r="AJ786" s="21">
        <f>IF(AN786=0,J786,0)</f>
        <v>0</v>
      </c>
      <c r="AK786" s="21">
        <f>IF(AN786=15,J786,0)</f>
        <v>0</v>
      </c>
      <c r="AL786" s="21">
        <f>IF(AN786=21,J786,0)</f>
        <v>0</v>
      </c>
      <c r="AN786" s="39">
        <v>21</v>
      </c>
      <c r="AO786" s="39">
        <f>G786*0.638253768844221</f>
        <v>0</v>
      </c>
      <c r="AP786" s="39">
        <f>G786*(1-0.638253768844221)</f>
        <v>0</v>
      </c>
      <c r="AQ786" s="34" t="s">
        <v>11</v>
      </c>
      <c r="AV786" s="39">
        <f>AW786+AX786</f>
        <v>0</v>
      </c>
      <c r="AW786" s="39">
        <f>F786*AO786</f>
        <v>0</v>
      </c>
      <c r="AX786" s="39">
        <f>F786*AP786</f>
        <v>0</v>
      </c>
      <c r="AY786" s="40" t="s">
        <v>2024</v>
      </c>
      <c r="AZ786" s="40" t="s">
        <v>2043</v>
      </c>
      <c r="BA786" s="30" t="s">
        <v>2045</v>
      </c>
      <c r="BC786" s="39">
        <f>AW786+AX786</f>
        <v>0</v>
      </c>
      <c r="BD786" s="39">
        <f>G786/(100-BE786)*100</f>
        <v>0</v>
      </c>
      <c r="BE786" s="39">
        <v>0</v>
      </c>
      <c r="BF786" s="39">
        <f>L786</f>
        <v>15.49244515</v>
      </c>
      <c r="BH786" s="21">
        <f>F786*AO786</f>
        <v>0</v>
      </c>
      <c r="BI786" s="21">
        <f>F786*AP786</f>
        <v>0</v>
      </c>
      <c r="BJ786" s="21">
        <f>F786*G786</f>
        <v>0</v>
      </c>
    </row>
    <row r="787" spans="1:62">
      <c r="C787" s="16" t="s">
        <v>609</v>
      </c>
      <c r="D787" s="919" t="s">
        <v>1909</v>
      </c>
      <c r="E787" s="920"/>
      <c r="F787" s="920"/>
      <c r="G787" s="920"/>
      <c r="H787" s="920"/>
      <c r="I787" s="920"/>
      <c r="J787" s="920"/>
      <c r="K787" s="920"/>
      <c r="L787" s="920"/>
      <c r="M787" s="920"/>
    </row>
    <row r="788" spans="1:62">
      <c r="A788" s="5" t="s">
        <v>592</v>
      </c>
      <c r="B788" s="5"/>
      <c r="C788" s="5" t="s">
        <v>1199</v>
      </c>
      <c r="D788" s="5" t="s">
        <v>1910</v>
      </c>
      <c r="E788" s="5" t="s">
        <v>1945</v>
      </c>
      <c r="F788" s="753">
        <v>0</v>
      </c>
      <c r="G788" s="753">
        <v>0</v>
      </c>
      <c r="H788" s="21">
        <f>F788*AO788</f>
        <v>0</v>
      </c>
      <c r="I788" s="21">
        <f>F788*AP788</f>
        <v>0</v>
      </c>
      <c r="J788" s="21">
        <f>F788*G788</f>
        <v>0</v>
      </c>
      <c r="K788" s="21">
        <v>0</v>
      </c>
      <c r="L788" s="21">
        <f>F788*K788</f>
        <v>0</v>
      </c>
      <c r="M788" s="34" t="s">
        <v>1961</v>
      </c>
      <c r="Z788" s="39">
        <f>IF(AQ788="5",BJ788,0)</f>
        <v>0</v>
      </c>
      <c r="AB788" s="39">
        <f>IF(AQ788="1",BH788,0)</f>
        <v>0</v>
      </c>
      <c r="AC788" s="39">
        <f>IF(AQ788="1",BI788,0)</f>
        <v>0</v>
      </c>
      <c r="AD788" s="39">
        <f>IF(AQ788="7",BH788,0)</f>
        <v>0</v>
      </c>
      <c r="AE788" s="39">
        <f>IF(AQ788="7",BI788,0)</f>
        <v>0</v>
      </c>
      <c r="AF788" s="39">
        <f>IF(AQ788="2",BH788,0)</f>
        <v>0</v>
      </c>
      <c r="AG788" s="39">
        <f>IF(AQ788="2",BI788,0)</f>
        <v>0</v>
      </c>
      <c r="AH788" s="39">
        <f>IF(AQ788="0",BJ788,0)</f>
        <v>0</v>
      </c>
      <c r="AI788" s="30"/>
      <c r="AJ788" s="21">
        <f>IF(AN788=0,J788,0)</f>
        <v>0</v>
      </c>
      <c r="AK788" s="21">
        <f>IF(AN788=15,J788,0)</f>
        <v>0</v>
      </c>
      <c r="AL788" s="21">
        <f>IF(AN788=21,J788,0)</f>
        <v>0</v>
      </c>
      <c r="AN788" s="39">
        <v>21</v>
      </c>
      <c r="AO788" s="39">
        <f>G788*0</f>
        <v>0</v>
      </c>
      <c r="AP788" s="39">
        <f>G788*(1-0)</f>
        <v>0</v>
      </c>
      <c r="AQ788" s="34" t="s">
        <v>9</v>
      </c>
      <c r="AV788" s="39">
        <f>AW788+AX788</f>
        <v>0</v>
      </c>
      <c r="AW788" s="39">
        <f>F788*AO788</f>
        <v>0</v>
      </c>
      <c r="AX788" s="39">
        <f>F788*AP788</f>
        <v>0</v>
      </c>
      <c r="AY788" s="40" t="s">
        <v>2024</v>
      </c>
      <c r="AZ788" s="40" t="s">
        <v>2043</v>
      </c>
      <c r="BA788" s="30" t="s">
        <v>2045</v>
      </c>
      <c r="BC788" s="39">
        <f>AW788+AX788</f>
        <v>0</v>
      </c>
      <c r="BD788" s="39">
        <f>G788/(100-BE788)*100</f>
        <v>0</v>
      </c>
      <c r="BE788" s="39">
        <v>0</v>
      </c>
      <c r="BF788" s="39">
        <f>L788</f>
        <v>0</v>
      </c>
      <c r="BH788" s="21">
        <f>F788*AO788</f>
        <v>0</v>
      </c>
      <c r="BI788" s="21">
        <f>F788*AP788</f>
        <v>0</v>
      </c>
      <c r="BJ788" s="21">
        <f>F788*G788</f>
        <v>0</v>
      </c>
    </row>
    <row r="789" spans="1:62">
      <c r="A789" s="4"/>
      <c r="B789" s="14"/>
      <c r="C789" s="14" t="s">
        <v>1200</v>
      </c>
      <c r="D789" s="14" t="s">
        <v>1911</v>
      </c>
      <c r="E789" s="4" t="s">
        <v>4</v>
      </c>
      <c r="F789" s="4" t="s">
        <v>4</v>
      </c>
      <c r="G789" s="4" t="s">
        <v>4</v>
      </c>
      <c r="H789" s="42">
        <f>SUM(H790:H790)</f>
        <v>0</v>
      </c>
      <c r="I789" s="42">
        <f>SUM(I790:I790)</f>
        <v>0</v>
      </c>
      <c r="J789" s="42">
        <f>SUM(J790:J790)</f>
        <v>0</v>
      </c>
      <c r="K789" s="30"/>
      <c r="L789" s="42">
        <f>SUM(L790:L790)</f>
        <v>8.4000000000000012E-3</v>
      </c>
      <c r="M789" s="30"/>
      <c r="AI789" s="30"/>
      <c r="AS789" s="42">
        <f>SUM(AJ790:AJ790)</f>
        <v>0</v>
      </c>
      <c r="AT789" s="42">
        <f>SUM(AK790:AK790)</f>
        <v>0</v>
      </c>
      <c r="AU789" s="42">
        <f>SUM(AL790:AL790)</f>
        <v>0</v>
      </c>
    </row>
    <row r="790" spans="1:62">
      <c r="A790" s="5" t="s">
        <v>593</v>
      </c>
      <c r="B790" s="5"/>
      <c r="C790" s="5" t="s">
        <v>1201</v>
      </c>
      <c r="D790" s="5" t="s">
        <v>1912</v>
      </c>
      <c r="E790" s="5" t="s">
        <v>1940</v>
      </c>
      <c r="F790" s="21">
        <v>20</v>
      </c>
      <c r="G790" s="753">
        <v>0</v>
      </c>
      <c r="H790" s="21">
        <f>F790*AO790</f>
        <v>0</v>
      </c>
      <c r="I790" s="21">
        <f>F790*AP790</f>
        <v>0</v>
      </c>
      <c r="J790" s="21">
        <f>F790*G790</f>
        <v>0</v>
      </c>
      <c r="K790" s="21">
        <v>4.2000000000000002E-4</v>
      </c>
      <c r="L790" s="21">
        <f>F790*K790</f>
        <v>8.4000000000000012E-3</v>
      </c>
      <c r="M790" s="34" t="s">
        <v>1961</v>
      </c>
      <c r="Z790" s="39">
        <f>IF(AQ790="5",BJ790,0)</f>
        <v>0</v>
      </c>
      <c r="AB790" s="39">
        <f>IF(AQ790="1",BH790,0)</f>
        <v>0</v>
      </c>
      <c r="AC790" s="39">
        <f>IF(AQ790="1",BI790,0)</f>
        <v>0</v>
      </c>
      <c r="AD790" s="39">
        <f>IF(AQ790="7",BH790,0)</f>
        <v>0</v>
      </c>
      <c r="AE790" s="39">
        <f>IF(AQ790="7",BI790,0)</f>
        <v>0</v>
      </c>
      <c r="AF790" s="39">
        <f>IF(AQ790="2",BH790,0)</f>
        <v>0</v>
      </c>
      <c r="AG790" s="39">
        <f>IF(AQ790="2",BI790,0)</f>
        <v>0</v>
      </c>
      <c r="AH790" s="39">
        <f>IF(AQ790="0",BJ790,0)</f>
        <v>0</v>
      </c>
      <c r="AI790" s="30"/>
      <c r="AJ790" s="21">
        <f>IF(AN790=0,J790,0)</f>
        <v>0</v>
      </c>
      <c r="AK790" s="21">
        <f>IF(AN790=15,J790,0)</f>
        <v>0</v>
      </c>
      <c r="AL790" s="21">
        <f>IF(AN790=21,J790,0)</f>
        <v>0</v>
      </c>
      <c r="AN790" s="39">
        <v>21</v>
      </c>
      <c r="AO790" s="39">
        <f>G790*0.423041771947745</f>
        <v>0</v>
      </c>
      <c r="AP790" s="39">
        <f>G790*(1-0.423041771947745)</f>
        <v>0</v>
      </c>
      <c r="AQ790" s="34" t="s">
        <v>11</v>
      </c>
      <c r="AV790" s="39">
        <f>AW790+AX790</f>
        <v>0</v>
      </c>
      <c r="AW790" s="39">
        <f>F790*AO790</f>
        <v>0</v>
      </c>
      <c r="AX790" s="39">
        <f>F790*AP790</f>
        <v>0</v>
      </c>
      <c r="AY790" s="40" t="s">
        <v>2025</v>
      </c>
      <c r="AZ790" s="40" t="s">
        <v>2043</v>
      </c>
      <c r="BA790" s="30" t="s">
        <v>2045</v>
      </c>
      <c r="BC790" s="39">
        <f>AW790+AX790</f>
        <v>0</v>
      </c>
      <c r="BD790" s="39">
        <f>G790/(100-BE790)*100</f>
        <v>0</v>
      </c>
      <c r="BE790" s="39">
        <v>0</v>
      </c>
      <c r="BF790" s="39">
        <f>L790</f>
        <v>8.4000000000000012E-3</v>
      </c>
      <c r="BH790" s="21">
        <f>F790*AO790</f>
        <v>0</v>
      </c>
      <c r="BI790" s="21">
        <f>F790*AP790</f>
        <v>0</v>
      </c>
      <c r="BJ790" s="21">
        <f>F790*G790</f>
        <v>0</v>
      </c>
    </row>
    <row r="791" spans="1:62">
      <c r="A791" s="4"/>
      <c r="B791" s="14"/>
      <c r="C791" s="14" t="s">
        <v>1202</v>
      </c>
      <c r="D791" s="14" t="s">
        <v>1913</v>
      </c>
      <c r="E791" s="4" t="s">
        <v>4</v>
      </c>
      <c r="F791" s="4" t="s">
        <v>4</v>
      </c>
      <c r="G791" s="4" t="s">
        <v>4</v>
      </c>
      <c r="H791" s="42">
        <f>SUM(H792:H796)</f>
        <v>0</v>
      </c>
      <c r="I791" s="42">
        <f>SUM(I792:I796)</f>
        <v>0</v>
      </c>
      <c r="J791" s="42">
        <f>SUM(J792:J796)</f>
        <v>0</v>
      </c>
      <c r="K791" s="30"/>
      <c r="L791" s="42">
        <f>SUM(L792:L796)</f>
        <v>1.8071048354000001</v>
      </c>
      <c r="M791" s="30"/>
      <c r="AI791" s="30"/>
      <c r="AS791" s="42">
        <f>SUM(AJ792:AJ796)</f>
        <v>0</v>
      </c>
      <c r="AT791" s="42">
        <f>SUM(AK792:AK796)</f>
        <v>0</v>
      </c>
      <c r="AU791" s="42">
        <f>SUM(AL792:AL796)</f>
        <v>0</v>
      </c>
    </row>
    <row r="792" spans="1:62">
      <c r="A792" s="5" t="s">
        <v>594</v>
      </c>
      <c r="B792" s="5"/>
      <c r="C792" s="5" t="s">
        <v>1203</v>
      </c>
      <c r="D792" s="5" t="s">
        <v>1914</v>
      </c>
      <c r="E792" s="5" t="s">
        <v>1940</v>
      </c>
      <c r="F792" s="21">
        <v>3856.3883700000001</v>
      </c>
      <c r="G792" s="753">
        <v>0</v>
      </c>
      <c r="H792" s="21">
        <f>F792*AO792</f>
        <v>0</v>
      </c>
      <c r="I792" s="21">
        <f>F792*AP792</f>
        <v>0</v>
      </c>
      <c r="J792" s="21">
        <f>F792*G792</f>
        <v>0</v>
      </c>
      <c r="K792" s="21">
        <v>2.0000000000000001E-4</v>
      </c>
      <c r="L792" s="21">
        <f>F792*K792</f>
        <v>0.77127767400000002</v>
      </c>
      <c r="M792" s="34" t="s">
        <v>1961</v>
      </c>
      <c r="Z792" s="39">
        <f>IF(AQ792="5",BJ792,0)</f>
        <v>0</v>
      </c>
      <c r="AB792" s="39">
        <f>IF(AQ792="1",BH792,0)</f>
        <v>0</v>
      </c>
      <c r="AC792" s="39">
        <f>IF(AQ792="1",BI792,0)</f>
        <v>0</v>
      </c>
      <c r="AD792" s="39">
        <f>IF(AQ792="7",BH792,0)</f>
        <v>0</v>
      </c>
      <c r="AE792" s="39">
        <f>IF(AQ792="7",BI792,0)</f>
        <v>0</v>
      </c>
      <c r="AF792" s="39">
        <f>IF(AQ792="2",BH792,0)</f>
        <v>0</v>
      </c>
      <c r="AG792" s="39">
        <f>IF(AQ792="2",BI792,0)</f>
        <v>0</v>
      </c>
      <c r="AH792" s="39">
        <f>IF(AQ792="0",BJ792,0)</f>
        <v>0</v>
      </c>
      <c r="AI792" s="30"/>
      <c r="AJ792" s="21">
        <f>IF(AN792=0,J792,0)</f>
        <v>0</v>
      </c>
      <c r="AK792" s="21">
        <f>IF(AN792=15,J792,0)</f>
        <v>0</v>
      </c>
      <c r="AL792" s="21">
        <f>IF(AN792=21,J792,0)</f>
        <v>0</v>
      </c>
      <c r="AN792" s="39">
        <v>21</v>
      </c>
      <c r="AO792" s="39">
        <f>G792*0.400746262126975</f>
        <v>0</v>
      </c>
      <c r="AP792" s="39">
        <f>G792*(1-0.400746262126975)</f>
        <v>0</v>
      </c>
      <c r="AQ792" s="34" t="s">
        <v>11</v>
      </c>
      <c r="AV792" s="39">
        <f>AW792+AX792</f>
        <v>0</v>
      </c>
      <c r="AW792" s="39">
        <f>F792*AO792</f>
        <v>0</v>
      </c>
      <c r="AX792" s="39">
        <f>F792*AP792</f>
        <v>0</v>
      </c>
      <c r="AY792" s="40" t="s">
        <v>2026</v>
      </c>
      <c r="AZ792" s="40" t="s">
        <v>2043</v>
      </c>
      <c r="BA792" s="30" t="s">
        <v>2045</v>
      </c>
      <c r="BC792" s="39">
        <f>AW792+AX792</f>
        <v>0</v>
      </c>
      <c r="BD792" s="39">
        <f>G792/(100-BE792)*100</f>
        <v>0</v>
      </c>
      <c r="BE792" s="39">
        <v>0</v>
      </c>
      <c r="BF792" s="39">
        <f>L792</f>
        <v>0.77127767400000002</v>
      </c>
      <c r="BH792" s="21">
        <f>F792*AO792</f>
        <v>0</v>
      </c>
      <c r="BI792" s="21">
        <f>F792*AP792</f>
        <v>0</v>
      </c>
      <c r="BJ792" s="21">
        <f>F792*G792</f>
        <v>0</v>
      </c>
    </row>
    <row r="793" spans="1:62">
      <c r="A793" s="5" t="s">
        <v>595</v>
      </c>
      <c r="B793" s="5"/>
      <c r="C793" s="5" t="s">
        <v>1204</v>
      </c>
      <c r="D793" s="5" t="s">
        <v>1915</v>
      </c>
      <c r="E793" s="5" t="s">
        <v>1940</v>
      </c>
      <c r="F793" s="21">
        <v>2533.0903699999999</v>
      </c>
      <c r="G793" s="753">
        <v>0</v>
      </c>
      <c r="H793" s="21">
        <f>F793*AO793</f>
        <v>0</v>
      </c>
      <c r="I793" s="21">
        <f>F793*AP793</f>
        <v>0</v>
      </c>
      <c r="J793" s="21">
        <f>F793*G793</f>
        <v>0</v>
      </c>
      <c r="K793" s="21">
        <v>2.2000000000000001E-4</v>
      </c>
      <c r="L793" s="21">
        <f>F793*K793</f>
        <v>0.55727988139999995</v>
      </c>
      <c r="M793" s="34" t="s">
        <v>1961</v>
      </c>
      <c r="Z793" s="39">
        <f>IF(AQ793="5",BJ793,0)</f>
        <v>0</v>
      </c>
      <c r="AB793" s="39">
        <f>IF(AQ793="1",BH793,0)</f>
        <v>0</v>
      </c>
      <c r="AC793" s="39">
        <f>IF(AQ793="1",BI793,0)</f>
        <v>0</v>
      </c>
      <c r="AD793" s="39">
        <f>IF(AQ793="7",BH793,0)</f>
        <v>0</v>
      </c>
      <c r="AE793" s="39">
        <f>IF(AQ793="7",BI793,0)</f>
        <v>0</v>
      </c>
      <c r="AF793" s="39">
        <f>IF(AQ793="2",BH793,0)</f>
        <v>0</v>
      </c>
      <c r="AG793" s="39">
        <f>IF(AQ793="2",BI793,0)</f>
        <v>0</v>
      </c>
      <c r="AH793" s="39">
        <f>IF(AQ793="0",BJ793,0)</f>
        <v>0</v>
      </c>
      <c r="AI793" s="30"/>
      <c r="AJ793" s="21">
        <f>IF(AN793=0,J793,0)</f>
        <v>0</v>
      </c>
      <c r="AK793" s="21">
        <f>IF(AN793=15,J793,0)</f>
        <v>0</v>
      </c>
      <c r="AL793" s="21">
        <f>IF(AN793=21,J793,0)</f>
        <v>0</v>
      </c>
      <c r="AN793" s="39">
        <v>21</v>
      </c>
      <c r="AO793" s="39">
        <f>G793*0.151709038975875</f>
        <v>0</v>
      </c>
      <c r="AP793" s="39">
        <f>G793*(1-0.151709038975875)</f>
        <v>0</v>
      </c>
      <c r="AQ793" s="34" t="s">
        <v>11</v>
      </c>
      <c r="AV793" s="39">
        <f>AW793+AX793</f>
        <v>0</v>
      </c>
      <c r="AW793" s="39">
        <f>F793*AO793</f>
        <v>0</v>
      </c>
      <c r="AX793" s="39">
        <f>F793*AP793</f>
        <v>0</v>
      </c>
      <c r="AY793" s="40" t="s">
        <v>2026</v>
      </c>
      <c r="AZ793" s="40" t="s">
        <v>2043</v>
      </c>
      <c r="BA793" s="30" t="s">
        <v>2045</v>
      </c>
      <c r="BC793" s="39">
        <f>AW793+AX793</f>
        <v>0</v>
      </c>
      <c r="BD793" s="39">
        <f>G793/(100-BE793)*100</f>
        <v>0</v>
      </c>
      <c r="BE793" s="39">
        <v>0</v>
      </c>
      <c r="BF793" s="39">
        <f>L793</f>
        <v>0.55727988139999995</v>
      </c>
      <c r="BH793" s="21">
        <f>F793*AO793</f>
        <v>0</v>
      </c>
      <c r="BI793" s="21">
        <f>F793*AP793</f>
        <v>0</v>
      </c>
      <c r="BJ793" s="21">
        <f>F793*G793</f>
        <v>0</v>
      </c>
    </row>
    <row r="794" spans="1:62">
      <c r="A794" s="5" t="s">
        <v>596</v>
      </c>
      <c r="B794" s="5"/>
      <c r="C794" s="5" t="s">
        <v>1205</v>
      </c>
      <c r="D794" s="5" t="s">
        <v>1916</v>
      </c>
      <c r="E794" s="5" t="s">
        <v>1940</v>
      </c>
      <c r="F794" s="21">
        <v>1193.4355</v>
      </c>
      <c r="G794" s="753">
        <v>0</v>
      </c>
      <c r="H794" s="21">
        <f>F794*AO794</f>
        <v>0</v>
      </c>
      <c r="I794" s="21">
        <f>F794*AP794</f>
        <v>0</v>
      </c>
      <c r="J794" s="21">
        <f>F794*G794</f>
        <v>0</v>
      </c>
      <c r="K794" s="21">
        <v>3.6000000000000002E-4</v>
      </c>
      <c r="L794" s="21">
        <f>F794*K794</f>
        <v>0.42963678000000005</v>
      </c>
      <c r="M794" s="34" t="s">
        <v>1960</v>
      </c>
      <c r="Z794" s="39">
        <f>IF(AQ794="5",BJ794,0)</f>
        <v>0</v>
      </c>
      <c r="AB794" s="39">
        <f>IF(AQ794="1",BH794,0)</f>
        <v>0</v>
      </c>
      <c r="AC794" s="39">
        <f>IF(AQ794="1",BI794,0)</f>
        <v>0</v>
      </c>
      <c r="AD794" s="39">
        <f>IF(AQ794="7",BH794,0)</f>
        <v>0</v>
      </c>
      <c r="AE794" s="39">
        <f>IF(AQ794="7",BI794,0)</f>
        <v>0</v>
      </c>
      <c r="AF794" s="39">
        <f>IF(AQ794="2",BH794,0)</f>
        <v>0</v>
      </c>
      <c r="AG794" s="39">
        <f>IF(AQ794="2",BI794,0)</f>
        <v>0</v>
      </c>
      <c r="AH794" s="39">
        <f>IF(AQ794="0",BJ794,0)</f>
        <v>0</v>
      </c>
      <c r="AI794" s="30"/>
      <c r="AJ794" s="21">
        <f>IF(AN794=0,J794,0)</f>
        <v>0</v>
      </c>
      <c r="AK794" s="21">
        <f>IF(AN794=15,J794,0)</f>
        <v>0</v>
      </c>
      <c r="AL794" s="21">
        <f>IF(AN794=21,J794,0)</f>
        <v>0</v>
      </c>
      <c r="AN794" s="39">
        <v>21</v>
      </c>
      <c r="AO794" s="39">
        <f>G794*0.136681612552253</f>
        <v>0</v>
      </c>
      <c r="AP794" s="39">
        <f>G794*(1-0.136681612552253)</f>
        <v>0</v>
      </c>
      <c r="AQ794" s="34" t="s">
        <v>11</v>
      </c>
      <c r="AV794" s="39">
        <f>AW794+AX794</f>
        <v>0</v>
      </c>
      <c r="AW794" s="39">
        <f>F794*AO794</f>
        <v>0</v>
      </c>
      <c r="AX794" s="39">
        <f>F794*AP794</f>
        <v>0</v>
      </c>
      <c r="AY794" s="40" t="s">
        <v>2026</v>
      </c>
      <c r="AZ794" s="40" t="s">
        <v>2043</v>
      </c>
      <c r="BA794" s="30" t="s">
        <v>2045</v>
      </c>
      <c r="BC794" s="39">
        <f>AW794+AX794</f>
        <v>0</v>
      </c>
      <c r="BD794" s="39">
        <f>G794/(100-BE794)*100</f>
        <v>0</v>
      </c>
      <c r="BE794" s="39">
        <v>0</v>
      </c>
      <c r="BF794" s="39">
        <f>L794</f>
        <v>0.42963678000000005</v>
      </c>
      <c r="BH794" s="21">
        <f>F794*AO794</f>
        <v>0</v>
      </c>
      <c r="BI794" s="21">
        <f>F794*AP794</f>
        <v>0</v>
      </c>
      <c r="BJ794" s="21">
        <f>F794*G794</f>
        <v>0</v>
      </c>
    </row>
    <row r="795" spans="1:62">
      <c r="C795" s="17" t="s">
        <v>605</v>
      </c>
      <c r="D795" s="917" t="s">
        <v>1917</v>
      </c>
      <c r="E795" s="918"/>
      <c r="F795" s="918"/>
      <c r="G795" s="918"/>
      <c r="H795" s="918"/>
      <c r="I795" s="918"/>
      <c r="J795" s="918"/>
      <c r="K795" s="918"/>
      <c r="L795" s="918"/>
      <c r="M795" s="918"/>
    </row>
    <row r="796" spans="1:62">
      <c r="A796" s="5" t="s">
        <v>597</v>
      </c>
      <c r="B796" s="5"/>
      <c r="C796" s="5" t="s">
        <v>1206</v>
      </c>
      <c r="D796" s="5" t="s">
        <v>1918</v>
      </c>
      <c r="E796" s="5" t="s">
        <v>1940</v>
      </c>
      <c r="F796" s="21">
        <v>135.86250000000001</v>
      </c>
      <c r="G796" s="753">
        <v>0</v>
      </c>
      <c r="H796" s="21">
        <f>F796*AO796</f>
        <v>0</v>
      </c>
      <c r="I796" s="21">
        <f>F796*AP796</f>
        <v>0</v>
      </c>
      <c r="J796" s="21">
        <f>F796*G796</f>
        <v>0</v>
      </c>
      <c r="K796" s="21">
        <v>3.6000000000000002E-4</v>
      </c>
      <c r="L796" s="21">
        <f>F796*K796</f>
        <v>4.891050000000001E-2</v>
      </c>
      <c r="M796" s="34" t="s">
        <v>1960</v>
      </c>
      <c r="Z796" s="39">
        <f>IF(AQ796="5",BJ796,0)</f>
        <v>0</v>
      </c>
      <c r="AB796" s="39">
        <f>IF(AQ796="1",BH796,0)</f>
        <v>0</v>
      </c>
      <c r="AC796" s="39">
        <f>IF(AQ796="1",BI796,0)</f>
        <v>0</v>
      </c>
      <c r="AD796" s="39">
        <f>IF(AQ796="7",BH796,0)</f>
        <v>0</v>
      </c>
      <c r="AE796" s="39">
        <f>IF(AQ796="7",BI796,0)</f>
        <v>0</v>
      </c>
      <c r="AF796" s="39">
        <f>IF(AQ796="2",BH796,0)</f>
        <v>0</v>
      </c>
      <c r="AG796" s="39">
        <f>IF(AQ796="2",BI796,0)</f>
        <v>0</v>
      </c>
      <c r="AH796" s="39">
        <f>IF(AQ796="0",BJ796,0)</f>
        <v>0</v>
      </c>
      <c r="AI796" s="30"/>
      <c r="AJ796" s="21">
        <f>IF(AN796=0,J796,0)</f>
        <v>0</v>
      </c>
      <c r="AK796" s="21">
        <f>IF(AN796=15,J796,0)</f>
        <v>0</v>
      </c>
      <c r="AL796" s="21">
        <f>IF(AN796=21,J796,0)</f>
        <v>0</v>
      </c>
      <c r="AN796" s="39">
        <v>21</v>
      </c>
      <c r="AO796" s="39">
        <f>G796*0.136681603071425</f>
        <v>0</v>
      </c>
      <c r="AP796" s="39">
        <f>G796*(1-0.136681603071425)</f>
        <v>0</v>
      </c>
      <c r="AQ796" s="34" t="s">
        <v>11</v>
      </c>
      <c r="AV796" s="39">
        <f>AW796+AX796</f>
        <v>0</v>
      </c>
      <c r="AW796" s="39">
        <f>F796*AO796</f>
        <v>0</v>
      </c>
      <c r="AX796" s="39">
        <f>F796*AP796</f>
        <v>0</v>
      </c>
      <c r="AY796" s="40" t="s">
        <v>2026</v>
      </c>
      <c r="AZ796" s="40" t="s">
        <v>2043</v>
      </c>
      <c r="BA796" s="30" t="s">
        <v>2045</v>
      </c>
      <c r="BC796" s="39">
        <f>AW796+AX796</f>
        <v>0</v>
      </c>
      <c r="BD796" s="39">
        <f>G796/(100-BE796)*100</f>
        <v>0</v>
      </c>
      <c r="BE796" s="39">
        <v>0</v>
      </c>
      <c r="BF796" s="39">
        <f>L796</f>
        <v>4.891050000000001E-2</v>
      </c>
      <c r="BH796" s="21">
        <f>F796*AO796</f>
        <v>0</v>
      </c>
      <c r="BI796" s="21">
        <f>F796*AP796</f>
        <v>0</v>
      </c>
      <c r="BJ796" s="21">
        <f>F796*G796</f>
        <v>0</v>
      </c>
    </row>
    <row r="797" spans="1:62">
      <c r="C797" s="17" t="s">
        <v>605</v>
      </c>
      <c r="D797" s="917" t="s">
        <v>1919</v>
      </c>
      <c r="E797" s="918"/>
      <c r="F797" s="918"/>
      <c r="G797" s="918"/>
      <c r="H797" s="918"/>
      <c r="I797" s="918"/>
      <c r="J797" s="918"/>
      <c r="K797" s="918"/>
      <c r="L797" s="918"/>
      <c r="M797" s="918"/>
    </row>
    <row r="798" spans="1:62">
      <c r="A798" s="4"/>
      <c r="B798" s="14"/>
      <c r="C798" s="14" t="s">
        <v>1207</v>
      </c>
      <c r="D798" s="14" t="s">
        <v>1920</v>
      </c>
      <c r="E798" s="4" t="s">
        <v>4</v>
      </c>
      <c r="F798" s="4" t="s">
        <v>4</v>
      </c>
      <c r="G798" s="4" t="s">
        <v>4</v>
      </c>
      <c r="H798" s="42">
        <f>SUM(H799:H799)</f>
        <v>0</v>
      </c>
      <c r="I798" s="42">
        <f>SUM(I799:I799)</f>
        <v>0</v>
      </c>
      <c r="J798" s="42">
        <f>SUM(J799:J799)</f>
        <v>0</v>
      </c>
      <c r="K798" s="30"/>
      <c r="L798" s="42">
        <f>SUM(L799:L799)</f>
        <v>0.58540559999999997</v>
      </c>
      <c r="M798" s="30"/>
      <c r="AI798" s="30"/>
      <c r="AS798" s="42">
        <f>SUM(AJ799:AJ799)</f>
        <v>0</v>
      </c>
      <c r="AT798" s="42">
        <f>SUM(AK799:AK799)</f>
        <v>0</v>
      </c>
      <c r="AU798" s="42">
        <f>SUM(AL799:AL799)</f>
        <v>0</v>
      </c>
    </row>
    <row r="799" spans="1:62">
      <c r="A799" s="5" t="s">
        <v>598</v>
      </c>
      <c r="B799" s="5"/>
      <c r="C799" s="5" t="s">
        <v>1208</v>
      </c>
      <c r="D799" s="5" t="s">
        <v>1921</v>
      </c>
      <c r="E799" s="5" t="s">
        <v>1940</v>
      </c>
      <c r="F799" s="21">
        <v>187.63</v>
      </c>
      <c r="G799" s="753">
        <v>0</v>
      </c>
      <c r="H799" s="21">
        <f>F799*AO799</f>
        <v>0</v>
      </c>
      <c r="I799" s="21">
        <f>F799*AP799</f>
        <v>0</v>
      </c>
      <c r="J799" s="21">
        <f>F799*G799</f>
        <v>0</v>
      </c>
      <c r="K799" s="21">
        <v>3.1199999999999999E-3</v>
      </c>
      <c r="L799" s="21">
        <f>F799*K799</f>
        <v>0.58540559999999997</v>
      </c>
      <c r="M799" s="34" t="s">
        <v>1960</v>
      </c>
      <c r="Z799" s="39">
        <f>IF(AQ799="5",BJ799,0)</f>
        <v>0</v>
      </c>
      <c r="AB799" s="39">
        <f>IF(AQ799="1",BH799,0)</f>
        <v>0</v>
      </c>
      <c r="AC799" s="39">
        <f>IF(AQ799="1",BI799,0)</f>
        <v>0</v>
      </c>
      <c r="AD799" s="39">
        <f>IF(AQ799="7",BH799,0)</f>
        <v>0</v>
      </c>
      <c r="AE799" s="39">
        <f>IF(AQ799="7",BI799,0)</f>
        <v>0</v>
      </c>
      <c r="AF799" s="39">
        <f>IF(AQ799="2",BH799,0)</f>
        <v>0</v>
      </c>
      <c r="AG799" s="39">
        <f>IF(AQ799="2",BI799,0)</f>
        <v>0</v>
      </c>
      <c r="AH799" s="39">
        <f>IF(AQ799="0",BJ799,0)</f>
        <v>0</v>
      </c>
      <c r="AI799" s="30"/>
      <c r="AJ799" s="21">
        <f>IF(AN799=0,J799,0)</f>
        <v>0</v>
      </c>
      <c r="AK799" s="21">
        <f>IF(AN799=15,J799,0)</f>
        <v>0</v>
      </c>
      <c r="AL799" s="21">
        <f>IF(AN799=21,J799,0)</f>
        <v>0</v>
      </c>
      <c r="AN799" s="39">
        <v>21</v>
      </c>
      <c r="AO799" s="39">
        <f>G799*0.661560283687943</f>
        <v>0</v>
      </c>
      <c r="AP799" s="39">
        <f>G799*(1-0.661560283687943)</f>
        <v>0</v>
      </c>
      <c r="AQ799" s="34" t="s">
        <v>11</v>
      </c>
      <c r="AV799" s="39">
        <f>AW799+AX799</f>
        <v>0</v>
      </c>
      <c r="AW799" s="39">
        <f>F799*AO799</f>
        <v>0</v>
      </c>
      <c r="AX799" s="39">
        <f>F799*AP799</f>
        <v>0</v>
      </c>
      <c r="AY799" s="40" t="s">
        <v>2027</v>
      </c>
      <c r="AZ799" s="40" t="s">
        <v>2043</v>
      </c>
      <c r="BA799" s="30" t="s">
        <v>2045</v>
      </c>
      <c r="BC799" s="39">
        <f>AW799+AX799</f>
        <v>0</v>
      </c>
      <c r="BD799" s="39">
        <f>G799/(100-BE799)*100</f>
        <v>0</v>
      </c>
      <c r="BE799" s="39">
        <v>0</v>
      </c>
      <c r="BF799" s="39">
        <f>L799</f>
        <v>0.58540559999999997</v>
      </c>
      <c r="BH799" s="21">
        <f>F799*AO799</f>
        <v>0</v>
      </c>
      <c r="BI799" s="21">
        <f>F799*AP799</f>
        <v>0</v>
      </c>
      <c r="BJ799" s="21">
        <f>F799*G799</f>
        <v>0</v>
      </c>
    </row>
    <row r="800" spans="1:62">
      <c r="C800" s="17" t="s">
        <v>605</v>
      </c>
      <c r="D800" s="917" t="s">
        <v>1922</v>
      </c>
      <c r="E800" s="918"/>
      <c r="F800" s="918"/>
      <c r="G800" s="918"/>
      <c r="H800" s="918"/>
      <c r="I800" s="918"/>
      <c r="J800" s="918"/>
      <c r="K800" s="918"/>
      <c r="L800" s="918"/>
      <c r="M800" s="918"/>
    </row>
    <row r="801" spans="1:62">
      <c r="A801" s="4"/>
      <c r="B801" s="14"/>
      <c r="C801" s="14" t="s">
        <v>1209</v>
      </c>
      <c r="D801" s="14" t="s">
        <v>1923</v>
      </c>
      <c r="E801" s="4" t="s">
        <v>4</v>
      </c>
      <c r="F801" s="4" t="s">
        <v>4</v>
      </c>
      <c r="G801" s="4" t="s">
        <v>4</v>
      </c>
      <c r="H801" s="42">
        <f>SUM(H802:H803)</f>
        <v>0</v>
      </c>
      <c r="I801" s="42">
        <f>SUM(I802:I803)</f>
        <v>0</v>
      </c>
      <c r="J801" s="42">
        <f>SUM(J802:J803)</f>
        <v>0</v>
      </c>
      <c r="K801" s="30"/>
      <c r="L801" s="42">
        <f>SUM(L802:L803)</f>
        <v>0.10039680000000001</v>
      </c>
      <c r="M801" s="30"/>
      <c r="AI801" s="30"/>
      <c r="AS801" s="42">
        <f>SUM(AJ802:AJ803)</f>
        <v>0</v>
      </c>
      <c r="AT801" s="42">
        <f>SUM(AK802:AK803)</f>
        <v>0</v>
      </c>
      <c r="AU801" s="42">
        <f>SUM(AL802:AL803)</f>
        <v>0</v>
      </c>
    </row>
    <row r="802" spans="1:62">
      <c r="A802" s="5" t="s">
        <v>599</v>
      </c>
      <c r="B802" s="5"/>
      <c r="C802" s="5" t="s">
        <v>1210</v>
      </c>
      <c r="D802" s="5" t="s">
        <v>1924</v>
      </c>
      <c r="E802" s="5" t="s">
        <v>1940</v>
      </c>
      <c r="F802" s="21">
        <v>9.9600000000000009</v>
      </c>
      <c r="G802" s="753">
        <v>0</v>
      </c>
      <c r="H802" s="21">
        <f>F802*AO802</f>
        <v>0</v>
      </c>
      <c r="I802" s="21">
        <f>F802*AP802</f>
        <v>0</v>
      </c>
      <c r="J802" s="21">
        <f>F802*G802</f>
        <v>0</v>
      </c>
      <c r="K802" s="21">
        <v>8.0000000000000007E-5</v>
      </c>
      <c r="L802" s="21">
        <f>F802*K802</f>
        <v>7.9680000000000018E-4</v>
      </c>
      <c r="M802" s="34" t="s">
        <v>1961</v>
      </c>
      <c r="Z802" s="39">
        <f>IF(AQ802="5",BJ802,0)</f>
        <v>0</v>
      </c>
      <c r="AB802" s="39">
        <f>IF(AQ802="1",BH802,0)</f>
        <v>0</v>
      </c>
      <c r="AC802" s="39">
        <f>IF(AQ802="1",BI802,0)</f>
        <v>0</v>
      </c>
      <c r="AD802" s="39">
        <f>IF(AQ802="7",BH802,0)</f>
        <v>0</v>
      </c>
      <c r="AE802" s="39">
        <f>IF(AQ802="7",BI802,0)</f>
        <v>0</v>
      </c>
      <c r="AF802" s="39">
        <f>IF(AQ802="2",BH802,0)</f>
        <v>0</v>
      </c>
      <c r="AG802" s="39">
        <f>IF(AQ802="2",BI802,0)</f>
        <v>0</v>
      </c>
      <c r="AH802" s="39">
        <f>IF(AQ802="0",BJ802,0)</f>
        <v>0</v>
      </c>
      <c r="AI802" s="30"/>
      <c r="AJ802" s="21">
        <f>IF(AN802=0,J802,0)</f>
        <v>0</v>
      </c>
      <c r="AK802" s="21">
        <f>IF(AN802=15,J802,0)</f>
        <v>0</v>
      </c>
      <c r="AL802" s="21">
        <f>IF(AN802=21,J802,0)</f>
        <v>0</v>
      </c>
      <c r="AN802" s="39">
        <v>21</v>
      </c>
      <c r="AO802" s="39">
        <f>G802*0.0270081595648232</f>
        <v>0</v>
      </c>
      <c r="AP802" s="39">
        <f>G802*(1-0.0270081595648232)</f>
        <v>0</v>
      </c>
      <c r="AQ802" s="34" t="s">
        <v>11</v>
      </c>
      <c r="AV802" s="39">
        <f>AW802+AX802</f>
        <v>0</v>
      </c>
      <c r="AW802" s="39">
        <f>F802*AO802</f>
        <v>0</v>
      </c>
      <c r="AX802" s="39">
        <f>F802*AP802</f>
        <v>0</v>
      </c>
      <c r="AY802" s="40" t="s">
        <v>2028</v>
      </c>
      <c r="AZ802" s="40" t="s">
        <v>2043</v>
      </c>
      <c r="BA802" s="30" t="s">
        <v>2045</v>
      </c>
      <c r="BC802" s="39">
        <f>AW802+AX802</f>
        <v>0</v>
      </c>
      <c r="BD802" s="39">
        <f>G802/(100-BE802)*100</f>
        <v>0</v>
      </c>
      <c r="BE802" s="39">
        <v>0</v>
      </c>
      <c r="BF802" s="39">
        <f>L802</f>
        <v>7.9680000000000018E-4</v>
      </c>
      <c r="BH802" s="21">
        <f>F802*AO802</f>
        <v>0</v>
      </c>
      <c r="BI802" s="21">
        <f>F802*AP802</f>
        <v>0</v>
      </c>
      <c r="BJ802" s="21">
        <f>F802*G802</f>
        <v>0</v>
      </c>
    </row>
    <row r="803" spans="1:62">
      <c r="A803" s="6" t="s">
        <v>600</v>
      </c>
      <c r="B803" s="6"/>
      <c r="C803" s="6" t="s">
        <v>1211</v>
      </c>
      <c r="D803" s="6" t="s">
        <v>1925</v>
      </c>
      <c r="E803" s="6" t="s">
        <v>1940</v>
      </c>
      <c r="F803" s="22">
        <v>9.9600000000000009</v>
      </c>
      <c r="G803" s="754">
        <v>0</v>
      </c>
      <c r="H803" s="22">
        <f>F803*AO803</f>
        <v>0</v>
      </c>
      <c r="I803" s="22">
        <f>F803*AP803</f>
        <v>0</v>
      </c>
      <c r="J803" s="22">
        <f>F803*G803</f>
        <v>0</v>
      </c>
      <c r="K803" s="22">
        <v>0.01</v>
      </c>
      <c r="L803" s="22">
        <f>F803*K803</f>
        <v>9.9600000000000008E-2</v>
      </c>
      <c r="M803" s="35" t="s">
        <v>1961</v>
      </c>
      <c r="Z803" s="39">
        <f>IF(AQ803="5",BJ803,0)</f>
        <v>0</v>
      </c>
      <c r="AB803" s="39">
        <f>IF(AQ803="1",BH803,0)</f>
        <v>0</v>
      </c>
      <c r="AC803" s="39">
        <f>IF(AQ803="1",BI803,0)</f>
        <v>0</v>
      </c>
      <c r="AD803" s="39">
        <f>IF(AQ803="7",BH803,0)</f>
        <v>0</v>
      </c>
      <c r="AE803" s="39">
        <f>IF(AQ803="7",BI803,0)</f>
        <v>0</v>
      </c>
      <c r="AF803" s="39">
        <f>IF(AQ803="2",BH803,0)</f>
        <v>0</v>
      </c>
      <c r="AG803" s="39">
        <f>IF(AQ803="2",BI803,0)</f>
        <v>0</v>
      </c>
      <c r="AH803" s="39">
        <f>IF(AQ803="0",BJ803,0)</f>
        <v>0</v>
      </c>
      <c r="AI803" s="30"/>
      <c r="AJ803" s="22">
        <f>IF(AN803=0,J803,0)</f>
        <v>0</v>
      </c>
      <c r="AK803" s="22">
        <f>IF(AN803=15,J803,0)</f>
        <v>0</v>
      </c>
      <c r="AL803" s="22">
        <f>IF(AN803=21,J803,0)</f>
        <v>0</v>
      </c>
      <c r="AN803" s="39">
        <v>21</v>
      </c>
      <c r="AO803" s="39">
        <f>G803*1</f>
        <v>0</v>
      </c>
      <c r="AP803" s="39">
        <f>G803*(1-1)</f>
        <v>0</v>
      </c>
      <c r="AQ803" s="35" t="s">
        <v>11</v>
      </c>
      <c r="AV803" s="39">
        <f>AW803+AX803</f>
        <v>0</v>
      </c>
      <c r="AW803" s="39">
        <f>F803*AO803</f>
        <v>0</v>
      </c>
      <c r="AX803" s="39">
        <f>F803*AP803</f>
        <v>0</v>
      </c>
      <c r="AY803" s="40" t="s">
        <v>2028</v>
      </c>
      <c r="AZ803" s="40" t="s">
        <v>2043</v>
      </c>
      <c r="BA803" s="30" t="s">
        <v>2045</v>
      </c>
      <c r="BC803" s="39">
        <f>AW803+AX803</f>
        <v>0</v>
      </c>
      <c r="BD803" s="39">
        <f>G803/(100-BE803)*100</f>
        <v>0</v>
      </c>
      <c r="BE803" s="39">
        <v>0</v>
      </c>
      <c r="BF803" s="39">
        <f>L803</f>
        <v>9.9600000000000008E-2</v>
      </c>
      <c r="BH803" s="22">
        <f>F803*AO803</f>
        <v>0</v>
      </c>
      <c r="BI803" s="22">
        <f>F803*AP803</f>
        <v>0</v>
      </c>
      <c r="BJ803" s="22">
        <f>F803*G803</f>
        <v>0</v>
      </c>
    </row>
    <row r="804" spans="1:62" ht="67.95" customHeight="1">
      <c r="C804" s="17" t="s">
        <v>605</v>
      </c>
      <c r="D804" s="917" t="s">
        <v>1926</v>
      </c>
      <c r="E804" s="918"/>
      <c r="F804" s="918"/>
      <c r="G804" s="918"/>
      <c r="H804" s="918"/>
      <c r="I804" s="918"/>
      <c r="J804" s="918"/>
      <c r="K804" s="918"/>
      <c r="L804" s="918"/>
      <c r="M804" s="918"/>
    </row>
    <row r="805" spans="1:62">
      <c r="A805" s="7"/>
      <c r="B805" s="15"/>
      <c r="C805" s="15"/>
      <c r="D805" s="15" t="s">
        <v>1927</v>
      </c>
      <c r="E805" s="7" t="s">
        <v>4</v>
      </c>
      <c r="F805" s="7" t="s">
        <v>4</v>
      </c>
      <c r="G805" s="7" t="s">
        <v>4</v>
      </c>
      <c r="H805" s="43">
        <f>H806</f>
        <v>0</v>
      </c>
      <c r="I805" s="43">
        <f>I806</f>
        <v>0</v>
      </c>
      <c r="J805" s="43">
        <f>J806</f>
        <v>0</v>
      </c>
      <c r="K805" s="31"/>
      <c r="L805" s="43">
        <f>L806</f>
        <v>0</v>
      </c>
      <c r="M805" s="31"/>
    </row>
    <row r="806" spans="1:62">
      <c r="A806" s="4"/>
      <c r="B806" s="14"/>
      <c r="C806" s="14" t="s">
        <v>1212</v>
      </c>
      <c r="D806" s="14" t="s">
        <v>1928</v>
      </c>
      <c r="E806" s="4" t="s">
        <v>4</v>
      </c>
      <c r="F806" s="4" t="s">
        <v>4</v>
      </c>
      <c r="G806" s="4" t="s">
        <v>4</v>
      </c>
      <c r="H806" s="42">
        <f>SUM(H807:H810)</f>
        <v>0</v>
      </c>
      <c r="I806" s="42">
        <f>SUM(I807:I810)</f>
        <v>0</v>
      </c>
      <c r="J806" s="42">
        <f>SUM(J807:J810)</f>
        <v>0</v>
      </c>
      <c r="K806" s="30"/>
      <c r="L806" s="42">
        <f>SUM(L807:L810)</f>
        <v>0</v>
      </c>
      <c r="M806" s="30"/>
      <c r="AI806" s="30"/>
      <c r="AS806" s="42">
        <f>SUM(AJ807:AJ810)</f>
        <v>0</v>
      </c>
      <c r="AT806" s="42">
        <f>SUM(AK807:AK810)</f>
        <v>0</v>
      </c>
      <c r="AU806" s="42">
        <f>SUM(AL807:AL810)</f>
        <v>0</v>
      </c>
    </row>
    <row r="807" spans="1:62">
      <c r="A807" s="5" t="s">
        <v>601</v>
      </c>
      <c r="B807" s="5"/>
      <c r="C807" s="5" t="s">
        <v>1213</v>
      </c>
      <c r="D807" s="5" t="s">
        <v>1929</v>
      </c>
      <c r="E807" s="5" t="s">
        <v>1938</v>
      </c>
      <c r="F807" s="21">
        <v>1</v>
      </c>
      <c r="G807" s="753">
        <v>0</v>
      </c>
      <c r="H807" s="21">
        <f>F807*AO807</f>
        <v>0</v>
      </c>
      <c r="I807" s="21">
        <f>F807*AP807</f>
        <v>0</v>
      </c>
      <c r="J807" s="21">
        <f>F807*G807</f>
        <v>0</v>
      </c>
      <c r="K807" s="21">
        <v>0</v>
      </c>
      <c r="L807" s="21">
        <f>F807*K807</f>
        <v>0</v>
      </c>
      <c r="M807" s="34" t="s">
        <v>1960</v>
      </c>
      <c r="Z807" s="39">
        <f>IF(AQ807="5",BJ807,0)</f>
        <v>0</v>
      </c>
      <c r="AB807" s="39">
        <f>IF(AQ807="1",BH807,0)</f>
        <v>0</v>
      </c>
      <c r="AC807" s="39">
        <f>IF(AQ807="1",BI807,0)</f>
        <v>0</v>
      </c>
      <c r="AD807" s="39">
        <f>IF(AQ807="7",BH807,0)</f>
        <v>0</v>
      </c>
      <c r="AE807" s="39">
        <f>IF(AQ807="7",BI807,0)</f>
        <v>0</v>
      </c>
      <c r="AF807" s="39">
        <f>IF(AQ807="2",BH807,0)</f>
        <v>0</v>
      </c>
      <c r="AG807" s="39">
        <f>IF(AQ807="2",BI807,0)</f>
        <v>0</v>
      </c>
      <c r="AH807" s="39">
        <f>IF(AQ807="0",BJ807,0)</f>
        <v>0</v>
      </c>
      <c r="AI807" s="30"/>
      <c r="AJ807" s="21">
        <f>IF(AN807=0,J807,0)</f>
        <v>0</v>
      </c>
      <c r="AK807" s="21">
        <f>IF(AN807=15,J807,0)</f>
        <v>0</v>
      </c>
      <c r="AL807" s="21">
        <f>IF(AN807=21,J807,0)</f>
        <v>0</v>
      </c>
      <c r="AN807" s="39">
        <v>21</v>
      </c>
      <c r="AO807" s="39">
        <f>G807*0.657761733333333</f>
        <v>0</v>
      </c>
      <c r="AP807" s="39">
        <f>G807*(1-0.657761733333333)</f>
        <v>0</v>
      </c>
      <c r="AQ807" s="34" t="s">
        <v>6</v>
      </c>
      <c r="AV807" s="39">
        <f>AW807+AX807</f>
        <v>0</v>
      </c>
      <c r="AW807" s="39">
        <f>F807*AO807</f>
        <v>0</v>
      </c>
      <c r="AX807" s="39">
        <f>F807*AP807</f>
        <v>0</v>
      </c>
      <c r="AY807" s="40" t="s">
        <v>2029</v>
      </c>
      <c r="AZ807" s="40" t="s">
        <v>2044</v>
      </c>
      <c r="BA807" s="30" t="s">
        <v>2045</v>
      </c>
      <c r="BC807" s="39">
        <f>AW807+AX807</f>
        <v>0</v>
      </c>
      <c r="BD807" s="39">
        <f>G807/(100-BE807)*100</f>
        <v>0</v>
      </c>
      <c r="BE807" s="39">
        <v>0</v>
      </c>
      <c r="BF807" s="39">
        <f>L807</f>
        <v>0</v>
      </c>
      <c r="BH807" s="21">
        <f>F807*AO807</f>
        <v>0</v>
      </c>
      <c r="BI807" s="21">
        <f>F807*AP807</f>
        <v>0</v>
      </c>
      <c r="BJ807" s="21">
        <f>F807*G807</f>
        <v>0</v>
      </c>
    </row>
    <row r="808" spans="1:62">
      <c r="A808" s="5" t="s">
        <v>602</v>
      </c>
      <c r="B808" s="5"/>
      <c r="C808" s="5" t="s">
        <v>1214</v>
      </c>
      <c r="D808" s="5" t="s">
        <v>1930</v>
      </c>
      <c r="E808" s="5" t="s">
        <v>1938</v>
      </c>
      <c r="F808" s="21">
        <v>1</v>
      </c>
      <c r="G808" s="753">
        <v>0</v>
      </c>
      <c r="H808" s="21">
        <f>F808*AO808</f>
        <v>0</v>
      </c>
      <c r="I808" s="21">
        <f>F808*AP808</f>
        <v>0</v>
      </c>
      <c r="J808" s="21">
        <f>F808*G808</f>
        <v>0</v>
      </c>
      <c r="K808" s="21">
        <v>0</v>
      </c>
      <c r="L808" s="21">
        <f>F808*K808</f>
        <v>0</v>
      </c>
      <c r="M808" s="34" t="s">
        <v>1960</v>
      </c>
      <c r="Z808" s="39">
        <f>IF(AQ808="5",BJ808,0)</f>
        <v>0</v>
      </c>
      <c r="AB808" s="39">
        <f>IF(AQ808="1",BH808,0)</f>
        <v>0</v>
      </c>
      <c r="AC808" s="39">
        <f>IF(AQ808="1",BI808,0)</f>
        <v>0</v>
      </c>
      <c r="AD808" s="39">
        <f>IF(AQ808="7",BH808,0)</f>
        <v>0</v>
      </c>
      <c r="AE808" s="39">
        <f>IF(AQ808="7",BI808,0)</f>
        <v>0</v>
      </c>
      <c r="AF808" s="39">
        <f>IF(AQ808="2",BH808,0)</f>
        <v>0</v>
      </c>
      <c r="AG808" s="39">
        <f>IF(AQ808="2",BI808,0)</f>
        <v>0</v>
      </c>
      <c r="AH808" s="39">
        <f>IF(AQ808="0",BJ808,0)</f>
        <v>0</v>
      </c>
      <c r="AI808" s="30"/>
      <c r="AJ808" s="21">
        <f>IF(AN808=0,J808,0)</f>
        <v>0</v>
      </c>
      <c r="AK808" s="21">
        <f>IF(AN808=15,J808,0)</f>
        <v>0</v>
      </c>
      <c r="AL808" s="21">
        <f>IF(AN808=21,J808,0)</f>
        <v>0</v>
      </c>
      <c r="AN808" s="39">
        <v>21</v>
      </c>
      <c r="AO808" s="39">
        <f>G808*0.657761738461539</f>
        <v>0</v>
      </c>
      <c r="AP808" s="39">
        <f>G808*(1-0.657761738461539)</f>
        <v>0</v>
      </c>
      <c r="AQ808" s="34" t="s">
        <v>6</v>
      </c>
      <c r="AV808" s="39">
        <f>AW808+AX808</f>
        <v>0</v>
      </c>
      <c r="AW808" s="39">
        <f>F808*AO808</f>
        <v>0</v>
      </c>
      <c r="AX808" s="39">
        <f>F808*AP808</f>
        <v>0</v>
      </c>
      <c r="AY808" s="40" t="s">
        <v>2029</v>
      </c>
      <c r="AZ808" s="40" t="s">
        <v>2044</v>
      </c>
      <c r="BA808" s="30" t="s">
        <v>2045</v>
      </c>
      <c r="BC808" s="39">
        <f>AW808+AX808</f>
        <v>0</v>
      </c>
      <c r="BD808" s="39">
        <f>G808/(100-BE808)*100</f>
        <v>0</v>
      </c>
      <c r="BE808" s="39">
        <v>0</v>
      </c>
      <c r="BF808" s="39">
        <f>L808</f>
        <v>0</v>
      </c>
      <c r="BH808" s="21">
        <f>F808*AO808</f>
        <v>0</v>
      </c>
      <c r="BI808" s="21">
        <f>F808*AP808</f>
        <v>0</v>
      </c>
      <c r="BJ808" s="21">
        <f>F808*G808</f>
        <v>0</v>
      </c>
    </row>
    <row r="809" spans="1:62">
      <c r="A809" s="5" t="s">
        <v>603</v>
      </c>
      <c r="B809" s="5"/>
      <c r="C809" s="5" t="s">
        <v>1215</v>
      </c>
      <c r="D809" s="5" t="s">
        <v>1931</v>
      </c>
      <c r="E809" s="5" t="s">
        <v>1938</v>
      </c>
      <c r="F809" s="21">
        <v>1</v>
      </c>
      <c r="G809" s="753">
        <v>0</v>
      </c>
      <c r="H809" s="21">
        <f>F809*AO809</f>
        <v>0</v>
      </c>
      <c r="I809" s="21">
        <f>F809*AP809</f>
        <v>0</v>
      </c>
      <c r="J809" s="21">
        <f>F809*G809</f>
        <v>0</v>
      </c>
      <c r="K809" s="21">
        <v>0</v>
      </c>
      <c r="L809" s="21">
        <f>F809*K809</f>
        <v>0</v>
      </c>
      <c r="M809" s="34" t="s">
        <v>1960</v>
      </c>
      <c r="Z809" s="39">
        <f>IF(AQ809="5",BJ809,0)</f>
        <v>0</v>
      </c>
      <c r="AB809" s="39">
        <f>IF(AQ809="1",BH809,0)</f>
        <v>0</v>
      </c>
      <c r="AC809" s="39">
        <f>IF(AQ809="1",BI809,0)</f>
        <v>0</v>
      </c>
      <c r="AD809" s="39">
        <f>IF(AQ809="7",BH809,0)</f>
        <v>0</v>
      </c>
      <c r="AE809" s="39">
        <f>IF(AQ809="7",BI809,0)</f>
        <v>0</v>
      </c>
      <c r="AF809" s="39">
        <f>IF(AQ809="2",BH809,0)</f>
        <v>0</v>
      </c>
      <c r="AG809" s="39">
        <f>IF(AQ809="2",BI809,0)</f>
        <v>0</v>
      </c>
      <c r="AH809" s="39">
        <f>IF(AQ809="0",BJ809,0)</f>
        <v>0</v>
      </c>
      <c r="AI809" s="30"/>
      <c r="AJ809" s="21">
        <f>IF(AN809=0,J809,0)</f>
        <v>0</v>
      </c>
      <c r="AK809" s="21">
        <f>IF(AN809=15,J809,0)</f>
        <v>0</v>
      </c>
      <c r="AL809" s="21">
        <f>IF(AN809=21,J809,0)</f>
        <v>0</v>
      </c>
      <c r="AN809" s="39">
        <v>21</v>
      </c>
      <c r="AO809" s="39">
        <f>G809*0.657761714285714</f>
        <v>0</v>
      </c>
      <c r="AP809" s="39">
        <f>G809*(1-0.657761714285714)</f>
        <v>0</v>
      </c>
      <c r="AQ809" s="34" t="s">
        <v>6</v>
      </c>
      <c r="AV809" s="39">
        <f>AW809+AX809</f>
        <v>0</v>
      </c>
      <c r="AW809" s="39">
        <f>F809*AO809</f>
        <v>0</v>
      </c>
      <c r="AX809" s="39">
        <f>F809*AP809</f>
        <v>0</v>
      </c>
      <c r="AY809" s="40" t="s">
        <v>2029</v>
      </c>
      <c r="AZ809" s="40" t="s">
        <v>2044</v>
      </c>
      <c r="BA809" s="30" t="s">
        <v>2045</v>
      </c>
      <c r="BC809" s="39">
        <f>AW809+AX809</f>
        <v>0</v>
      </c>
      <c r="BD809" s="39">
        <f>G809/(100-BE809)*100</f>
        <v>0</v>
      </c>
      <c r="BE809" s="39">
        <v>0</v>
      </c>
      <c r="BF809" s="39">
        <f>L809</f>
        <v>0</v>
      </c>
      <c r="BH809" s="21">
        <f>F809*AO809</f>
        <v>0</v>
      </c>
      <c r="BI809" s="21">
        <f>F809*AP809</f>
        <v>0</v>
      </c>
      <c r="BJ809" s="21">
        <f>F809*G809</f>
        <v>0</v>
      </c>
    </row>
    <row r="810" spans="1:62">
      <c r="A810" s="8" t="s">
        <v>604</v>
      </c>
      <c r="B810" s="8"/>
      <c r="C810" s="8" t="s">
        <v>1216</v>
      </c>
      <c r="D810" s="8" t="s">
        <v>1932</v>
      </c>
      <c r="E810" s="8" t="s">
        <v>1943</v>
      </c>
      <c r="F810" s="23">
        <v>2</v>
      </c>
      <c r="G810" s="758">
        <v>0</v>
      </c>
      <c r="H810" s="23">
        <f>F810*AO810</f>
        <v>0</v>
      </c>
      <c r="I810" s="23">
        <f>F810*AP810</f>
        <v>0</v>
      </c>
      <c r="J810" s="23">
        <f>F810*G810</f>
        <v>0</v>
      </c>
      <c r="K810" s="23">
        <v>0</v>
      </c>
      <c r="L810" s="23">
        <f>F810*K810</f>
        <v>0</v>
      </c>
      <c r="M810" s="36" t="s">
        <v>1960</v>
      </c>
      <c r="Z810" s="39">
        <f>IF(AQ810="5",BJ810,0)</f>
        <v>0</v>
      </c>
      <c r="AB810" s="39">
        <f>IF(AQ810="1",BH810,0)</f>
        <v>0</v>
      </c>
      <c r="AC810" s="39">
        <f>IF(AQ810="1",BI810,0)</f>
        <v>0</v>
      </c>
      <c r="AD810" s="39">
        <f>IF(AQ810="7",BH810,0)</f>
        <v>0</v>
      </c>
      <c r="AE810" s="39">
        <f>IF(AQ810="7",BI810,0)</f>
        <v>0</v>
      </c>
      <c r="AF810" s="39">
        <f>IF(AQ810="2",BH810,0)</f>
        <v>0</v>
      </c>
      <c r="AG810" s="39">
        <f>IF(AQ810="2",BI810,0)</f>
        <v>0</v>
      </c>
      <c r="AH810" s="39">
        <f>IF(AQ810="0",BJ810,0)</f>
        <v>0</v>
      </c>
      <c r="AI810" s="30"/>
      <c r="AJ810" s="21">
        <f>IF(AN810=0,J810,0)</f>
        <v>0</v>
      </c>
      <c r="AK810" s="21">
        <f>IF(AN810=15,J810,0)</f>
        <v>0</v>
      </c>
      <c r="AL810" s="21">
        <f>IF(AN810=21,J810,0)</f>
        <v>0</v>
      </c>
      <c r="AN810" s="39">
        <v>21</v>
      </c>
      <c r="AO810" s="39">
        <f>G810*0.657764</f>
        <v>0</v>
      </c>
      <c r="AP810" s="39">
        <f>G810*(1-0.657764)</f>
        <v>0</v>
      </c>
      <c r="AQ810" s="34" t="s">
        <v>6</v>
      </c>
      <c r="AV810" s="39">
        <f>AW810+AX810</f>
        <v>0</v>
      </c>
      <c r="AW810" s="39">
        <f>F810*AO810</f>
        <v>0</v>
      </c>
      <c r="AX810" s="39">
        <f>F810*AP810</f>
        <v>0</v>
      </c>
      <c r="AY810" s="40" t="s">
        <v>2029</v>
      </c>
      <c r="AZ810" s="40" t="s">
        <v>2044</v>
      </c>
      <c r="BA810" s="30" t="s">
        <v>2045</v>
      </c>
      <c r="BC810" s="39">
        <f>AW810+AX810</f>
        <v>0</v>
      </c>
      <c r="BD810" s="39">
        <f>G810/(100-BE810)*100</f>
        <v>0</v>
      </c>
      <c r="BE810" s="39">
        <v>0</v>
      </c>
      <c r="BF810" s="39">
        <f>L810</f>
        <v>0</v>
      </c>
      <c r="BH810" s="21">
        <f>F810*AO810</f>
        <v>0</v>
      </c>
      <c r="BI810" s="21">
        <f>F810*AP810</f>
        <v>0</v>
      </c>
      <c r="BJ810" s="21">
        <f>F810*G810</f>
        <v>0</v>
      </c>
    </row>
    <row r="811" spans="1:62">
      <c r="A811" s="9"/>
      <c r="B811" s="9"/>
      <c r="C811" s="9"/>
      <c r="D811" s="9"/>
      <c r="E811" s="9"/>
      <c r="F811" s="9"/>
      <c r="G811" s="9"/>
      <c r="H811" s="900" t="s">
        <v>1953</v>
      </c>
      <c r="I811" s="804"/>
      <c r="J811" s="44">
        <f>J13+J42+J45+J48+J50+J53+J56+J61+J65+J67+J91+J95+J131+J136+J147+J165+J173+J203+J213+J215+J220+J225+J236+J259+J288+J298+J300+J309+J320+J339+J343+J347+J349+J361+J398+J425+J444+J448+J459+J486+J490+J494+J497+J538+J541+J572+J659+J716+J751+J761+J770+J773+J785+J789+J791+J798+J801+J806</f>
        <v>0</v>
      </c>
      <c r="K811" s="9"/>
      <c r="L811" s="9"/>
      <c r="M811" s="9"/>
    </row>
    <row r="812" spans="1:62" ht="11.25" customHeight="1">
      <c r="A812" s="10" t="s">
        <v>605</v>
      </c>
    </row>
    <row r="813" spans="1:62">
      <c r="A813" s="764"/>
      <c r="B813" s="765"/>
      <c r="C813" s="765"/>
      <c r="D813" s="765"/>
      <c r="E813" s="765"/>
      <c r="F813" s="765"/>
      <c r="G813" s="765"/>
      <c r="H813" s="765"/>
      <c r="I813" s="765"/>
      <c r="J813" s="765"/>
      <c r="K813" s="765"/>
      <c r="L813" s="765"/>
      <c r="M813" s="765"/>
    </row>
  </sheetData>
  <mergeCells count="167">
    <mergeCell ref="A4:C5"/>
    <mergeCell ref="D4:D5"/>
    <mergeCell ref="E4:F5"/>
    <mergeCell ref="G4:G5"/>
    <mergeCell ref="H4:H5"/>
    <mergeCell ref="I4:M5"/>
    <mergeCell ref="A1:M1"/>
    <mergeCell ref="A2:C3"/>
    <mergeCell ref="D2:D3"/>
    <mergeCell ref="E2:F3"/>
    <mergeCell ref="G2:G3"/>
    <mergeCell ref="H2:H3"/>
    <mergeCell ref="I2:M3"/>
    <mergeCell ref="A8:C9"/>
    <mergeCell ref="D8:D9"/>
    <mergeCell ref="E8:F9"/>
    <mergeCell ref="G8:G9"/>
    <mergeCell ref="H8:H9"/>
    <mergeCell ref="I8:M9"/>
    <mergeCell ref="A6:C7"/>
    <mergeCell ref="D6:D7"/>
    <mergeCell ref="E6:F7"/>
    <mergeCell ref="G6:G7"/>
    <mergeCell ref="H6:H7"/>
    <mergeCell ref="I6:M7"/>
    <mergeCell ref="D23:M23"/>
    <mergeCell ref="D25:M25"/>
    <mergeCell ref="D27:M27"/>
    <mergeCell ref="D29:M29"/>
    <mergeCell ref="D31:M31"/>
    <mergeCell ref="D33:M33"/>
    <mergeCell ref="H10:J10"/>
    <mergeCell ref="K10:L10"/>
    <mergeCell ref="D15:M15"/>
    <mergeCell ref="D17:M17"/>
    <mergeCell ref="D19:M19"/>
    <mergeCell ref="D21:M21"/>
    <mergeCell ref="D88:M88"/>
    <mergeCell ref="D90:M90"/>
    <mergeCell ref="D105:M105"/>
    <mergeCell ref="D107:M107"/>
    <mergeCell ref="D109:M109"/>
    <mergeCell ref="D111:M111"/>
    <mergeCell ref="D39:M39"/>
    <mergeCell ref="D41:M41"/>
    <mergeCell ref="D79:M79"/>
    <mergeCell ref="D82:M82"/>
    <mergeCell ref="D84:M84"/>
    <mergeCell ref="D86:M86"/>
    <mergeCell ref="D210:M210"/>
    <mergeCell ref="D212:M212"/>
    <mergeCell ref="D217:M217"/>
    <mergeCell ref="D219:M219"/>
    <mergeCell ref="D227:M227"/>
    <mergeCell ref="D229:M229"/>
    <mergeCell ref="D116:M116"/>
    <mergeCell ref="D157:M157"/>
    <mergeCell ref="D159:M159"/>
    <mergeCell ref="D169:M169"/>
    <mergeCell ref="D172:M172"/>
    <mergeCell ref="D202:M202"/>
    <mergeCell ref="D245:M245"/>
    <mergeCell ref="D247:M247"/>
    <mergeCell ref="D248:M248"/>
    <mergeCell ref="D250:M250"/>
    <mergeCell ref="D251:M251"/>
    <mergeCell ref="D253:M253"/>
    <mergeCell ref="D231:M231"/>
    <mergeCell ref="D234:M234"/>
    <mergeCell ref="D238:M238"/>
    <mergeCell ref="D239:M239"/>
    <mergeCell ref="D241:M241"/>
    <mergeCell ref="D243:M243"/>
    <mergeCell ref="D290:M290"/>
    <mergeCell ref="D291:M291"/>
    <mergeCell ref="D294:M294"/>
    <mergeCell ref="D295:M295"/>
    <mergeCell ref="D319:M319"/>
    <mergeCell ref="D367:M367"/>
    <mergeCell ref="D261:M261"/>
    <mergeCell ref="D263:M263"/>
    <mergeCell ref="D276:M276"/>
    <mergeCell ref="D280:M280"/>
    <mergeCell ref="D286:M286"/>
    <mergeCell ref="D287:M287"/>
    <mergeCell ref="D396:M396"/>
    <mergeCell ref="D400:M400"/>
    <mergeCell ref="D402:M402"/>
    <mergeCell ref="D404:M404"/>
    <mergeCell ref="D406:M406"/>
    <mergeCell ref="D408:M408"/>
    <mergeCell ref="D375:M375"/>
    <mergeCell ref="D379:M379"/>
    <mergeCell ref="D382:M382"/>
    <mergeCell ref="D386:M386"/>
    <mergeCell ref="D389:M389"/>
    <mergeCell ref="D394:M394"/>
    <mergeCell ref="D434:M434"/>
    <mergeCell ref="D451:M451"/>
    <mergeCell ref="D453:M453"/>
    <mergeCell ref="D455:M455"/>
    <mergeCell ref="D466:M466"/>
    <mergeCell ref="D468:M468"/>
    <mergeCell ref="D414:M414"/>
    <mergeCell ref="D417:M417"/>
    <mergeCell ref="D419:M419"/>
    <mergeCell ref="D420:M420"/>
    <mergeCell ref="D422:M422"/>
    <mergeCell ref="D423:M423"/>
    <mergeCell ref="D484:M484"/>
    <mergeCell ref="D499:M499"/>
    <mergeCell ref="D501:M501"/>
    <mergeCell ref="D503:M503"/>
    <mergeCell ref="D505:M505"/>
    <mergeCell ref="D507:M507"/>
    <mergeCell ref="D470:M470"/>
    <mergeCell ref="D472:M472"/>
    <mergeCell ref="D476:M476"/>
    <mergeCell ref="D478:M478"/>
    <mergeCell ref="D480:M480"/>
    <mergeCell ref="D482:M482"/>
    <mergeCell ref="D521:M521"/>
    <mergeCell ref="D523:M523"/>
    <mergeCell ref="D525:M525"/>
    <mergeCell ref="D527:M527"/>
    <mergeCell ref="D529:M529"/>
    <mergeCell ref="D531:M531"/>
    <mergeCell ref="D509:M509"/>
    <mergeCell ref="D511:M511"/>
    <mergeCell ref="D513:M513"/>
    <mergeCell ref="D515:M515"/>
    <mergeCell ref="D517:M517"/>
    <mergeCell ref="D519:M519"/>
    <mergeCell ref="D553:M553"/>
    <mergeCell ref="D574:M574"/>
    <mergeCell ref="D576:M576"/>
    <mergeCell ref="D578:M578"/>
    <mergeCell ref="D580:M580"/>
    <mergeCell ref="D614:M614"/>
    <mergeCell ref="D533:M533"/>
    <mergeCell ref="D535:M535"/>
    <mergeCell ref="D540:M540"/>
    <mergeCell ref="D545:M545"/>
    <mergeCell ref="D547:M547"/>
    <mergeCell ref="D550:M550"/>
    <mergeCell ref="D646:M646"/>
    <mergeCell ref="D648:M648"/>
    <mergeCell ref="D650:M650"/>
    <mergeCell ref="D652:M652"/>
    <mergeCell ref="D654:M654"/>
    <mergeCell ref="D655:M655"/>
    <mergeCell ref="D636:M636"/>
    <mergeCell ref="D638:M638"/>
    <mergeCell ref="D640:M640"/>
    <mergeCell ref="D641:M641"/>
    <mergeCell ref="D643:M643"/>
    <mergeCell ref="D644:M644"/>
    <mergeCell ref="D800:M800"/>
    <mergeCell ref="D804:M804"/>
    <mergeCell ref="H811:I811"/>
    <mergeCell ref="A813:M813"/>
    <mergeCell ref="D763:M763"/>
    <mergeCell ref="D766:M766"/>
    <mergeCell ref="D781:M781"/>
    <mergeCell ref="D787:M787"/>
    <mergeCell ref="D795:M795"/>
    <mergeCell ref="D797:M797"/>
  </mergeCells>
  <pageMargins left="0.39400000000000002" right="0.39400000000000002" top="0.59099999999999997" bottom="0.59099999999999997" header="0.5" footer="0.5"/>
  <pageSetup paperSize="0" fitToHeight="0" orientation="landscape"/>
  <headerFooter alignWithMargins="0"/>
  <drawing r:id="rId1"/>
</worksheet>
</file>

<file path=xl/worksheets/sheet6.xml><?xml version="1.0" encoding="utf-8"?>
<worksheet xmlns="http://schemas.openxmlformats.org/spreadsheetml/2006/main" xmlns:r="http://schemas.openxmlformats.org/officeDocument/2006/relationships">
  <sheetPr>
    <pageSetUpPr fitToPage="1"/>
  </sheetPr>
  <dimension ref="A1:I2230"/>
  <sheetViews>
    <sheetView workbookViewId="0">
      <pane ySplit="10" topLeftCell="A11" activePane="bottomLeft" state="frozenSplit"/>
      <selection activeCell="I17" sqref="I17"/>
      <selection pane="bottomLeft" activeCell="D1767" sqref="D1767:E1767"/>
    </sheetView>
  </sheetViews>
  <sheetFormatPr defaultColWidth="11.5546875" defaultRowHeight="13.2"/>
  <cols>
    <col min="1" max="2" width="9.109375" customWidth="1"/>
    <col min="3" max="3" width="13.33203125" customWidth="1"/>
    <col min="4" max="4" width="140.6640625" customWidth="1"/>
    <col min="5" max="5" width="14.5546875" customWidth="1"/>
    <col min="6" max="6" width="24.109375" customWidth="1"/>
    <col min="7" max="7" width="15.6640625" customWidth="1"/>
    <col min="8" max="8" width="18.109375" customWidth="1"/>
  </cols>
  <sheetData>
    <row r="1" spans="1:9" ht="72.900000000000006" customHeight="1">
      <c r="A1" s="915" t="s">
        <v>3163</v>
      </c>
      <c r="B1" s="800"/>
      <c r="C1" s="800"/>
      <c r="D1" s="800"/>
      <c r="E1" s="800"/>
      <c r="F1" s="800"/>
      <c r="G1" s="800"/>
      <c r="H1" s="800"/>
    </row>
    <row r="2" spans="1:9">
      <c r="A2" s="801" t="s">
        <v>0</v>
      </c>
      <c r="B2" s="802"/>
      <c r="C2" s="803" t="str">
        <f>'D1.1.+D1.2 - Stav+konstrukční'!D2</f>
        <v xml:space="preserve"> Dostavba ZŠ Mnichovice, 3. etapa, školní jídelna a kuchyň</v>
      </c>
      <c r="D2" s="804"/>
      <c r="E2" s="806" t="s">
        <v>1948</v>
      </c>
      <c r="F2" s="806" t="str">
        <f>'D1.1.+D1.2 - Stav+konstrukční'!I2</f>
        <v>Město Mnichovice, Masarykovo náměstí 83, 251 64 Mnichovice</v>
      </c>
      <c r="G2" s="802"/>
      <c r="H2" s="916"/>
      <c r="I2" s="37"/>
    </row>
    <row r="3" spans="1:9">
      <c r="A3" s="788"/>
      <c r="B3" s="765"/>
      <c r="C3" s="805"/>
      <c r="D3" s="805"/>
      <c r="E3" s="765"/>
      <c r="F3" s="765"/>
      <c r="G3" s="765"/>
      <c r="H3" s="793"/>
      <c r="I3" s="37"/>
    </row>
    <row r="4" spans="1:9">
      <c r="A4" s="787" t="s">
        <v>1</v>
      </c>
      <c r="B4" s="765"/>
      <c r="C4" s="764" t="s">
        <v>5811</v>
      </c>
      <c r="D4" s="765"/>
      <c r="E4" s="764" t="s">
        <v>1949</v>
      </c>
      <c r="F4" s="764" t="str">
        <f>'D1.1.+D1.2 - Stav+konstrukční'!I4</f>
        <v> ing. Tomáš Řičař</v>
      </c>
      <c r="G4" s="765"/>
      <c r="H4" s="793"/>
      <c r="I4" s="37"/>
    </row>
    <row r="5" spans="1:9">
      <c r="A5" s="788"/>
      <c r="B5" s="765"/>
      <c r="C5" s="765"/>
      <c r="D5" s="765"/>
      <c r="E5" s="765"/>
      <c r="F5" s="765"/>
      <c r="G5" s="765"/>
      <c r="H5" s="793"/>
      <c r="I5" s="37"/>
    </row>
    <row r="6" spans="1:9">
      <c r="A6" s="787" t="s">
        <v>2</v>
      </c>
      <c r="B6" s="765"/>
      <c r="C6" s="764" t="str">
        <f>'D1.1.+D1.2 - Stav+konstrukční'!D6</f>
        <v xml:space="preserve"> parc.č. 385/2, 1749, 68/3, 74/5, 74/3 a 3854/1, k.ú. Mnichovice</v>
      </c>
      <c r="D6" s="765"/>
      <c r="E6" s="764" t="s">
        <v>1950</v>
      </c>
      <c r="F6" s="764">
        <f>'D1.1.+D1.2 - Stav+konstrukční'!I6</f>
        <v>0</v>
      </c>
      <c r="G6" s="765"/>
      <c r="H6" s="793"/>
      <c r="I6" s="37"/>
    </row>
    <row r="7" spans="1:9">
      <c r="A7" s="788"/>
      <c r="B7" s="765"/>
      <c r="C7" s="765"/>
      <c r="D7" s="765"/>
      <c r="E7" s="765"/>
      <c r="F7" s="765"/>
      <c r="G7" s="765"/>
      <c r="H7" s="793"/>
      <c r="I7" s="37"/>
    </row>
    <row r="8" spans="1:9">
      <c r="A8" s="787" t="s">
        <v>1951</v>
      </c>
      <c r="B8" s="765"/>
      <c r="C8" s="941"/>
      <c r="D8" s="765"/>
      <c r="E8" s="764" t="s">
        <v>1936</v>
      </c>
      <c r="F8" s="764" t="str">
        <f>'D1.1.+D1.2 - Stav+konstrukční'!G8</f>
        <v>23.06.2020</v>
      </c>
      <c r="G8" s="765"/>
      <c r="H8" s="793"/>
      <c r="I8" s="37"/>
    </row>
    <row r="9" spans="1:9">
      <c r="A9" s="909"/>
      <c r="B9" s="910"/>
      <c r="C9" s="910"/>
      <c r="D9" s="910"/>
      <c r="E9" s="910"/>
      <c r="F9" s="910"/>
      <c r="G9" s="910"/>
      <c r="H9" s="913"/>
      <c r="I9" s="37"/>
    </row>
    <row r="10" spans="1:9">
      <c r="A10" s="51" t="s">
        <v>3153</v>
      </c>
      <c r="B10" s="53" t="s">
        <v>606</v>
      </c>
      <c r="C10" s="53" t="s">
        <v>607</v>
      </c>
      <c r="D10" s="937" t="s">
        <v>1217</v>
      </c>
      <c r="E10" s="938"/>
      <c r="F10" s="53" t="s">
        <v>1937</v>
      </c>
      <c r="G10" s="55" t="s">
        <v>1946</v>
      </c>
      <c r="H10" s="59" t="s">
        <v>3162</v>
      </c>
      <c r="I10" s="38"/>
    </row>
    <row r="11" spans="1:9">
      <c r="A11" s="52"/>
      <c r="B11" s="52"/>
      <c r="C11" s="52" t="s">
        <v>15</v>
      </c>
      <c r="D11" s="939" t="s">
        <v>1220</v>
      </c>
      <c r="E11" s="940"/>
      <c r="F11" s="52"/>
      <c r="G11" s="56"/>
      <c r="H11" s="56"/>
    </row>
    <row r="12" spans="1:9">
      <c r="A12" s="5" t="s">
        <v>5</v>
      </c>
      <c r="B12" s="5"/>
      <c r="C12" s="5" t="s">
        <v>608</v>
      </c>
      <c r="D12" s="924" t="s">
        <v>1221</v>
      </c>
      <c r="E12" s="925"/>
      <c r="F12" s="5" t="s">
        <v>1938</v>
      </c>
      <c r="G12" s="21">
        <v>1</v>
      </c>
      <c r="H12" s="21">
        <v>0</v>
      </c>
    </row>
    <row r="13" spans="1:9">
      <c r="A13" s="5" t="s">
        <v>6</v>
      </c>
      <c r="B13" s="5"/>
      <c r="C13" s="5" t="s">
        <v>610</v>
      </c>
      <c r="D13" s="924" t="s">
        <v>1222</v>
      </c>
      <c r="E13" s="925"/>
      <c r="F13" s="5" t="s">
        <v>1938</v>
      </c>
      <c r="G13" s="21">
        <v>1</v>
      </c>
      <c r="H13" s="21">
        <v>0</v>
      </c>
    </row>
    <row r="14" spans="1:9">
      <c r="A14" s="5" t="s">
        <v>7</v>
      </c>
      <c r="B14" s="5"/>
      <c r="C14" s="5" t="s">
        <v>611</v>
      </c>
      <c r="D14" s="924" t="s">
        <v>1224</v>
      </c>
      <c r="E14" s="925"/>
      <c r="F14" s="5" t="s">
        <v>1938</v>
      </c>
      <c r="G14" s="21">
        <v>1</v>
      </c>
      <c r="H14" s="21">
        <v>0</v>
      </c>
    </row>
    <row r="15" spans="1:9">
      <c r="A15" s="5" t="s">
        <v>8</v>
      </c>
      <c r="B15" s="5"/>
      <c r="C15" s="5" t="s">
        <v>612</v>
      </c>
      <c r="D15" s="924" t="s">
        <v>1226</v>
      </c>
      <c r="E15" s="925"/>
      <c r="F15" s="5" t="s">
        <v>1938</v>
      </c>
      <c r="G15" s="21">
        <v>1</v>
      </c>
      <c r="H15" s="21">
        <v>0</v>
      </c>
    </row>
    <row r="16" spans="1:9">
      <c r="A16" s="5" t="s">
        <v>9</v>
      </c>
      <c r="B16" s="5"/>
      <c r="C16" s="5" t="s">
        <v>613</v>
      </c>
      <c r="D16" s="924" t="s">
        <v>1228</v>
      </c>
      <c r="E16" s="925"/>
      <c r="F16" s="5" t="s">
        <v>1938</v>
      </c>
      <c r="G16" s="21">
        <v>1</v>
      </c>
      <c r="H16" s="21">
        <v>0</v>
      </c>
    </row>
    <row r="17" spans="1:8">
      <c r="A17" s="5" t="s">
        <v>10</v>
      </c>
      <c r="B17" s="5"/>
      <c r="C17" s="5" t="s">
        <v>614</v>
      </c>
      <c r="D17" s="924" t="s">
        <v>1229</v>
      </c>
      <c r="E17" s="925"/>
      <c r="F17" s="5" t="s">
        <v>1938</v>
      </c>
      <c r="G17" s="21">
        <v>1</v>
      </c>
      <c r="H17" s="21">
        <v>0</v>
      </c>
    </row>
    <row r="18" spans="1:8">
      <c r="A18" s="5" t="s">
        <v>11</v>
      </c>
      <c r="B18" s="5"/>
      <c r="C18" s="5" t="s">
        <v>615</v>
      </c>
      <c r="D18" s="924" t="s">
        <v>1230</v>
      </c>
      <c r="E18" s="925"/>
      <c r="F18" s="5" t="s">
        <v>1938</v>
      </c>
      <c r="G18" s="21">
        <v>1</v>
      </c>
      <c r="H18" s="21">
        <v>0</v>
      </c>
    </row>
    <row r="19" spans="1:8">
      <c r="A19" s="5" t="s">
        <v>12</v>
      </c>
      <c r="B19" s="5"/>
      <c r="C19" s="5" t="s">
        <v>616</v>
      </c>
      <c r="D19" s="924" t="s">
        <v>1231</v>
      </c>
      <c r="E19" s="925"/>
      <c r="F19" s="5" t="s">
        <v>1938</v>
      </c>
      <c r="G19" s="21">
        <v>1</v>
      </c>
      <c r="H19" s="21">
        <v>0</v>
      </c>
    </row>
    <row r="20" spans="1:8">
      <c r="A20" s="5" t="s">
        <v>13</v>
      </c>
      <c r="B20" s="5"/>
      <c r="C20" s="5" t="s">
        <v>617</v>
      </c>
      <c r="D20" s="924" t="s">
        <v>1232</v>
      </c>
      <c r="E20" s="925"/>
      <c r="F20" s="5" t="s">
        <v>1938</v>
      </c>
      <c r="G20" s="21">
        <v>1</v>
      </c>
      <c r="H20" s="21">
        <v>0</v>
      </c>
    </row>
    <row r="21" spans="1:8">
      <c r="A21" s="5" t="s">
        <v>14</v>
      </c>
      <c r="B21" s="5"/>
      <c r="C21" s="5" t="s">
        <v>618</v>
      </c>
      <c r="D21" s="924" t="s">
        <v>1233</v>
      </c>
      <c r="E21" s="925"/>
      <c r="F21" s="5" t="s">
        <v>1938</v>
      </c>
      <c r="G21" s="21">
        <v>1</v>
      </c>
      <c r="H21" s="21">
        <v>0</v>
      </c>
    </row>
    <row r="22" spans="1:8">
      <c r="A22" s="5" t="s">
        <v>15</v>
      </c>
      <c r="B22" s="5"/>
      <c r="C22" s="5" t="s">
        <v>619</v>
      </c>
      <c r="D22" s="924" t="s">
        <v>1235</v>
      </c>
      <c r="E22" s="925"/>
      <c r="F22" s="5" t="s">
        <v>1938</v>
      </c>
      <c r="G22" s="21">
        <v>1</v>
      </c>
      <c r="H22" s="21">
        <v>0</v>
      </c>
    </row>
    <row r="23" spans="1:8">
      <c r="A23" s="5" t="s">
        <v>16</v>
      </c>
      <c r="B23" s="5"/>
      <c r="C23" s="5" t="s">
        <v>620</v>
      </c>
      <c r="D23" s="924" t="s">
        <v>1236</v>
      </c>
      <c r="E23" s="925"/>
      <c r="F23" s="5" t="s">
        <v>1938</v>
      </c>
      <c r="G23" s="21">
        <v>1</v>
      </c>
      <c r="H23" s="21">
        <v>0</v>
      </c>
    </row>
    <row r="24" spans="1:8">
      <c r="A24" s="5" t="s">
        <v>17</v>
      </c>
      <c r="B24" s="5"/>
      <c r="C24" s="5" t="s">
        <v>621</v>
      </c>
      <c r="D24" s="924" t="s">
        <v>1237</v>
      </c>
      <c r="E24" s="925"/>
      <c r="F24" s="5" t="s">
        <v>1938</v>
      </c>
      <c r="G24" s="21">
        <v>5</v>
      </c>
      <c r="H24" s="21">
        <v>0</v>
      </c>
    </row>
    <row r="25" spans="1:8">
      <c r="A25" s="5" t="s">
        <v>18</v>
      </c>
      <c r="B25" s="5"/>
      <c r="C25" s="5" t="s">
        <v>622</v>
      </c>
      <c r="D25" s="924" t="s">
        <v>1238</v>
      </c>
      <c r="E25" s="925"/>
      <c r="F25" s="5" t="s">
        <v>1939</v>
      </c>
      <c r="G25" s="21">
        <v>4</v>
      </c>
      <c r="H25" s="21">
        <v>0</v>
      </c>
    </row>
    <row r="26" spans="1:8" ht="12.15" customHeight="1">
      <c r="D26" s="926" t="s">
        <v>2058</v>
      </c>
      <c r="E26" s="927"/>
      <c r="F26" s="927"/>
      <c r="G26" s="57">
        <v>4</v>
      </c>
    </row>
    <row r="27" spans="1:8">
      <c r="A27" s="5" t="s">
        <v>19</v>
      </c>
      <c r="B27" s="5"/>
      <c r="C27" s="5" t="s">
        <v>623</v>
      </c>
      <c r="D27" s="924" t="s">
        <v>1239</v>
      </c>
      <c r="E27" s="925"/>
      <c r="F27" s="5" t="s">
        <v>1939</v>
      </c>
      <c r="G27" s="21">
        <v>21.5</v>
      </c>
      <c r="H27" s="21">
        <v>0</v>
      </c>
    </row>
    <row r="28" spans="1:8" ht="200.4" customHeight="1">
      <c r="C28" s="54" t="s">
        <v>605</v>
      </c>
      <c r="D28" s="917" t="s">
        <v>1240</v>
      </c>
      <c r="E28" s="918"/>
      <c r="F28" s="918"/>
      <c r="G28" s="918"/>
    </row>
    <row r="29" spans="1:8">
      <c r="A29" s="5" t="s">
        <v>20</v>
      </c>
      <c r="B29" s="5"/>
      <c r="C29" s="5" t="s">
        <v>624</v>
      </c>
      <c r="D29" s="924" t="s">
        <v>1241</v>
      </c>
      <c r="E29" s="925"/>
      <c r="F29" s="5" t="s">
        <v>1940</v>
      </c>
      <c r="G29" s="21">
        <v>403.8</v>
      </c>
      <c r="H29" s="21">
        <v>0</v>
      </c>
    </row>
    <row r="30" spans="1:8" ht="12.15" customHeight="1">
      <c r="D30" s="926" t="s">
        <v>2059</v>
      </c>
      <c r="E30" s="927"/>
      <c r="F30" s="927"/>
      <c r="G30" s="57">
        <v>403.8</v>
      </c>
    </row>
    <row r="31" spans="1:8" ht="12.9" customHeight="1">
      <c r="C31" s="54" t="s">
        <v>605</v>
      </c>
      <c r="D31" s="917" t="s">
        <v>1242</v>
      </c>
      <c r="E31" s="918"/>
      <c r="F31" s="918"/>
      <c r="G31" s="918"/>
    </row>
    <row r="32" spans="1:8">
      <c r="A32" s="14"/>
      <c r="B32" s="14"/>
      <c r="C32" s="14" t="s">
        <v>16</v>
      </c>
      <c r="D32" s="930" t="s">
        <v>1243</v>
      </c>
      <c r="E32" s="931"/>
      <c r="F32" s="14"/>
      <c r="G32" s="30"/>
      <c r="H32" s="30"/>
    </row>
    <row r="33" spans="1:8">
      <c r="A33" s="5" t="s">
        <v>21</v>
      </c>
      <c r="B33" s="5"/>
      <c r="C33" s="5" t="s">
        <v>625</v>
      </c>
      <c r="D33" s="924" t="s">
        <v>1244</v>
      </c>
      <c r="E33" s="925"/>
      <c r="F33" s="5" t="s">
        <v>1941</v>
      </c>
      <c r="G33" s="21">
        <v>224.25</v>
      </c>
      <c r="H33" s="21">
        <v>0</v>
      </c>
    </row>
    <row r="34" spans="1:8" ht="12.15" customHeight="1">
      <c r="D34" s="926" t="s">
        <v>2060</v>
      </c>
      <c r="E34" s="927"/>
      <c r="F34" s="927"/>
      <c r="G34" s="57">
        <v>224.25</v>
      </c>
    </row>
    <row r="35" spans="1:8">
      <c r="A35" s="5" t="s">
        <v>22</v>
      </c>
      <c r="B35" s="5"/>
      <c r="C35" s="5" t="s">
        <v>626</v>
      </c>
      <c r="D35" s="924" t="s">
        <v>1245</v>
      </c>
      <c r="E35" s="925"/>
      <c r="F35" s="5" t="s">
        <v>1941</v>
      </c>
      <c r="G35" s="21">
        <v>80.760000000000005</v>
      </c>
      <c r="H35" s="21">
        <v>0</v>
      </c>
    </row>
    <row r="36" spans="1:8" ht="12.15" customHeight="1">
      <c r="D36" s="926" t="s">
        <v>2061</v>
      </c>
      <c r="E36" s="927"/>
      <c r="F36" s="927"/>
      <c r="G36" s="57">
        <v>80.760000000000005</v>
      </c>
    </row>
    <row r="37" spans="1:8">
      <c r="A37" s="14"/>
      <c r="B37" s="14"/>
      <c r="C37" s="14" t="s">
        <v>17</v>
      </c>
      <c r="D37" s="930" t="s">
        <v>1246</v>
      </c>
      <c r="E37" s="931"/>
      <c r="F37" s="14"/>
      <c r="G37" s="30"/>
      <c r="H37" s="30"/>
    </row>
    <row r="38" spans="1:8">
      <c r="A38" s="5" t="s">
        <v>23</v>
      </c>
      <c r="B38" s="5"/>
      <c r="C38" s="5" t="s">
        <v>627</v>
      </c>
      <c r="D38" s="924" t="s">
        <v>1247</v>
      </c>
      <c r="E38" s="925"/>
      <c r="F38" s="5" t="s">
        <v>1941</v>
      </c>
      <c r="G38" s="21">
        <v>45.543999999999997</v>
      </c>
      <c r="H38" s="21">
        <v>0</v>
      </c>
    </row>
    <row r="39" spans="1:8" ht="12.15" customHeight="1">
      <c r="D39" s="926" t="s">
        <v>2062</v>
      </c>
      <c r="E39" s="927"/>
      <c r="F39" s="927"/>
      <c r="G39" s="57">
        <v>3.2</v>
      </c>
    </row>
    <row r="40" spans="1:8" ht="12.15" customHeight="1">
      <c r="A40" s="5"/>
      <c r="B40" s="5"/>
      <c r="C40" s="5"/>
      <c r="D40" s="926" t="s">
        <v>2063</v>
      </c>
      <c r="E40" s="927"/>
      <c r="F40" s="926"/>
      <c r="G40" s="57">
        <v>11.72</v>
      </c>
      <c r="H40" s="34"/>
    </row>
    <row r="41" spans="1:8" ht="12.15" customHeight="1">
      <c r="A41" s="5"/>
      <c r="B41" s="5"/>
      <c r="C41" s="5"/>
      <c r="D41" s="926" t="s">
        <v>2064</v>
      </c>
      <c r="E41" s="927"/>
      <c r="F41" s="926"/>
      <c r="G41" s="57">
        <v>30.623999999999999</v>
      </c>
      <c r="H41" s="34"/>
    </row>
    <row r="42" spans="1:8">
      <c r="A42" s="5" t="s">
        <v>24</v>
      </c>
      <c r="B42" s="5"/>
      <c r="C42" s="5" t="s">
        <v>628</v>
      </c>
      <c r="D42" s="924" t="s">
        <v>1248</v>
      </c>
      <c r="E42" s="925"/>
      <c r="F42" s="5" t="s">
        <v>1941</v>
      </c>
      <c r="G42" s="21">
        <v>2685</v>
      </c>
      <c r="H42" s="21">
        <v>0</v>
      </c>
    </row>
    <row r="43" spans="1:8" ht="12.15" customHeight="1">
      <c r="D43" s="926" t="s">
        <v>2065</v>
      </c>
      <c r="E43" s="927"/>
      <c r="F43" s="927"/>
      <c r="G43" s="57">
        <v>2685</v>
      </c>
    </row>
    <row r="44" spans="1:8">
      <c r="A44" s="14"/>
      <c r="B44" s="14"/>
      <c r="C44" s="14" t="s">
        <v>19</v>
      </c>
      <c r="D44" s="930" t="s">
        <v>1249</v>
      </c>
      <c r="E44" s="931"/>
      <c r="F44" s="14"/>
      <c r="G44" s="30"/>
      <c r="H44" s="30"/>
    </row>
    <row r="45" spans="1:8">
      <c r="A45" s="5" t="s">
        <v>25</v>
      </c>
      <c r="B45" s="5"/>
      <c r="C45" s="5" t="s">
        <v>629</v>
      </c>
      <c r="D45" s="924" t="s">
        <v>1250</v>
      </c>
      <c r="E45" s="925"/>
      <c r="F45" s="5" t="s">
        <v>1940</v>
      </c>
      <c r="G45" s="21">
        <v>187.45</v>
      </c>
      <c r="H45" s="21">
        <v>0</v>
      </c>
    </row>
    <row r="46" spans="1:8" ht="12.15" customHeight="1">
      <c r="D46" s="926" t="s">
        <v>5821</v>
      </c>
      <c r="E46" s="927"/>
      <c r="F46" s="927"/>
      <c r="G46" s="57">
        <v>187.45</v>
      </c>
    </row>
    <row r="47" spans="1:8">
      <c r="A47" s="14"/>
      <c r="B47" s="14"/>
      <c r="C47" s="14" t="s">
        <v>20</v>
      </c>
      <c r="D47" s="930" t="s">
        <v>1251</v>
      </c>
      <c r="E47" s="931"/>
      <c r="F47" s="14"/>
      <c r="G47" s="30"/>
      <c r="H47" s="30"/>
    </row>
    <row r="48" spans="1:8">
      <c r="A48" s="5" t="s">
        <v>26</v>
      </c>
      <c r="B48" s="5"/>
      <c r="C48" s="5" t="s">
        <v>630</v>
      </c>
      <c r="D48" s="924" t="s">
        <v>1252</v>
      </c>
      <c r="E48" s="925"/>
      <c r="F48" s="5" t="s">
        <v>1941</v>
      </c>
      <c r="G48" s="21">
        <v>4513.76</v>
      </c>
      <c r="H48" s="21">
        <v>0</v>
      </c>
    </row>
    <row r="49" spans="1:8" ht="12.15" customHeight="1">
      <c r="D49" s="926" t="s">
        <v>2066</v>
      </c>
      <c r="E49" s="927"/>
      <c r="F49" s="927"/>
      <c r="G49" s="57">
        <v>2685</v>
      </c>
    </row>
    <row r="50" spans="1:8" ht="12.15" customHeight="1">
      <c r="A50" s="5"/>
      <c r="B50" s="5"/>
      <c r="C50" s="5"/>
      <c r="D50" s="926" t="s">
        <v>2067</v>
      </c>
      <c r="E50" s="927"/>
      <c r="F50" s="926"/>
      <c r="G50" s="57">
        <v>1748</v>
      </c>
      <c r="H50" s="34"/>
    </row>
    <row r="51" spans="1:8" ht="12.15" customHeight="1">
      <c r="A51" s="5"/>
      <c r="B51" s="5"/>
      <c r="C51" s="5"/>
      <c r="D51" s="926" t="s">
        <v>2068</v>
      </c>
      <c r="E51" s="927"/>
      <c r="F51" s="926"/>
      <c r="G51" s="57">
        <v>80.760000000000005</v>
      </c>
      <c r="H51" s="34"/>
    </row>
    <row r="52" spans="1:8">
      <c r="A52" s="5" t="s">
        <v>27</v>
      </c>
      <c r="B52" s="5"/>
      <c r="C52" s="5" t="s">
        <v>631</v>
      </c>
      <c r="D52" s="924" t="s">
        <v>1253</v>
      </c>
      <c r="E52" s="925"/>
      <c r="F52" s="5" t="s">
        <v>1941</v>
      </c>
      <c r="G52" s="21">
        <v>1748</v>
      </c>
      <c r="H52" s="21">
        <v>0</v>
      </c>
    </row>
    <row r="53" spans="1:8" ht="12.15" customHeight="1">
      <c r="D53" s="926" t="s">
        <v>2069</v>
      </c>
      <c r="E53" s="927"/>
      <c r="F53" s="927"/>
      <c r="G53" s="57">
        <v>1748</v>
      </c>
    </row>
    <row r="54" spans="1:8">
      <c r="A54" s="14"/>
      <c r="B54" s="14"/>
      <c r="C54" s="14" t="s">
        <v>21</v>
      </c>
      <c r="D54" s="930" t="s">
        <v>1254</v>
      </c>
      <c r="E54" s="931"/>
      <c r="F54" s="14"/>
      <c r="G54" s="30"/>
      <c r="H54" s="30"/>
    </row>
    <row r="55" spans="1:8">
      <c r="A55" s="5" t="s">
        <v>28</v>
      </c>
      <c r="B55" s="5"/>
      <c r="C55" s="5" t="s">
        <v>632</v>
      </c>
      <c r="D55" s="924" t="s">
        <v>1255</v>
      </c>
      <c r="E55" s="925"/>
      <c r="F55" s="5" t="s">
        <v>1941</v>
      </c>
      <c r="G55" s="21">
        <v>3.2</v>
      </c>
      <c r="H55" s="21">
        <v>0</v>
      </c>
    </row>
    <row r="56" spans="1:8" ht="12.15" customHeight="1">
      <c r="D56" s="926" t="s">
        <v>2062</v>
      </c>
      <c r="E56" s="927"/>
      <c r="F56" s="927"/>
      <c r="G56" s="57">
        <v>3.2</v>
      </c>
    </row>
    <row r="57" spans="1:8">
      <c r="A57" s="5" t="s">
        <v>29</v>
      </c>
      <c r="B57" s="5"/>
      <c r="C57" s="5" t="s">
        <v>633</v>
      </c>
      <c r="D57" s="924" t="s">
        <v>1256</v>
      </c>
      <c r="E57" s="925"/>
      <c r="F57" s="5" t="s">
        <v>1941</v>
      </c>
      <c r="G57" s="21">
        <v>1748</v>
      </c>
      <c r="H57" s="21">
        <v>0</v>
      </c>
    </row>
    <row r="58" spans="1:8" ht="12.15" customHeight="1">
      <c r="D58" s="926" t="s">
        <v>2070</v>
      </c>
      <c r="E58" s="927"/>
      <c r="F58" s="927"/>
      <c r="G58" s="57">
        <v>1748</v>
      </c>
    </row>
    <row r="59" spans="1:8">
      <c r="A59" s="14"/>
      <c r="B59" s="14"/>
      <c r="C59" s="14" t="s">
        <v>25</v>
      </c>
      <c r="D59" s="930" t="s">
        <v>1257</v>
      </c>
      <c r="E59" s="931"/>
      <c r="F59" s="14"/>
      <c r="G59" s="30"/>
      <c r="H59" s="30"/>
    </row>
    <row r="60" spans="1:8">
      <c r="A60" s="5" t="s">
        <v>30</v>
      </c>
      <c r="B60" s="5"/>
      <c r="C60" s="5" t="s">
        <v>634</v>
      </c>
      <c r="D60" s="924" t="s">
        <v>1258</v>
      </c>
      <c r="E60" s="925"/>
      <c r="F60" s="5" t="s">
        <v>1941</v>
      </c>
      <c r="G60" s="21">
        <v>17</v>
      </c>
      <c r="H60" s="21">
        <v>0</v>
      </c>
    </row>
    <row r="61" spans="1:8" ht="12.15" customHeight="1">
      <c r="D61" s="926" t="s">
        <v>2071</v>
      </c>
      <c r="E61" s="927"/>
      <c r="F61" s="927"/>
      <c r="G61" s="57">
        <v>17</v>
      </c>
    </row>
    <row r="62" spans="1:8">
      <c r="A62" s="5" t="s">
        <v>31</v>
      </c>
      <c r="B62" s="5"/>
      <c r="C62" s="5" t="s">
        <v>635</v>
      </c>
      <c r="D62" s="924" t="s">
        <v>1259</v>
      </c>
      <c r="E62" s="925"/>
      <c r="F62" s="5" t="s">
        <v>1939</v>
      </c>
      <c r="G62" s="21">
        <v>218</v>
      </c>
      <c r="H62" s="21">
        <v>0</v>
      </c>
    </row>
    <row r="63" spans="1:8" ht="12.15" customHeight="1">
      <c r="D63" s="926" t="s">
        <v>2072</v>
      </c>
      <c r="E63" s="927"/>
      <c r="F63" s="927"/>
      <c r="G63" s="57">
        <v>0</v>
      </c>
    </row>
    <row r="64" spans="1:8" ht="12.15" customHeight="1">
      <c r="A64" s="5"/>
      <c r="B64" s="5"/>
      <c r="C64" s="5"/>
      <c r="D64" s="926" t="s">
        <v>2073</v>
      </c>
      <c r="E64" s="927"/>
      <c r="F64" s="926"/>
      <c r="G64" s="57">
        <v>185</v>
      </c>
      <c r="H64" s="34"/>
    </row>
    <row r="65" spans="1:8" ht="12.15" customHeight="1">
      <c r="A65" s="5"/>
      <c r="B65" s="5"/>
      <c r="C65" s="5"/>
      <c r="D65" s="926" t="s">
        <v>2074</v>
      </c>
      <c r="E65" s="927"/>
      <c r="F65" s="926"/>
      <c r="G65" s="57">
        <v>33</v>
      </c>
      <c r="H65" s="34"/>
    </row>
    <row r="66" spans="1:8">
      <c r="A66" s="6" t="s">
        <v>32</v>
      </c>
      <c r="B66" s="6"/>
      <c r="C66" s="6" t="s">
        <v>636</v>
      </c>
      <c r="D66" s="928" t="s">
        <v>1260</v>
      </c>
      <c r="E66" s="929"/>
      <c r="F66" s="6" t="s">
        <v>1939</v>
      </c>
      <c r="G66" s="22">
        <v>33</v>
      </c>
      <c r="H66" s="22">
        <v>0</v>
      </c>
    </row>
    <row r="67" spans="1:8">
      <c r="A67" s="6" t="s">
        <v>33</v>
      </c>
      <c r="B67" s="6"/>
      <c r="C67" s="6" t="s">
        <v>637</v>
      </c>
      <c r="D67" s="928" t="s">
        <v>1261</v>
      </c>
      <c r="E67" s="929"/>
      <c r="F67" s="6" t="s">
        <v>1939</v>
      </c>
      <c r="G67" s="22">
        <v>185</v>
      </c>
      <c r="H67" s="22">
        <v>0</v>
      </c>
    </row>
    <row r="68" spans="1:8">
      <c r="A68" s="14"/>
      <c r="B68" s="14"/>
      <c r="C68" s="14" t="s">
        <v>26</v>
      </c>
      <c r="D68" s="930" t="s">
        <v>1262</v>
      </c>
      <c r="E68" s="931"/>
      <c r="F68" s="14"/>
      <c r="G68" s="30"/>
      <c r="H68" s="30"/>
    </row>
    <row r="69" spans="1:8">
      <c r="A69" s="5" t="s">
        <v>34</v>
      </c>
      <c r="B69" s="5"/>
      <c r="C69" s="5" t="s">
        <v>638</v>
      </c>
      <c r="D69" s="924" t="s">
        <v>1263</v>
      </c>
      <c r="E69" s="925"/>
      <c r="F69" s="5" t="s">
        <v>1942</v>
      </c>
      <c r="G69" s="21">
        <v>7.98</v>
      </c>
      <c r="H69" s="21">
        <v>0</v>
      </c>
    </row>
    <row r="70" spans="1:8" ht="12.15" customHeight="1">
      <c r="D70" s="926" t="s">
        <v>2075</v>
      </c>
      <c r="E70" s="927"/>
      <c r="F70" s="927"/>
      <c r="G70" s="57">
        <v>0</v>
      </c>
    </row>
    <row r="71" spans="1:8" ht="12.15" customHeight="1">
      <c r="A71" s="5"/>
      <c r="B71" s="5"/>
      <c r="C71" s="5"/>
      <c r="D71" s="926" t="s">
        <v>2076</v>
      </c>
      <c r="E71" s="927"/>
      <c r="F71" s="926"/>
      <c r="G71" s="57">
        <v>0.67500000000000004</v>
      </c>
      <c r="H71" s="34"/>
    </row>
    <row r="72" spans="1:8" ht="12.15" customHeight="1">
      <c r="A72" s="5"/>
      <c r="B72" s="5"/>
      <c r="C72" s="5"/>
      <c r="D72" s="926" t="s">
        <v>2077</v>
      </c>
      <c r="E72" s="927"/>
      <c r="F72" s="926"/>
      <c r="G72" s="57">
        <v>1.056</v>
      </c>
      <c r="H72" s="34"/>
    </row>
    <row r="73" spans="1:8" ht="12.15" customHeight="1">
      <c r="A73" s="5"/>
      <c r="B73" s="5"/>
      <c r="C73" s="5"/>
      <c r="D73" s="926" t="s">
        <v>2078</v>
      </c>
      <c r="E73" s="927"/>
      <c r="F73" s="926"/>
      <c r="G73" s="57">
        <v>1.43</v>
      </c>
      <c r="H73" s="34"/>
    </row>
    <row r="74" spans="1:8" ht="12.15" customHeight="1">
      <c r="A74" s="5"/>
      <c r="B74" s="5"/>
      <c r="C74" s="5"/>
      <c r="D74" s="926" t="s">
        <v>2079</v>
      </c>
      <c r="E74" s="927"/>
      <c r="F74" s="926"/>
      <c r="G74" s="57">
        <v>1.88</v>
      </c>
      <c r="H74" s="34"/>
    </row>
    <row r="75" spans="1:8" ht="12.15" customHeight="1">
      <c r="A75" s="5"/>
      <c r="B75" s="5"/>
      <c r="C75" s="5"/>
      <c r="D75" s="926" t="s">
        <v>2080</v>
      </c>
      <c r="E75" s="927"/>
      <c r="F75" s="926"/>
      <c r="G75" s="57">
        <v>2.9390000000000001</v>
      </c>
      <c r="H75" s="34"/>
    </row>
    <row r="76" spans="1:8">
      <c r="A76" s="5" t="s">
        <v>35</v>
      </c>
      <c r="B76" s="5"/>
      <c r="C76" s="5" t="s">
        <v>639</v>
      </c>
      <c r="D76" s="924" t="s">
        <v>1264</v>
      </c>
      <c r="E76" s="925"/>
      <c r="F76" s="5" t="s">
        <v>1939</v>
      </c>
      <c r="G76" s="21">
        <v>277</v>
      </c>
      <c r="H76" s="21">
        <v>0</v>
      </c>
    </row>
    <row r="77" spans="1:8" ht="12.15" customHeight="1">
      <c r="D77" s="926" t="s">
        <v>2081</v>
      </c>
      <c r="E77" s="927"/>
      <c r="F77" s="927"/>
      <c r="G77" s="57">
        <v>0</v>
      </c>
    </row>
    <row r="78" spans="1:8" ht="12.15" customHeight="1">
      <c r="A78" s="5"/>
      <c r="B78" s="5"/>
      <c r="C78" s="5"/>
      <c r="D78" s="926" t="s">
        <v>2082</v>
      </c>
      <c r="E78" s="927"/>
      <c r="F78" s="926"/>
      <c r="G78" s="57">
        <v>31.5</v>
      </c>
      <c r="H78" s="34"/>
    </row>
    <row r="79" spans="1:8" ht="12.15" customHeight="1">
      <c r="A79" s="5"/>
      <c r="B79" s="5"/>
      <c r="C79" s="5"/>
      <c r="D79" s="926" t="s">
        <v>2083</v>
      </c>
      <c r="E79" s="927"/>
      <c r="F79" s="926"/>
      <c r="G79" s="57">
        <v>48</v>
      </c>
      <c r="H79" s="34"/>
    </row>
    <row r="80" spans="1:8" ht="12.15" customHeight="1">
      <c r="A80" s="5"/>
      <c r="B80" s="5"/>
      <c r="C80" s="5"/>
      <c r="D80" s="926" t="s">
        <v>2084</v>
      </c>
      <c r="E80" s="927"/>
      <c r="F80" s="926"/>
      <c r="G80" s="57">
        <v>71.5</v>
      </c>
      <c r="H80" s="34"/>
    </row>
    <row r="81" spans="1:8" ht="12.15" customHeight="1">
      <c r="A81" s="5"/>
      <c r="B81" s="5"/>
      <c r="C81" s="5"/>
      <c r="D81" s="926" t="s">
        <v>2085</v>
      </c>
      <c r="E81" s="927"/>
      <c r="F81" s="926"/>
      <c r="G81" s="57">
        <v>90</v>
      </c>
      <c r="H81" s="34"/>
    </row>
    <row r="82" spans="1:8" ht="12.15" customHeight="1">
      <c r="A82" s="5"/>
      <c r="B82" s="5"/>
      <c r="C82" s="5"/>
      <c r="D82" s="926" t="s">
        <v>2086</v>
      </c>
      <c r="E82" s="927"/>
      <c r="F82" s="926"/>
      <c r="G82" s="57">
        <v>36</v>
      </c>
      <c r="H82" s="34"/>
    </row>
    <row r="83" spans="1:8">
      <c r="A83" s="5" t="s">
        <v>36</v>
      </c>
      <c r="B83" s="5"/>
      <c r="C83" s="5" t="s">
        <v>640</v>
      </c>
      <c r="D83" s="924" t="s">
        <v>1265</v>
      </c>
      <c r="E83" s="925"/>
      <c r="F83" s="5" t="s">
        <v>1941</v>
      </c>
      <c r="G83" s="21">
        <v>233.25098</v>
      </c>
      <c r="H83" s="21">
        <v>0</v>
      </c>
    </row>
    <row r="84" spans="1:8" ht="12.15" customHeight="1">
      <c r="D84" s="926" t="s">
        <v>2081</v>
      </c>
      <c r="E84" s="927"/>
      <c r="F84" s="927"/>
      <c r="G84" s="57">
        <v>0</v>
      </c>
    </row>
    <row r="85" spans="1:8" ht="12.15" customHeight="1">
      <c r="A85" s="5"/>
      <c r="B85" s="5"/>
      <c r="C85" s="5"/>
      <c r="D85" s="926" t="s">
        <v>2087</v>
      </c>
      <c r="E85" s="927"/>
      <c r="F85" s="926"/>
      <c r="G85" s="57">
        <v>35.607599999999998</v>
      </c>
      <c r="H85" s="34"/>
    </row>
    <row r="86" spans="1:8" ht="12.15" customHeight="1">
      <c r="A86" s="5"/>
      <c r="B86" s="5"/>
      <c r="C86" s="5"/>
      <c r="D86" s="926" t="s">
        <v>2088</v>
      </c>
      <c r="E86" s="927"/>
      <c r="F86" s="926"/>
      <c r="G86" s="57">
        <v>54.2592</v>
      </c>
      <c r="H86" s="34"/>
    </row>
    <row r="87" spans="1:8" ht="12.15" customHeight="1">
      <c r="A87" s="5"/>
      <c r="B87" s="5"/>
      <c r="C87" s="5"/>
      <c r="D87" s="926" t="s">
        <v>2089</v>
      </c>
      <c r="E87" s="927"/>
      <c r="F87" s="926"/>
      <c r="G87" s="57">
        <v>45.463279999999997</v>
      </c>
      <c r="H87" s="34"/>
    </row>
    <row r="88" spans="1:8" ht="12.15" customHeight="1">
      <c r="A88" s="5"/>
      <c r="B88" s="5"/>
      <c r="C88" s="5"/>
      <c r="D88" s="926" t="s">
        <v>2090</v>
      </c>
      <c r="E88" s="927"/>
      <c r="F88" s="926"/>
      <c r="G88" s="57">
        <v>57.226500000000001</v>
      </c>
      <c r="H88" s="34"/>
    </row>
    <row r="89" spans="1:8" ht="12.15" customHeight="1">
      <c r="A89" s="5"/>
      <c r="B89" s="5"/>
      <c r="C89" s="5"/>
      <c r="D89" s="926" t="s">
        <v>2091</v>
      </c>
      <c r="E89" s="927"/>
      <c r="F89" s="926"/>
      <c r="G89" s="57">
        <v>40.694400000000002</v>
      </c>
      <c r="H89" s="34"/>
    </row>
    <row r="90" spans="1:8">
      <c r="A90" s="14"/>
      <c r="B90" s="14"/>
      <c r="C90" s="14" t="s">
        <v>30</v>
      </c>
      <c r="D90" s="930" t="s">
        <v>1266</v>
      </c>
      <c r="E90" s="931"/>
      <c r="F90" s="14"/>
      <c r="G90" s="30"/>
      <c r="H90" s="30"/>
    </row>
    <row r="91" spans="1:8">
      <c r="A91" s="5" t="s">
        <v>37</v>
      </c>
      <c r="B91" s="5"/>
      <c r="C91" s="5" t="s">
        <v>641</v>
      </c>
      <c r="D91" s="924" t="s">
        <v>1267</v>
      </c>
      <c r="E91" s="925"/>
      <c r="F91" s="5" t="s">
        <v>1939</v>
      </c>
      <c r="G91" s="21">
        <v>277</v>
      </c>
      <c r="H91" s="21">
        <v>0</v>
      </c>
    </row>
    <row r="92" spans="1:8" ht="12.15" customHeight="1">
      <c r="D92" s="926" t="s">
        <v>2081</v>
      </c>
      <c r="E92" s="927"/>
      <c r="F92" s="927"/>
      <c r="G92" s="57">
        <v>0</v>
      </c>
    </row>
    <row r="93" spans="1:8" ht="12.15" customHeight="1">
      <c r="A93" s="5"/>
      <c r="B93" s="5"/>
      <c r="C93" s="5"/>
      <c r="D93" s="926" t="s">
        <v>2082</v>
      </c>
      <c r="E93" s="927"/>
      <c r="F93" s="926"/>
      <c r="G93" s="57">
        <v>31.5</v>
      </c>
      <c r="H93" s="34"/>
    </row>
    <row r="94" spans="1:8" ht="12.15" customHeight="1">
      <c r="A94" s="5"/>
      <c r="B94" s="5"/>
      <c r="C94" s="5"/>
      <c r="D94" s="926" t="s">
        <v>2083</v>
      </c>
      <c r="E94" s="927"/>
      <c r="F94" s="926"/>
      <c r="G94" s="57">
        <v>48</v>
      </c>
      <c r="H94" s="34"/>
    </row>
    <row r="95" spans="1:8" ht="12.15" customHeight="1">
      <c r="A95" s="5"/>
      <c r="B95" s="5"/>
      <c r="C95" s="5"/>
      <c r="D95" s="926" t="s">
        <v>2084</v>
      </c>
      <c r="E95" s="927"/>
      <c r="F95" s="926"/>
      <c r="G95" s="57">
        <v>71.5</v>
      </c>
      <c r="H95" s="34"/>
    </row>
    <row r="96" spans="1:8" ht="12.15" customHeight="1">
      <c r="A96" s="5"/>
      <c r="B96" s="5"/>
      <c r="C96" s="5"/>
      <c r="D96" s="926" t="s">
        <v>2085</v>
      </c>
      <c r="E96" s="927"/>
      <c r="F96" s="926"/>
      <c r="G96" s="57">
        <v>90</v>
      </c>
      <c r="H96" s="34"/>
    </row>
    <row r="97" spans="1:8" ht="12.15" customHeight="1">
      <c r="A97" s="5"/>
      <c r="B97" s="5"/>
      <c r="C97" s="5"/>
      <c r="D97" s="926" t="s">
        <v>2086</v>
      </c>
      <c r="E97" s="927"/>
      <c r="F97" s="926"/>
      <c r="G97" s="57">
        <v>36</v>
      </c>
      <c r="H97" s="34"/>
    </row>
    <row r="98" spans="1:8">
      <c r="A98" s="14"/>
      <c r="B98" s="14"/>
      <c r="C98" s="14" t="s">
        <v>31</v>
      </c>
      <c r="D98" s="930" t="s">
        <v>1268</v>
      </c>
      <c r="E98" s="931"/>
      <c r="F98" s="14"/>
      <c r="G98" s="30"/>
      <c r="H98" s="30"/>
    </row>
    <row r="99" spans="1:8">
      <c r="A99" s="5" t="s">
        <v>38</v>
      </c>
      <c r="B99" s="5"/>
      <c r="C99" s="5" t="s">
        <v>642</v>
      </c>
      <c r="D99" s="924" t="s">
        <v>1269</v>
      </c>
      <c r="E99" s="925"/>
      <c r="F99" s="5" t="s">
        <v>1942</v>
      </c>
      <c r="G99" s="21">
        <v>39.220999999999997</v>
      </c>
      <c r="H99" s="21">
        <v>0</v>
      </c>
    </row>
    <row r="100" spans="1:8" ht="12.15" customHeight="1">
      <c r="D100" s="926" t="s">
        <v>2092</v>
      </c>
      <c r="E100" s="927"/>
      <c r="F100" s="927"/>
      <c r="G100" s="57">
        <v>27.159099999999999</v>
      </c>
    </row>
    <row r="101" spans="1:8" ht="12.15" customHeight="1">
      <c r="A101" s="5"/>
      <c r="B101" s="5"/>
      <c r="C101" s="5"/>
      <c r="D101" s="926" t="s">
        <v>2093</v>
      </c>
      <c r="E101" s="927"/>
      <c r="F101" s="926"/>
      <c r="G101" s="57">
        <v>12.0619</v>
      </c>
      <c r="H101" s="34"/>
    </row>
    <row r="102" spans="1:8">
      <c r="A102" s="5" t="s">
        <v>39</v>
      </c>
      <c r="B102" s="5"/>
      <c r="C102" s="5" t="s">
        <v>643</v>
      </c>
      <c r="D102" s="924" t="s">
        <v>1270</v>
      </c>
      <c r="E102" s="925"/>
      <c r="F102" s="5" t="s">
        <v>1941</v>
      </c>
      <c r="G102" s="21">
        <v>112.62967999999999</v>
      </c>
      <c r="H102" s="21">
        <v>0</v>
      </c>
    </row>
    <row r="103" spans="1:8" ht="12.15" customHeight="1">
      <c r="D103" s="926" t="s">
        <v>2094</v>
      </c>
      <c r="E103" s="927"/>
      <c r="F103" s="927"/>
      <c r="G103" s="57">
        <v>0</v>
      </c>
    </row>
    <row r="104" spans="1:8" ht="12.15" customHeight="1">
      <c r="A104" s="5"/>
      <c r="B104" s="5"/>
      <c r="C104" s="5"/>
      <c r="D104" s="926" t="s">
        <v>2095</v>
      </c>
      <c r="E104" s="927"/>
      <c r="F104" s="926"/>
      <c r="G104" s="57">
        <v>0</v>
      </c>
      <c r="H104" s="34"/>
    </row>
    <row r="105" spans="1:8" ht="12.15" customHeight="1">
      <c r="A105" s="5"/>
      <c r="B105" s="5"/>
      <c r="C105" s="5"/>
      <c r="D105" s="926" t="s">
        <v>2096</v>
      </c>
      <c r="E105" s="927"/>
      <c r="F105" s="926"/>
      <c r="G105" s="57">
        <v>1.1734800000000001</v>
      </c>
      <c r="H105" s="34"/>
    </row>
    <row r="106" spans="1:8" ht="12.15" customHeight="1">
      <c r="A106" s="5"/>
      <c r="B106" s="5"/>
      <c r="C106" s="5"/>
      <c r="D106" s="926" t="s">
        <v>2097</v>
      </c>
      <c r="E106" s="927"/>
      <c r="F106" s="926"/>
      <c r="G106" s="57">
        <v>93.768299999999996</v>
      </c>
      <c r="H106" s="34"/>
    </row>
    <row r="107" spans="1:8" ht="12.15" customHeight="1">
      <c r="A107" s="5"/>
      <c r="B107" s="5"/>
      <c r="C107" s="5"/>
      <c r="D107" s="926" t="s">
        <v>2098</v>
      </c>
      <c r="E107" s="927"/>
      <c r="F107" s="926"/>
      <c r="G107" s="57">
        <v>3.1232000000000002</v>
      </c>
      <c r="H107" s="34"/>
    </row>
    <row r="108" spans="1:8" ht="12.15" customHeight="1">
      <c r="A108" s="5"/>
      <c r="B108" s="5"/>
      <c r="C108" s="5"/>
      <c r="D108" s="926" t="s">
        <v>2099</v>
      </c>
      <c r="E108" s="927"/>
      <c r="F108" s="926"/>
      <c r="G108" s="57">
        <v>0.78</v>
      </c>
      <c r="H108" s="34"/>
    </row>
    <row r="109" spans="1:8" ht="12.15" customHeight="1">
      <c r="A109" s="5"/>
      <c r="B109" s="5"/>
      <c r="C109" s="5"/>
      <c r="D109" s="926" t="s">
        <v>2100</v>
      </c>
      <c r="E109" s="927"/>
      <c r="F109" s="926"/>
      <c r="G109" s="57">
        <v>6.5250000000000004</v>
      </c>
      <c r="H109" s="34"/>
    </row>
    <row r="110" spans="1:8" ht="12.15" customHeight="1">
      <c r="A110" s="5"/>
      <c r="B110" s="5"/>
      <c r="C110" s="5"/>
      <c r="D110" s="926" t="s">
        <v>2101</v>
      </c>
      <c r="E110" s="927"/>
      <c r="F110" s="926"/>
      <c r="G110" s="57">
        <v>1.83</v>
      </c>
      <c r="H110" s="34"/>
    </row>
    <row r="111" spans="1:8" ht="12.15" customHeight="1">
      <c r="A111" s="5"/>
      <c r="B111" s="5"/>
      <c r="C111" s="5"/>
      <c r="D111" s="926" t="s">
        <v>2102</v>
      </c>
      <c r="E111" s="927"/>
      <c r="F111" s="926"/>
      <c r="G111" s="57">
        <v>5.4297000000000004</v>
      </c>
      <c r="H111" s="34"/>
    </row>
    <row r="112" spans="1:8">
      <c r="A112" s="5" t="s">
        <v>40</v>
      </c>
      <c r="B112" s="5"/>
      <c r="C112" s="5" t="s">
        <v>644</v>
      </c>
      <c r="D112" s="924" t="s">
        <v>1271</v>
      </c>
      <c r="E112" s="925"/>
      <c r="F112" s="5" t="s">
        <v>1940</v>
      </c>
      <c r="G112" s="21">
        <v>120.22632</v>
      </c>
      <c r="H112" s="21">
        <v>0</v>
      </c>
    </row>
    <row r="113" spans="1:8" ht="12.15" customHeight="1">
      <c r="D113" s="926" t="s">
        <v>2103</v>
      </c>
      <c r="E113" s="927"/>
      <c r="F113" s="927"/>
      <c r="G113" s="57">
        <v>0</v>
      </c>
    </row>
    <row r="114" spans="1:8" ht="12.15" customHeight="1">
      <c r="A114" s="5"/>
      <c r="B114" s="5"/>
      <c r="C114" s="5"/>
      <c r="D114" s="926" t="s">
        <v>2104</v>
      </c>
      <c r="E114" s="927"/>
      <c r="F114" s="926"/>
      <c r="G114" s="57">
        <v>2.448</v>
      </c>
      <c r="H114" s="34"/>
    </row>
    <row r="115" spans="1:8" ht="12.15" customHeight="1">
      <c r="A115" s="5"/>
      <c r="B115" s="5"/>
      <c r="C115" s="5"/>
      <c r="D115" s="926" t="s">
        <v>2105</v>
      </c>
      <c r="E115" s="927"/>
      <c r="F115" s="926"/>
      <c r="G115" s="57">
        <v>26.820599999999999</v>
      </c>
      <c r="H115" s="34"/>
    </row>
    <row r="116" spans="1:8" ht="12.15" customHeight="1">
      <c r="A116" s="5"/>
      <c r="B116" s="5"/>
      <c r="C116" s="5"/>
      <c r="D116" s="926" t="s">
        <v>2106</v>
      </c>
      <c r="E116" s="927"/>
      <c r="F116" s="926"/>
      <c r="G116" s="57">
        <v>13.83</v>
      </c>
      <c r="H116" s="34"/>
    </row>
    <row r="117" spans="1:8" ht="12.15" customHeight="1">
      <c r="A117" s="5"/>
      <c r="B117" s="5"/>
      <c r="C117" s="5"/>
      <c r="D117" s="926" t="s">
        <v>2107</v>
      </c>
      <c r="E117" s="927"/>
      <c r="F117" s="926"/>
      <c r="G117" s="57">
        <v>13.2</v>
      </c>
      <c r="H117" s="34"/>
    </row>
    <row r="118" spans="1:8" ht="12.15" customHeight="1">
      <c r="A118" s="5"/>
      <c r="B118" s="5"/>
      <c r="C118" s="5"/>
      <c r="D118" s="926" t="s">
        <v>2108</v>
      </c>
      <c r="E118" s="927"/>
      <c r="F118" s="926"/>
      <c r="G118" s="57">
        <v>10.385999999999999</v>
      </c>
      <c r="H118" s="34"/>
    </row>
    <row r="119" spans="1:8" ht="12.15" customHeight="1">
      <c r="A119" s="5"/>
      <c r="B119" s="5"/>
      <c r="C119" s="5"/>
      <c r="D119" s="926" t="s">
        <v>2109</v>
      </c>
      <c r="E119" s="927"/>
      <c r="F119" s="926"/>
      <c r="G119" s="57">
        <v>28.303999999999998</v>
      </c>
      <c r="H119" s="34"/>
    </row>
    <row r="120" spans="1:8" ht="12.15" customHeight="1">
      <c r="A120" s="5"/>
      <c r="B120" s="5"/>
      <c r="C120" s="5"/>
      <c r="D120" s="926" t="s">
        <v>2110</v>
      </c>
      <c r="E120" s="927"/>
      <c r="F120" s="926"/>
      <c r="G120" s="57">
        <v>5.2</v>
      </c>
      <c r="H120" s="34"/>
    </row>
    <row r="121" spans="1:8" ht="12.15" customHeight="1">
      <c r="A121" s="5"/>
      <c r="B121" s="5"/>
      <c r="C121" s="5"/>
      <c r="D121" s="926" t="s">
        <v>2111</v>
      </c>
      <c r="E121" s="927"/>
      <c r="F121" s="926"/>
      <c r="G121" s="57">
        <v>20.03772</v>
      </c>
      <c r="H121" s="34"/>
    </row>
    <row r="122" spans="1:8">
      <c r="A122" s="5" t="s">
        <v>41</v>
      </c>
      <c r="B122" s="5"/>
      <c r="C122" s="5" t="s">
        <v>645</v>
      </c>
      <c r="D122" s="924" t="s">
        <v>1272</v>
      </c>
      <c r="E122" s="925"/>
      <c r="F122" s="5" t="s">
        <v>1940</v>
      </c>
      <c r="G122" s="21">
        <v>120.22632</v>
      </c>
      <c r="H122" s="21">
        <v>0</v>
      </c>
    </row>
    <row r="123" spans="1:8">
      <c r="A123" s="5" t="s">
        <v>42</v>
      </c>
      <c r="B123" s="5"/>
      <c r="C123" s="5" t="s">
        <v>646</v>
      </c>
      <c r="D123" s="924" t="s">
        <v>1273</v>
      </c>
      <c r="E123" s="925"/>
      <c r="F123" s="5" t="s">
        <v>1941</v>
      </c>
      <c r="G123" s="21">
        <v>4.05</v>
      </c>
      <c r="H123" s="21">
        <v>0</v>
      </c>
    </row>
    <row r="124" spans="1:8" ht="12.15" customHeight="1">
      <c r="D124" s="926" t="s">
        <v>2112</v>
      </c>
      <c r="E124" s="927"/>
      <c r="F124" s="927"/>
      <c r="G124" s="57">
        <v>0</v>
      </c>
    </row>
    <row r="125" spans="1:8" ht="12.15" customHeight="1">
      <c r="A125" s="5"/>
      <c r="B125" s="5"/>
      <c r="C125" s="5"/>
      <c r="D125" s="926" t="s">
        <v>2113</v>
      </c>
      <c r="E125" s="927"/>
      <c r="F125" s="926"/>
      <c r="G125" s="57">
        <v>3.2</v>
      </c>
      <c r="H125" s="34"/>
    </row>
    <row r="126" spans="1:8" ht="12.15" customHeight="1">
      <c r="A126" s="5"/>
      <c r="B126" s="5"/>
      <c r="C126" s="5"/>
      <c r="D126" s="926" t="s">
        <v>2114</v>
      </c>
      <c r="E126" s="927"/>
      <c r="F126" s="926"/>
      <c r="G126" s="57">
        <v>0.85</v>
      </c>
      <c r="H126" s="34"/>
    </row>
    <row r="127" spans="1:8">
      <c r="A127" s="5" t="s">
        <v>43</v>
      </c>
      <c r="B127" s="5"/>
      <c r="C127" s="5" t="s">
        <v>647</v>
      </c>
      <c r="D127" s="924" t="s">
        <v>1274</v>
      </c>
      <c r="E127" s="925"/>
      <c r="F127" s="5" t="s">
        <v>1940</v>
      </c>
      <c r="G127" s="21">
        <v>16.2</v>
      </c>
      <c r="H127" s="21">
        <v>0</v>
      </c>
    </row>
    <row r="128" spans="1:8" ht="12.15" customHeight="1">
      <c r="D128" s="926" t="s">
        <v>2115</v>
      </c>
      <c r="E128" s="927"/>
      <c r="F128" s="927"/>
      <c r="G128" s="57">
        <v>16.2</v>
      </c>
    </row>
    <row r="129" spans="1:8">
      <c r="A129" s="5" t="s">
        <v>44</v>
      </c>
      <c r="B129" s="5"/>
      <c r="C129" s="5" t="s">
        <v>648</v>
      </c>
      <c r="D129" s="924" t="s">
        <v>1275</v>
      </c>
      <c r="E129" s="925"/>
      <c r="F129" s="5" t="s">
        <v>1940</v>
      </c>
      <c r="G129" s="21">
        <v>16.2</v>
      </c>
      <c r="H129" s="21">
        <v>0</v>
      </c>
    </row>
    <row r="130" spans="1:8">
      <c r="A130" s="5" t="s">
        <v>45</v>
      </c>
      <c r="B130" s="5"/>
      <c r="C130" s="5" t="s">
        <v>649</v>
      </c>
      <c r="D130" s="924" t="s">
        <v>1276</v>
      </c>
      <c r="E130" s="925"/>
      <c r="F130" s="5" t="s">
        <v>1941</v>
      </c>
      <c r="G130" s="21">
        <v>34.583030000000001</v>
      </c>
      <c r="H130" s="21">
        <v>0</v>
      </c>
    </row>
    <row r="131" spans="1:8" ht="12.15" customHeight="1">
      <c r="D131" s="926" t="s">
        <v>2116</v>
      </c>
      <c r="E131" s="927"/>
      <c r="F131" s="927"/>
      <c r="G131" s="57">
        <v>0</v>
      </c>
    </row>
    <row r="132" spans="1:8" ht="12.15" customHeight="1">
      <c r="A132" s="5"/>
      <c r="B132" s="5"/>
      <c r="C132" s="5"/>
      <c r="D132" s="926" t="s">
        <v>2117</v>
      </c>
      <c r="E132" s="927"/>
      <c r="F132" s="926"/>
      <c r="G132" s="57">
        <v>1.75823</v>
      </c>
      <c r="H132" s="34"/>
    </row>
    <row r="133" spans="1:8" ht="12.15" customHeight="1">
      <c r="A133" s="5"/>
      <c r="B133" s="5"/>
      <c r="C133" s="5"/>
      <c r="D133" s="926" t="s">
        <v>2118</v>
      </c>
      <c r="E133" s="927"/>
      <c r="F133" s="926"/>
      <c r="G133" s="57">
        <v>12.2448</v>
      </c>
      <c r="H133" s="34"/>
    </row>
    <row r="134" spans="1:8" ht="12.15" customHeight="1">
      <c r="A134" s="5"/>
      <c r="B134" s="5"/>
      <c r="C134" s="5"/>
      <c r="D134" s="926" t="s">
        <v>2119</v>
      </c>
      <c r="E134" s="927"/>
      <c r="F134" s="926"/>
      <c r="G134" s="57">
        <v>20.58</v>
      </c>
      <c r="H134" s="34"/>
    </row>
    <row r="135" spans="1:8">
      <c r="A135" s="5" t="s">
        <v>46</v>
      </c>
      <c r="B135" s="5"/>
      <c r="C135" s="5" t="s">
        <v>650</v>
      </c>
      <c r="D135" s="924" t="s">
        <v>1277</v>
      </c>
      <c r="E135" s="925"/>
      <c r="F135" s="5" t="s">
        <v>1940</v>
      </c>
      <c r="G135" s="21">
        <v>116.5835</v>
      </c>
      <c r="H135" s="21">
        <v>0</v>
      </c>
    </row>
    <row r="136" spans="1:8" ht="12.15" customHeight="1">
      <c r="D136" s="926" t="s">
        <v>2112</v>
      </c>
      <c r="E136" s="927"/>
      <c r="F136" s="927"/>
      <c r="G136" s="57">
        <v>0</v>
      </c>
    </row>
    <row r="137" spans="1:8" ht="12.15" customHeight="1">
      <c r="A137" s="5"/>
      <c r="B137" s="5"/>
      <c r="C137" s="5"/>
      <c r="D137" s="926" t="s">
        <v>2120</v>
      </c>
      <c r="E137" s="927"/>
      <c r="F137" s="926"/>
      <c r="G137" s="57">
        <v>11.721500000000001</v>
      </c>
      <c r="H137" s="34"/>
    </row>
    <row r="138" spans="1:8" ht="12.15" customHeight="1">
      <c r="A138" s="5"/>
      <c r="B138" s="5"/>
      <c r="C138" s="5"/>
      <c r="D138" s="926" t="s">
        <v>2121</v>
      </c>
      <c r="E138" s="927"/>
      <c r="F138" s="926"/>
      <c r="G138" s="57">
        <v>42.601999999999997</v>
      </c>
      <c r="H138" s="34"/>
    </row>
    <row r="139" spans="1:8" ht="12.15" customHeight="1">
      <c r="A139" s="5"/>
      <c r="B139" s="5"/>
      <c r="C139" s="5"/>
      <c r="D139" s="926" t="s">
        <v>2122</v>
      </c>
      <c r="E139" s="927"/>
      <c r="F139" s="926"/>
      <c r="G139" s="57">
        <v>4.6399999999999997</v>
      </c>
      <c r="H139" s="34"/>
    </row>
    <row r="140" spans="1:8" ht="12.15" customHeight="1">
      <c r="A140" s="5"/>
      <c r="B140" s="5"/>
      <c r="C140" s="5"/>
      <c r="D140" s="926" t="s">
        <v>2123</v>
      </c>
      <c r="E140" s="927"/>
      <c r="F140" s="926"/>
      <c r="G140" s="57">
        <v>1.2</v>
      </c>
      <c r="H140" s="34"/>
    </row>
    <row r="141" spans="1:8" ht="12.15" customHeight="1">
      <c r="A141" s="5"/>
      <c r="B141" s="5"/>
      <c r="C141" s="5"/>
      <c r="D141" s="926" t="s">
        <v>2124</v>
      </c>
      <c r="E141" s="927"/>
      <c r="F141" s="926"/>
      <c r="G141" s="57">
        <v>54</v>
      </c>
      <c r="H141" s="34"/>
    </row>
    <row r="142" spans="1:8" ht="12.15" customHeight="1">
      <c r="A142" s="5"/>
      <c r="B142" s="5"/>
      <c r="C142" s="5"/>
      <c r="D142" s="926" t="s">
        <v>2125</v>
      </c>
      <c r="E142" s="927"/>
      <c r="F142" s="926"/>
      <c r="G142" s="57">
        <v>2.16</v>
      </c>
      <c r="H142" s="34"/>
    </row>
    <row r="143" spans="1:8" ht="12.15" customHeight="1">
      <c r="A143" s="5"/>
      <c r="B143" s="5"/>
      <c r="C143" s="5"/>
      <c r="D143" s="926" t="s">
        <v>2126</v>
      </c>
      <c r="E143" s="927"/>
      <c r="F143" s="926"/>
      <c r="G143" s="57">
        <v>0.26</v>
      </c>
      <c r="H143" s="34"/>
    </row>
    <row r="144" spans="1:8">
      <c r="A144" s="5" t="s">
        <v>47</v>
      </c>
      <c r="B144" s="5"/>
      <c r="C144" s="5" t="s">
        <v>651</v>
      </c>
      <c r="D144" s="924" t="s">
        <v>1278</v>
      </c>
      <c r="E144" s="925"/>
      <c r="F144" s="5" t="s">
        <v>1940</v>
      </c>
      <c r="G144" s="21">
        <v>116.5835</v>
      </c>
      <c r="H144" s="21">
        <v>0</v>
      </c>
    </row>
    <row r="145" spans="1:8">
      <c r="A145" s="5" t="s">
        <v>48</v>
      </c>
      <c r="B145" s="5"/>
      <c r="C145" s="5" t="s">
        <v>652</v>
      </c>
      <c r="D145" s="924" t="s">
        <v>1279</v>
      </c>
      <c r="E145" s="925"/>
      <c r="F145" s="5" t="s">
        <v>1941</v>
      </c>
      <c r="G145" s="21">
        <v>0</v>
      </c>
      <c r="H145" s="21">
        <v>0</v>
      </c>
    </row>
    <row r="146" spans="1:8" ht="12.15" customHeight="1">
      <c r="D146" s="926" t="s">
        <v>2127</v>
      </c>
      <c r="E146" s="927"/>
      <c r="F146" s="927"/>
      <c r="G146" s="57">
        <v>0</v>
      </c>
    </row>
    <row r="147" spans="1:8">
      <c r="A147" s="5" t="s">
        <v>49</v>
      </c>
      <c r="B147" s="5"/>
      <c r="C147" s="5" t="s">
        <v>653</v>
      </c>
      <c r="D147" s="924" t="s">
        <v>1281</v>
      </c>
      <c r="E147" s="925"/>
      <c r="F147" s="5" t="s">
        <v>1941</v>
      </c>
      <c r="G147" s="21">
        <v>3.3751500000000001</v>
      </c>
      <c r="H147" s="21">
        <v>0</v>
      </c>
    </row>
    <row r="148" spans="1:8" ht="12.15" customHeight="1">
      <c r="D148" s="926" t="s">
        <v>2128</v>
      </c>
      <c r="E148" s="927"/>
      <c r="F148" s="927"/>
      <c r="G148" s="57">
        <v>0</v>
      </c>
    </row>
    <row r="149" spans="1:8" ht="12.15" customHeight="1">
      <c r="A149" s="5"/>
      <c r="B149" s="5"/>
      <c r="C149" s="5"/>
      <c r="D149" s="926" t="s">
        <v>2129</v>
      </c>
      <c r="E149" s="927"/>
      <c r="F149" s="926"/>
      <c r="G149" s="57">
        <v>0.76634999999999998</v>
      </c>
      <c r="H149" s="34"/>
    </row>
    <row r="150" spans="1:8" ht="12.15" customHeight="1">
      <c r="A150" s="5"/>
      <c r="B150" s="5"/>
      <c r="C150" s="5"/>
      <c r="D150" s="926" t="s">
        <v>2130</v>
      </c>
      <c r="E150" s="927"/>
      <c r="F150" s="926"/>
      <c r="G150" s="57">
        <v>2.6088</v>
      </c>
      <c r="H150" s="34"/>
    </row>
    <row r="151" spans="1:8">
      <c r="A151" s="5" t="s">
        <v>50</v>
      </c>
      <c r="B151" s="5"/>
      <c r="C151" s="5" t="s">
        <v>654</v>
      </c>
      <c r="D151" s="924" t="s">
        <v>1282</v>
      </c>
      <c r="E151" s="925"/>
      <c r="F151" s="5" t="s">
        <v>1940</v>
      </c>
      <c r="G151" s="21">
        <v>2.165</v>
      </c>
      <c r="H151" s="21">
        <v>0</v>
      </c>
    </row>
    <row r="152" spans="1:8" ht="12.15" customHeight="1">
      <c r="D152" s="926" t="s">
        <v>2131</v>
      </c>
      <c r="E152" s="927"/>
      <c r="F152" s="927"/>
      <c r="G152" s="57">
        <v>2.165</v>
      </c>
    </row>
    <row r="153" spans="1:8">
      <c r="A153" s="5" t="s">
        <v>51</v>
      </c>
      <c r="B153" s="5"/>
      <c r="C153" s="5" t="s">
        <v>655</v>
      </c>
      <c r="D153" s="924" t="s">
        <v>1284</v>
      </c>
      <c r="E153" s="925"/>
      <c r="F153" s="5" t="s">
        <v>1940</v>
      </c>
      <c r="G153" s="21">
        <v>2.0527500000000001</v>
      </c>
      <c r="H153" s="21">
        <v>0</v>
      </c>
    </row>
    <row r="154" spans="1:8" ht="12.15" customHeight="1">
      <c r="D154" s="926" t="s">
        <v>2132</v>
      </c>
      <c r="E154" s="927"/>
      <c r="F154" s="927"/>
      <c r="G154" s="57">
        <v>2.0527500000000001</v>
      </c>
    </row>
    <row r="155" spans="1:8">
      <c r="A155" s="5" t="s">
        <v>52</v>
      </c>
      <c r="B155" s="5"/>
      <c r="C155" s="5" t="s">
        <v>656</v>
      </c>
      <c r="D155" s="924" t="s">
        <v>1285</v>
      </c>
      <c r="E155" s="925"/>
      <c r="F155" s="5" t="s">
        <v>1940</v>
      </c>
      <c r="G155" s="21">
        <v>5.9862500000000001</v>
      </c>
      <c r="H155" s="21">
        <v>0</v>
      </c>
    </row>
    <row r="156" spans="1:8" ht="12.15" customHeight="1">
      <c r="D156" s="926" t="s">
        <v>2133</v>
      </c>
      <c r="E156" s="927"/>
      <c r="F156" s="927"/>
      <c r="G156" s="57">
        <v>5.9862500000000001</v>
      </c>
    </row>
    <row r="157" spans="1:8">
      <c r="A157" s="5" t="s">
        <v>53</v>
      </c>
      <c r="B157" s="5"/>
      <c r="C157" s="5" t="s">
        <v>657</v>
      </c>
      <c r="D157" s="924" t="s">
        <v>1287</v>
      </c>
      <c r="E157" s="925"/>
      <c r="F157" s="5" t="s">
        <v>1940</v>
      </c>
      <c r="G157" s="21">
        <v>0.72250000000000003</v>
      </c>
      <c r="H157" s="21">
        <v>0</v>
      </c>
    </row>
    <row r="158" spans="1:8" ht="12.15" customHeight="1">
      <c r="D158" s="926" t="s">
        <v>2134</v>
      </c>
      <c r="E158" s="927"/>
      <c r="F158" s="927"/>
      <c r="G158" s="57">
        <v>0.72250000000000003</v>
      </c>
    </row>
    <row r="159" spans="1:8">
      <c r="A159" s="5" t="s">
        <v>54</v>
      </c>
      <c r="B159" s="5"/>
      <c r="C159" s="5" t="s">
        <v>658</v>
      </c>
      <c r="D159" s="924" t="s">
        <v>1288</v>
      </c>
      <c r="E159" s="925"/>
      <c r="F159" s="5" t="s">
        <v>1940</v>
      </c>
      <c r="G159" s="21">
        <v>12.807499999999999</v>
      </c>
      <c r="H159" s="21">
        <v>0</v>
      </c>
    </row>
    <row r="160" spans="1:8" ht="12.15" customHeight="1">
      <c r="D160" s="926" t="s">
        <v>2135</v>
      </c>
      <c r="E160" s="927"/>
      <c r="F160" s="927"/>
      <c r="G160" s="57">
        <v>0</v>
      </c>
    </row>
    <row r="161" spans="1:8" ht="12.15" customHeight="1">
      <c r="A161" s="5"/>
      <c r="B161" s="5"/>
      <c r="C161" s="5"/>
      <c r="D161" s="926" t="s">
        <v>2136</v>
      </c>
      <c r="E161" s="927"/>
      <c r="F161" s="926"/>
      <c r="G161" s="57">
        <v>7.6115000000000004</v>
      </c>
      <c r="H161" s="34"/>
    </row>
    <row r="162" spans="1:8" ht="12.15" customHeight="1">
      <c r="A162" s="5"/>
      <c r="B162" s="5"/>
      <c r="C162" s="5"/>
      <c r="D162" s="926" t="s">
        <v>2137</v>
      </c>
      <c r="E162" s="927"/>
      <c r="F162" s="926"/>
      <c r="G162" s="57">
        <v>1.4670000000000001</v>
      </c>
      <c r="H162" s="34"/>
    </row>
    <row r="163" spans="1:8" ht="12.15" customHeight="1">
      <c r="A163" s="5"/>
      <c r="B163" s="5"/>
      <c r="C163" s="5"/>
      <c r="D163" s="926" t="s">
        <v>2138</v>
      </c>
      <c r="E163" s="927"/>
      <c r="F163" s="926"/>
      <c r="G163" s="57">
        <v>2.8050000000000002</v>
      </c>
      <c r="H163" s="34"/>
    </row>
    <row r="164" spans="1:8" ht="12.15" customHeight="1">
      <c r="A164" s="5"/>
      <c r="B164" s="5"/>
      <c r="C164" s="5"/>
      <c r="D164" s="926" t="s">
        <v>2139</v>
      </c>
      <c r="E164" s="927"/>
      <c r="F164" s="926"/>
      <c r="G164" s="57">
        <v>0.92400000000000004</v>
      </c>
      <c r="H164" s="34"/>
    </row>
    <row r="165" spans="1:8">
      <c r="A165" s="14"/>
      <c r="B165" s="14"/>
      <c r="C165" s="14" t="s">
        <v>32</v>
      </c>
      <c r="D165" s="930" t="s">
        <v>1289</v>
      </c>
      <c r="E165" s="931"/>
      <c r="F165" s="14"/>
      <c r="G165" s="30"/>
      <c r="H165" s="30"/>
    </row>
    <row r="166" spans="1:8">
      <c r="A166" s="5" t="s">
        <v>55</v>
      </c>
      <c r="B166" s="5"/>
      <c r="C166" s="5" t="s">
        <v>659</v>
      </c>
      <c r="D166" s="924" t="s">
        <v>1290</v>
      </c>
      <c r="E166" s="925"/>
      <c r="F166" s="5" t="s">
        <v>1940</v>
      </c>
      <c r="G166" s="21">
        <v>140</v>
      </c>
      <c r="H166" s="21">
        <v>0</v>
      </c>
    </row>
    <row r="167" spans="1:8" ht="12.15" customHeight="1">
      <c r="D167" s="926" t="s">
        <v>2140</v>
      </c>
      <c r="E167" s="927"/>
      <c r="F167" s="927"/>
      <c r="G167" s="57">
        <v>0</v>
      </c>
    </row>
    <row r="168" spans="1:8" ht="12.15" customHeight="1">
      <c r="A168" s="5"/>
      <c r="B168" s="5"/>
      <c r="C168" s="5"/>
      <c r="D168" s="926" t="s">
        <v>2141</v>
      </c>
      <c r="E168" s="927"/>
      <c r="F168" s="926"/>
      <c r="G168" s="57">
        <v>90</v>
      </c>
      <c r="H168" s="34"/>
    </row>
    <row r="169" spans="1:8" ht="12.15" customHeight="1">
      <c r="A169" s="5"/>
      <c r="B169" s="5"/>
      <c r="C169" s="5"/>
      <c r="D169" s="926" t="s">
        <v>2142</v>
      </c>
      <c r="E169" s="927"/>
      <c r="F169" s="926"/>
      <c r="G169" s="57">
        <v>50</v>
      </c>
      <c r="H169" s="34"/>
    </row>
    <row r="170" spans="1:8">
      <c r="A170" s="6" t="s">
        <v>56</v>
      </c>
      <c r="B170" s="6"/>
      <c r="C170" s="6" t="s">
        <v>660</v>
      </c>
      <c r="D170" s="928" t="s">
        <v>1291</v>
      </c>
      <c r="E170" s="929"/>
      <c r="F170" s="6" t="s">
        <v>1940</v>
      </c>
      <c r="G170" s="22">
        <v>99</v>
      </c>
      <c r="H170" s="22">
        <v>0</v>
      </c>
    </row>
    <row r="171" spans="1:8" ht="12.15" customHeight="1">
      <c r="D171" s="932" t="s">
        <v>2143</v>
      </c>
      <c r="E171" s="933"/>
      <c r="F171" s="933"/>
      <c r="G171" s="58">
        <v>90</v>
      </c>
    </row>
    <row r="172" spans="1:8" ht="12.15" customHeight="1">
      <c r="A172" s="6"/>
      <c r="B172" s="6"/>
      <c r="C172" s="6"/>
      <c r="D172" s="932" t="s">
        <v>2144</v>
      </c>
      <c r="E172" s="933"/>
      <c r="F172" s="932"/>
      <c r="G172" s="58">
        <v>9</v>
      </c>
      <c r="H172" s="35"/>
    </row>
    <row r="173" spans="1:8">
      <c r="A173" s="6" t="s">
        <v>57</v>
      </c>
      <c r="B173" s="6"/>
      <c r="C173" s="6" t="s">
        <v>661</v>
      </c>
      <c r="D173" s="928" t="s">
        <v>1292</v>
      </c>
      <c r="E173" s="929"/>
      <c r="F173" s="6" t="s">
        <v>1940</v>
      </c>
      <c r="G173" s="22">
        <v>55</v>
      </c>
      <c r="H173" s="22">
        <v>0</v>
      </c>
    </row>
    <row r="174" spans="1:8" ht="12.15" customHeight="1">
      <c r="D174" s="932" t="s">
        <v>2145</v>
      </c>
      <c r="E174" s="933"/>
      <c r="F174" s="933"/>
      <c r="G174" s="58">
        <v>50</v>
      </c>
    </row>
    <row r="175" spans="1:8" ht="12.15" customHeight="1">
      <c r="A175" s="6"/>
      <c r="B175" s="6"/>
      <c r="C175" s="6"/>
      <c r="D175" s="932" t="s">
        <v>2146</v>
      </c>
      <c r="E175" s="933"/>
      <c r="F175" s="932"/>
      <c r="G175" s="58">
        <v>5</v>
      </c>
      <c r="H175" s="35"/>
    </row>
    <row r="176" spans="1:8">
      <c r="A176" s="14"/>
      <c r="B176" s="14"/>
      <c r="C176" s="14" t="s">
        <v>35</v>
      </c>
      <c r="D176" s="930" t="s">
        <v>1293</v>
      </c>
      <c r="E176" s="931"/>
      <c r="F176" s="14"/>
      <c r="G176" s="30"/>
      <c r="H176" s="30"/>
    </row>
    <row r="177" spans="1:8">
      <c r="A177" s="5" t="s">
        <v>58</v>
      </c>
      <c r="B177" s="5"/>
      <c r="C177" s="5" t="s">
        <v>662</v>
      </c>
      <c r="D177" s="924" t="s">
        <v>1294</v>
      </c>
      <c r="E177" s="925"/>
      <c r="F177" s="5" t="s">
        <v>1942</v>
      </c>
      <c r="G177" s="21">
        <v>28.9514</v>
      </c>
      <c r="H177" s="21">
        <v>0</v>
      </c>
    </row>
    <row r="178" spans="1:8" ht="12.15" customHeight="1">
      <c r="D178" s="926" t="s">
        <v>2147</v>
      </c>
      <c r="E178" s="927"/>
      <c r="F178" s="927"/>
      <c r="G178" s="57">
        <v>9.8568999999999996</v>
      </c>
    </row>
    <row r="179" spans="1:8" ht="12.15" customHeight="1">
      <c r="A179" s="5"/>
      <c r="B179" s="5"/>
      <c r="C179" s="5"/>
      <c r="D179" s="926" t="s">
        <v>2148</v>
      </c>
      <c r="E179" s="927"/>
      <c r="F179" s="926"/>
      <c r="G179" s="57">
        <v>7.1839000000000004</v>
      </c>
      <c r="H179" s="34"/>
    </row>
    <row r="180" spans="1:8" ht="12.15" customHeight="1">
      <c r="A180" s="5"/>
      <c r="B180" s="5"/>
      <c r="C180" s="5"/>
      <c r="D180" s="926" t="s">
        <v>2149</v>
      </c>
      <c r="E180" s="927"/>
      <c r="F180" s="926"/>
      <c r="G180" s="57">
        <v>11.910600000000001</v>
      </c>
      <c r="H180" s="34"/>
    </row>
    <row r="181" spans="1:8">
      <c r="A181" s="5" t="s">
        <v>59</v>
      </c>
      <c r="B181" s="5"/>
      <c r="C181" s="5" t="s">
        <v>663</v>
      </c>
      <c r="D181" s="924" t="s">
        <v>1295</v>
      </c>
      <c r="E181" s="925"/>
      <c r="F181" s="5" t="s">
        <v>1940</v>
      </c>
      <c r="G181" s="21">
        <v>136.41249999999999</v>
      </c>
      <c r="H181" s="21">
        <v>0</v>
      </c>
    </row>
    <row r="182" spans="1:8" ht="12.15" customHeight="1">
      <c r="D182" s="926" t="s">
        <v>2150</v>
      </c>
      <c r="E182" s="927"/>
      <c r="F182" s="927"/>
      <c r="G182" s="57">
        <v>0</v>
      </c>
    </row>
    <row r="183" spans="1:8" ht="12.15" customHeight="1">
      <c r="A183" s="5"/>
      <c r="B183" s="5"/>
      <c r="C183" s="5"/>
      <c r="D183" s="926" t="s">
        <v>2151</v>
      </c>
      <c r="E183" s="927"/>
      <c r="F183" s="926"/>
      <c r="G183" s="57">
        <v>7.4939999999999998</v>
      </c>
      <c r="H183" s="34"/>
    </row>
    <row r="184" spans="1:8" ht="12.15" customHeight="1">
      <c r="A184" s="5"/>
      <c r="B184" s="5"/>
      <c r="C184" s="5"/>
      <c r="D184" s="926" t="s">
        <v>2152</v>
      </c>
      <c r="E184" s="927"/>
      <c r="F184" s="926"/>
      <c r="G184" s="57">
        <v>0</v>
      </c>
      <c r="H184" s="34"/>
    </row>
    <row r="185" spans="1:8" ht="12.15" customHeight="1">
      <c r="A185" s="5"/>
      <c r="B185" s="5"/>
      <c r="C185" s="5"/>
      <c r="D185" s="926" t="s">
        <v>2153</v>
      </c>
      <c r="E185" s="927"/>
      <c r="F185" s="926"/>
      <c r="G185" s="57">
        <v>48.941000000000003</v>
      </c>
      <c r="H185" s="34"/>
    </row>
    <row r="186" spans="1:8" ht="12.15" customHeight="1">
      <c r="A186" s="5"/>
      <c r="B186" s="5"/>
      <c r="C186" s="5"/>
      <c r="D186" s="926" t="s">
        <v>2154</v>
      </c>
      <c r="E186" s="927"/>
      <c r="F186" s="926"/>
      <c r="G186" s="57">
        <v>0</v>
      </c>
      <c r="H186" s="34"/>
    </row>
    <row r="187" spans="1:8" ht="12.15" customHeight="1">
      <c r="A187" s="5"/>
      <c r="B187" s="5"/>
      <c r="C187" s="5"/>
      <c r="D187" s="926" t="s">
        <v>2155</v>
      </c>
      <c r="E187" s="927"/>
      <c r="F187" s="926"/>
      <c r="G187" s="57">
        <v>214.83750000000001</v>
      </c>
      <c r="H187" s="34"/>
    </row>
    <row r="188" spans="1:8" ht="12.15" customHeight="1">
      <c r="A188" s="5"/>
      <c r="B188" s="5"/>
      <c r="C188" s="5"/>
      <c r="D188" s="926" t="s">
        <v>2156</v>
      </c>
      <c r="E188" s="927"/>
      <c r="F188" s="926"/>
      <c r="G188" s="57">
        <v>-134.86000000000001</v>
      </c>
      <c r="H188" s="34"/>
    </row>
    <row r="189" spans="1:8">
      <c r="A189" s="5" t="s">
        <v>60</v>
      </c>
      <c r="B189" s="5"/>
      <c r="C189" s="5" t="s">
        <v>664</v>
      </c>
      <c r="D189" s="924" t="s">
        <v>5835</v>
      </c>
      <c r="E189" s="925"/>
      <c r="F189" s="5" t="s">
        <v>1940</v>
      </c>
      <c r="G189" s="21">
        <v>85.578999999999994</v>
      </c>
      <c r="H189" s="21">
        <v>0</v>
      </c>
    </row>
    <row r="190" spans="1:8" ht="12.15" customHeight="1">
      <c r="D190" s="926" t="s">
        <v>2152</v>
      </c>
      <c r="E190" s="927"/>
      <c r="F190" s="927"/>
      <c r="G190" s="57">
        <v>0</v>
      </c>
    </row>
    <row r="191" spans="1:8" ht="12.15" customHeight="1">
      <c r="A191" s="5"/>
      <c r="B191" s="5"/>
      <c r="C191" s="5"/>
      <c r="D191" s="926" t="s">
        <v>2157</v>
      </c>
      <c r="E191" s="927"/>
      <c r="F191" s="926"/>
      <c r="G191" s="57">
        <v>89.125</v>
      </c>
      <c r="H191" s="34"/>
    </row>
    <row r="192" spans="1:8" ht="12.15" customHeight="1">
      <c r="A192" s="5"/>
      <c r="B192" s="5"/>
      <c r="C192" s="5"/>
      <c r="D192" s="926" t="s">
        <v>2158</v>
      </c>
      <c r="E192" s="927"/>
      <c r="F192" s="926"/>
      <c r="G192" s="57">
        <v>-3.5459999999999998</v>
      </c>
      <c r="H192" s="34"/>
    </row>
    <row r="193" spans="1:8">
      <c r="A193" s="5" t="s">
        <v>61</v>
      </c>
      <c r="B193" s="5"/>
      <c r="C193" s="5" t="s">
        <v>665</v>
      </c>
      <c r="D193" s="924" t="s">
        <v>1296</v>
      </c>
      <c r="E193" s="925"/>
      <c r="F193" s="5" t="s">
        <v>1941</v>
      </c>
      <c r="G193" s="21">
        <v>194.27939000000001</v>
      </c>
      <c r="H193" s="21">
        <v>0</v>
      </c>
    </row>
    <row r="194" spans="1:8" ht="12.15" customHeight="1">
      <c r="D194" s="926" t="s">
        <v>2112</v>
      </c>
      <c r="E194" s="927"/>
      <c r="F194" s="927"/>
      <c r="G194" s="57">
        <v>0</v>
      </c>
    </row>
    <row r="195" spans="1:8" ht="12.15" customHeight="1">
      <c r="A195" s="5"/>
      <c r="B195" s="5"/>
      <c r="C195" s="5"/>
      <c r="D195" s="926" t="s">
        <v>2159</v>
      </c>
      <c r="E195" s="927"/>
      <c r="F195" s="926"/>
      <c r="G195" s="57">
        <v>25.806000000000001</v>
      </c>
      <c r="H195" s="34"/>
    </row>
    <row r="196" spans="1:8" ht="12.15" customHeight="1">
      <c r="A196" s="5"/>
      <c r="B196" s="5"/>
      <c r="C196" s="5"/>
      <c r="D196" s="926" t="s">
        <v>2160</v>
      </c>
      <c r="E196" s="927"/>
      <c r="F196" s="926"/>
      <c r="G196" s="57">
        <v>16.698</v>
      </c>
      <c r="H196" s="34"/>
    </row>
    <row r="197" spans="1:8" ht="12.15" customHeight="1">
      <c r="A197" s="5"/>
      <c r="B197" s="5"/>
      <c r="C197" s="5"/>
      <c r="D197" s="926" t="s">
        <v>2161</v>
      </c>
      <c r="E197" s="927"/>
      <c r="F197" s="926"/>
      <c r="G197" s="57">
        <v>24.818999999999999</v>
      </c>
      <c r="H197" s="34"/>
    </row>
    <row r="198" spans="1:8" ht="12.15" customHeight="1">
      <c r="A198" s="5"/>
      <c r="B198" s="5"/>
      <c r="C198" s="5"/>
      <c r="D198" s="926" t="s">
        <v>2162</v>
      </c>
      <c r="E198" s="927"/>
      <c r="F198" s="926"/>
      <c r="G198" s="57">
        <v>4.1399999999999997</v>
      </c>
      <c r="H198" s="34"/>
    </row>
    <row r="199" spans="1:8" ht="12.15" customHeight="1">
      <c r="A199" s="5"/>
      <c r="B199" s="5"/>
      <c r="C199" s="5"/>
      <c r="D199" s="926" t="s">
        <v>2163</v>
      </c>
      <c r="E199" s="927"/>
      <c r="F199" s="926"/>
      <c r="G199" s="57">
        <v>5.4109800000000003</v>
      </c>
      <c r="H199" s="34"/>
    </row>
    <row r="200" spans="1:8" ht="12.15" customHeight="1">
      <c r="A200" s="5"/>
      <c r="B200" s="5"/>
      <c r="C200" s="5"/>
      <c r="D200" s="926" t="s">
        <v>2164</v>
      </c>
      <c r="E200" s="927"/>
      <c r="F200" s="926"/>
      <c r="G200" s="57">
        <v>0.64170000000000005</v>
      </c>
      <c r="H200" s="34"/>
    </row>
    <row r="201" spans="1:8" ht="12.15" customHeight="1">
      <c r="A201" s="5"/>
      <c r="B201" s="5"/>
      <c r="C201" s="5"/>
      <c r="D201" s="926" t="s">
        <v>2165</v>
      </c>
      <c r="E201" s="927"/>
      <c r="F201" s="926"/>
      <c r="G201" s="57">
        <v>15.538460000000001</v>
      </c>
      <c r="H201" s="34"/>
    </row>
    <row r="202" spans="1:8" ht="12.15" customHeight="1">
      <c r="A202" s="5"/>
      <c r="B202" s="5"/>
      <c r="C202" s="5"/>
      <c r="D202" s="926" t="s">
        <v>2166</v>
      </c>
      <c r="E202" s="927"/>
      <c r="F202" s="926"/>
      <c r="G202" s="57">
        <v>3.1496</v>
      </c>
      <c r="H202" s="34"/>
    </row>
    <row r="203" spans="1:8" ht="12.15" customHeight="1">
      <c r="A203" s="5"/>
      <c r="B203" s="5"/>
      <c r="C203" s="5"/>
      <c r="D203" s="926" t="s">
        <v>2167</v>
      </c>
      <c r="E203" s="927"/>
      <c r="F203" s="926"/>
      <c r="G203" s="57">
        <v>0</v>
      </c>
      <c r="H203" s="34"/>
    </row>
    <row r="204" spans="1:8" ht="12.15" customHeight="1">
      <c r="A204" s="5"/>
      <c r="B204" s="5"/>
      <c r="C204" s="5"/>
      <c r="D204" s="926" t="s">
        <v>2168</v>
      </c>
      <c r="E204" s="927"/>
      <c r="F204" s="926"/>
      <c r="G204" s="57">
        <v>2.67</v>
      </c>
      <c r="H204" s="34"/>
    </row>
    <row r="205" spans="1:8" ht="12.15" customHeight="1">
      <c r="A205" s="5"/>
      <c r="B205" s="5"/>
      <c r="C205" s="5"/>
      <c r="D205" s="926" t="s">
        <v>2169</v>
      </c>
      <c r="E205" s="927"/>
      <c r="F205" s="926"/>
      <c r="G205" s="57">
        <v>4.0807200000000003</v>
      </c>
      <c r="H205" s="34"/>
    </row>
    <row r="206" spans="1:8" ht="12.15" customHeight="1">
      <c r="A206" s="5"/>
      <c r="B206" s="5"/>
      <c r="C206" s="5"/>
      <c r="D206" s="926" t="s">
        <v>2170</v>
      </c>
      <c r="E206" s="927"/>
      <c r="F206" s="926"/>
      <c r="G206" s="57">
        <v>18.592639999999999</v>
      </c>
      <c r="H206" s="34"/>
    </row>
    <row r="207" spans="1:8" ht="12.15" customHeight="1">
      <c r="A207" s="5"/>
      <c r="B207" s="5"/>
      <c r="C207" s="5"/>
      <c r="D207" s="926" t="s">
        <v>2171</v>
      </c>
      <c r="E207" s="927"/>
      <c r="F207" s="926"/>
      <c r="G207" s="57">
        <v>21.836400000000001</v>
      </c>
      <c r="H207" s="34"/>
    </row>
    <row r="208" spans="1:8" ht="12.15" customHeight="1">
      <c r="A208" s="5"/>
      <c r="B208" s="5"/>
      <c r="C208" s="5"/>
      <c r="D208" s="926" t="s">
        <v>2172</v>
      </c>
      <c r="E208" s="927"/>
      <c r="F208" s="926"/>
      <c r="G208" s="57">
        <v>7.8073499999999996</v>
      </c>
      <c r="H208" s="34"/>
    </row>
    <row r="209" spans="1:8" ht="12.15" customHeight="1">
      <c r="A209" s="5"/>
      <c r="B209" s="5"/>
      <c r="C209" s="5"/>
      <c r="D209" s="926" t="s">
        <v>2173</v>
      </c>
      <c r="E209" s="927"/>
      <c r="F209" s="926"/>
      <c r="G209" s="57">
        <v>3.069</v>
      </c>
      <c r="H209" s="34"/>
    </row>
    <row r="210" spans="1:8" ht="12.15" customHeight="1">
      <c r="A210" s="5"/>
      <c r="B210" s="5"/>
      <c r="C210" s="5"/>
      <c r="D210" s="926" t="s">
        <v>2174</v>
      </c>
      <c r="E210" s="927"/>
      <c r="F210" s="926"/>
      <c r="G210" s="57">
        <v>2.7435999999999998</v>
      </c>
      <c r="H210" s="34"/>
    </row>
    <row r="211" spans="1:8" ht="12.15" customHeight="1">
      <c r="A211" s="5"/>
      <c r="B211" s="5"/>
      <c r="C211" s="5"/>
      <c r="D211" s="926" t="s">
        <v>2175</v>
      </c>
      <c r="E211" s="927"/>
      <c r="F211" s="926"/>
      <c r="G211" s="57">
        <v>0.5766</v>
      </c>
      <c r="H211" s="34"/>
    </row>
    <row r="212" spans="1:8" ht="12.15" customHeight="1">
      <c r="A212" s="5"/>
      <c r="B212" s="5"/>
      <c r="C212" s="5"/>
      <c r="D212" s="926" t="s">
        <v>2176</v>
      </c>
      <c r="E212" s="927"/>
      <c r="F212" s="926"/>
      <c r="G212" s="57">
        <v>13.963950000000001</v>
      </c>
      <c r="H212" s="34"/>
    </row>
    <row r="213" spans="1:8" ht="12.15" customHeight="1">
      <c r="A213" s="5"/>
      <c r="B213" s="5"/>
      <c r="C213" s="5"/>
      <c r="D213" s="926" t="s">
        <v>2177</v>
      </c>
      <c r="E213" s="927"/>
      <c r="F213" s="926"/>
      <c r="G213" s="57">
        <v>1.95075</v>
      </c>
      <c r="H213" s="34"/>
    </row>
    <row r="214" spans="1:8" ht="12.15" customHeight="1">
      <c r="A214" s="5"/>
      <c r="B214" s="5"/>
      <c r="C214" s="5"/>
      <c r="D214" s="926" t="s">
        <v>2178</v>
      </c>
      <c r="E214" s="927"/>
      <c r="F214" s="926"/>
      <c r="G214" s="57">
        <v>6.5381999999999998</v>
      </c>
      <c r="H214" s="34"/>
    </row>
    <row r="215" spans="1:8" ht="12.15" customHeight="1">
      <c r="A215" s="5"/>
      <c r="B215" s="5"/>
      <c r="C215" s="5"/>
      <c r="D215" s="926" t="s">
        <v>2179</v>
      </c>
      <c r="E215" s="927"/>
      <c r="F215" s="926"/>
      <c r="G215" s="57">
        <v>3.4000000000000002E-2</v>
      </c>
      <c r="H215" s="34"/>
    </row>
    <row r="216" spans="1:8" ht="12.15" customHeight="1">
      <c r="A216" s="5"/>
      <c r="B216" s="5"/>
      <c r="C216" s="5"/>
      <c r="D216" s="926" t="s">
        <v>2180</v>
      </c>
      <c r="E216" s="927"/>
      <c r="F216" s="926"/>
      <c r="G216" s="57">
        <v>4.08744</v>
      </c>
      <c r="H216" s="34"/>
    </row>
    <row r="217" spans="1:8" ht="12.15" customHeight="1">
      <c r="A217" s="5"/>
      <c r="B217" s="5"/>
      <c r="C217" s="5"/>
      <c r="D217" s="926" t="s">
        <v>2181</v>
      </c>
      <c r="E217" s="927"/>
      <c r="F217" s="926"/>
      <c r="G217" s="57">
        <v>10.125</v>
      </c>
      <c r="H217" s="34"/>
    </row>
    <row r="218" spans="1:8">
      <c r="A218" s="5" t="s">
        <v>62</v>
      </c>
      <c r="B218" s="5"/>
      <c r="C218" s="5" t="s">
        <v>666</v>
      </c>
      <c r="D218" s="924" t="s">
        <v>1297</v>
      </c>
      <c r="E218" s="925"/>
      <c r="F218" s="5" t="s">
        <v>1941</v>
      </c>
      <c r="G218" s="21">
        <v>83.767470000000003</v>
      </c>
      <c r="H218" s="21">
        <v>0</v>
      </c>
    </row>
    <row r="219" spans="1:8" ht="12.15" customHeight="1">
      <c r="D219" s="926" t="s">
        <v>2182</v>
      </c>
      <c r="E219" s="927"/>
      <c r="F219" s="927"/>
      <c r="G219" s="57">
        <v>0</v>
      </c>
    </row>
    <row r="220" spans="1:8" ht="12.15" customHeight="1">
      <c r="A220" s="5"/>
      <c r="B220" s="5"/>
      <c r="C220" s="5"/>
      <c r="D220" s="926" t="s">
        <v>2183</v>
      </c>
      <c r="E220" s="927"/>
      <c r="F220" s="926"/>
      <c r="G220" s="57">
        <v>3.7867500000000001</v>
      </c>
      <c r="H220" s="34"/>
    </row>
    <row r="221" spans="1:8" ht="12.15" customHeight="1">
      <c r="A221" s="5"/>
      <c r="B221" s="5"/>
      <c r="C221" s="5"/>
      <c r="D221" s="926" t="s">
        <v>2184</v>
      </c>
      <c r="E221" s="927"/>
      <c r="F221" s="926"/>
      <c r="G221" s="57">
        <v>7.0030000000000001</v>
      </c>
      <c r="H221" s="34"/>
    </row>
    <row r="222" spans="1:8" ht="12.15" customHeight="1">
      <c r="A222" s="5"/>
      <c r="B222" s="5"/>
      <c r="C222" s="5"/>
      <c r="D222" s="926" t="s">
        <v>2185</v>
      </c>
      <c r="E222" s="927"/>
      <c r="F222" s="926"/>
      <c r="G222" s="57">
        <v>5.6432500000000001</v>
      </c>
      <c r="H222" s="34"/>
    </row>
    <row r="223" spans="1:8" ht="12.15" customHeight="1">
      <c r="A223" s="5"/>
      <c r="B223" s="5"/>
      <c r="C223" s="5"/>
      <c r="D223" s="926" t="s">
        <v>2186</v>
      </c>
      <c r="E223" s="927"/>
      <c r="F223" s="926"/>
      <c r="G223" s="57">
        <v>10.791600000000001</v>
      </c>
      <c r="H223" s="34"/>
    </row>
    <row r="224" spans="1:8" ht="12.15" customHeight="1">
      <c r="A224" s="5"/>
      <c r="B224" s="5"/>
      <c r="C224" s="5"/>
      <c r="D224" s="926" t="s">
        <v>2187</v>
      </c>
      <c r="E224" s="927"/>
      <c r="F224" s="926"/>
      <c r="G224" s="57">
        <v>-1.1424000000000001</v>
      </c>
      <c r="H224" s="34"/>
    </row>
    <row r="225" spans="1:8" ht="12.15" customHeight="1">
      <c r="A225" s="5"/>
      <c r="B225" s="5"/>
      <c r="C225" s="5"/>
      <c r="D225" s="926" t="s">
        <v>2188</v>
      </c>
      <c r="E225" s="927"/>
      <c r="F225" s="926"/>
      <c r="G225" s="57">
        <v>57.685270000000003</v>
      </c>
      <c r="H225" s="34"/>
    </row>
    <row r="226" spans="1:8">
      <c r="A226" s="5" t="s">
        <v>63</v>
      </c>
      <c r="B226" s="5"/>
      <c r="C226" s="5" t="s">
        <v>667</v>
      </c>
      <c r="D226" s="924" t="s">
        <v>1298</v>
      </c>
      <c r="E226" s="925"/>
      <c r="F226" s="5" t="s">
        <v>1940</v>
      </c>
      <c r="G226" s="21">
        <v>1944.08069</v>
      </c>
      <c r="H226" s="21">
        <v>0</v>
      </c>
    </row>
    <row r="227" spans="1:8" ht="12.15" customHeight="1">
      <c r="D227" s="926" t="s">
        <v>2112</v>
      </c>
      <c r="E227" s="927"/>
      <c r="F227" s="927"/>
      <c r="G227" s="57">
        <v>0</v>
      </c>
    </row>
    <row r="228" spans="1:8" ht="12.15" customHeight="1">
      <c r="A228" s="5"/>
      <c r="B228" s="5"/>
      <c r="C228" s="5"/>
      <c r="D228" s="926" t="s">
        <v>2189</v>
      </c>
      <c r="E228" s="927"/>
      <c r="F228" s="926"/>
      <c r="G228" s="57">
        <v>171.12</v>
      </c>
      <c r="H228" s="34"/>
    </row>
    <row r="229" spans="1:8" ht="12.15" customHeight="1">
      <c r="A229" s="5"/>
      <c r="B229" s="5"/>
      <c r="C229" s="5"/>
      <c r="D229" s="926" t="s">
        <v>2190</v>
      </c>
      <c r="E229" s="927"/>
      <c r="F229" s="926"/>
      <c r="G229" s="57">
        <v>83.49</v>
      </c>
      <c r="H229" s="34"/>
    </row>
    <row r="230" spans="1:8" ht="12.15" customHeight="1">
      <c r="A230" s="5"/>
      <c r="B230" s="5"/>
      <c r="C230" s="5"/>
      <c r="D230" s="926" t="s">
        <v>2191</v>
      </c>
      <c r="E230" s="927"/>
      <c r="F230" s="926"/>
      <c r="G230" s="57">
        <v>166.55549999999999</v>
      </c>
      <c r="H230" s="34"/>
    </row>
    <row r="231" spans="1:8" ht="12.15" customHeight="1">
      <c r="A231" s="5"/>
      <c r="B231" s="5"/>
      <c r="C231" s="5"/>
      <c r="D231" s="926" t="s">
        <v>2192</v>
      </c>
      <c r="E231" s="927"/>
      <c r="F231" s="926"/>
      <c r="G231" s="57">
        <v>20.7</v>
      </c>
      <c r="H231" s="34"/>
    </row>
    <row r="232" spans="1:8" ht="12.15" customHeight="1">
      <c r="A232" s="5"/>
      <c r="B232" s="5"/>
      <c r="C232" s="5"/>
      <c r="D232" s="926" t="s">
        <v>2193</v>
      </c>
      <c r="E232" s="927"/>
      <c r="F232" s="926"/>
      <c r="G232" s="57">
        <v>54.1098</v>
      </c>
      <c r="H232" s="34"/>
    </row>
    <row r="233" spans="1:8" ht="12.15" customHeight="1">
      <c r="A233" s="5"/>
      <c r="B233" s="5"/>
      <c r="C233" s="5"/>
      <c r="D233" s="926" t="s">
        <v>2194</v>
      </c>
      <c r="E233" s="927"/>
      <c r="F233" s="926"/>
      <c r="G233" s="57">
        <v>6.40665</v>
      </c>
      <c r="H233" s="34"/>
    </row>
    <row r="234" spans="1:8" ht="12.15" customHeight="1">
      <c r="A234" s="5"/>
      <c r="B234" s="5"/>
      <c r="C234" s="5"/>
      <c r="D234" s="926" t="s">
        <v>2195</v>
      </c>
      <c r="E234" s="927"/>
      <c r="F234" s="926"/>
      <c r="G234" s="57">
        <v>103.58969999999999</v>
      </c>
      <c r="H234" s="34"/>
    </row>
    <row r="235" spans="1:8" ht="12.15" customHeight="1">
      <c r="A235" s="5"/>
      <c r="B235" s="5"/>
      <c r="C235" s="5"/>
      <c r="D235" s="926" t="s">
        <v>2196</v>
      </c>
      <c r="E235" s="927"/>
      <c r="F235" s="926"/>
      <c r="G235" s="57">
        <v>33.880000000000003</v>
      </c>
      <c r="H235" s="34"/>
    </row>
    <row r="236" spans="1:8" ht="12.15" customHeight="1">
      <c r="A236" s="5"/>
      <c r="B236" s="5"/>
      <c r="C236" s="5"/>
      <c r="D236" s="926" t="s">
        <v>2167</v>
      </c>
      <c r="E236" s="927"/>
      <c r="F236" s="926"/>
      <c r="G236" s="57">
        <v>0</v>
      </c>
      <c r="H236" s="34"/>
    </row>
    <row r="237" spans="1:8" ht="12.15" customHeight="1">
      <c r="A237" s="5"/>
      <c r="B237" s="5"/>
      <c r="C237" s="5"/>
      <c r="D237" s="926" t="s">
        <v>2197</v>
      </c>
      <c r="E237" s="927"/>
      <c r="F237" s="926"/>
      <c r="G237" s="57">
        <v>15.95</v>
      </c>
      <c r="H237" s="34"/>
    </row>
    <row r="238" spans="1:8" ht="12.15" customHeight="1">
      <c r="A238" s="5"/>
      <c r="B238" s="5"/>
      <c r="C238" s="5"/>
      <c r="D238" s="926" t="s">
        <v>2198</v>
      </c>
      <c r="E238" s="927"/>
      <c r="F238" s="926"/>
      <c r="G238" s="57">
        <v>42.895200000000003</v>
      </c>
      <c r="H238" s="34"/>
    </row>
    <row r="239" spans="1:8" ht="12.15" customHeight="1">
      <c r="A239" s="5"/>
      <c r="B239" s="5"/>
      <c r="C239" s="5"/>
      <c r="D239" s="926" t="s">
        <v>2199</v>
      </c>
      <c r="E239" s="927"/>
      <c r="F239" s="926"/>
      <c r="G239" s="57">
        <v>127.38509999999999</v>
      </c>
      <c r="H239" s="34"/>
    </row>
    <row r="240" spans="1:8" ht="12.15" customHeight="1">
      <c r="A240" s="5"/>
      <c r="B240" s="5"/>
      <c r="C240" s="5"/>
      <c r="D240" s="926" t="s">
        <v>2200</v>
      </c>
      <c r="E240" s="927"/>
      <c r="F240" s="926"/>
      <c r="G240" s="57">
        <v>109.182</v>
      </c>
      <c r="H240" s="34"/>
    </row>
    <row r="241" spans="1:8" ht="12.15" customHeight="1">
      <c r="A241" s="5"/>
      <c r="B241" s="5"/>
      <c r="C241" s="5"/>
      <c r="D241" s="926" t="s">
        <v>2201</v>
      </c>
      <c r="E241" s="927"/>
      <c r="F241" s="926"/>
      <c r="G241" s="57">
        <v>52.048999999999999</v>
      </c>
      <c r="H241" s="34"/>
    </row>
    <row r="242" spans="1:8" ht="12.15" customHeight="1">
      <c r="A242" s="5"/>
      <c r="B242" s="5"/>
      <c r="C242" s="5"/>
      <c r="D242" s="926" t="s">
        <v>2202</v>
      </c>
      <c r="E242" s="927"/>
      <c r="F242" s="926"/>
      <c r="G242" s="57">
        <v>20.46</v>
      </c>
      <c r="H242" s="34"/>
    </row>
    <row r="243" spans="1:8" ht="12.15" customHeight="1">
      <c r="A243" s="5"/>
      <c r="B243" s="5"/>
      <c r="C243" s="5"/>
      <c r="D243" s="926" t="s">
        <v>2203</v>
      </c>
      <c r="E243" s="927"/>
      <c r="F243" s="926"/>
      <c r="G243" s="57">
        <v>29.82</v>
      </c>
      <c r="H243" s="34"/>
    </row>
    <row r="244" spans="1:8" ht="12.15" customHeight="1">
      <c r="A244" s="5"/>
      <c r="B244" s="5"/>
      <c r="C244" s="5"/>
      <c r="D244" s="926" t="s">
        <v>2204</v>
      </c>
      <c r="E244" s="927"/>
      <c r="F244" s="926"/>
      <c r="G244" s="57">
        <v>5.7567000000000004</v>
      </c>
      <c r="H244" s="34"/>
    </row>
    <row r="245" spans="1:8" ht="12.15" customHeight="1">
      <c r="A245" s="5"/>
      <c r="B245" s="5"/>
      <c r="C245" s="5"/>
      <c r="D245" s="926" t="s">
        <v>2205</v>
      </c>
      <c r="E245" s="927"/>
      <c r="F245" s="926"/>
      <c r="G245" s="57">
        <v>93.093000000000004</v>
      </c>
      <c r="H245" s="34"/>
    </row>
    <row r="246" spans="1:8" ht="12.15" customHeight="1">
      <c r="A246" s="5"/>
      <c r="B246" s="5"/>
      <c r="C246" s="5"/>
      <c r="D246" s="926" t="s">
        <v>2206</v>
      </c>
      <c r="E246" s="927"/>
      <c r="F246" s="926"/>
      <c r="G246" s="57">
        <v>13.005000000000001</v>
      </c>
      <c r="H246" s="34"/>
    </row>
    <row r="247" spans="1:8" ht="12.15" customHeight="1">
      <c r="A247" s="5"/>
      <c r="B247" s="5"/>
      <c r="C247" s="5"/>
      <c r="D247" s="926" t="s">
        <v>2207</v>
      </c>
      <c r="E247" s="927"/>
      <c r="F247" s="926"/>
      <c r="G247" s="57">
        <v>43.588000000000001</v>
      </c>
      <c r="H247" s="34"/>
    </row>
    <row r="248" spans="1:8" ht="12.15" customHeight="1">
      <c r="A248" s="5"/>
      <c r="B248" s="5"/>
      <c r="C248" s="5"/>
      <c r="D248" s="926" t="s">
        <v>2208</v>
      </c>
      <c r="E248" s="927"/>
      <c r="F248" s="926"/>
      <c r="G248" s="57">
        <v>0.68</v>
      </c>
      <c r="H248" s="34"/>
    </row>
    <row r="249" spans="1:8" ht="12.15" customHeight="1">
      <c r="A249" s="5"/>
      <c r="B249" s="5"/>
      <c r="C249" s="5"/>
      <c r="D249" s="926" t="s">
        <v>2209</v>
      </c>
      <c r="E249" s="927"/>
      <c r="F249" s="926"/>
      <c r="G249" s="57">
        <v>27.249600000000001</v>
      </c>
      <c r="H249" s="34"/>
    </row>
    <row r="250" spans="1:8" ht="12.15" customHeight="1">
      <c r="A250" s="5"/>
      <c r="B250" s="5"/>
      <c r="C250" s="5"/>
      <c r="D250" s="926" t="s">
        <v>2210</v>
      </c>
      <c r="E250" s="927"/>
      <c r="F250" s="926"/>
      <c r="G250" s="57">
        <v>67.5</v>
      </c>
      <c r="H250" s="34"/>
    </row>
    <row r="251" spans="1:8" ht="12.15" customHeight="1">
      <c r="A251" s="5"/>
      <c r="B251" s="5"/>
      <c r="C251" s="5"/>
      <c r="D251" s="926" t="s">
        <v>2182</v>
      </c>
      <c r="E251" s="927"/>
      <c r="F251" s="926"/>
      <c r="G251" s="57">
        <v>0</v>
      </c>
      <c r="H251" s="34"/>
    </row>
    <row r="252" spans="1:8" ht="12.15" customHeight="1">
      <c r="A252" s="5"/>
      <c r="B252" s="5"/>
      <c r="C252" s="5"/>
      <c r="D252" s="926" t="s">
        <v>2211</v>
      </c>
      <c r="E252" s="927"/>
      <c r="F252" s="926"/>
      <c r="G252" s="57">
        <v>27.5825</v>
      </c>
      <c r="H252" s="34"/>
    </row>
    <row r="253" spans="1:8" ht="12.15" customHeight="1">
      <c r="A253" s="5"/>
      <c r="B253" s="5"/>
      <c r="C253" s="5"/>
      <c r="D253" s="926" t="s">
        <v>2212</v>
      </c>
      <c r="E253" s="927"/>
      <c r="F253" s="926"/>
      <c r="G253" s="57">
        <v>71.150000000000006</v>
      </c>
      <c r="H253" s="34"/>
    </row>
    <row r="254" spans="1:8" ht="12.15" customHeight="1">
      <c r="A254" s="5"/>
      <c r="B254" s="5"/>
      <c r="C254" s="5"/>
      <c r="D254" s="926" t="s">
        <v>2213</v>
      </c>
      <c r="E254" s="927"/>
      <c r="F254" s="926"/>
      <c r="G254" s="57">
        <v>57.832500000000003</v>
      </c>
      <c r="H254" s="34"/>
    </row>
    <row r="255" spans="1:8" ht="12.15" customHeight="1">
      <c r="A255" s="5"/>
      <c r="B255" s="5"/>
      <c r="C255" s="5"/>
      <c r="D255" s="926" t="s">
        <v>2214</v>
      </c>
      <c r="E255" s="927"/>
      <c r="F255" s="926"/>
      <c r="G255" s="57">
        <v>107.916</v>
      </c>
      <c r="H255" s="34"/>
    </row>
    <row r="256" spans="1:8" ht="12.15" customHeight="1">
      <c r="A256" s="5"/>
      <c r="B256" s="5"/>
      <c r="C256" s="5"/>
      <c r="D256" s="926" t="s">
        <v>2215</v>
      </c>
      <c r="E256" s="927"/>
      <c r="F256" s="926"/>
      <c r="G256" s="57">
        <v>-9.0399999999999991</v>
      </c>
      <c r="H256" s="34"/>
    </row>
    <row r="257" spans="1:8" ht="12.15" customHeight="1">
      <c r="A257" s="5"/>
      <c r="B257" s="5"/>
      <c r="C257" s="5"/>
      <c r="D257" s="926" t="s">
        <v>2216</v>
      </c>
      <c r="E257" s="927"/>
      <c r="F257" s="926"/>
      <c r="G257" s="57">
        <v>384.56844000000001</v>
      </c>
      <c r="H257" s="34"/>
    </row>
    <row r="258" spans="1:8" ht="12.15" customHeight="1">
      <c r="A258" s="5"/>
      <c r="B258" s="5"/>
      <c r="C258" s="5"/>
      <c r="D258" s="926" t="s">
        <v>2217</v>
      </c>
      <c r="E258" s="927"/>
      <c r="F258" s="926"/>
      <c r="G258" s="57">
        <v>15.606</v>
      </c>
      <c r="H258" s="34"/>
    </row>
    <row r="259" spans="1:8">
      <c r="A259" s="5" t="s">
        <v>64</v>
      </c>
      <c r="B259" s="5"/>
      <c r="C259" s="5" t="s">
        <v>668</v>
      </c>
      <c r="D259" s="924" t="s">
        <v>1299</v>
      </c>
      <c r="E259" s="925"/>
      <c r="F259" s="5" t="s">
        <v>1940</v>
      </c>
      <c r="G259" s="21">
        <v>1944.08069</v>
      </c>
      <c r="H259" s="21">
        <v>0</v>
      </c>
    </row>
    <row r="260" spans="1:8">
      <c r="A260" s="5" t="s">
        <v>65</v>
      </c>
      <c r="B260" s="5"/>
      <c r="C260" s="5" t="s">
        <v>669</v>
      </c>
      <c r="D260" s="924" t="s">
        <v>1300</v>
      </c>
      <c r="E260" s="925"/>
      <c r="F260" s="5" t="s">
        <v>1940</v>
      </c>
      <c r="G260" s="21">
        <v>2.7625000000000002</v>
      </c>
      <c r="H260" s="21">
        <v>0</v>
      </c>
    </row>
    <row r="261" spans="1:8" ht="12.15" customHeight="1">
      <c r="D261" s="926" t="s">
        <v>2154</v>
      </c>
      <c r="E261" s="927"/>
      <c r="F261" s="927"/>
      <c r="G261" s="57">
        <v>0</v>
      </c>
    </row>
    <row r="262" spans="1:8" ht="12.15" customHeight="1">
      <c r="A262" s="5"/>
      <c r="B262" s="5"/>
      <c r="C262" s="5"/>
      <c r="D262" s="926" t="s">
        <v>2218</v>
      </c>
      <c r="E262" s="927"/>
      <c r="F262" s="926"/>
      <c r="G262" s="57">
        <v>2.7625000000000002</v>
      </c>
      <c r="H262" s="34"/>
    </row>
    <row r="263" spans="1:8">
      <c r="A263" s="5" t="s">
        <v>66</v>
      </c>
      <c r="B263" s="5"/>
      <c r="C263" s="5" t="s">
        <v>670</v>
      </c>
      <c r="D263" s="924" t="s">
        <v>1301</v>
      </c>
      <c r="E263" s="925"/>
      <c r="F263" s="5" t="s">
        <v>1943</v>
      </c>
      <c r="G263" s="21">
        <v>15</v>
      </c>
      <c r="H263" s="21">
        <v>0</v>
      </c>
    </row>
    <row r="264" spans="1:8" ht="12.15" customHeight="1">
      <c r="D264" s="926" t="s">
        <v>2219</v>
      </c>
      <c r="E264" s="927"/>
      <c r="F264" s="927"/>
      <c r="G264" s="57">
        <v>15</v>
      </c>
    </row>
    <row r="265" spans="1:8">
      <c r="A265" s="5" t="s">
        <v>67</v>
      </c>
      <c r="B265" s="5"/>
      <c r="C265" s="5" t="s">
        <v>671</v>
      </c>
      <c r="D265" s="924" t="s">
        <v>1301</v>
      </c>
      <c r="E265" s="925"/>
      <c r="F265" s="5" t="s">
        <v>1943</v>
      </c>
      <c r="G265" s="21">
        <v>18</v>
      </c>
      <c r="H265" s="21">
        <v>0</v>
      </c>
    </row>
    <row r="266" spans="1:8" ht="12.15" customHeight="1">
      <c r="D266" s="926" t="s">
        <v>2220</v>
      </c>
      <c r="E266" s="927"/>
      <c r="F266" s="927"/>
      <c r="G266" s="57">
        <v>18</v>
      </c>
    </row>
    <row r="267" spans="1:8">
      <c r="A267" s="5" t="s">
        <v>68</v>
      </c>
      <c r="B267" s="5"/>
      <c r="C267" s="5" t="s">
        <v>672</v>
      </c>
      <c r="D267" s="924" t="s">
        <v>1304</v>
      </c>
      <c r="E267" s="925"/>
      <c r="F267" s="5" t="s">
        <v>1943</v>
      </c>
      <c r="G267" s="21">
        <v>6</v>
      </c>
      <c r="H267" s="21">
        <v>0</v>
      </c>
    </row>
    <row r="268" spans="1:8" ht="12.15" customHeight="1">
      <c r="D268" s="926" t="s">
        <v>2221</v>
      </c>
      <c r="E268" s="927"/>
      <c r="F268" s="927"/>
      <c r="G268" s="57">
        <v>6</v>
      </c>
    </row>
    <row r="269" spans="1:8">
      <c r="A269" s="5" t="s">
        <v>69</v>
      </c>
      <c r="B269" s="5"/>
      <c r="C269" s="5" t="s">
        <v>673</v>
      </c>
      <c r="D269" s="924" t="s">
        <v>1306</v>
      </c>
      <c r="E269" s="925"/>
      <c r="F269" s="5" t="s">
        <v>1943</v>
      </c>
      <c r="G269" s="21">
        <v>1</v>
      </c>
      <c r="H269" s="21">
        <v>0</v>
      </c>
    </row>
    <row r="270" spans="1:8" ht="12.15" customHeight="1">
      <c r="D270" s="926" t="s">
        <v>2222</v>
      </c>
      <c r="E270" s="927"/>
      <c r="F270" s="927"/>
      <c r="G270" s="57">
        <v>1</v>
      </c>
    </row>
    <row r="271" spans="1:8">
      <c r="A271" s="5" t="s">
        <v>70</v>
      </c>
      <c r="B271" s="5"/>
      <c r="C271" s="5" t="s">
        <v>674</v>
      </c>
      <c r="D271" s="924" t="s">
        <v>1308</v>
      </c>
      <c r="E271" s="925"/>
      <c r="F271" s="5" t="s">
        <v>1942</v>
      </c>
      <c r="G271" s="21">
        <v>8.1059999999999993E-2</v>
      </c>
      <c r="H271" s="21">
        <v>0</v>
      </c>
    </row>
    <row r="272" spans="1:8" ht="12.15" customHeight="1">
      <c r="D272" s="926" t="s">
        <v>2223</v>
      </c>
      <c r="E272" s="927"/>
      <c r="F272" s="927"/>
      <c r="G272" s="57">
        <v>0</v>
      </c>
    </row>
    <row r="273" spans="1:8" ht="12.15" customHeight="1">
      <c r="A273" s="5"/>
      <c r="B273" s="5"/>
      <c r="C273" s="5"/>
      <c r="D273" s="926" t="s">
        <v>2224</v>
      </c>
      <c r="E273" s="927"/>
      <c r="F273" s="926"/>
      <c r="G273" s="57">
        <v>8.1059999999999993E-2</v>
      </c>
      <c r="H273" s="34"/>
    </row>
    <row r="274" spans="1:8">
      <c r="A274" s="6" t="s">
        <v>71</v>
      </c>
      <c r="B274" s="6"/>
      <c r="C274" s="6" t="s">
        <v>675</v>
      </c>
      <c r="D274" s="928" t="s">
        <v>1309</v>
      </c>
      <c r="E274" s="929"/>
      <c r="F274" s="6" t="s">
        <v>1942</v>
      </c>
      <c r="G274" s="22">
        <v>1.9050000000000001E-2</v>
      </c>
      <c r="H274" s="22">
        <v>0</v>
      </c>
    </row>
    <row r="275" spans="1:8" ht="12.15" customHeight="1">
      <c r="D275" s="932" t="s">
        <v>2225</v>
      </c>
      <c r="E275" s="933"/>
      <c r="F275" s="933"/>
      <c r="G275" s="58">
        <v>1.9050000000000001E-2</v>
      </c>
    </row>
    <row r="276" spans="1:8">
      <c r="A276" s="6" t="s">
        <v>72</v>
      </c>
      <c r="B276" s="6"/>
      <c r="C276" s="6" t="s">
        <v>676</v>
      </c>
      <c r="D276" s="928" t="s">
        <v>1310</v>
      </c>
      <c r="E276" s="929"/>
      <c r="F276" s="6" t="s">
        <v>1942</v>
      </c>
      <c r="G276" s="22">
        <v>6.2010000000000003E-2</v>
      </c>
      <c r="H276" s="22">
        <v>0</v>
      </c>
    </row>
    <row r="277" spans="1:8" ht="12.15" customHeight="1">
      <c r="D277" s="932" t="s">
        <v>2226</v>
      </c>
      <c r="E277" s="933"/>
      <c r="F277" s="933"/>
      <c r="G277" s="58">
        <v>6.2010000000000003E-2</v>
      </c>
    </row>
    <row r="278" spans="1:8">
      <c r="A278" s="5" t="s">
        <v>73</v>
      </c>
      <c r="B278" s="5"/>
      <c r="C278" s="5" t="s">
        <v>677</v>
      </c>
      <c r="D278" s="924" t="s">
        <v>1311</v>
      </c>
      <c r="E278" s="925"/>
      <c r="F278" s="5" t="s">
        <v>1942</v>
      </c>
      <c r="G278" s="21">
        <v>0.19084999999999999</v>
      </c>
      <c r="H278" s="21">
        <v>0</v>
      </c>
    </row>
    <row r="279" spans="1:8" ht="12.15" customHeight="1">
      <c r="D279" s="926" t="s">
        <v>2227</v>
      </c>
      <c r="E279" s="927"/>
      <c r="F279" s="927"/>
      <c r="G279" s="57">
        <v>0.19084999999999999</v>
      </c>
    </row>
    <row r="280" spans="1:8">
      <c r="A280" s="5" t="s">
        <v>74</v>
      </c>
      <c r="B280" s="5"/>
      <c r="C280" s="5" t="s">
        <v>678</v>
      </c>
      <c r="D280" s="924" t="s">
        <v>1313</v>
      </c>
      <c r="E280" s="925"/>
      <c r="F280" s="5" t="s">
        <v>1943</v>
      </c>
      <c r="G280" s="21">
        <v>6</v>
      </c>
      <c r="H280" s="21">
        <v>0</v>
      </c>
    </row>
    <row r="281" spans="1:8" ht="12.15" customHeight="1">
      <c r="D281" s="926" t="s">
        <v>2228</v>
      </c>
      <c r="E281" s="927"/>
      <c r="F281" s="927"/>
      <c r="G281" s="57">
        <v>6</v>
      </c>
    </row>
    <row r="282" spans="1:8">
      <c r="A282" s="6" t="s">
        <v>75</v>
      </c>
      <c r="B282" s="6"/>
      <c r="C282" s="6" t="s">
        <v>679</v>
      </c>
      <c r="D282" s="928" t="s">
        <v>1314</v>
      </c>
      <c r="E282" s="929"/>
      <c r="F282" s="6" t="s">
        <v>1943</v>
      </c>
      <c r="G282" s="22">
        <v>6</v>
      </c>
      <c r="H282" s="22">
        <v>0</v>
      </c>
    </row>
    <row r="283" spans="1:8" ht="12.15" customHeight="1">
      <c r="D283" s="932" t="s">
        <v>2229</v>
      </c>
      <c r="E283" s="933"/>
      <c r="F283" s="933"/>
      <c r="G283" s="58">
        <v>6</v>
      </c>
    </row>
    <row r="284" spans="1:8">
      <c r="A284" s="5" t="s">
        <v>76</v>
      </c>
      <c r="B284" s="5"/>
      <c r="C284" s="5" t="s">
        <v>680</v>
      </c>
      <c r="D284" s="924" t="s">
        <v>1315</v>
      </c>
      <c r="E284" s="925"/>
      <c r="F284" s="5" t="s">
        <v>1943</v>
      </c>
      <c r="G284" s="21">
        <v>10</v>
      </c>
      <c r="H284" s="21">
        <v>0</v>
      </c>
    </row>
    <row r="285" spans="1:8" ht="12.15" customHeight="1">
      <c r="D285" s="926" t="s">
        <v>2230</v>
      </c>
      <c r="E285" s="927"/>
      <c r="F285" s="927"/>
      <c r="G285" s="57">
        <v>0</v>
      </c>
    </row>
    <row r="286" spans="1:8" ht="12.15" customHeight="1">
      <c r="A286" s="5"/>
      <c r="B286" s="5"/>
      <c r="C286" s="5"/>
      <c r="D286" s="926" t="s">
        <v>2231</v>
      </c>
      <c r="E286" s="927"/>
      <c r="F286" s="926"/>
      <c r="G286" s="57">
        <v>2</v>
      </c>
      <c r="H286" s="34"/>
    </row>
    <row r="287" spans="1:8" ht="12.15" customHeight="1">
      <c r="A287" s="5"/>
      <c r="B287" s="5"/>
      <c r="C287" s="5"/>
      <c r="D287" s="926" t="s">
        <v>2232</v>
      </c>
      <c r="E287" s="927"/>
      <c r="F287" s="926"/>
      <c r="G287" s="57">
        <v>1</v>
      </c>
      <c r="H287" s="34"/>
    </row>
    <row r="288" spans="1:8" ht="12.15" customHeight="1">
      <c r="A288" s="5"/>
      <c r="B288" s="5"/>
      <c r="C288" s="5"/>
      <c r="D288" s="926" t="s">
        <v>2233</v>
      </c>
      <c r="E288" s="927"/>
      <c r="F288" s="926"/>
      <c r="G288" s="57">
        <v>2</v>
      </c>
      <c r="H288" s="34"/>
    </row>
    <row r="289" spans="1:8" ht="12.15" customHeight="1">
      <c r="A289" s="5"/>
      <c r="B289" s="5"/>
      <c r="C289" s="5"/>
      <c r="D289" s="926" t="s">
        <v>2234</v>
      </c>
      <c r="E289" s="927"/>
      <c r="F289" s="926"/>
      <c r="G289" s="57">
        <v>3</v>
      </c>
      <c r="H289" s="34"/>
    </row>
    <row r="290" spans="1:8" ht="12.15" customHeight="1">
      <c r="A290" s="5"/>
      <c r="B290" s="5"/>
      <c r="C290" s="5"/>
      <c r="D290" s="926" t="s">
        <v>2235</v>
      </c>
      <c r="E290" s="927"/>
      <c r="F290" s="926"/>
      <c r="G290" s="57">
        <v>2</v>
      </c>
      <c r="H290" s="34"/>
    </row>
    <row r="291" spans="1:8">
      <c r="A291" s="6" t="s">
        <v>77</v>
      </c>
      <c r="B291" s="6"/>
      <c r="C291" s="6" t="s">
        <v>681</v>
      </c>
      <c r="D291" s="928" t="s">
        <v>1316</v>
      </c>
      <c r="E291" s="929"/>
      <c r="F291" s="6" t="s">
        <v>1943</v>
      </c>
      <c r="G291" s="22">
        <v>2</v>
      </c>
      <c r="H291" s="22">
        <v>0</v>
      </c>
    </row>
    <row r="292" spans="1:8" ht="12.15" customHeight="1">
      <c r="D292" s="932" t="s">
        <v>2231</v>
      </c>
      <c r="E292" s="933"/>
      <c r="F292" s="933"/>
      <c r="G292" s="58">
        <v>2</v>
      </c>
    </row>
    <row r="293" spans="1:8">
      <c r="A293" s="6" t="s">
        <v>78</v>
      </c>
      <c r="B293" s="6"/>
      <c r="C293" s="6" t="s">
        <v>682</v>
      </c>
      <c r="D293" s="928" t="s">
        <v>1317</v>
      </c>
      <c r="E293" s="929"/>
      <c r="F293" s="6" t="s">
        <v>1943</v>
      </c>
      <c r="G293" s="22">
        <v>1</v>
      </c>
      <c r="H293" s="22">
        <v>0</v>
      </c>
    </row>
    <row r="294" spans="1:8" ht="12.15" customHeight="1">
      <c r="D294" s="932" t="s">
        <v>2232</v>
      </c>
      <c r="E294" s="933"/>
      <c r="F294" s="933"/>
      <c r="G294" s="58">
        <v>1</v>
      </c>
    </row>
    <row r="295" spans="1:8">
      <c r="A295" s="6" t="s">
        <v>79</v>
      </c>
      <c r="B295" s="6"/>
      <c r="C295" s="6" t="s">
        <v>683</v>
      </c>
      <c r="D295" s="928" t="s">
        <v>1318</v>
      </c>
      <c r="E295" s="929"/>
      <c r="F295" s="6" t="s">
        <v>1943</v>
      </c>
      <c r="G295" s="22">
        <v>2</v>
      </c>
      <c r="H295" s="22">
        <v>0</v>
      </c>
    </row>
    <row r="296" spans="1:8" ht="12.15" customHeight="1">
      <c r="D296" s="932" t="s">
        <v>2235</v>
      </c>
      <c r="E296" s="933"/>
      <c r="F296" s="933"/>
      <c r="G296" s="58">
        <v>2</v>
      </c>
    </row>
    <row r="297" spans="1:8">
      <c r="A297" s="6" t="s">
        <v>80</v>
      </c>
      <c r="B297" s="6"/>
      <c r="C297" s="6" t="s">
        <v>684</v>
      </c>
      <c r="D297" s="928" t="s">
        <v>1319</v>
      </c>
      <c r="E297" s="929"/>
      <c r="F297" s="6" t="s">
        <v>1943</v>
      </c>
      <c r="G297" s="22">
        <v>3</v>
      </c>
      <c r="H297" s="22">
        <v>0</v>
      </c>
    </row>
    <row r="298" spans="1:8" ht="12.15" customHeight="1">
      <c r="D298" s="932" t="s">
        <v>2234</v>
      </c>
      <c r="E298" s="933"/>
      <c r="F298" s="933"/>
      <c r="G298" s="58">
        <v>3</v>
      </c>
    </row>
    <row r="299" spans="1:8">
      <c r="A299" s="6" t="s">
        <v>81</v>
      </c>
      <c r="B299" s="6"/>
      <c r="C299" s="6" t="s">
        <v>685</v>
      </c>
      <c r="D299" s="928" t="s">
        <v>1320</v>
      </c>
      <c r="E299" s="929"/>
      <c r="F299" s="6" t="s">
        <v>1943</v>
      </c>
      <c r="G299" s="22">
        <v>2</v>
      </c>
      <c r="H299" s="22">
        <v>0</v>
      </c>
    </row>
    <row r="300" spans="1:8" ht="12.15" customHeight="1">
      <c r="D300" s="932" t="s">
        <v>2233</v>
      </c>
      <c r="E300" s="933"/>
      <c r="F300" s="933"/>
      <c r="G300" s="58">
        <v>2</v>
      </c>
    </row>
    <row r="301" spans="1:8">
      <c r="A301" s="5" t="s">
        <v>82</v>
      </c>
      <c r="B301" s="5"/>
      <c r="C301" s="5" t="s">
        <v>686</v>
      </c>
      <c r="D301" s="924" t="s">
        <v>1321</v>
      </c>
      <c r="E301" s="925"/>
      <c r="F301" s="5" t="s">
        <v>1943</v>
      </c>
      <c r="G301" s="21">
        <v>6</v>
      </c>
      <c r="H301" s="21">
        <v>0</v>
      </c>
    </row>
    <row r="302" spans="1:8" ht="12.15" customHeight="1">
      <c r="D302" s="926" t="s">
        <v>2230</v>
      </c>
      <c r="E302" s="927"/>
      <c r="F302" s="927"/>
      <c r="G302" s="57">
        <v>0</v>
      </c>
    </row>
    <row r="303" spans="1:8" ht="12.15" customHeight="1">
      <c r="A303" s="5"/>
      <c r="B303" s="5"/>
      <c r="C303" s="5"/>
      <c r="D303" s="926" t="s">
        <v>2236</v>
      </c>
      <c r="E303" s="927"/>
      <c r="F303" s="926"/>
      <c r="G303" s="57">
        <v>1</v>
      </c>
      <c r="H303" s="34"/>
    </row>
    <row r="304" spans="1:8" ht="12.15" customHeight="1">
      <c r="A304" s="5"/>
      <c r="B304" s="5"/>
      <c r="C304" s="5"/>
      <c r="D304" s="926" t="s">
        <v>2237</v>
      </c>
      <c r="E304" s="927"/>
      <c r="F304" s="926"/>
      <c r="G304" s="57">
        <v>1</v>
      </c>
      <c r="H304" s="34"/>
    </row>
    <row r="305" spans="1:8" ht="12.15" customHeight="1">
      <c r="A305" s="5"/>
      <c r="B305" s="5"/>
      <c r="C305" s="5"/>
      <c r="D305" s="926" t="s">
        <v>2238</v>
      </c>
      <c r="E305" s="927"/>
      <c r="F305" s="926"/>
      <c r="G305" s="57">
        <v>1</v>
      </c>
      <c r="H305" s="34"/>
    </row>
    <row r="306" spans="1:8" ht="12.15" customHeight="1">
      <c r="A306" s="5"/>
      <c r="B306" s="5"/>
      <c r="C306" s="5"/>
      <c r="D306" s="926" t="s">
        <v>2239</v>
      </c>
      <c r="E306" s="927"/>
      <c r="F306" s="926"/>
      <c r="G306" s="57">
        <v>3</v>
      </c>
      <c r="H306" s="34"/>
    </row>
    <row r="307" spans="1:8">
      <c r="A307" s="6" t="s">
        <v>83</v>
      </c>
      <c r="B307" s="6"/>
      <c r="C307" s="6" t="s">
        <v>687</v>
      </c>
      <c r="D307" s="928" t="s">
        <v>1322</v>
      </c>
      <c r="E307" s="929"/>
      <c r="F307" s="6" t="s">
        <v>1943</v>
      </c>
      <c r="G307" s="22">
        <v>4</v>
      </c>
      <c r="H307" s="22">
        <v>0</v>
      </c>
    </row>
    <row r="308" spans="1:8" ht="12.15" customHeight="1">
      <c r="D308" s="932" t="s">
        <v>2240</v>
      </c>
      <c r="E308" s="933"/>
      <c r="F308" s="933"/>
      <c r="G308" s="58">
        <v>4</v>
      </c>
    </row>
    <row r="309" spans="1:8">
      <c r="A309" s="6" t="s">
        <v>84</v>
      </c>
      <c r="B309" s="6"/>
      <c r="C309" s="6" t="s">
        <v>688</v>
      </c>
      <c r="D309" s="928" t="s">
        <v>1323</v>
      </c>
      <c r="E309" s="929"/>
      <c r="F309" s="6" t="s">
        <v>1943</v>
      </c>
      <c r="G309" s="22">
        <v>1</v>
      </c>
      <c r="H309" s="22">
        <v>0</v>
      </c>
    </row>
    <row r="310" spans="1:8" ht="12.15" customHeight="1">
      <c r="D310" s="932" t="s">
        <v>2236</v>
      </c>
      <c r="E310" s="933"/>
      <c r="F310" s="933"/>
      <c r="G310" s="58">
        <v>1</v>
      </c>
    </row>
    <row r="311" spans="1:8">
      <c r="A311" s="6" t="s">
        <v>85</v>
      </c>
      <c r="B311" s="6"/>
      <c r="C311" s="6" t="s">
        <v>689</v>
      </c>
      <c r="D311" s="928" t="s">
        <v>1324</v>
      </c>
      <c r="E311" s="929"/>
      <c r="F311" s="6" t="s">
        <v>1943</v>
      </c>
      <c r="G311" s="22">
        <v>1</v>
      </c>
      <c r="H311" s="22">
        <v>0</v>
      </c>
    </row>
    <row r="312" spans="1:8" ht="12.15" customHeight="1">
      <c r="D312" s="932" t="s">
        <v>2238</v>
      </c>
      <c r="E312" s="933"/>
      <c r="F312" s="933"/>
      <c r="G312" s="58">
        <v>1</v>
      </c>
    </row>
    <row r="313" spans="1:8">
      <c r="A313" s="5" t="s">
        <v>86</v>
      </c>
      <c r="B313" s="5"/>
      <c r="C313" s="5" t="s">
        <v>690</v>
      </c>
      <c r="D313" s="924" t="s">
        <v>1325</v>
      </c>
      <c r="E313" s="925"/>
      <c r="F313" s="5" t="s">
        <v>1941</v>
      </c>
      <c r="G313" s="21">
        <v>4.2051400000000001</v>
      </c>
      <c r="H313" s="21">
        <v>0</v>
      </c>
    </row>
    <row r="314" spans="1:8" ht="12.15" customHeight="1">
      <c r="D314" s="926" t="s">
        <v>2241</v>
      </c>
      <c r="E314" s="927"/>
      <c r="F314" s="927"/>
      <c r="G314" s="57">
        <v>0</v>
      </c>
    </row>
    <row r="315" spans="1:8" ht="12.15" customHeight="1">
      <c r="A315" s="5"/>
      <c r="B315" s="5"/>
      <c r="C315" s="5"/>
      <c r="D315" s="926" t="s">
        <v>2242</v>
      </c>
      <c r="E315" s="927"/>
      <c r="F315" s="926"/>
      <c r="G315" s="57">
        <v>0.78581000000000001</v>
      </c>
      <c r="H315" s="34"/>
    </row>
    <row r="316" spans="1:8" ht="12.15" customHeight="1">
      <c r="A316" s="5"/>
      <c r="B316" s="5"/>
      <c r="C316" s="5"/>
      <c r="D316" s="926" t="s">
        <v>2243</v>
      </c>
      <c r="E316" s="927"/>
      <c r="F316" s="926"/>
      <c r="G316" s="57">
        <v>3.41933</v>
      </c>
      <c r="H316" s="34"/>
    </row>
    <row r="317" spans="1:8">
      <c r="A317" s="5" t="s">
        <v>87</v>
      </c>
      <c r="B317" s="5"/>
      <c r="C317" s="5" t="s">
        <v>691</v>
      </c>
      <c r="D317" s="924" t="s">
        <v>1326</v>
      </c>
      <c r="E317" s="925"/>
      <c r="F317" s="5" t="s">
        <v>1940</v>
      </c>
      <c r="G317" s="21">
        <v>4.399</v>
      </c>
      <c r="H317" s="21">
        <v>0</v>
      </c>
    </row>
    <row r="318" spans="1:8" ht="12.15" customHeight="1">
      <c r="D318" s="926" t="s">
        <v>2244</v>
      </c>
      <c r="E318" s="927"/>
      <c r="F318" s="927"/>
      <c r="G318" s="57">
        <v>4.399</v>
      </c>
    </row>
    <row r="319" spans="1:8">
      <c r="A319" s="14"/>
      <c r="B319" s="14"/>
      <c r="C319" s="14" t="s">
        <v>36</v>
      </c>
      <c r="D319" s="930" t="s">
        <v>1327</v>
      </c>
      <c r="E319" s="931"/>
      <c r="F319" s="14"/>
      <c r="G319" s="30"/>
      <c r="H319" s="30"/>
    </row>
    <row r="320" spans="1:8">
      <c r="A320" s="5" t="s">
        <v>88</v>
      </c>
      <c r="B320" s="5"/>
      <c r="C320" s="5" t="s">
        <v>692</v>
      </c>
      <c r="D320" s="924" t="s">
        <v>1328</v>
      </c>
      <c r="E320" s="925"/>
      <c r="F320" s="5" t="s">
        <v>1941</v>
      </c>
      <c r="G320" s="21">
        <v>38.115290000000002</v>
      </c>
      <c r="H320" s="21">
        <v>0</v>
      </c>
    </row>
    <row r="321" spans="1:8" ht="12.15" customHeight="1">
      <c r="D321" s="926" t="s">
        <v>2094</v>
      </c>
      <c r="E321" s="927"/>
      <c r="F321" s="927"/>
      <c r="G321" s="57">
        <v>0</v>
      </c>
    </row>
    <row r="322" spans="1:8" ht="12.15" customHeight="1">
      <c r="A322" s="5"/>
      <c r="B322" s="5"/>
      <c r="C322" s="5"/>
      <c r="D322" s="926" t="s">
        <v>2245</v>
      </c>
      <c r="E322" s="927"/>
      <c r="F322" s="926"/>
      <c r="G322" s="57">
        <v>0</v>
      </c>
      <c r="H322" s="34"/>
    </row>
    <row r="323" spans="1:8" ht="12.15" customHeight="1">
      <c r="A323" s="5"/>
      <c r="B323" s="5"/>
      <c r="C323" s="5"/>
      <c r="D323" s="926" t="s">
        <v>2246</v>
      </c>
      <c r="E323" s="927"/>
      <c r="F323" s="926"/>
      <c r="G323" s="57">
        <v>4.1323499999999997</v>
      </c>
      <c r="H323" s="34"/>
    </row>
    <row r="324" spans="1:8" ht="12.15" customHeight="1">
      <c r="A324" s="5"/>
      <c r="B324" s="5"/>
      <c r="C324" s="5"/>
      <c r="D324" s="926" t="s">
        <v>2247</v>
      </c>
      <c r="E324" s="927"/>
      <c r="F324" s="926"/>
      <c r="G324" s="57">
        <v>1.0102500000000001</v>
      </c>
      <c r="H324" s="34"/>
    </row>
    <row r="325" spans="1:8" ht="12.15" customHeight="1">
      <c r="A325" s="5"/>
      <c r="B325" s="5"/>
      <c r="C325" s="5"/>
      <c r="D325" s="926" t="s">
        <v>2248</v>
      </c>
      <c r="E325" s="927"/>
      <c r="F325" s="926"/>
      <c r="G325" s="57">
        <v>5.2427999999999999</v>
      </c>
      <c r="H325" s="34"/>
    </row>
    <row r="326" spans="1:8" ht="12.15" customHeight="1">
      <c r="A326" s="5"/>
      <c r="B326" s="5"/>
      <c r="C326" s="5"/>
      <c r="D326" s="926" t="s">
        <v>2249</v>
      </c>
      <c r="E326" s="927"/>
      <c r="F326" s="926"/>
      <c r="G326" s="57">
        <v>0.59819</v>
      </c>
      <c r="H326" s="34"/>
    </row>
    <row r="327" spans="1:8" ht="12.15" customHeight="1">
      <c r="A327" s="5"/>
      <c r="B327" s="5"/>
      <c r="C327" s="5"/>
      <c r="D327" s="926" t="s">
        <v>2250</v>
      </c>
      <c r="E327" s="927"/>
      <c r="F327" s="926"/>
      <c r="G327" s="57">
        <v>0.77227999999999997</v>
      </c>
      <c r="H327" s="34"/>
    </row>
    <row r="328" spans="1:8" ht="12.15" customHeight="1">
      <c r="A328" s="5"/>
      <c r="B328" s="5"/>
      <c r="C328" s="5"/>
      <c r="D328" s="926" t="s">
        <v>2251</v>
      </c>
      <c r="E328" s="927"/>
      <c r="F328" s="926"/>
      <c r="G328" s="57">
        <v>0</v>
      </c>
      <c r="H328" s="34"/>
    </row>
    <row r="329" spans="1:8" ht="12.15" customHeight="1">
      <c r="A329" s="5"/>
      <c r="B329" s="5"/>
      <c r="C329" s="5"/>
      <c r="D329" s="926" t="s">
        <v>2252</v>
      </c>
      <c r="E329" s="927"/>
      <c r="F329" s="926"/>
      <c r="G329" s="57">
        <v>2.8559999999999999</v>
      </c>
      <c r="H329" s="34"/>
    </row>
    <row r="330" spans="1:8" ht="12.15" customHeight="1">
      <c r="A330" s="5"/>
      <c r="B330" s="5"/>
      <c r="C330" s="5"/>
      <c r="D330" s="926" t="s">
        <v>2253</v>
      </c>
      <c r="E330" s="927"/>
      <c r="F330" s="926"/>
      <c r="G330" s="57">
        <v>1.2735000000000001</v>
      </c>
      <c r="H330" s="34"/>
    </row>
    <row r="331" spans="1:8" ht="12.15" customHeight="1">
      <c r="A331" s="5"/>
      <c r="B331" s="5"/>
      <c r="C331" s="5"/>
      <c r="D331" s="926" t="s">
        <v>2254</v>
      </c>
      <c r="E331" s="927"/>
      <c r="F331" s="926"/>
      <c r="G331" s="57">
        <v>5.5110999999999999</v>
      </c>
      <c r="H331" s="34"/>
    </row>
    <row r="332" spans="1:8" ht="12.15" customHeight="1">
      <c r="A332" s="5"/>
      <c r="B332" s="5"/>
      <c r="C332" s="5"/>
      <c r="D332" s="926" t="s">
        <v>2255</v>
      </c>
      <c r="E332" s="927"/>
      <c r="F332" s="926"/>
      <c r="G332" s="57">
        <v>1.5460799999999999</v>
      </c>
      <c r="H332" s="34"/>
    </row>
    <row r="333" spans="1:8" ht="12.15" customHeight="1">
      <c r="A333" s="5"/>
      <c r="B333" s="5"/>
      <c r="C333" s="5"/>
      <c r="D333" s="926" t="s">
        <v>2256</v>
      </c>
      <c r="E333" s="927"/>
      <c r="F333" s="926"/>
      <c r="G333" s="57">
        <v>0</v>
      </c>
      <c r="H333" s="34"/>
    </row>
    <row r="334" spans="1:8" ht="12.15" customHeight="1">
      <c r="A334" s="5"/>
      <c r="B334" s="5"/>
      <c r="C334" s="5"/>
      <c r="D334" s="926" t="s">
        <v>2257</v>
      </c>
      <c r="E334" s="927"/>
      <c r="F334" s="926"/>
      <c r="G334" s="57">
        <v>5.6921999999999997</v>
      </c>
      <c r="H334" s="34"/>
    </row>
    <row r="335" spans="1:8" ht="12.15" customHeight="1">
      <c r="A335" s="5"/>
      <c r="B335" s="5"/>
      <c r="C335" s="5"/>
      <c r="D335" s="926" t="s">
        <v>2258</v>
      </c>
      <c r="E335" s="927"/>
      <c r="F335" s="926"/>
      <c r="G335" s="57">
        <v>0.48653999999999997</v>
      </c>
      <c r="H335" s="34"/>
    </row>
    <row r="336" spans="1:8" ht="12.15" customHeight="1">
      <c r="A336" s="5"/>
      <c r="B336" s="5"/>
      <c r="C336" s="5"/>
      <c r="D336" s="926" t="s">
        <v>2259</v>
      </c>
      <c r="E336" s="927"/>
      <c r="F336" s="926"/>
      <c r="G336" s="57">
        <v>8.9939999999999998</v>
      </c>
      <c r="H336" s="34"/>
    </row>
    <row r="337" spans="1:8">
      <c r="A337" s="5" t="s">
        <v>89</v>
      </c>
      <c r="B337" s="5"/>
      <c r="C337" s="5" t="s">
        <v>693</v>
      </c>
      <c r="D337" s="924" t="s">
        <v>1329</v>
      </c>
      <c r="E337" s="925"/>
      <c r="F337" s="5" t="s">
        <v>1942</v>
      </c>
      <c r="G337" s="21">
        <v>4.1466000000000003</v>
      </c>
      <c r="H337" s="21">
        <v>0</v>
      </c>
    </row>
    <row r="338" spans="1:8" ht="12.15" customHeight="1">
      <c r="D338" s="926" t="s">
        <v>2260</v>
      </c>
      <c r="E338" s="927"/>
      <c r="F338" s="927"/>
      <c r="G338" s="57">
        <v>4.1466000000000003</v>
      </c>
    </row>
    <row r="339" spans="1:8">
      <c r="A339" s="5" t="s">
        <v>90</v>
      </c>
      <c r="B339" s="5"/>
      <c r="C339" s="5" t="s">
        <v>694</v>
      </c>
      <c r="D339" s="924" t="s">
        <v>1330</v>
      </c>
      <c r="E339" s="925"/>
      <c r="F339" s="5" t="s">
        <v>1940</v>
      </c>
      <c r="G339" s="21">
        <v>215.45310000000001</v>
      </c>
      <c r="H339" s="21">
        <v>0</v>
      </c>
    </row>
    <row r="340" spans="1:8" ht="12.15" customHeight="1">
      <c r="D340" s="926" t="s">
        <v>2094</v>
      </c>
      <c r="E340" s="927"/>
      <c r="F340" s="927"/>
      <c r="G340" s="57">
        <v>0</v>
      </c>
    </row>
    <row r="341" spans="1:8" ht="12.15" customHeight="1">
      <c r="A341" s="5"/>
      <c r="B341" s="5"/>
      <c r="C341" s="5"/>
      <c r="D341" s="926" t="s">
        <v>2245</v>
      </c>
      <c r="E341" s="927"/>
      <c r="F341" s="926"/>
      <c r="G341" s="57">
        <v>0</v>
      </c>
      <c r="H341" s="34"/>
    </row>
    <row r="342" spans="1:8" ht="12.15" customHeight="1">
      <c r="A342" s="5"/>
      <c r="B342" s="5"/>
      <c r="C342" s="5"/>
      <c r="D342" s="926" t="s">
        <v>2261</v>
      </c>
      <c r="E342" s="927"/>
      <c r="F342" s="926"/>
      <c r="G342" s="57">
        <v>4.8075000000000001</v>
      </c>
      <c r="H342" s="34"/>
    </row>
    <row r="343" spans="1:8" ht="12.15" customHeight="1">
      <c r="A343" s="5"/>
      <c r="B343" s="5"/>
      <c r="C343" s="5"/>
      <c r="D343" s="926" t="s">
        <v>2262</v>
      </c>
      <c r="E343" s="927"/>
      <c r="F343" s="926"/>
      <c r="G343" s="57">
        <v>8.532</v>
      </c>
      <c r="H343" s="34"/>
    </row>
    <row r="344" spans="1:8" ht="12.15" customHeight="1">
      <c r="A344" s="5"/>
      <c r="B344" s="5"/>
      <c r="C344" s="5"/>
      <c r="D344" s="926" t="s">
        <v>2263</v>
      </c>
      <c r="E344" s="927"/>
      <c r="F344" s="926"/>
      <c r="G344" s="57">
        <v>36.991999999999997</v>
      </c>
      <c r="H344" s="34"/>
    </row>
    <row r="345" spans="1:8" ht="12.15" customHeight="1">
      <c r="A345" s="5"/>
      <c r="B345" s="5"/>
      <c r="C345" s="5"/>
      <c r="D345" s="926" t="s">
        <v>2264</v>
      </c>
      <c r="E345" s="927"/>
      <c r="F345" s="926"/>
      <c r="G345" s="57">
        <v>4.6208999999999998</v>
      </c>
      <c r="H345" s="34"/>
    </row>
    <row r="346" spans="1:8" ht="12.15" customHeight="1">
      <c r="A346" s="5"/>
      <c r="B346" s="5"/>
      <c r="C346" s="5"/>
      <c r="D346" s="926" t="s">
        <v>2265</v>
      </c>
      <c r="E346" s="927"/>
      <c r="F346" s="926"/>
      <c r="G346" s="57">
        <v>5.5073999999999996</v>
      </c>
      <c r="H346" s="34"/>
    </row>
    <row r="347" spans="1:8" ht="12.15" customHeight="1">
      <c r="A347" s="5"/>
      <c r="B347" s="5"/>
      <c r="C347" s="5"/>
      <c r="D347" s="926" t="s">
        <v>2251</v>
      </c>
      <c r="E347" s="927"/>
      <c r="F347" s="926"/>
      <c r="G347" s="57">
        <v>0</v>
      </c>
      <c r="H347" s="34"/>
    </row>
    <row r="348" spans="1:8" ht="12.15" customHeight="1">
      <c r="A348" s="5"/>
      <c r="B348" s="5"/>
      <c r="C348" s="5"/>
      <c r="D348" s="926" t="s">
        <v>2266</v>
      </c>
      <c r="E348" s="927"/>
      <c r="F348" s="926"/>
      <c r="G348" s="57">
        <v>5.0579999999999998</v>
      </c>
      <c r="H348" s="34"/>
    </row>
    <row r="349" spans="1:8" ht="12.15" customHeight="1">
      <c r="A349" s="5"/>
      <c r="B349" s="5"/>
      <c r="C349" s="5"/>
      <c r="D349" s="926" t="s">
        <v>2267</v>
      </c>
      <c r="E349" s="927"/>
      <c r="F349" s="926"/>
      <c r="G349" s="57">
        <v>10.638</v>
      </c>
      <c r="H349" s="34"/>
    </row>
    <row r="350" spans="1:8" ht="12.15" customHeight="1">
      <c r="A350" s="5"/>
      <c r="B350" s="5"/>
      <c r="C350" s="5"/>
      <c r="D350" s="926" t="s">
        <v>2268</v>
      </c>
      <c r="E350" s="927"/>
      <c r="F350" s="926"/>
      <c r="G350" s="57">
        <v>39.444000000000003</v>
      </c>
      <c r="H350" s="34"/>
    </row>
    <row r="351" spans="1:8" ht="12.15" customHeight="1">
      <c r="A351" s="5"/>
      <c r="B351" s="5"/>
      <c r="C351" s="5"/>
      <c r="D351" s="926" t="s">
        <v>2269</v>
      </c>
      <c r="E351" s="927"/>
      <c r="F351" s="926"/>
      <c r="G351" s="57">
        <v>18.07</v>
      </c>
      <c r="H351" s="34"/>
    </row>
    <row r="352" spans="1:8" ht="12.15" customHeight="1">
      <c r="A352" s="5"/>
      <c r="B352" s="5"/>
      <c r="C352" s="5"/>
      <c r="D352" s="926" t="s">
        <v>2270</v>
      </c>
      <c r="E352" s="927"/>
      <c r="F352" s="926"/>
      <c r="G352" s="57">
        <v>9.6232000000000006</v>
      </c>
      <c r="H352" s="34"/>
    </row>
    <row r="353" spans="1:8" ht="12.15" customHeight="1">
      <c r="A353" s="5"/>
      <c r="B353" s="5"/>
      <c r="C353" s="5"/>
      <c r="D353" s="926" t="s">
        <v>2256</v>
      </c>
      <c r="E353" s="927"/>
      <c r="F353" s="926"/>
      <c r="G353" s="57">
        <v>0</v>
      </c>
      <c r="H353" s="34"/>
    </row>
    <row r="354" spans="1:8" ht="12.15" customHeight="1">
      <c r="A354" s="5"/>
      <c r="B354" s="5"/>
      <c r="C354" s="5"/>
      <c r="D354" s="926" t="s">
        <v>2271</v>
      </c>
      <c r="E354" s="927"/>
      <c r="F354" s="926"/>
      <c r="G354" s="57">
        <v>5.8815</v>
      </c>
      <c r="H354" s="34"/>
    </row>
    <row r="355" spans="1:8" ht="12.15" customHeight="1">
      <c r="A355" s="5"/>
      <c r="B355" s="5"/>
      <c r="C355" s="5"/>
      <c r="D355" s="926" t="s">
        <v>2272</v>
      </c>
      <c r="E355" s="927"/>
      <c r="F355" s="926"/>
      <c r="G355" s="57">
        <v>3.4236</v>
      </c>
      <c r="H355" s="34"/>
    </row>
    <row r="356" spans="1:8" ht="12.15" customHeight="1">
      <c r="A356" s="5"/>
      <c r="B356" s="5"/>
      <c r="C356" s="5"/>
      <c r="D356" s="926" t="s">
        <v>2273</v>
      </c>
      <c r="E356" s="927"/>
      <c r="F356" s="926"/>
      <c r="G356" s="57">
        <v>62.854999999999997</v>
      </c>
      <c r="H356" s="34"/>
    </row>
    <row r="357" spans="1:8">
      <c r="A357" s="5" t="s">
        <v>91</v>
      </c>
      <c r="B357" s="5"/>
      <c r="C357" s="5" t="s">
        <v>695</v>
      </c>
      <c r="D357" s="924" t="s">
        <v>1331</v>
      </c>
      <c r="E357" s="925"/>
      <c r="F357" s="5" t="s">
        <v>1940</v>
      </c>
      <c r="G357" s="21">
        <v>215.45310000000001</v>
      </c>
      <c r="H357" s="21">
        <v>0</v>
      </c>
    </row>
    <row r="358" spans="1:8">
      <c r="A358" s="14"/>
      <c r="B358" s="14"/>
      <c r="C358" s="14" t="s">
        <v>37</v>
      </c>
      <c r="D358" s="930" t="s">
        <v>1332</v>
      </c>
      <c r="E358" s="931"/>
      <c r="F358" s="14"/>
      <c r="G358" s="30"/>
      <c r="H358" s="30"/>
    </row>
    <row r="359" spans="1:8">
      <c r="A359" s="5" t="s">
        <v>92</v>
      </c>
      <c r="B359" s="5"/>
      <c r="C359" s="5" t="s">
        <v>696</v>
      </c>
      <c r="D359" s="924" t="s">
        <v>1333</v>
      </c>
      <c r="E359" s="925"/>
      <c r="F359" s="5" t="s">
        <v>1942</v>
      </c>
      <c r="G359" s="21">
        <v>4.2314999999999996</v>
      </c>
      <c r="H359" s="21">
        <v>0</v>
      </c>
    </row>
    <row r="360" spans="1:8" ht="12.15" customHeight="1">
      <c r="D360" s="926" t="s">
        <v>2274</v>
      </c>
      <c r="E360" s="927"/>
      <c r="F360" s="927"/>
      <c r="G360" s="57">
        <v>0.43419999999999997</v>
      </c>
    </row>
    <row r="361" spans="1:8" ht="12.15" customHeight="1">
      <c r="A361" s="5"/>
      <c r="B361" s="5"/>
      <c r="C361" s="5"/>
      <c r="D361" s="926" t="s">
        <v>2275</v>
      </c>
      <c r="E361" s="927"/>
      <c r="F361" s="926"/>
      <c r="G361" s="57">
        <v>0.86040000000000005</v>
      </c>
      <c r="H361" s="34"/>
    </row>
    <row r="362" spans="1:8" ht="12.15" customHeight="1">
      <c r="A362" s="5"/>
      <c r="B362" s="5"/>
      <c r="C362" s="5"/>
      <c r="D362" s="926" t="s">
        <v>2276</v>
      </c>
      <c r="E362" s="927"/>
      <c r="F362" s="926"/>
      <c r="G362" s="57">
        <v>2.9369000000000001</v>
      </c>
      <c r="H362" s="34"/>
    </row>
    <row r="363" spans="1:8">
      <c r="A363" s="5" t="s">
        <v>93</v>
      </c>
      <c r="B363" s="5"/>
      <c r="C363" s="5" t="s">
        <v>697</v>
      </c>
      <c r="D363" s="924" t="s">
        <v>1334</v>
      </c>
      <c r="E363" s="925"/>
      <c r="F363" s="5" t="s">
        <v>1940</v>
      </c>
      <c r="G363" s="21">
        <v>185.6</v>
      </c>
      <c r="H363" s="21">
        <v>0</v>
      </c>
    </row>
    <row r="364" spans="1:8" ht="12.15" customHeight="1">
      <c r="D364" s="926" t="s">
        <v>2277</v>
      </c>
      <c r="E364" s="927"/>
      <c r="F364" s="927"/>
      <c r="G364" s="57">
        <v>4.6399999999999997</v>
      </c>
    </row>
    <row r="365" spans="1:8" ht="12.15" customHeight="1">
      <c r="A365" s="5"/>
      <c r="B365" s="5"/>
      <c r="C365" s="5"/>
      <c r="D365" s="926" t="s">
        <v>2278</v>
      </c>
      <c r="E365" s="927"/>
      <c r="F365" s="926"/>
      <c r="G365" s="57">
        <v>36.159999999999997</v>
      </c>
      <c r="H365" s="34"/>
    </row>
    <row r="366" spans="1:8" ht="12.15" customHeight="1">
      <c r="A366" s="5"/>
      <c r="B366" s="5"/>
      <c r="C366" s="5"/>
      <c r="D366" s="926" t="s">
        <v>2279</v>
      </c>
      <c r="E366" s="927"/>
      <c r="F366" s="926"/>
      <c r="G366" s="57">
        <v>0</v>
      </c>
      <c r="H366" s="34"/>
    </row>
    <row r="367" spans="1:8" ht="12.15" customHeight="1">
      <c r="A367" s="5"/>
      <c r="B367" s="5"/>
      <c r="C367" s="5"/>
      <c r="D367" s="926" t="s">
        <v>2280</v>
      </c>
      <c r="E367" s="927"/>
      <c r="F367" s="926"/>
      <c r="G367" s="57">
        <v>19.440000000000001</v>
      </c>
      <c r="H367" s="34"/>
    </row>
    <row r="368" spans="1:8" ht="12.15" customHeight="1">
      <c r="A368" s="5"/>
      <c r="B368" s="5"/>
      <c r="C368" s="5"/>
      <c r="D368" s="926" t="s">
        <v>2281</v>
      </c>
      <c r="E368" s="927"/>
      <c r="F368" s="926"/>
      <c r="G368" s="57">
        <v>34</v>
      </c>
      <c r="H368" s="34"/>
    </row>
    <row r="369" spans="1:8" ht="12.15" customHeight="1">
      <c r="A369" s="5"/>
      <c r="B369" s="5"/>
      <c r="C369" s="5"/>
      <c r="D369" s="926" t="s">
        <v>2282</v>
      </c>
      <c r="E369" s="927"/>
      <c r="F369" s="926"/>
      <c r="G369" s="57">
        <v>6</v>
      </c>
      <c r="H369" s="34"/>
    </row>
    <row r="370" spans="1:8" ht="12.15" customHeight="1">
      <c r="A370" s="5"/>
      <c r="B370" s="5"/>
      <c r="C370" s="5"/>
      <c r="D370" s="926" t="s">
        <v>2283</v>
      </c>
      <c r="E370" s="927"/>
      <c r="F370" s="926"/>
      <c r="G370" s="57">
        <v>5.52</v>
      </c>
      <c r="H370" s="34"/>
    </row>
    <row r="371" spans="1:8" ht="12.15" customHeight="1">
      <c r="A371" s="5"/>
      <c r="B371" s="5"/>
      <c r="C371" s="5"/>
      <c r="D371" s="926" t="s">
        <v>2284</v>
      </c>
      <c r="E371" s="927"/>
      <c r="F371" s="926"/>
      <c r="G371" s="57">
        <v>6.08</v>
      </c>
      <c r="H371" s="34"/>
    </row>
    <row r="372" spans="1:8" ht="12.15" customHeight="1">
      <c r="A372" s="5"/>
      <c r="B372" s="5"/>
      <c r="C372" s="5"/>
      <c r="D372" s="926" t="s">
        <v>2285</v>
      </c>
      <c r="E372" s="927"/>
      <c r="F372" s="926"/>
      <c r="G372" s="57">
        <v>25.92</v>
      </c>
      <c r="H372" s="34"/>
    </row>
    <row r="373" spans="1:8" ht="12.15" customHeight="1">
      <c r="A373" s="5"/>
      <c r="B373" s="5"/>
      <c r="C373" s="5"/>
      <c r="D373" s="926" t="s">
        <v>2286</v>
      </c>
      <c r="E373" s="927"/>
      <c r="F373" s="926"/>
      <c r="G373" s="57">
        <v>15.52</v>
      </c>
      <c r="H373" s="34"/>
    </row>
    <row r="374" spans="1:8" ht="12.15" customHeight="1">
      <c r="A374" s="5"/>
      <c r="B374" s="5"/>
      <c r="C374" s="5"/>
      <c r="D374" s="926" t="s">
        <v>2287</v>
      </c>
      <c r="E374" s="927"/>
      <c r="F374" s="926"/>
      <c r="G374" s="57">
        <v>19.36</v>
      </c>
      <c r="H374" s="34"/>
    </row>
    <row r="375" spans="1:8" ht="12.15" customHeight="1">
      <c r="A375" s="5"/>
      <c r="B375" s="5"/>
      <c r="C375" s="5"/>
      <c r="D375" s="926" t="s">
        <v>2288</v>
      </c>
      <c r="E375" s="927"/>
      <c r="F375" s="926"/>
      <c r="G375" s="57">
        <v>12.96</v>
      </c>
      <c r="H375" s="34"/>
    </row>
    <row r="376" spans="1:8">
      <c r="A376" s="5" t="s">
        <v>94</v>
      </c>
      <c r="B376" s="5"/>
      <c r="C376" s="5" t="s">
        <v>698</v>
      </c>
      <c r="D376" s="924" t="s">
        <v>1335</v>
      </c>
      <c r="E376" s="925"/>
      <c r="F376" s="5" t="s">
        <v>1940</v>
      </c>
      <c r="G376" s="21">
        <v>185.6</v>
      </c>
      <c r="H376" s="21">
        <v>0</v>
      </c>
    </row>
    <row r="377" spans="1:8">
      <c r="A377" s="5" t="s">
        <v>95</v>
      </c>
      <c r="B377" s="5"/>
      <c r="C377" s="5" t="s">
        <v>699</v>
      </c>
      <c r="D377" s="924" t="s">
        <v>1336</v>
      </c>
      <c r="E377" s="925"/>
      <c r="F377" s="5" t="s">
        <v>1940</v>
      </c>
      <c r="G377" s="21">
        <v>5.8875000000000002</v>
      </c>
      <c r="H377" s="21">
        <v>0</v>
      </c>
    </row>
    <row r="378" spans="1:8" ht="12.15" customHeight="1">
      <c r="D378" s="926" t="s">
        <v>2289</v>
      </c>
      <c r="E378" s="927"/>
      <c r="F378" s="927"/>
      <c r="G378" s="57">
        <v>5.8875000000000002</v>
      </c>
    </row>
    <row r="379" spans="1:8">
      <c r="A379" s="5" t="s">
        <v>96</v>
      </c>
      <c r="B379" s="5"/>
      <c r="C379" s="5" t="s">
        <v>700</v>
      </c>
      <c r="D379" s="924" t="s">
        <v>1337</v>
      </c>
      <c r="E379" s="925"/>
      <c r="F379" s="5" t="s">
        <v>1940</v>
      </c>
      <c r="G379" s="21">
        <v>5.8875000000000002</v>
      </c>
      <c r="H379" s="21">
        <v>0</v>
      </c>
    </row>
    <row r="380" spans="1:8">
      <c r="A380" s="5" t="s">
        <v>97</v>
      </c>
      <c r="B380" s="5"/>
      <c r="C380" s="5" t="s">
        <v>701</v>
      </c>
      <c r="D380" s="924" t="s">
        <v>1338</v>
      </c>
      <c r="E380" s="925"/>
      <c r="F380" s="5" t="s">
        <v>1941</v>
      </c>
      <c r="G380" s="21">
        <v>5.4720000000000004</v>
      </c>
      <c r="H380" s="21">
        <v>0</v>
      </c>
    </row>
    <row r="381" spans="1:8" ht="12.15" customHeight="1">
      <c r="D381" s="926" t="s">
        <v>2290</v>
      </c>
      <c r="E381" s="927"/>
      <c r="F381" s="927"/>
      <c r="G381" s="57">
        <v>1.8560000000000001</v>
      </c>
    </row>
    <row r="382" spans="1:8" ht="12.15" customHeight="1">
      <c r="A382" s="5"/>
      <c r="B382" s="5"/>
      <c r="C382" s="5"/>
      <c r="D382" s="926" t="s">
        <v>2291</v>
      </c>
      <c r="E382" s="927"/>
      <c r="F382" s="926"/>
      <c r="G382" s="57">
        <v>3.6160000000000001</v>
      </c>
      <c r="H382" s="34"/>
    </row>
    <row r="383" spans="1:8">
      <c r="A383" s="5" t="s">
        <v>98</v>
      </c>
      <c r="B383" s="5"/>
      <c r="C383" s="5" t="s">
        <v>702</v>
      </c>
      <c r="D383" s="924" t="s">
        <v>1339</v>
      </c>
      <c r="E383" s="925"/>
      <c r="F383" s="5" t="s">
        <v>1941</v>
      </c>
      <c r="G383" s="21">
        <v>15.191940000000001</v>
      </c>
      <c r="H383" s="21">
        <v>0</v>
      </c>
    </row>
    <row r="384" spans="1:8" ht="12.15" customHeight="1">
      <c r="D384" s="926" t="s">
        <v>2292</v>
      </c>
      <c r="E384" s="927"/>
      <c r="F384" s="927"/>
      <c r="G384" s="57">
        <v>0</v>
      </c>
    </row>
    <row r="385" spans="1:8" ht="12.15" customHeight="1">
      <c r="A385" s="5"/>
      <c r="B385" s="5"/>
      <c r="C385" s="5"/>
      <c r="D385" s="926" t="s">
        <v>2293</v>
      </c>
      <c r="E385" s="927"/>
      <c r="F385" s="926"/>
      <c r="G385" s="57">
        <v>1.92</v>
      </c>
      <c r="H385" s="34"/>
    </row>
    <row r="386" spans="1:8" ht="12.15" customHeight="1">
      <c r="A386" s="5"/>
      <c r="B386" s="5"/>
      <c r="C386" s="5"/>
      <c r="D386" s="926" t="s">
        <v>2294</v>
      </c>
      <c r="E386" s="927"/>
      <c r="F386" s="926"/>
      <c r="G386" s="57">
        <v>3.4</v>
      </c>
      <c r="H386" s="34"/>
    </row>
    <row r="387" spans="1:8" ht="12.15" customHeight="1">
      <c r="A387" s="5"/>
      <c r="B387" s="5"/>
      <c r="C387" s="5"/>
      <c r="D387" s="926" t="s">
        <v>2295</v>
      </c>
      <c r="E387" s="927"/>
      <c r="F387" s="926"/>
      <c r="G387" s="57">
        <v>0.73594000000000004</v>
      </c>
      <c r="H387" s="34"/>
    </row>
    <row r="388" spans="1:8" ht="12.15" customHeight="1">
      <c r="A388" s="5"/>
      <c r="B388" s="5"/>
      <c r="C388" s="5"/>
      <c r="D388" s="926" t="s">
        <v>2296</v>
      </c>
      <c r="E388" s="927"/>
      <c r="F388" s="926"/>
      <c r="G388" s="57">
        <v>0.6</v>
      </c>
      <c r="H388" s="34"/>
    </row>
    <row r="389" spans="1:8" ht="12.15" customHeight="1">
      <c r="A389" s="5"/>
      <c r="B389" s="5"/>
      <c r="C389" s="5"/>
      <c r="D389" s="926" t="s">
        <v>2297</v>
      </c>
      <c r="E389" s="927"/>
      <c r="F389" s="926"/>
      <c r="G389" s="57">
        <v>0.55200000000000005</v>
      </c>
      <c r="H389" s="34"/>
    </row>
    <row r="390" spans="1:8" ht="12.15" customHeight="1">
      <c r="A390" s="5"/>
      <c r="B390" s="5"/>
      <c r="C390" s="5"/>
      <c r="D390" s="926" t="s">
        <v>2298</v>
      </c>
      <c r="E390" s="927"/>
      <c r="F390" s="926"/>
      <c r="G390" s="57">
        <v>0.60799999999999998</v>
      </c>
      <c r="H390" s="34"/>
    </row>
    <row r="391" spans="1:8" ht="12.15" customHeight="1">
      <c r="A391" s="5"/>
      <c r="B391" s="5"/>
      <c r="C391" s="5"/>
      <c r="D391" s="926" t="s">
        <v>2299</v>
      </c>
      <c r="E391" s="927"/>
      <c r="F391" s="926"/>
      <c r="G391" s="57">
        <v>2.5920000000000001</v>
      </c>
      <c r="H391" s="34"/>
    </row>
    <row r="392" spans="1:8" ht="12.15" customHeight="1">
      <c r="A392" s="5"/>
      <c r="B392" s="5"/>
      <c r="C392" s="5"/>
      <c r="D392" s="926" t="s">
        <v>2300</v>
      </c>
      <c r="E392" s="927"/>
      <c r="F392" s="926"/>
      <c r="G392" s="57">
        <v>0.77600000000000002</v>
      </c>
      <c r="H392" s="34"/>
    </row>
    <row r="393" spans="1:8" ht="12.15" customHeight="1">
      <c r="A393" s="5"/>
      <c r="B393" s="5"/>
      <c r="C393" s="5"/>
      <c r="D393" s="926" t="s">
        <v>2301</v>
      </c>
      <c r="E393" s="927"/>
      <c r="F393" s="926"/>
      <c r="G393" s="57">
        <v>0.77600000000000002</v>
      </c>
      <c r="H393" s="34"/>
    </row>
    <row r="394" spans="1:8" ht="12.15" customHeight="1">
      <c r="A394" s="5"/>
      <c r="B394" s="5"/>
      <c r="C394" s="5"/>
      <c r="D394" s="926" t="s">
        <v>2302</v>
      </c>
      <c r="E394" s="927"/>
      <c r="F394" s="926"/>
      <c r="G394" s="57">
        <v>1.9359999999999999</v>
      </c>
      <c r="H394" s="34"/>
    </row>
    <row r="395" spans="1:8" ht="12.15" customHeight="1">
      <c r="A395" s="5"/>
      <c r="B395" s="5"/>
      <c r="C395" s="5"/>
      <c r="D395" s="926" t="s">
        <v>2303</v>
      </c>
      <c r="E395" s="927"/>
      <c r="F395" s="926"/>
      <c r="G395" s="57">
        <v>1.296</v>
      </c>
      <c r="H395" s="34"/>
    </row>
    <row r="396" spans="1:8">
      <c r="A396" s="5" t="s">
        <v>99</v>
      </c>
      <c r="B396" s="5"/>
      <c r="C396" s="5" t="s">
        <v>703</v>
      </c>
      <c r="D396" s="924" t="s">
        <v>1340</v>
      </c>
      <c r="E396" s="925"/>
      <c r="F396" s="5" t="s">
        <v>1943</v>
      </c>
      <c r="G396" s="21">
        <v>6</v>
      </c>
      <c r="H396" s="21">
        <v>0</v>
      </c>
    </row>
    <row r="397" spans="1:8" ht="12.15" customHeight="1">
      <c r="D397" s="926" t="s">
        <v>2304</v>
      </c>
      <c r="E397" s="927"/>
      <c r="F397" s="927"/>
      <c r="G397" s="57">
        <v>6</v>
      </c>
    </row>
    <row r="398" spans="1:8">
      <c r="A398" s="6" t="s">
        <v>100</v>
      </c>
      <c r="B398" s="6"/>
      <c r="C398" s="6" t="s">
        <v>704</v>
      </c>
      <c r="D398" s="928" t="s">
        <v>1341</v>
      </c>
      <c r="E398" s="929"/>
      <c r="F398" s="6" t="s">
        <v>1943</v>
      </c>
      <c r="G398" s="22">
        <v>2</v>
      </c>
      <c r="H398" s="22">
        <v>0</v>
      </c>
    </row>
    <row r="399" spans="1:8">
      <c r="A399" s="6" t="s">
        <v>101</v>
      </c>
      <c r="B399" s="6"/>
      <c r="C399" s="6" t="s">
        <v>705</v>
      </c>
      <c r="D399" s="928" t="s">
        <v>1342</v>
      </c>
      <c r="E399" s="929"/>
      <c r="F399" s="6" t="s">
        <v>1943</v>
      </c>
      <c r="G399" s="22">
        <v>4</v>
      </c>
      <c r="H399" s="22">
        <v>0</v>
      </c>
    </row>
    <row r="400" spans="1:8">
      <c r="A400" s="14"/>
      <c r="B400" s="14"/>
      <c r="C400" s="14" t="s">
        <v>38</v>
      </c>
      <c r="D400" s="930" t="s">
        <v>1343</v>
      </c>
      <c r="E400" s="931"/>
      <c r="F400" s="14"/>
      <c r="G400" s="30"/>
      <c r="H400" s="30"/>
    </row>
    <row r="401" spans="1:8">
      <c r="A401" s="5" t="s">
        <v>102</v>
      </c>
      <c r="B401" s="5"/>
      <c r="C401" s="5" t="s">
        <v>706</v>
      </c>
      <c r="D401" s="924" t="s">
        <v>1344</v>
      </c>
      <c r="E401" s="925"/>
      <c r="F401" s="5" t="s">
        <v>1940</v>
      </c>
      <c r="G401" s="21">
        <v>96.473749999999995</v>
      </c>
      <c r="H401" s="21">
        <v>0</v>
      </c>
    </row>
    <row r="402" spans="1:8" ht="12.15" customHeight="1">
      <c r="D402" s="926" t="s">
        <v>2150</v>
      </c>
      <c r="E402" s="927"/>
      <c r="F402" s="927"/>
      <c r="G402" s="57">
        <v>0</v>
      </c>
    </row>
    <row r="403" spans="1:8" ht="12.15" customHeight="1">
      <c r="A403" s="5"/>
      <c r="B403" s="5"/>
      <c r="C403" s="5"/>
      <c r="D403" s="926" t="s">
        <v>2305</v>
      </c>
      <c r="E403" s="927"/>
      <c r="F403" s="926"/>
      <c r="G403" s="57">
        <v>19.923749999999998</v>
      </c>
      <c r="H403" s="34"/>
    </row>
    <row r="404" spans="1:8" ht="12.15" customHeight="1">
      <c r="A404" s="5"/>
      <c r="B404" s="5"/>
      <c r="C404" s="5"/>
      <c r="D404" s="926" t="s">
        <v>2152</v>
      </c>
      <c r="E404" s="927"/>
      <c r="F404" s="926"/>
      <c r="G404" s="57">
        <v>0</v>
      </c>
      <c r="H404" s="34"/>
    </row>
    <row r="405" spans="1:8" ht="12.15" customHeight="1">
      <c r="A405" s="5"/>
      <c r="B405" s="5"/>
      <c r="C405" s="5"/>
      <c r="D405" s="926" t="s">
        <v>2306</v>
      </c>
      <c r="E405" s="927"/>
      <c r="F405" s="926"/>
      <c r="G405" s="57">
        <v>9.3000000000000007</v>
      </c>
      <c r="H405" s="34"/>
    </row>
    <row r="406" spans="1:8" ht="12.15" customHeight="1">
      <c r="A406" s="5"/>
      <c r="B406" s="5"/>
      <c r="C406" s="5"/>
      <c r="D406" s="926" t="s">
        <v>2154</v>
      </c>
      <c r="E406" s="927"/>
      <c r="F406" s="926"/>
      <c r="G406" s="57">
        <v>0</v>
      </c>
      <c r="H406" s="34"/>
    </row>
    <row r="407" spans="1:8" ht="12.15" customHeight="1">
      <c r="A407" s="5"/>
      <c r="B407" s="5"/>
      <c r="C407" s="5"/>
      <c r="D407" s="926" t="s">
        <v>2307</v>
      </c>
      <c r="E407" s="927"/>
      <c r="F407" s="926"/>
      <c r="G407" s="57">
        <v>45.05</v>
      </c>
      <c r="H407" s="34"/>
    </row>
    <row r="408" spans="1:8" ht="12.15" customHeight="1">
      <c r="A408" s="5"/>
      <c r="B408" s="5"/>
      <c r="C408" s="5"/>
      <c r="D408" s="926" t="s">
        <v>2308</v>
      </c>
      <c r="E408" s="927"/>
      <c r="F408" s="926"/>
      <c r="G408" s="57">
        <v>22.2</v>
      </c>
      <c r="H408" s="34"/>
    </row>
    <row r="409" spans="1:8">
      <c r="A409" s="5" t="s">
        <v>103</v>
      </c>
      <c r="B409" s="5"/>
      <c r="C409" s="5" t="s">
        <v>707</v>
      </c>
      <c r="D409" s="924" t="s">
        <v>1345</v>
      </c>
      <c r="E409" s="925"/>
      <c r="F409" s="5" t="s">
        <v>1940</v>
      </c>
      <c r="G409" s="21">
        <v>297.28874999999999</v>
      </c>
      <c r="H409" s="21">
        <v>0</v>
      </c>
    </row>
    <row r="410" spans="1:8" ht="12.15" customHeight="1">
      <c r="D410" s="926" t="s">
        <v>2150</v>
      </c>
      <c r="E410" s="927"/>
      <c r="F410" s="927"/>
      <c r="G410" s="57">
        <v>0</v>
      </c>
    </row>
    <row r="411" spans="1:8" ht="12.15" customHeight="1">
      <c r="A411" s="5"/>
      <c r="B411" s="5"/>
      <c r="C411" s="5"/>
      <c r="D411" s="926" t="s">
        <v>2309</v>
      </c>
      <c r="E411" s="927"/>
      <c r="F411" s="926"/>
      <c r="G411" s="57">
        <v>98.773499999999999</v>
      </c>
      <c r="H411" s="34"/>
    </row>
    <row r="412" spans="1:8" ht="12.15" customHeight="1">
      <c r="A412" s="5"/>
      <c r="B412" s="5"/>
      <c r="C412" s="5"/>
      <c r="D412" s="926" t="s">
        <v>2310</v>
      </c>
      <c r="E412" s="927"/>
      <c r="F412" s="926"/>
      <c r="G412" s="57">
        <v>-17.082000000000001</v>
      </c>
      <c r="H412" s="34"/>
    </row>
    <row r="413" spans="1:8" ht="12.15" customHeight="1">
      <c r="A413" s="5"/>
      <c r="B413" s="5"/>
      <c r="C413" s="5"/>
      <c r="D413" s="926" t="s">
        <v>2152</v>
      </c>
      <c r="E413" s="927"/>
      <c r="F413" s="926"/>
      <c r="G413" s="57">
        <v>0</v>
      </c>
      <c r="H413" s="34"/>
    </row>
    <row r="414" spans="1:8" ht="12.15" customHeight="1">
      <c r="A414" s="5"/>
      <c r="B414" s="5"/>
      <c r="C414" s="5"/>
      <c r="D414" s="926" t="s">
        <v>2311</v>
      </c>
      <c r="E414" s="927"/>
      <c r="F414" s="926"/>
      <c r="G414" s="57">
        <v>81.653999999999996</v>
      </c>
      <c r="H414" s="34"/>
    </row>
    <row r="415" spans="1:8" ht="12.15" customHeight="1">
      <c r="A415" s="5"/>
      <c r="B415" s="5"/>
      <c r="C415" s="5"/>
      <c r="D415" s="926" t="s">
        <v>2312</v>
      </c>
      <c r="E415" s="927"/>
      <c r="F415" s="926"/>
      <c r="G415" s="57">
        <v>-11.82</v>
      </c>
      <c r="H415" s="34"/>
    </row>
    <row r="416" spans="1:8" ht="12.15" customHeight="1">
      <c r="A416" s="5"/>
      <c r="B416" s="5"/>
      <c r="C416" s="5"/>
      <c r="D416" s="926" t="s">
        <v>2154</v>
      </c>
      <c r="E416" s="927"/>
      <c r="F416" s="926"/>
      <c r="G416" s="57">
        <v>0</v>
      </c>
      <c r="H416" s="34"/>
    </row>
    <row r="417" spans="1:8" ht="12.15" customHeight="1">
      <c r="A417" s="5"/>
      <c r="B417" s="5"/>
      <c r="C417" s="5"/>
      <c r="D417" s="926" t="s">
        <v>2313</v>
      </c>
      <c r="E417" s="927"/>
      <c r="F417" s="926"/>
      <c r="G417" s="57">
        <v>101.61324999999999</v>
      </c>
      <c r="H417" s="34"/>
    </row>
    <row r="418" spans="1:8" ht="12.15" customHeight="1">
      <c r="A418" s="5"/>
      <c r="B418" s="5"/>
      <c r="C418" s="5"/>
      <c r="D418" s="926" t="s">
        <v>2314</v>
      </c>
      <c r="E418" s="927"/>
      <c r="F418" s="926"/>
      <c r="G418" s="57">
        <v>-9.85</v>
      </c>
      <c r="H418" s="34"/>
    </row>
    <row r="419" spans="1:8" ht="12.15" customHeight="1">
      <c r="A419" s="5"/>
      <c r="B419" s="5"/>
      <c r="C419" s="5"/>
      <c r="D419" s="926" t="s">
        <v>2315</v>
      </c>
      <c r="E419" s="927"/>
      <c r="F419" s="926"/>
      <c r="G419" s="57">
        <v>54</v>
      </c>
      <c r="H419" s="34"/>
    </row>
    <row r="420" spans="1:8">
      <c r="A420" s="5" t="s">
        <v>104</v>
      </c>
      <c r="B420" s="5"/>
      <c r="C420" s="5" t="s">
        <v>708</v>
      </c>
      <c r="D420" s="924" t="s">
        <v>1346</v>
      </c>
      <c r="E420" s="925"/>
      <c r="F420" s="5" t="s">
        <v>1940</v>
      </c>
      <c r="G420" s="21">
        <v>480.24655000000001</v>
      </c>
      <c r="H420" s="21">
        <v>0</v>
      </c>
    </row>
    <row r="421" spans="1:8" ht="12.15" customHeight="1">
      <c r="D421" s="926" t="s">
        <v>2150</v>
      </c>
      <c r="E421" s="927"/>
      <c r="F421" s="927"/>
      <c r="G421" s="57">
        <v>0</v>
      </c>
    </row>
    <row r="422" spans="1:8" ht="12.15" customHeight="1">
      <c r="A422" s="5"/>
      <c r="B422" s="5"/>
      <c r="C422" s="5"/>
      <c r="D422" s="926" t="s">
        <v>2316</v>
      </c>
      <c r="E422" s="927"/>
      <c r="F422" s="926"/>
      <c r="G422" s="57">
        <v>327.88799999999998</v>
      </c>
      <c r="H422" s="34"/>
    </row>
    <row r="423" spans="1:8" ht="12.15" customHeight="1">
      <c r="A423" s="5"/>
      <c r="B423" s="5"/>
      <c r="C423" s="5"/>
      <c r="D423" s="926" t="s">
        <v>2317</v>
      </c>
      <c r="E423" s="927"/>
      <c r="F423" s="926"/>
      <c r="G423" s="57">
        <v>-25.314499999999999</v>
      </c>
      <c r="H423" s="34"/>
    </row>
    <row r="424" spans="1:8" ht="12.15" customHeight="1">
      <c r="A424" s="5"/>
      <c r="B424" s="5"/>
      <c r="C424" s="5"/>
      <c r="D424" s="926" t="s">
        <v>2152</v>
      </c>
      <c r="E424" s="927"/>
      <c r="F424" s="926"/>
      <c r="G424" s="57">
        <v>0</v>
      </c>
      <c r="H424" s="34"/>
    </row>
    <row r="425" spans="1:8" ht="12.15" customHeight="1">
      <c r="A425" s="5"/>
      <c r="B425" s="5"/>
      <c r="C425" s="5"/>
      <c r="D425" s="926" t="s">
        <v>2318</v>
      </c>
      <c r="E425" s="927"/>
      <c r="F425" s="926"/>
      <c r="G425" s="57">
        <v>32.5383</v>
      </c>
      <c r="H425" s="34"/>
    </row>
    <row r="426" spans="1:8" ht="12.15" customHeight="1">
      <c r="A426" s="5"/>
      <c r="B426" s="5"/>
      <c r="C426" s="5"/>
      <c r="D426" s="926" t="s">
        <v>2154</v>
      </c>
      <c r="E426" s="927"/>
      <c r="F426" s="926"/>
      <c r="G426" s="57">
        <v>0</v>
      </c>
      <c r="H426" s="34"/>
    </row>
    <row r="427" spans="1:8" ht="12.15" customHeight="1">
      <c r="A427" s="5"/>
      <c r="B427" s="5"/>
      <c r="C427" s="5"/>
      <c r="D427" s="926" t="s">
        <v>2319</v>
      </c>
      <c r="E427" s="927"/>
      <c r="F427" s="926"/>
      <c r="G427" s="57">
        <v>154.06675000000001</v>
      </c>
      <c r="H427" s="34"/>
    </row>
    <row r="428" spans="1:8" ht="12.15" customHeight="1">
      <c r="A428" s="5"/>
      <c r="B428" s="5"/>
      <c r="C428" s="5"/>
      <c r="D428" s="926" t="s">
        <v>2320</v>
      </c>
      <c r="E428" s="927"/>
      <c r="F428" s="926"/>
      <c r="G428" s="57">
        <v>-12.807</v>
      </c>
      <c r="H428" s="34"/>
    </row>
    <row r="429" spans="1:8" ht="12.15" customHeight="1">
      <c r="A429" s="5"/>
      <c r="B429" s="5"/>
      <c r="C429" s="5"/>
      <c r="D429" s="926" t="s">
        <v>2321</v>
      </c>
      <c r="E429" s="927"/>
      <c r="F429" s="926"/>
      <c r="G429" s="57">
        <v>0</v>
      </c>
      <c r="H429" s="34"/>
    </row>
    <row r="430" spans="1:8" ht="12.15" customHeight="1">
      <c r="A430" s="5"/>
      <c r="B430" s="5"/>
      <c r="C430" s="5"/>
      <c r="D430" s="926" t="s">
        <v>2322</v>
      </c>
      <c r="E430" s="927"/>
      <c r="F430" s="926"/>
      <c r="G430" s="57">
        <v>3.875</v>
      </c>
      <c r="H430" s="34"/>
    </row>
    <row r="431" spans="1:8">
      <c r="A431" s="5" t="s">
        <v>105</v>
      </c>
      <c r="B431" s="5"/>
      <c r="C431" s="5" t="s">
        <v>709</v>
      </c>
      <c r="D431" s="924" t="s">
        <v>1347</v>
      </c>
      <c r="E431" s="925"/>
      <c r="F431" s="5" t="s">
        <v>1940</v>
      </c>
      <c r="G431" s="21">
        <v>232.68700000000001</v>
      </c>
      <c r="H431" s="21">
        <v>0</v>
      </c>
    </row>
    <row r="432" spans="1:8" ht="12.15" customHeight="1">
      <c r="D432" s="926" t="s">
        <v>2150</v>
      </c>
      <c r="E432" s="927"/>
      <c r="F432" s="927"/>
      <c r="G432" s="57">
        <v>0</v>
      </c>
    </row>
    <row r="433" spans="1:8" ht="12.15" customHeight="1">
      <c r="A433" s="5"/>
      <c r="B433" s="5"/>
      <c r="C433" s="5"/>
      <c r="D433" s="926" t="s">
        <v>2323</v>
      </c>
      <c r="E433" s="927"/>
      <c r="F433" s="926"/>
      <c r="G433" s="57">
        <v>17.684999999999999</v>
      </c>
      <c r="H433" s="34"/>
    </row>
    <row r="434" spans="1:8" ht="12.15" customHeight="1">
      <c r="A434" s="5"/>
      <c r="B434" s="5"/>
      <c r="C434" s="5"/>
      <c r="D434" s="926" t="s">
        <v>2152</v>
      </c>
      <c r="E434" s="927"/>
      <c r="F434" s="926"/>
      <c r="G434" s="57">
        <v>0</v>
      </c>
      <c r="H434" s="34"/>
    </row>
    <row r="435" spans="1:8" ht="12.15" customHeight="1">
      <c r="A435" s="5"/>
      <c r="B435" s="5"/>
      <c r="C435" s="5"/>
      <c r="D435" s="926" t="s">
        <v>2324</v>
      </c>
      <c r="E435" s="927"/>
      <c r="F435" s="926"/>
      <c r="G435" s="57">
        <v>21.3125</v>
      </c>
      <c r="H435" s="34"/>
    </row>
    <row r="436" spans="1:8" ht="12.15" customHeight="1">
      <c r="A436" s="5"/>
      <c r="B436" s="5"/>
      <c r="C436" s="5"/>
      <c r="D436" s="926" t="s">
        <v>2154</v>
      </c>
      <c r="E436" s="927"/>
      <c r="F436" s="926"/>
      <c r="G436" s="57">
        <v>0</v>
      </c>
      <c r="H436" s="34"/>
    </row>
    <row r="437" spans="1:8" ht="12.15" customHeight="1">
      <c r="A437" s="5"/>
      <c r="B437" s="5"/>
      <c r="C437" s="5"/>
      <c r="D437" s="926" t="s">
        <v>2325</v>
      </c>
      <c r="E437" s="927"/>
      <c r="F437" s="926"/>
      <c r="G437" s="57">
        <v>173.887</v>
      </c>
      <c r="H437" s="34"/>
    </row>
    <row r="438" spans="1:8" ht="12.15" customHeight="1">
      <c r="A438" s="5"/>
      <c r="B438" s="5"/>
      <c r="C438" s="5"/>
      <c r="D438" s="926" t="s">
        <v>2321</v>
      </c>
      <c r="E438" s="927"/>
      <c r="F438" s="926"/>
      <c r="G438" s="57">
        <v>0</v>
      </c>
      <c r="H438" s="34"/>
    </row>
    <row r="439" spans="1:8" ht="12.15" customHeight="1">
      <c r="A439" s="5"/>
      <c r="B439" s="5"/>
      <c r="C439" s="5"/>
      <c r="D439" s="926" t="s">
        <v>2326</v>
      </c>
      <c r="E439" s="927"/>
      <c r="F439" s="926"/>
      <c r="G439" s="57">
        <v>6.8125</v>
      </c>
      <c r="H439" s="34"/>
    </row>
    <row r="440" spans="1:8" ht="12.15" customHeight="1">
      <c r="A440" s="5"/>
      <c r="B440" s="5"/>
      <c r="C440" s="5"/>
      <c r="D440" s="926" t="s">
        <v>2327</v>
      </c>
      <c r="E440" s="927"/>
      <c r="F440" s="926"/>
      <c r="G440" s="57">
        <v>5.79</v>
      </c>
      <c r="H440" s="34"/>
    </row>
    <row r="441" spans="1:8" ht="12.15" customHeight="1">
      <c r="A441" s="5"/>
      <c r="B441" s="5"/>
      <c r="C441" s="5"/>
      <c r="D441" s="926" t="s">
        <v>2328</v>
      </c>
      <c r="E441" s="927"/>
      <c r="F441" s="926"/>
      <c r="G441" s="57">
        <v>7.2</v>
      </c>
      <c r="H441" s="34"/>
    </row>
    <row r="442" spans="1:8">
      <c r="A442" s="5" t="s">
        <v>106</v>
      </c>
      <c r="B442" s="5"/>
      <c r="C442" s="5" t="s">
        <v>710</v>
      </c>
      <c r="D442" s="924" t="s">
        <v>1348</v>
      </c>
      <c r="E442" s="925"/>
      <c r="F442" s="5" t="s">
        <v>1940</v>
      </c>
      <c r="G442" s="21">
        <v>19.7075</v>
      </c>
      <c r="H442" s="21">
        <v>0</v>
      </c>
    </row>
    <row r="443" spans="1:8" ht="12.15" customHeight="1">
      <c r="D443" s="926" t="s">
        <v>2150</v>
      </c>
      <c r="E443" s="927"/>
      <c r="F443" s="927"/>
      <c r="G443" s="57">
        <v>0</v>
      </c>
    </row>
    <row r="444" spans="1:8" ht="12.15" customHeight="1">
      <c r="A444" s="5"/>
      <c r="B444" s="5"/>
      <c r="C444" s="5"/>
      <c r="D444" s="926" t="s">
        <v>2329</v>
      </c>
      <c r="E444" s="927"/>
      <c r="F444" s="926"/>
      <c r="G444" s="57">
        <v>2.0699999999999998</v>
      </c>
      <c r="H444" s="34"/>
    </row>
    <row r="445" spans="1:8" ht="12.15" customHeight="1">
      <c r="A445" s="5"/>
      <c r="B445" s="5"/>
      <c r="C445" s="5"/>
      <c r="D445" s="926" t="s">
        <v>2154</v>
      </c>
      <c r="E445" s="927"/>
      <c r="F445" s="926"/>
      <c r="G445" s="57">
        <v>0</v>
      </c>
      <c r="H445" s="34"/>
    </row>
    <row r="446" spans="1:8" ht="12.15" customHeight="1">
      <c r="A446" s="5"/>
      <c r="B446" s="5"/>
      <c r="C446" s="5"/>
      <c r="D446" s="926" t="s">
        <v>2330</v>
      </c>
      <c r="E446" s="927"/>
      <c r="F446" s="926"/>
      <c r="G446" s="57">
        <v>17.637499999999999</v>
      </c>
      <c r="H446" s="34"/>
    </row>
    <row r="447" spans="1:8">
      <c r="A447" s="5" t="s">
        <v>107</v>
      </c>
      <c r="B447" s="5"/>
      <c r="C447" s="5" t="s">
        <v>711</v>
      </c>
      <c r="D447" s="924" t="s">
        <v>1349</v>
      </c>
      <c r="E447" s="925"/>
      <c r="F447" s="5" t="s">
        <v>1940</v>
      </c>
      <c r="G447" s="21">
        <v>2.76</v>
      </c>
      <c r="H447" s="21">
        <v>0</v>
      </c>
    </row>
    <row r="448" spans="1:8" ht="12.15" customHeight="1">
      <c r="D448" s="926" t="s">
        <v>2154</v>
      </c>
      <c r="E448" s="927"/>
      <c r="F448" s="927"/>
      <c r="G448" s="57">
        <v>0</v>
      </c>
    </row>
    <row r="449" spans="1:8" ht="12.15" customHeight="1">
      <c r="A449" s="5"/>
      <c r="B449" s="5"/>
      <c r="C449" s="5"/>
      <c r="D449" s="926" t="s">
        <v>2331</v>
      </c>
      <c r="E449" s="927"/>
      <c r="F449" s="926"/>
      <c r="G449" s="57">
        <v>2.76</v>
      </c>
      <c r="H449" s="34"/>
    </row>
    <row r="450" spans="1:8">
      <c r="A450" s="5" t="s">
        <v>108</v>
      </c>
      <c r="B450" s="5"/>
      <c r="C450" s="5" t="s">
        <v>712</v>
      </c>
      <c r="D450" s="924" t="s">
        <v>1350</v>
      </c>
      <c r="E450" s="925"/>
      <c r="F450" s="5" t="s">
        <v>1940</v>
      </c>
      <c r="G450" s="21">
        <v>14.56875</v>
      </c>
      <c r="H450" s="21">
        <v>0</v>
      </c>
    </row>
    <row r="451" spans="1:8" ht="12.15" customHeight="1">
      <c r="D451" s="926" t="s">
        <v>2332</v>
      </c>
      <c r="E451" s="927"/>
      <c r="F451" s="927"/>
      <c r="G451" s="57">
        <v>0</v>
      </c>
    </row>
    <row r="452" spans="1:8" ht="12.15" customHeight="1">
      <c r="A452" s="5"/>
      <c r="B452" s="5"/>
      <c r="C452" s="5"/>
      <c r="D452" s="926" t="s">
        <v>2333</v>
      </c>
      <c r="E452" s="927"/>
      <c r="F452" s="926"/>
      <c r="G452" s="57">
        <v>7.96875</v>
      </c>
      <c r="H452" s="34"/>
    </row>
    <row r="453" spans="1:8" ht="12.15" customHeight="1">
      <c r="A453" s="5"/>
      <c r="B453" s="5"/>
      <c r="C453" s="5"/>
      <c r="D453" s="926" t="s">
        <v>2334</v>
      </c>
      <c r="E453" s="927"/>
      <c r="F453" s="926"/>
      <c r="G453" s="57">
        <v>6.6</v>
      </c>
      <c r="H453" s="34"/>
    </row>
    <row r="454" spans="1:8">
      <c r="A454" s="5" t="s">
        <v>109</v>
      </c>
      <c r="B454" s="5"/>
      <c r="C454" s="5" t="s">
        <v>713</v>
      </c>
      <c r="D454" s="924" t="s">
        <v>5836</v>
      </c>
      <c r="E454" s="925"/>
      <c r="F454" s="5" t="s">
        <v>1940</v>
      </c>
      <c r="G454" s="21">
        <v>46.889200000000002</v>
      </c>
      <c r="H454" s="21">
        <v>0</v>
      </c>
    </row>
    <row r="455" spans="1:8" ht="12.15" customHeight="1">
      <c r="D455" s="926" t="s">
        <v>2335</v>
      </c>
      <c r="E455" s="927"/>
      <c r="F455" s="927"/>
      <c r="G455" s="57">
        <v>0</v>
      </c>
    </row>
    <row r="456" spans="1:8" ht="12.15" customHeight="1">
      <c r="A456" s="5"/>
      <c r="B456" s="5"/>
      <c r="C456" s="5"/>
      <c r="D456" s="926" t="s">
        <v>2336</v>
      </c>
      <c r="E456" s="927"/>
      <c r="F456" s="926"/>
      <c r="G456" s="57">
        <v>52.799199999999999</v>
      </c>
      <c r="H456" s="34"/>
    </row>
    <row r="457" spans="1:8" ht="12.15" customHeight="1">
      <c r="A457" s="5"/>
      <c r="B457" s="5"/>
      <c r="C457" s="5"/>
      <c r="D457" s="926" t="s">
        <v>2337</v>
      </c>
      <c r="E457" s="927"/>
      <c r="F457" s="926"/>
      <c r="G457" s="57">
        <v>-5.91</v>
      </c>
      <c r="H457" s="34"/>
    </row>
    <row r="458" spans="1:8">
      <c r="A458" s="5" t="s">
        <v>110</v>
      </c>
      <c r="B458" s="5"/>
      <c r="C458" s="5" t="s">
        <v>714</v>
      </c>
      <c r="D458" s="924" t="s">
        <v>1351</v>
      </c>
      <c r="E458" s="925"/>
      <c r="F458" s="5" t="s">
        <v>1940</v>
      </c>
      <c r="G458" s="21">
        <v>20.213999999999999</v>
      </c>
      <c r="H458" s="21">
        <v>0</v>
      </c>
    </row>
    <row r="459" spans="1:8" ht="12.15" customHeight="1">
      <c r="D459" s="926" t="s">
        <v>2152</v>
      </c>
      <c r="E459" s="927"/>
      <c r="F459" s="927"/>
      <c r="G459" s="57">
        <v>0</v>
      </c>
    </row>
    <row r="460" spans="1:8" ht="12.15" customHeight="1">
      <c r="A460" s="5"/>
      <c r="B460" s="5"/>
      <c r="C460" s="5"/>
      <c r="D460" s="926" t="s">
        <v>2338</v>
      </c>
      <c r="E460" s="927"/>
      <c r="F460" s="926"/>
      <c r="G460" s="57">
        <v>20.213999999999999</v>
      </c>
      <c r="H460" s="34"/>
    </row>
    <row r="461" spans="1:8">
      <c r="A461" s="5" t="s">
        <v>111</v>
      </c>
      <c r="B461" s="5"/>
      <c r="C461" s="5" t="s">
        <v>715</v>
      </c>
      <c r="D461" s="924" t="s">
        <v>1353</v>
      </c>
      <c r="E461" s="925"/>
      <c r="F461" s="5" t="s">
        <v>1940</v>
      </c>
      <c r="G461" s="21">
        <v>10.778700000000001</v>
      </c>
      <c r="H461" s="21">
        <v>0</v>
      </c>
    </row>
    <row r="462" spans="1:8" ht="12.15" customHeight="1">
      <c r="D462" s="926" t="s">
        <v>2339</v>
      </c>
      <c r="E462" s="927"/>
      <c r="F462" s="927"/>
      <c r="G462" s="57">
        <v>0</v>
      </c>
    </row>
    <row r="463" spans="1:8" ht="12.15" customHeight="1">
      <c r="A463" s="5"/>
      <c r="B463" s="5"/>
      <c r="C463" s="5"/>
      <c r="D463" s="926" t="s">
        <v>2340</v>
      </c>
      <c r="E463" s="927"/>
      <c r="F463" s="926"/>
      <c r="G463" s="57">
        <v>10.778700000000001</v>
      </c>
      <c r="H463" s="34"/>
    </row>
    <row r="464" spans="1:8">
      <c r="A464" s="5" t="s">
        <v>112</v>
      </c>
      <c r="B464" s="5"/>
      <c r="C464" s="5" t="s">
        <v>716</v>
      </c>
      <c r="D464" s="924" t="s">
        <v>1355</v>
      </c>
      <c r="E464" s="925"/>
      <c r="F464" s="5" t="s">
        <v>1940</v>
      </c>
      <c r="G464" s="21">
        <v>38.469000000000001</v>
      </c>
      <c r="H464" s="21">
        <v>0</v>
      </c>
    </row>
    <row r="465" spans="1:8" ht="12.15" customHeight="1">
      <c r="D465" s="926" t="s">
        <v>2150</v>
      </c>
      <c r="E465" s="927"/>
      <c r="F465" s="927"/>
      <c r="G465" s="57">
        <v>0</v>
      </c>
    </row>
    <row r="466" spans="1:8" ht="12.15" customHeight="1">
      <c r="A466" s="5"/>
      <c r="B466" s="5"/>
      <c r="C466" s="5"/>
      <c r="D466" s="926" t="s">
        <v>2341</v>
      </c>
      <c r="E466" s="927"/>
      <c r="F466" s="926"/>
      <c r="G466" s="57">
        <v>10.1775</v>
      </c>
      <c r="H466" s="34"/>
    </row>
    <row r="467" spans="1:8" ht="12.15" customHeight="1">
      <c r="A467" s="5"/>
      <c r="B467" s="5"/>
      <c r="C467" s="5"/>
      <c r="D467" s="926" t="s">
        <v>2152</v>
      </c>
      <c r="E467" s="927"/>
      <c r="F467" s="926"/>
      <c r="G467" s="57">
        <v>0</v>
      </c>
      <c r="H467" s="34"/>
    </row>
    <row r="468" spans="1:8" ht="12.15" customHeight="1">
      <c r="A468" s="5"/>
      <c r="B468" s="5"/>
      <c r="C468" s="5"/>
      <c r="D468" s="926" t="s">
        <v>2342</v>
      </c>
      <c r="E468" s="927"/>
      <c r="F468" s="926"/>
      <c r="G468" s="57">
        <v>20.428999999999998</v>
      </c>
      <c r="H468" s="34"/>
    </row>
    <row r="469" spans="1:8" ht="12.15" customHeight="1">
      <c r="A469" s="5"/>
      <c r="B469" s="5"/>
      <c r="C469" s="5"/>
      <c r="D469" s="926" t="s">
        <v>2154</v>
      </c>
      <c r="E469" s="927"/>
      <c r="F469" s="926"/>
      <c r="G469" s="57">
        <v>0</v>
      </c>
      <c r="H469" s="34"/>
    </row>
    <row r="470" spans="1:8" ht="12.15" customHeight="1">
      <c r="A470" s="5"/>
      <c r="B470" s="5"/>
      <c r="C470" s="5"/>
      <c r="D470" s="926" t="s">
        <v>2343</v>
      </c>
      <c r="E470" s="927"/>
      <c r="F470" s="926"/>
      <c r="G470" s="57">
        <v>7.8624999999999998</v>
      </c>
      <c r="H470" s="34"/>
    </row>
    <row r="471" spans="1:8">
      <c r="A471" s="5" t="s">
        <v>113</v>
      </c>
      <c r="B471" s="5"/>
      <c r="C471" s="5" t="s">
        <v>717</v>
      </c>
      <c r="D471" s="924" t="s">
        <v>1356</v>
      </c>
      <c r="E471" s="925"/>
      <c r="F471" s="5" t="s">
        <v>1940</v>
      </c>
      <c r="G471" s="21">
        <v>43.244250000000001</v>
      </c>
      <c r="H471" s="21">
        <v>0</v>
      </c>
    </row>
    <row r="472" spans="1:8" ht="12.15" customHeight="1">
      <c r="D472" s="926" t="s">
        <v>2150</v>
      </c>
      <c r="E472" s="927"/>
      <c r="F472" s="927"/>
      <c r="G472" s="57">
        <v>0</v>
      </c>
    </row>
    <row r="473" spans="1:8" ht="12.15" customHeight="1">
      <c r="A473" s="5"/>
      <c r="B473" s="5"/>
      <c r="C473" s="5"/>
      <c r="D473" s="926" t="s">
        <v>2344</v>
      </c>
      <c r="E473" s="927"/>
      <c r="F473" s="926"/>
      <c r="G473" s="57">
        <v>15.8355</v>
      </c>
      <c r="H473" s="34"/>
    </row>
    <row r="474" spans="1:8" ht="12.15" customHeight="1">
      <c r="A474" s="5"/>
      <c r="B474" s="5"/>
      <c r="C474" s="5"/>
      <c r="D474" s="926" t="s">
        <v>2152</v>
      </c>
      <c r="E474" s="927"/>
      <c r="F474" s="926"/>
      <c r="G474" s="57">
        <v>0</v>
      </c>
      <c r="H474" s="34"/>
    </row>
    <row r="475" spans="1:8" ht="12.15" customHeight="1">
      <c r="A475" s="5"/>
      <c r="B475" s="5"/>
      <c r="C475" s="5"/>
      <c r="D475" s="926" t="s">
        <v>2345</v>
      </c>
      <c r="E475" s="927"/>
      <c r="F475" s="926"/>
      <c r="G475" s="57">
        <v>15.19</v>
      </c>
      <c r="H475" s="34"/>
    </row>
    <row r="476" spans="1:8" ht="12.15" customHeight="1">
      <c r="A476" s="5"/>
      <c r="B476" s="5"/>
      <c r="C476" s="5"/>
      <c r="D476" s="926" t="s">
        <v>2154</v>
      </c>
      <c r="E476" s="927"/>
      <c r="F476" s="926"/>
      <c r="G476" s="57">
        <v>0</v>
      </c>
      <c r="H476" s="34"/>
    </row>
    <row r="477" spans="1:8" ht="12.15" customHeight="1">
      <c r="A477" s="5"/>
      <c r="B477" s="5"/>
      <c r="C477" s="5"/>
      <c r="D477" s="926" t="s">
        <v>2346</v>
      </c>
      <c r="E477" s="927"/>
      <c r="F477" s="926"/>
      <c r="G477" s="57">
        <v>12.21875</v>
      </c>
      <c r="H477" s="34"/>
    </row>
    <row r="478" spans="1:8">
      <c r="A478" s="5" t="s">
        <v>114</v>
      </c>
      <c r="B478" s="5"/>
      <c r="C478" s="5" t="s">
        <v>718</v>
      </c>
      <c r="D478" s="924" t="s">
        <v>1357</v>
      </c>
      <c r="E478" s="925"/>
      <c r="F478" s="5" t="s">
        <v>1940</v>
      </c>
      <c r="G478" s="21">
        <v>24.931999999999999</v>
      </c>
      <c r="H478" s="21">
        <v>0</v>
      </c>
    </row>
    <row r="479" spans="1:8" ht="12.15" customHeight="1">
      <c r="D479" s="926" t="s">
        <v>2347</v>
      </c>
      <c r="E479" s="927"/>
      <c r="F479" s="927"/>
      <c r="G479" s="57">
        <v>9.9320000000000004</v>
      </c>
    </row>
    <row r="480" spans="1:8" ht="12.15" customHeight="1">
      <c r="A480" s="5"/>
      <c r="B480" s="5"/>
      <c r="C480" s="5"/>
      <c r="D480" s="926" t="s">
        <v>2348</v>
      </c>
      <c r="E480" s="927"/>
      <c r="F480" s="926"/>
      <c r="G480" s="57">
        <v>15</v>
      </c>
      <c r="H480" s="34"/>
    </row>
    <row r="481" spans="1:8">
      <c r="A481" s="5" t="s">
        <v>115</v>
      </c>
      <c r="B481" s="5"/>
      <c r="C481" s="5" t="s">
        <v>719</v>
      </c>
      <c r="D481" s="924" t="s">
        <v>1358</v>
      </c>
      <c r="E481" s="925"/>
      <c r="F481" s="5" t="s">
        <v>1940</v>
      </c>
      <c r="G481" s="21">
        <v>289.1635</v>
      </c>
      <c r="H481" s="21">
        <v>0</v>
      </c>
    </row>
    <row r="482" spans="1:8" ht="12.15" customHeight="1">
      <c r="D482" s="926" t="s">
        <v>2349</v>
      </c>
      <c r="E482" s="927"/>
      <c r="F482" s="927"/>
      <c r="G482" s="57">
        <v>143.69864999999999</v>
      </c>
    </row>
    <row r="483" spans="1:8" ht="12.15" customHeight="1">
      <c r="A483" s="5"/>
      <c r="B483" s="5"/>
      <c r="C483" s="5"/>
      <c r="D483" s="926" t="s">
        <v>2350</v>
      </c>
      <c r="E483" s="927"/>
      <c r="F483" s="926"/>
      <c r="G483" s="57">
        <v>145.46485000000001</v>
      </c>
      <c r="H483" s="34"/>
    </row>
    <row r="484" spans="1:8">
      <c r="A484" s="5" t="s">
        <v>116</v>
      </c>
      <c r="B484" s="5"/>
      <c r="C484" s="5" t="s">
        <v>720</v>
      </c>
      <c r="D484" s="924" t="s">
        <v>1359</v>
      </c>
      <c r="E484" s="925"/>
      <c r="F484" s="5" t="s">
        <v>1939</v>
      </c>
      <c r="G484" s="21">
        <v>22.2</v>
      </c>
      <c r="H484" s="21">
        <v>0</v>
      </c>
    </row>
    <row r="485" spans="1:8" ht="12.15" customHeight="1">
      <c r="D485" s="926" t="s">
        <v>2351</v>
      </c>
      <c r="E485" s="927"/>
      <c r="F485" s="927"/>
      <c r="G485" s="57">
        <v>22.2</v>
      </c>
    </row>
    <row r="486" spans="1:8">
      <c r="A486" s="14"/>
      <c r="B486" s="14"/>
      <c r="C486" s="14" t="s">
        <v>42</v>
      </c>
      <c r="D486" s="930" t="s">
        <v>1360</v>
      </c>
      <c r="E486" s="931"/>
      <c r="F486" s="14"/>
      <c r="G486" s="30"/>
      <c r="H486" s="30"/>
    </row>
    <row r="487" spans="1:8">
      <c r="A487" s="5" t="s">
        <v>117</v>
      </c>
      <c r="B487" s="5"/>
      <c r="C487" s="5" t="s">
        <v>721</v>
      </c>
      <c r="D487" s="924" t="s">
        <v>1361</v>
      </c>
      <c r="E487" s="925"/>
      <c r="F487" s="5" t="s">
        <v>1941</v>
      </c>
      <c r="G487" s="21">
        <v>0.5</v>
      </c>
      <c r="H487" s="21">
        <v>0</v>
      </c>
    </row>
    <row r="488" spans="1:8" ht="12.15" customHeight="1">
      <c r="D488" s="926" t="s">
        <v>2352</v>
      </c>
      <c r="E488" s="927"/>
      <c r="F488" s="927"/>
      <c r="G488" s="57">
        <v>0.5</v>
      </c>
    </row>
    <row r="489" spans="1:8">
      <c r="A489" s="5" t="s">
        <v>118</v>
      </c>
      <c r="B489" s="5"/>
      <c r="C489" s="5" t="s">
        <v>722</v>
      </c>
      <c r="D489" s="924" t="s">
        <v>5824</v>
      </c>
      <c r="E489" s="925"/>
      <c r="F489" s="5" t="s">
        <v>1938</v>
      </c>
      <c r="G489" s="21">
        <v>1</v>
      </c>
      <c r="H489" s="21">
        <v>0</v>
      </c>
    </row>
    <row r="490" spans="1:8">
      <c r="A490" s="5" t="s">
        <v>119</v>
      </c>
      <c r="B490" s="5"/>
      <c r="C490" s="5" t="s">
        <v>723</v>
      </c>
      <c r="D490" s="924" t="s">
        <v>1362</v>
      </c>
      <c r="E490" s="925"/>
      <c r="F490" s="5" t="s">
        <v>1944</v>
      </c>
      <c r="G490" s="21">
        <v>4215.8833500000001</v>
      </c>
      <c r="H490" s="21">
        <v>0</v>
      </c>
    </row>
    <row r="491" spans="1:8">
      <c r="A491" s="5" t="s">
        <v>120</v>
      </c>
      <c r="B491" s="5"/>
      <c r="C491" s="5" t="s">
        <v>724</v>
      </c>
      <c r="D491" s="924" t="s">
        <v>1364</v>
      </c>
      <c r="E491" s="925"/>
      <c r="F491" s="5" t="s">
        <v>1939</v>
      </c>
      <c r="G491" s="21">
        <v>5</v>
      </c>
      <c r="H491" s="21">
        <v>0</v>
      </c>
    </row>
    <row r="492" spans="1:8">
      <c r="A492" s="5" t="s">
        <v>121</v>
      </c>
      <c r="B492" s="5"/>
      <c r="C492" s="5" t="s">
        <v>725</v>
      </c>
      <c r="D492" s="924" t="s">
        <v>1365</v>
      </c>
      <c r="E492" s="925"/>
      <c r="F492" s="5" t="s">
        <v>1938</v>
      </c>
      <c r="G492" s="21">
        <v>1</v>
      </c>
      <c r="H492" s="21">
        <v>0</v>
      </c>
    </row>
    <row r="493" spans="1:8" ht="99.6" customHeight="1">
      <c r="C493" s="54" t="s">
        <v>605</v>
      </c>
      <c r="D493" s="917" t="s">
        <v>1366</v>
      </c>
      <c r="E493" s="918"/>
      <c r="F493" s="918"/>
      <c r="G493" s="918"/>
    </row>
    <row r="494" spans="1:8">
      <c r="A494" s="14"/>
      <c r="B494" s="14"/>
      <c r="C494" s="14" t="s">
        <v>45</v>
      </c>
      <c r="D494" s="930" t="s">
        <v>1367</v>
      </c>
      <c r="E494" s="931"/>
      <c r="F494" s="14"/>
      <c r="G494" s="30"/>
      <c r="H494" s="30"/>
    </row>
    <row r="495" spans="1:8">
      <c r="A495" s="5" t="s">
        <v>122</v>
      </c>
      <c r="B495" s="5"/>
      <c r="C495" s="5" t="s">
        <v>726</v>
      </c>
      <c r="D495" s="924" t="s">
        <v>1368</v>
      </c>
      <c r="E495" s="925"/>
      <c r="F495" s="5" t="s">
        <v>1941</v>
      </c>
      <c r="G495" s="21">
        <v>328.93297000000001</v>
      </c>
      <c r="H495" s="21">
        <v>0</v>
      </c>
    </row>
    <row r="496" spans="1:8" ht="12.15" customHeight="1">
      <c r="D496" s="926" t="s">
        <v>2353</v>
      </c>
      <c r="E496" s="927"/>
      <c r="F496" s="927"/>
      <c r="G496" s="57">
        <v>73.319299999999998</v>
      </c>
    </row>
    <row r="497" spans="1:8" ht="12.15" customHeight="1">
      <c r="A497" s="5"/>
      <c r="B497" s="5"/>
      <c r="C497" s="5"/>
      <c r="D497" s="926" t="s">
        <v>2354</v>
      </c>
      <c r="E497" s="927"/>
      <c r="F497" s="926"/>
      <c r="G497" s="57">
        <v>79.787499999999994</v>
      </c>
      <c r="H497" s="34"/>
    </row>
    <row r="498" spans="1:8" ht="12.15" customHeight="1">
      <c r="A498" s="5"/>
      <c r="B498" s="5"/>
      <c r="C498" s="5"/>
      <c r="D498" s="926" t="s">
        <v>2355</v>
      </c>
      <c r="E498" s="927"/>
      <c r="F498" s="926"/>
      <c r="G498" s="57">
        <v>164.31</v>
      </c>
      <c r="H498" s="34"/>
    </row>
    <row r="499" spans="1:8" ht="12.15" customHeight="1">
      <c r="A499" s="5"/>
      <c r="B499" s="5"/>
      <c r="C499" s="5"/>
      <c r="D499" s="926" t="s">
        <v>2356</v>
      </c>
      <c r="E499" s="927"/>
      <c r="F499" s="926"/>
      <c r="G499" s="57">
        <v>3.2661699999999998</v>
      </c>
      <c r="H499" s="34"/>
    </row>
    <row r="500" spans="1:8" ht="12.15" customHeight="1">
      <c r="A500" s="5"/>
      <c r="B500" s="5"/>
      <c r="C500" s="5"/>
      <c r="D500" s="926" t="s">
        <v>2357</v>
      </c>
      <c r="E500" s="927"/>
      <c r="F500" s="926"/>
      <c r="G500" s="57">
        <v>8.25</v>
      </c>
      <c r="H500" s="34"/>
    </row>
    <row r="501" spans="1:8">
      <c r="A501" s="5" t="s">
        <v>123</v>
      </c>
      <c r="B501" s="5"/>
      <c r="C501" s="5" t="s">
        <v>727</v>
      </c>
      <c r="D501" s="924" t="s">
        <v>1369</v>
      </c>
      <c r="E501" s="925"/>
      <c r="F501" s="5" t="s">
        <v>1940</v>
      </c>
      <c r="G501" s="21">
        <v>50.248800000000003</v>
      </c>
      <c r="H501" s="21">
        <v>0</v>
      </c>
    </row>
    <row r="502" spans="1:8" ht="12.15" customHeight="1">
      <c r="D502" s="926" t="s">
        <v>2358</v>
      </c>
      <c r="E502" s="927"/>
      <c r="F502" s="927"/>
      <c r="G502" s="57">
        <v>50.248800000000003</v>
      </c>
    </row>
    <row r="503" spans="1:8">
      <c r="A503" s="5" t="s">
        <v>124</v>
      </c>
      <c r="B503" s="5"/>
      <c r="C503" s="5" t="s">
        <v>728</v>
      </c>
      <c r="D503" s="924" t="s">
        <v>1370</v>
      </c>
      <c r="E503" s="925"/>
      <c r="F503" s="5" t="s">
        <v>1940</v>
      </c>
      <c r="G503" s="21">
        <v>1550.8589300000001</v>
      </c>
      <c r="H503" s="21">
        <v>0</v>
      </c>
    </row>
    <row r="504" spans="1:8" ht="12.15" customHeight="1">
      <c r="D504" s="926" t="s">
        <v>2359</v>
      </c>
      <c r="E504" s="927"/>
      <c r="F504" s="927"/>
      <c r="G504" s="57">
        <v>323.63549999999998</v>
      </c>
    </row>
    <row r="505" spans="1:8" ht="12.15" customHeight="1">
      <c r="A505" s="5"/>
      <c r="B505" s="5"/>
      <c r="C505" s="5"/>
      <c r="D505" s="926" t="s">
        <v>2360</v>
      </c>
      <c r="E505" s="927"/>
      <c r="F505" s="926"/>
      <c r="G505" s="57">
        <v>341.17750000000001</v>
      </c>
      <c r="H505" s="34"/>
    </row>
    <row r="506" spans="1:8" ht="12.15" customHeight="1">
      <c r="A506" s="5"/>
      <c r="B506" s="5"/>
      <c r="C506" s="5"/>
      <c r="D506" s="926" t="s">
        <v>2361</v>
      </c>
      <c r="E506" s="927"/>
      <c r="F506" s="926"/>
      <c r="G506" s="57">
        <v>698.61874999999998</v>
      </c>
      <c r="H506" s="34"/>
    </row>
    <row r="507" spans="1:8" ht="12.15" customHeight="1">
      <c r="A507" s="5"/>
      <c r="B507" s="5"/>
      <c r="C507" s="5"/>
      <c r="D507" s="926" t="s">
        <v>2362</v>
      </c>
      <c r="E507" s="927"/>
      <c r="F507" s="926"/>
      <c r="G507" s="57">
        <v>46.44</v>
      </c>
      <c r="H507" s="34"/>
    </row>
    <row r="508" spans="1:8" ht="12.15" customHeight="1">
      <c r="A508" s="5"/>
      <c r="B508" s="5"/>
      <c r="C508" s="5"/>
      <c r="D508" s="926" t="s">
        <v>2363</v>
      </c>
      <c r="E508" s="927"/>
      <c r="F508" s="926"/>
      <c r="G508" s="57">
        <v>140.98718</v>
      </c>
      <c r="H508" s="34"/>
    </row>
    <row r="509" spans="1:8">
      <c r="A509" s="5" t="s">
        <v>125</v>
      </c>
      <c r="B509" s="5"/>
      <c r="C509" s="5" t="s">
        <v>729</v>
      </c>
      <c r="D509" s="924" t="s">
        <v>1371</v>
      </c>
      <c r="E509" s="925"/>
      <c r="F509" s="5" t="s">
        <v>1940</v>
      </c>
      <c r="G509" s="21">
        <v>1550.8589300000001</v>
      </c>
      <c r="H509" s="21">
        <v>0</v>
      </c>
    </row>
    <row r="510" spans="1:8">
      <c r="A510" s="5" t="s">
        <v>126</v>
      </c>
      <c r="B510" s="5"/>
      <c r="C510" s="5" t="s">
        <v>730</v>
      </c>
      <c r="D510" s="924" t="s">
        <v>1372</v>
      </c>
      <c r="E510" s="925"/>
      <c r="F510" s="5" t="s">
        <v>1940</v>
      </c>
      <c r="G510" s="21">
        <v>1550.8589300000001</v>
      </c>
      <c r="H510" s="21">
        <v>0</v>
      </c>
    </row>
    <row r="511" spans="1:8">
      <c r="A511" s="5" t="s">
        <v>127</v>
      </c>
      <c r="B511" s="5"/>
      <c r="C511" s="5" t="s">
        <v>731</v>
      </c>
      <c r="D511" s="924" t="s">
        <v>1373</v>
      </c>
      <c r="E511" s="925"/>
      <c r="F511" s="5" t="s">
        <v>1940</v>
      </c>
      <c r="G511" s="21">
        <v>1550.8589300000001</v>
      </c>
      <c r="H511" s="21">
        <v>0</v>
      </c>
    </row>
    <row r="512" spans="1:8">
      <c r="A512" s="5" t="s">
        <v>128</v>
      </c>
      <c r="B512" s="5"/>
      <c r="C512" s="5" t="s">
        <v>732</v>
      </c>
      <c r="D512" s="924" t="s">
        <v>1374</v>
      </c>
      <c r="E512" s="925"/>
      <c r="F512" s="5" t="s">
        <v>1942</v>
      </c>
      <c r="G512" s="21">
        <v>43.268999999999998</v>
      </c>
      <c r="H512" s="21">
        <v>0</v>
      </c>
    </row>
    <row r="513" spans="1:8" ht="12.15" customHeight="1">
      <c r="D513" s="926" t="s">
        <v>2364</v>
      </c>
      <c r="E513" s="927"/>
      <c r="F513" s="927"/>
      <c r="G513" s="57">
        <v>9.8486999999999991</v>
      </c>
    </row>
    <row r="514" spans="1:8" ht="12.15" customHeight="1">
      <c r="A514" s="5"/>
      <c r="B514" s="5"/>
      <c r="C514" s="5"/>
      <c r="D514" s="926" t="s">
        <v>2365</v>
      </c>
      <c r="E514" s="927"/>
      <c r="F514" s="926"/>
      <c r="G514" s="57">
        <v>9.8262</v>
      </c>
      <c r="H514" s="34"/>
    </row>
    <row r="515" spans="1:8" ht="12.15" customHeight="1">
      <c r="A515" s="5"/>
      <c r="B515" s="5"/>
      <c r="C515" s="5"/>
      <c r="D515" s="926" t="s">
        <v>2366</v>
      </c>
      <c r="E515" s="927"/>
      <c r="F515" s="926"/>
      <c r="G515" s="57">
        <v>22.186199999999999</v>
      </c>
      <c r="H515" s="34"/>
    </row>
    <row r="516" spans="1:8" ht="12.15" customHeight="1">
      <c r="A516" s="5"/>
      <c r="B516" s="5"/>
      <c r="C516" s="5"/>
      <c r="D516" s="926" t="s">
        <v>2367</v>
      </c>
      <c r="E516" s="927"/>
      <c r="F516" s="926"/>
      <c r="G516" s="57">
        <v>9.06E-2</v>
      </c>
      <c r="H516" s="34"/>
    </row>
    <row r="517" spans="1:8" ht="12.15" customHeight="1">
      <c r="A517" s="5"/>
      <c r="B517" s="5"/>
      <c r="C517" s="5"/>
      <c r="D517" s="926" t="s">
        <v>2368</v>
      </c>
      <c r="E517" s="927"/>
      <c r="F517" s="926"/>
      <c r="G517" s="57">
        <v>1.3172999999999999</v>
      </c>
      <c r="H517" s="34"/>
    </row>
    <row r="518" spans="1:8">
      <c r="A518" s="5" t="s">
        <v>129</v>
      </c>
      <c r="B518" s="5"/>
      <c r="C518" s="5" t="s">
        <v>733</v>
      </c>
      <c r="D518" s="924" t="s">
        <v>1375</v>
      </c>
      <c r="E518" s="925"/>
      <c r="F518" s="5" t="s">
        <v>1942</v>
      </c>
      <c r="G518" s="21">
        <v>0.23196</v>
      </c>
      <c r="H518" s="21">
        <v>0</v>
      </c>
    </row>
    <row r="519" spans="1:8" ht="12.15" customHeight="1">
      <c r="D519" s="926" t="s">
        <v>2369</v>
      </c>
      <c r="E519" s="927"/>
      <c r="F519" s="927"/>
      <c r="G519" s="57">
        <v>0.14000000000000001</v>
      </c>
    </row>
    <row r="520" spans="1:8" ht="12.15" customHeight="1">
      <c r="A520" s="5"/>
      <c r="B520" s="5"/>
      <c r="C520" s="5"/>
      <c r="D520" s="926" t="s">
        <v>2370</v>
      </c>
      <c r="E520" s="927"/>
      <c r="F520" s="926"/>
      <c r="G520" s="57">
        <v>9.196E-2</v>
      </c>
      <c r="H520" s="34"/>
    </row>
    <row r="521" spans="1:8">
      <c r="A521" s="5" t="s">
        <v>130</v>
      </c>
      <c r="B521" s="5"/>
      <c r="C521" s="5" t="s">
        <v>734</v>
      </c>
      <c r="D521" s="924" t="s">
        <v>1376</v>
      </c>
      <c r="E521" s="925"/>
      <c r="F521" s="5" t="s">
        <v>1941</v>
      </c>
      <c r="G521" s="21">
        <v>24.719200000000001</v>
      </c>
      <c r="H521" s="21">
        <v>0</v>
      </c>
    </row>
    <row r="522" spans="1:8" ht="12.15" customHeight="1">
      <c r="D522" s="926" t="s">
        <v>2371</v>
      </c>
      <c r="E522" s="927"/>
      <c r="F522" s="927"/>
      <c r="G522" s="57">
        <v>0</v>
      </c>
    </row>
    <row r="523" spans="1:8" ht="12.15" customHeight="1">
      <c r="A523" s="5"/>
      <c r="B523" s="5"/>
      <c r="C523" s="5"/>
      <c r="D523" s="926" t="s">
        <v>2372</v>
      </c>
      <c r="E523" s="927"/>
      <c r="F523" s="926"/>
      <c r="G523" s="57">
        <v>1.044</v>
      </c>
      <c r="H523" s="34"/>
    </row>
    <row r="524" spans="1:8" ht="12.15" customHeight="1">
      <c r="A524" s="5"/>
      <c r="B524" s="5"/>
      <c r="C524" s="5"/>
      <c r="D524" s="926" t="s">
        <v>2373</v>
      </c>
      <c r="E524" s="927"/>
      <c r="F524" s="926"/>
      <c r="G524" s="57">
        <v>2.36</v>
      </c>
      <c r="H524" s="34"/>
    </row>
    <row r="525" spans="1:8" ht="12.15" customHeight="1">
      <c r="A525" s="5"/>
      <c r="B525" s="5"/>
      <c r="C525" s="5"/>
      <c r="D525" s="926" t="s">
        <v>2374</v>
      </c>
      <c r="E525" s="927"/>
      <c r="F525" s="926"/>
      <c r="G525" s="57">
        <v>0</v>
      </c>
      <c r="H525" s="34"/>
    </row>
    <row r="526" spans="1:8" ht="12.15" customHeight="1">
      <c r="A526" s="5"/>
      <c r="B526" s="5"/>
      <c r="C526" s="5"/>
      <c r="D526" s="926" t="s">
        <v>2373</v>
      </c>
      <c r="E526" s="927"/>
      <c r="F526" s="926"/>
      <c r="G526" s="57">
        <v>2.36</v>
      </c>
      <c r="H526" s="34"/>
    </row>
    <row r="527" spans="1:8" ht="12.15" customHeight="1">
      <c r="A527" s="5"/>
      <c r="B527" s="5"/>
      <c r="C527" s="5"/>
      <c r="D527" s="926" t="s">
        <v>2375</v>
      </c>
      <c r="E527" s="927"/>
      <c r="F527" s="926"/>
      <c r="G527" s="57">
        <v>2.8319999999999999</v>
      </c>
      <c r="H527" s="34"/>
    </row>
    <row r="528" spans="1:8" ht="12.15" customHeight="1">
      <c r="A528" s="5"/>
      <c r="B528" s="5"/>
      <c r="C528" s="5"/>
      <c r="D528" s="926" t="s">
        <v>2372</v>
      </c>
      <c r="E528" s="927"/>
      <c r="F528" s="926"/>
      <c r="G528" s="57">
        <v>1.044</v>
      </c>
      <c r="H528" s="34"/>
    </row>
    <row r="529" spans="1:8" ht="12.15" customHeight="1">
      <c r="A529" s="5"/>
      <c r="B529" s="5"/>
      <c r="C529" s="5"/>
      <c r="D529" s="926" t="s">
        <v>2376</v>
      </c>
      <c r="E529" s="927"/>
      <c r="F529" s="926"/>
      <c r="G529" s="57">
        <v>0</v>
      </c>
      <c r="H529" s="34"/>
    </row>
    <row r="530" spans="1:8" ht="12.15" customHeight="1">
      <c r="A530" s="5"/>
      <c r="B530" s="5"/>
      <c r="C530" s="5"/>
      <c r="D530" s="926" t="s">
        <v>2377</v>
      </c>
      <c r="E530" s="927"/>
      <c r="F530" s="926"/>
      <c r="G530" s="57">
        <v>4.0857999999999999</v>
      </c>
      <c r="H530" s="34"/>
    </row>
    <row r="531" spans="1:8" ht="12.15" customHeight="1">
      <c r="A531" s="5"/>
      <c r="B531" s="5"/>
      <c r="C531" s="5"/>
      <c r="D531" s="926" t="s">
        <v>2378</v>
      </c>
      <c r="E531" s="927"/>
      <c r="F531" s="926"/>
      <c r="G531" s="57">
        <v>1.6287</v>
      </c>
      <c r="H531" s="34"/>
    </row>
    <row r="532" spans="1:8" ht="12.15" customHeight="1">
      <c r="A532" s="5"/>
      <c r="B532" s="5"/>
      <c r="C532" s="5"/>
      <c r="D532" s="926" t="s">
        <v>2379</v>
      </c>
      <c r="E532" s="927"/>
      <c r="F532" s="926"/>
      <c r="G532" s="57">
        <v>1.3775999999999999</v>
      </c>
      <c r="H532" s="34"/>
    </row>
    <row r="533" spans="1:8" ht="12.15" customHeight="1">
      <c r="A533" s="5"/>
      <c r="B533" s="5"/>
      <c r="C533" s="5"/>
      <c r="D533" s="926" t="s">
        <v>2380</v>
      </c>
      <c r="E533" s="927"/>
      <c r="F533" s="926"/>
      <c r="G533" s="57">
        <v>1.3681000000000001</v>
      </c>
      <c r="H533" s="34"/>
    </row>
    <row r="534" spans="1:8" ht="12.15" customHeight="1">
      <c r="A534" s="5"/>
      <c r="B534" s="5"/>
      <c r="C534" s="5"/>
      <c r="D534" s="926" t="s">
        <v>2381</v>
      </c>
      <c r="E534" s="927"/>
      <c r="F534" s="926"/>
      <c r="G534" s="57">
        <v>1.7103999999999999</v>
      </c>
      <c r="H534" s="34"/>
    </row>
    <row r="535" spans="1:8" ht="12.15" customHeight="1">
      <c r="A535" s="5"/>
      <c r="B535" s="5"/>
      <c r="C535" s="5"/>
      <c r="D535" s="926" t="s">
        <v>2382</v>
      </c>
      <c r="E535" s="927"/>
      <c r="F535" s="926"/>
      <c r="G535" s="57">
        <v>1.8935999999999999</v>
      </c>
      <c r="H535" s="34"/>
    </row>
    <row r="536" spans="1:8" ht="12.15" customHeight="1">
      <c r="A536" s="5"/>
      <c r="B536" s="5"/>
      <c r="C536" s="5"/>
      <c r="D536" s="926" t="s">
        <v>2383</v>
      </c>
      <c r="E536" s="927"/>
      <c r="F536" s="926"/>
      <c r="G536" s="57">
        <v>0.93500000000000005</v>
      </c>
      <c r="H536" s="34"/>
    </row>
    <row r="537" spans="1:8" ht="12.15" customHeight="1">
      <c r="A537" s="5"/>
      <c r="B537" s="5"/>
      <c r="C537" s="5"/>
      <c r="D537" s="926" t="s">
        <v>2384</v>
      </c>
      <c r="E537" s="927"/>
      <c r="F537" s="926"/>
      <c r="G537" s="57">
        <v>1.06</v>
      </c>
      <c r="H537" s="34"/>
    </row>
    <row r="538" spans="1:8" ht="12.15" customHeight="1">
      <c r="A538" s="5"/>
      <c r="B538" s="5"/>
      <c r="C538" s="5"/>
      <c r="D538" s="926" t="s">
        <v>2385</v>
      </c>
      <c r="E538" s="927"/>
      <c r="F538" s="926"/>
      <c r="G538" s="57">
        <v>1.02</v>
      </c>
      <c r="H538" s="34"/>
    </row>
    <row r="539" spans="1:8">
      <c r="A539" s="5" t="s">
        <v>131</v>
      </c>
      <c r="B539" s="5"/>
      <c r="C539" s="5" t="s">
        <v>735</v>
      </c>
      <c r="D539" s="924" t="s">
        <v>1377</v>
      </c>
      <c r="E539" s="925"/>
      <c r="F539" s="5" t="s">
        <v>1942</v>
      </c>
      <c r="G539" s="21">
        <v>13.4786</v>
      </c>
      <c r="H539" s="21">
        <v>0</v>
      </c>
    </row>
    <row r="540" spans="1:8" ht="12.15" customHeight="1">
      <c r="D540" s="926" t="s">
        <v>2386</v>
      </c>
      <c r="E540" s="927"/>
      <c r="F540" s="927"/>
      <c r="G540" s="57">
        <v>1.0978000000000001</v>
      </c>
    </row>
    <row r="541" spans="1:8" ht="12.15" customHeight="1">
      <c r="A541" s="5"/>
      <c r="B541" s="5"/>
      <c r="C541" s="5"/>
      <c r="D541" s="926" t="s">
        <v>2387</v>
      </c>
      <c r="E541" s="927"/>
      <c r="F541" s="926"/>
      <c r="G541" s="57">
        <v>1.4916</v>
      </c>
      <c r="H541" s="34"/>
    </row>
    <row r="542" spans="1:8" ht="12.15" customHeight="1">
      <c r="A542" s="5"/>
      <c r="B542" s="5"/>
      <c r="C542" s="5"/>
      <c r="D542" s="926" t="s">
        <v>2388</v>
      </c>
      <c r="E542" s="927"/>
      <c r="F542" s="926"/>
      <c r="G542" s="57">
        <v>10.889200000000001</v>
      </c>
      <c r="H542" s="34"/>
    </row>
    <row r="543" spans="1:8">
      <c r="A543" s="5" t="s">
        <v>132</v>
      </c>
      <c r="B543" s="5"/>
      <c r="C543" s="5" t="s">
        <v>736</v>
      </c>
      <c r="D543" s="924" t="s">
        <v>1378</v>
      </c>
      <c r="E543" s="925"/>
      <c r="F543" s="5" t="s">
        <v>1940</v>
      </c>
      <c r="G543" s="21">
        <v>9.6300000000000008</v>
      </c>
      <c r="H543" s="21">
        <v>0</v>
      </c>
    </row>
    <row r="544" spans="1:8" ht="12.15" customHeight="1">
      <c r="D544" s="926" t="s">
        <v>2389</v>
      </c>
      <c r="E544" s="927"/>
      <c r="F544" s="927"/>
      <c r="G544" s="57">
        <v>9.6300000000000008</v>
      </c>
    </row>
    <row r="545" spans="1:8">
      <c r="A545" s="5" t="s">
        <v>133</v>
      </c>
      <c r="B545" s="5"/>
      <c r="C545" s="5" t="s">
        <v>737</v>
      </c>
      <c r="D545" s="924" t="s">
        <v>1379</v>
      </c>
      <c r="E545" s="925"/>
      <c r="F545" s="5" t="s">
        <v>1940</v>
      </c>
      <c r="G545" s="21">
        <v>9.6300000000000008</v>
      </c>
      <c r="H545" s="21">
        <v>0</v>
      </c>
    </row>
    <row r="546" spans="1:8">
      <c r="A546" s="5" t="s">
        <v>134</v>
      </c>
      <c r="B546" s="5"/>
      <c r="C546" s="5" t="s">
        <v>726</v>
      </c>
      <c r="D546" s="924" t="s">
        <v>1368</v>
      </c>
      <c r="E546" s="925"/>
      <c r="F546" s="5" t="s">
        <v>1941</v>
      </c>
      <c r="G546" s="21">
        <v>4.1040000000000001</v>
      </c>
      <c r="H546" s="21">
        <v>0</v>
      </c>
    </row>
    <row r="547" spans="1:8" ht="12.15" customHeight="1">
      <c r="D547" s="926" t="s">
        <v>2390</v>
      </c>
      <c r="E547" s="927"/>
      <c r="F547" s="927"/>
      <c r="G547" s="57">
        <v>4.1040000000000001</v>
      </c>
    </row>
    <row r="548" spans="1:8">
      <c r="A548" s="5" t="s">
        <v>135</v>
      </c>
      <c r="B548" s="5"/>
      <c r="C548" s="5" t="s">
        <v>738</v>
      </c>
      <c r="D548" s="924" t="s">
        <v>1380</v>
      </c>
      <c r="E548" s="925"/>
      <c r="F548" s="5" t="s">
        <v>1940</v>
      </c>
      <c r="G548" s="21">
        <v>211.02119999999999</v>
      </c>
      <c r="H548" s="21">
        <v>0</v>
      </c>
    </row>
    <row r="549" spans="1:8" ht="12.15" customHeight="1">
      <c r="D549" s="926" t="s">
        <v>2371</v>
      </c>
      <c r="E549" s="927"/>
      <c r="F549" s="927"/>
      <c r="G549" s="57">
        <v>0</v>
      </c>
    </row>
    <row r="550" spans="1:8" ht="12.15" customHeight="1">
      <c r="A550" s="5"/>
      <c r="B550" s="5"/>
      <c r="C550" s="5"/>
      <c r="D550" s="926" t="s">
        <v>2391</v>
      </c>
      <c r="E550" s="927"/>
      <c r="F550" s="926"/>
      <c r="G550" s="57">
        <v>8.6999999999999993</v>
      </c>
      <c r="H550" s="34"/>
    </row>
    <row r="551" spans="1:8" ht="12.15" customHeight="1">
      <c r="A551" s="5"/>
      <c r="B551" s="5"/>
      <c r="C551" s="5"/>
      <c r="D551" s="926" t="s">
        <v>2392</v>
      </c>
      <c r="E551" s="927"/>
      <c r="F551" s="926"/>
      <c r="G551" s="57">
        <v>21.24</v>
      </c>
      <c r="H551" s="34"/>
    </row>
    <row r="552" spans="1:8" ht="12.15" customHeight="1">
      <c r="A552" s="5"/>
      <c r="B552" s="5"/>
      <c r="C552" s="5"/>
      <c r="D552" s="926" t="s">
        <v>2374</v>
      </c>
      <c r="E552" s="927"/>
      <c r="F552" s="926"/>
      <c r="G552" s="57">
        <v>0</v>
      </c>
      <c r="H552" s="34"/>
    </row>
    <row r="553" spans="1:8" ht="12.15" customHeight="1">
      <c r="A553" s="5"/>
      <c r="B553" s="5"/>
      <c r="C553" s="5"/>
      <c r="D553" s="926" t="s">
        <v>2392</v>
      </c>
      <c r="E553" s="927"/>
      <c r="F553" s="926"/>
      <c r="G553" s="57">
        <v>21.24</v>
      </c>
      <c r="H553" s="34"/>
    </row>
    <row r="554" spans="1:8" ht="12.15" customHeight="1">
      <c r="A554" s="5"/>
      <c r="B554" s="5"/>
      <c r="C554" s="5"/>
      <c r="D554" s="926" t="s">
        <v>2393</v>
      </c>
      <c r="E554" s="927"/>
      <c r="F554" s="926"/>
      <c r="G554" s="57">
        <v>23.6</v>
      </c>
      <c r="H554" s="34"/>
    </row>
    <row r="555" spans="1:8" ht="12.15" customHeight="1">
      <c r="A555" s="5"/>
      <c r="B555" s="5"/>
      <c r="C555" s="5"/>
      <c r="D555" s="926" t="s">
        <v>2391</v>
      </c>
      <c r="E555" s="927"/>
      <c r="F555" s="926"/>
      <c r="G555" s="57">
        <v>8.6999999999999993</v>
      </c>
      <c r="H555" s="34"/>
    </row>
    <row r="556" spans="1:8" ht="12.15" customHeight="1">
      <c r="A556" s="5"/>
      <c r="B556" s="5"/>
      <c r="C556" s="5"/>
      <c r="D556" s="926" t="s">
        <v>2376</v>
      </c>
      <c r="E556" s="927"/>
      <c r="F556" s="926"/>
      <c r="G556" s="57">
        <v>0</v>
      </c>
      <c r="H556" s="34"/>
    </row>
    <row r="557" spans="1:8" ht="12.15" customHeight="1">
      <c r="A557" s="5"/>
      <c r="B557" s="5"/>
      <c r="C557" s="5"/>
      <c r="D557" s="926" t="s">
        <v>2394</v>
      </c>
      <c r="E557" s="927"/>
      <c r="F557" s="926"/>
      <c r="G557" s="57">
        <v>28.6006</v>
      </c>
      <c r="H557" s="34"/>
    </row>
    <row r="558" spans="1:8" ht="12.15" customHeight="1">
      <c r="A558" s="5"/>
      <c r="B558" s="5"/>
      <c r="C558" s="5"/>
      <c r="D558" s="926" t="s">
        <v>2395</v>
      </c>
      <c r="E558" s="927"/>
      <c r="F558" s="926"/>
      <c r="G558" s="57">
        <v>14.658300000000001</v>
      </c>
      <c r="H558" s="34"/>
    </row>
    <row r="559" spans="1:8" ht="12.15" customHeight="1">
      <c r="A559" s="5"/>
      <c r="B559" s="5"/>
      <c r="C559" s="5"/>
      <c r="D559" s="926" t="s">
        <v>2396</v>
      </c>
      <c r="E559" s="927"/>
      <c r="F559" s="926"/>
      <c r="G559" s="57">
        <v>12.398400000000001</v>
      </c>
      <c r="H559" s="34"/>
    </row>
    <row r="560" spans="1:8" ht="12.15" customHeight="1">
      <c r="A560" s="5"/>
      <c r="B560" s="5"/>
      <c r="C560" s="5"/>
      <c r="D560" s="926" t="s">
        <v>2397</v>
      </c>
      <c r="E560" s="927"/>
      <c r="F560" s="926"/>
      <c r="G560" s="57">
        <v>12.312900000000001</v>
      </c>
      <c r="H560" s="34"/>
    </row>
    <row r="561" spans="1:8" ht="12.15" customHeight="1">
      <c r="A561" s="5"/>
      <c r="B561" s="5"/>
      <c r="C561" s="5"/>
      <c r="D561" s="926" t="s">
        <v>2398</v>
      </c>
      <c r="E561" s="927"/>
      <c r="F561" s="926"/>
      <c r="G561" s="57">
        <v>15.393599999999999</v>
      </c>
      <c r="H561" s="34"/>
    </row>
    <row r="562" spans="1:8" ht="12.15" customHeight="1">
      <c r="A562" s="5"/>
      <c r="B562" s="5"/>
      <c r="C562" s="5"/>
      <c r="D562" s="926" t="s">
        <v>2399</v>
      </c>
      <c r="E562" s="927"/>
      <c r="F562" s="926"/>
      <c r="G562" s="57">
        <v>17.042400000000001</v>
      </c>
      <c r="H562" s="34"/>
    </row>
    <row r="563" spans="1:8" ht="12.15" customHeight="1">
      <c r="A563" s="5"/>
      <c r="B563" s="5"/>
      <c r="C563" s="5"/>
      <c r="D563" s="926" t="s">
        <v>2400</v>
      </c>
      <c r="E563" s="927"/>
      <c r="F563" s="926"/>
      <c r="G563" s="57">
        <v>8.4149999999999991</v>
      </c>
      <c r="H563" s="34"/>
    </row>
    <row r="564" spans="1:8" ht="12.15" customHeight="1">
      <c r="A564" s="5"/>
      <c r="B564" s="5"/>
      <c r="C564" s="5"/>
      <c r="D564" s="926" t="s">
        <v>2401</v>
      </c>
      <c r="E564" s="927"/>
      <c r="F564" s="926"/>
      <c r="G564" s="57">
        <v>9.5399999999999991</v>
      </c>
      <c r="H564" s="34"/>
    </row>
    <row r="565" spans="1:8" ht="12.15" customHeight="1">
      <c r="A565" s="5"/>
      <c r="B565" s="5"/>
      <c r="C565" s="5"/>
      <c r="D565" s="926" t="s">
        <v>2402</v>
      </c>
      <c r="E565" s="927"/>
      <c r="F565" s="926"/>
      <c r="G565" s="57">
        <v>9.18</v>
      </c>
      <c r="H565" s="34"/>
    </row>
    <row r="566" spans="1:8">
      <c r="A566" s="5" t="s">
        <v>136</v>
      </c>
      <c r="B566" s="5"/>
      <c r="C566" s="5" t="s">
        <v>739</v>
      </c>
      <c r="D566" s="924" t="s">
        <v>1381</v>
      </c>
      <c r="E566" s="925"/>
      <c r="F566" s="5" t="s">
        <v>1940</v>
      </c>
      <c r="G566" s="21">
        <v>211.02119999999999</v>
      </c>
      <c r="H566" s="21">
        <v>0</v>
      </c>
    </row>
    <row r="567" spans="1:8">
      <c r="A567" s="5" t="s">
        <v>137</v>
      </c>
      <c r="B567" s="5"/>
      <c r="C567" s="5" t="s">
        <v>740</v>
      </c>
      <c r="D567" s="924" t="s">
        <v>1382</v>
      </c>
      <c r="E567" s="925"/>
      <c r="F567" s="5" t="s">
        <v>1940</v>
      </c>
      <c r="G567" s="21">
        <v>211.02119999999999</v>
      </c>
      <c r="H567" s="21">
        <v>0</v>
      </c>
    </row>
    <row r="568" spans="1:8">
      <c r="A568" s="5" t="s">
        <v>138</v>
      </c>
      <c r="B568" s="5"/>
      <c r="C568" s="5" t="s">
        <v>741</v>
      </c>
      <c r="D568" s="924" t="s">
        <v>1383</v>
      </c>
      <c r="E568" s="925"/>
      <c r="F568" s="5" t="s">
        <v>1940</v>
      </c>
      <c r="G568" s="21">
        <v>211.02119999999999</v>
      </c>
      <c r="H568" s="21">
        <v>0</v>
      </c>
    </row>
    <row r="569" spans="1:8">
      <c r="A569" s="5" t="s">
        <v>139</v>
      </c>
      <c r="B569" s="5"/>
      <c r="C569" s="5" t="s">
        <v>742</v>
      </c>
      <c r="D569" s="924" t="s">
        <v>1384</v>
      </c>
      <c r="E569" s="925"/>
      <c r="F569" s="5" t="s">
        <v>1940</v>
      </c>
      <c r="G569" s="21">
        <v>56.06</v>
      </c>
      <c r="H569" s="21">
        <v>0</v>
      </c>
    </row>
    <row r="570" spans="1:8" ht="12.15" customHeight="1">
      <c r="D570" s="926" t="s">
        <v>2403</v>
      </c>
      <c r="E570" s="927"/>
      <c r="F570" s="927"/>
      <c r="G570" s="57">
        <v>0</v>
      </c>
    </row>
    <row r="571" spans="1:8" ht="12.15" customHeight="1">
      <c r="A571" s="5"/>
      <c r="B571" s="5"/>
      <c r="C571" s="5"/>
      <c r="D571" s="926" t="s">
        <v>2404</v>
      </c>
      <c r="E571" s="927"/>
      <c r="F571" s="926"/>
      <c r="G571" s="57">
        <v>7.89</v>
      </c>
      <c r="H571" s="34"/>
    </row>
    <row r="572" spans="1:8" ht="12.15" customHeight="1">
      <c r="A572" s="5"/>
      <c r="B572" s="5"/>
      <c r="C572" s="5"/>
      <c r="D572" s="926" t="s">
        <v>2405</v>
      </c>
      <c r="E572" s="927"/>
      <c r="F572" s="926"/>
      <c r="G572" s="57">
        <v>0</v>
      </c>
      <c r="H572" s="34"/>
    </row>
    <row r="573" spans="1:8" ht="12.15" customHeight="1">
      <c r="A573" s="5"/>
      <c r="B573" s="5"/>
      <c r="C573" s="5"/>
      <c r="D573" s="926" t="s">
        <v>2406</v>
      </c>
      <c r="E573" s="927"/>
      <c r="F573" s="926"/>
      <c r="G573" s="57">
        <v>48.17</v>
      </c>
      <c r="H573" s="34"/>
    </row>
    <row r="574" spans="1:8">
      <c r="A574" s="5" t="s">
        <v>140</v>
      </c>
      <c r="B574" s="5"/>
      <c r="C574" s="5" t="s">
        <v>743</v>
      </c>
      <c r="D574" s="924" t="s">
        <v>1385</v>
      </c>
      <c r="E574" s="925"/>
      <c r="F574" s="5" t="s">
        <v>1940</v>
      </c>
      <c r="G574" s="21">
        <v>70.010999999999996</v>
      </c>
      <c r="H574" s="21">
        <v>0</v>
      </c>
    </row>
    <row r="575" spans="1:8" ht="12.15" customHeight="1">
      <c r="D575" s="926" t="s">
        <v>2407</v>
      </c>
      <c r="E575" s="927"/>
      <c r="F575" s="927"/>
      <c r="G575" s="57">
        <v>0</v>
      </c>
    </row>
    <row r="576" spans="1:8" ht="12.15" customHeight="1">
      <c r="A576" s="5"/>
      <c r="B576" s="5"/>
      <c r="C576" s="5"/>
      <c r="D576" s="926" t="s">
        <v>2408</v>
      </c>
      <c r="E576" s="927"/>
      <c r="F576" s="926"/>
      <c r="G576" s="57">
        <v>0.496</v>
      </c>
      <c r="H576" s="34"/>
    </row>
    <row r="577" spans="1:8" ht="12.15" customHeight="1">
      <c r="A577" s="5"/>
      <c r="B577" s="5"/>
      <c r="C577" s="5"/>
      <c r="D577" s="926" t="s">
        <v>2409</v>
      </c>
      <c r="E577" s="927"/>
      <c r="F577" s="926"/>
      <c r="G577" s="57">
        <v>0</v>
      </c>
      <c r="H577" s="34"/>
    </row>
    <row r="578" spans="1:8" ht="12.15" customHeight="1">
      <c r="A578" s="5"/>
      <c r="B578" s="5"/>
      <c r="C578" s="5"/>
      <c r="D578" s="926" t="s">
        <v>2410</v>
      </c>
      <c r="E578" s="927"/>
      <c r="F578" s="926"/>
      <c r="G578" s="57">
        <v>37.354999999999997</v>
      </c>
      <c r="H578" s="34"/>
    </row>
    <row r="579" spans="1:8" ht="12.15" customHeight="1">
      <c r="A579" s="5"/>
      <c r="B579" s="5"/>
      <c r="C579" s="5"/>
      <c r="D579" s="926" t="s">
        <v>2411</v>
      </c>
      <c r="E579" s="927"/>
      <c r="F579" s="926"/>
      <c r="G579" s="57">
        <v>0</v>
      </c>
      <c r="H579" s="34"/>
    </row>
    <row r="580" spans="1:8" ht="12.15" customHeight="1">
      <c r="A580" s="5"/>
      <c r="B580" s="5"/>
      <c r="C580" s="5"/>
      <c r="D580" s="926" t="s">
        <v>2412</v>
      </c>
      <c r="E580" s="927"/>
      <c r="F580" s="926"/>
      <c r="G580" s="57">
        <v>32.159999999999997</v>
      </c>
      <c r="H580" s="34"/>
    </row>
    <row r="581" spans="1:8">
      <c r="A581" s="5" t="s">
        <v>141</v>
      </c>
      <c r="B581" s="5"/>
      <c r="C581" s="5" t="s">
        <v>744</v>
      </c>
      <c r="D581" s="924" t="s">
        <v>1386</v>
      </c>
      <c r="E581" s="925"/>
      <c r="F581" s="5" t="s">
        <v>1940</v>
      </c>
      <c r="G581" s="21">
        <v>25.43</v>
      </c>
      <c r="H581" s="21">
        <v>0</v>
      </c>
    </row>
    <row r="582" spans="1:8" ht="12.15" customHeight="1">
      <c r="D582" s="926" t="s">
        <v>2413</v>
      </c>
      <c r="E582" s="927"/>
      <c r="F582" s="927"/>
      <c r="G582" s="57">
        <v>0</v>
      </c>
    </row>
    <row r="583" spans="1:8" ht="12.15" customHeight="1">
      <c r="A583" s="5"/>
      <c r="B583" s="5"/>
      <c r="C583" s="5"/>
      <c r="D583" s="926" t="s">
        <v>2414</v>
      </c>
      <c r="E583" s="927"/>
      <c r="F583" s="926"/>
      <c r="G583" s="57">
        <v>25.43</v>
      </c>
      <c r="H583" s="34"/>
    </row>
    <row r="584" spans="1:8">
      <c r="A584" s="5" t="s">
        <v>142</v>
      </c>
      <c r="B584" s="5"/>
      <c r="C584" s="5" t="s">
        <v>745</v>
      </c>
      <c r="D584" s="924" t="s">
        <v>1387</v>
      </c>
      <c r="E584" s="925"/>
      <c r="F584" s="5" t="s">
        <v>1940</v>
      </c>
      <c r="G584" s="21">
        <v>37.04</v>
      </c>
      <c r="H584" s="21">
        <v>0</v>
      </c>
    </row>
    <row r="585" spans="1:8" ht="12.15" customHeight="1">
      <c r="D585" s="926" t="s">
        <v>2415</v>
      </c>
      <c r="E585" s="927"/>
      <c r="F585" s="927"/>
      <c r="G585" s="57">
        <v>37.04</v>
      </c>
    </row>
    <row r="586" spans="1:8">
      <c r="A586" s="5" t="s">
        <v>143</v>
      </c>
      <c r="B586" s="5"/>
      <c r="C586" s="5" t="s">
        <v>746</v>
      </c>
      <c r="D586" s="924" t="s">
        <v>1388</v>
      </c>
      <c r="E586" s="925"/>
      <c r="F586" s="5" t="s">
        <v>1940</v>
      </c>
      <c r="G586" s="21">
        <v>14.2811</v>
      </c>
      <c r="H586" s="21">
        <v>0</v>
      </c>
    </row>
    <row r="587" spans="1:8" ht="12.15" customHeight="1">
      <c r="D587" s="926" t="s">
        <v>2150</v>
      </c>
      <c r="E587" s="927"/>
      <c r="F587" s="927"/>
      <c r="G587" s="57">
        <v>0</v>
      </c>
    </row>
    <row r="588" spans="1:8" ht="12.15" customHeight="1">
      <c r="A588" s="5"/>
      <c r="B588" s="5"/>
      <c r="C588" s="5"/>
      <c r="D588" s="926" t="s">
        <v>2416</v>
      </c>
      <c r="E588" s="927"/>
      <c r="F588" s="926"/>
      <c r="G588" s="57">
        <v>2.88</v>
      </c>
      <c r="H588" s="34"/>
    </row>
    <row r="589" spans="1:8" ht="12.15" customHeight="1">
      <c r="A589" s="5"/>
      <c r="B589" s="5"/>
      <c r="C589" s="5"/>
      <c r="D589" s="926" t="s">
        <v>2152</v>
      </c>
      <c r="E589" s="927"/>
      <c r="F589" s="926"/>
      <c r="G589" s="57">
        <v>0</v>
      </c>
      <c r="H589" s="34"/>
    </row>
    <row r="590" spans="1:8" ht="12.15" customHeight="1">
      <c r="A590" s="5"/>
      <c r="B590" s="5"/>
      <c r="C590" s="5"/>
      <c r="D590" s="926" t="s">
        <v>2417</v>
      </c>
      <c r="E590" s="927"/>
      <c r="F590" s="926"/>
      <c r="G590" s="57">
        <v>7.1375000000000002</v>
      </c>
      <c r="H590" s="34"/>
    </row>
    <row r="591" spans="1:8" ht="12.15" customHeight="1">
      <c r="A591" s="5"/>
      <c r="B591" s="5"/>
      <c r="C591" s="5"/>
      <c r="D591" s="926" t="s">
        <v>2154</v>
      </c>
      <c r="E591" s="927"/>
      <c r="F591" s="926"/>
      <c r="G591" s="57">
        <v>0</v>
      </c>
      <c r="H591" s="34"/>
    </row>
    <row r="592" spans="1:8" ht="12.15" customHeight="1">
      <c r="A592" s="5"/>
      <c r="B592" s="5"/>
      <c r="C592" s="5"/>
      <c r="D592" s="926" t="s">
        <v>2418</v>
      </c>
      <c r="E592" s="927"/>
      <c r="F592" s="926"/>
      <c r="G592" s="57">
        <v>4.2636000000000003</v>
      </c>
      <c r="H592" s="34"/>
    </row>
    <row r="593" spans="1:8">
      <c r="A593" s="5" t="s">
        <v>144</v>
      </c>
      <c r="B593" s="5"/>
      <c r="C593" s="5" t="s">
        <v>747</v>
      </c>
      <c r="D593" s="924" t="s">
        <v>1389</v>
      </c>
      <c r="E593" s="925"/>
      <c r="F593" s="5" t="s">
        <v>1940</v>
      </c>
      <c r="G593" s="21">
        <v>27.36</v>
      </c>
      <c r="H593" s="21">
        <v>0</v>
      </c>
    </row>
    <row r="594" spans="1:8" ht="12.15" customHeight="1">
      <c r="D594" s="926" t="s">
        <v>2154</v>
      </c>
      <c r="E594" s="927"/>
      <c r="F594" s="927"/>
      <c r="G594" s="57">
        <v>0</v>
      </c>
    </row>
    <row r="595" spans="1:8" ht="12.15" customHeight="1">
      <c r="A595" s="5"/>
      <c r="B595" s="5"/>
      <c r="C595" s="5"/>
      <c r="D595" s="926" t="s">
        <v>2419</v>
      </c>
      <c r="E595" s="927"/>
      <c r="F595" s="926"/>
      <c r="G595" s="57">
        <v>27.36</v>
      </c>
      <c r="H595" s="34"/>
    </row>
    <row r="596" spans="1:8">
      <c r="A596" s="5" t="s">
        <v>145</v>
      </c>
      <c r="B596" s="5"/>
      <c r="C596" s="5" t="s">
        <v>748</v>
      </c>
      <c r="D596" s="924" t="s">
        <v>1390</v>
      </c>
      <c r="E596" s="925"/>
      <c r="F596" s="5" t="s">
        <v>1940</v>
      </c>
      <c r="G596" s="21">
        <v>2.681</v>
      </c>
      <c r="H596" s="21">
        <v>0</v>
      </c>
    </row>
    <row r="597" spans="1:8" ht="12.15" customHeight="1">
      <c r="D597" s="926" t="s">
        <v>2150</v>
      </c>
      <c r="E597" s="927"/>
      <c r="F597" s="927"/>
      <c r="G597" s="57">
        <v>0</v>
      </c>
    </row>
    <row r="598" spans="1:8" ht="12.15" customHeight="1">
      <c r="A598" s="5"/>
      <c r="B598" s="5"/>
      <c r="C598" s="5"/>
      <c r="D598" s="926" t="s">
        <v>2420</v>
      </c>
      <c r="E598" s="927"/>
      <c r="F598" s="926"/>
      <c r="G598" s="57">
        <v>2.681</v>
      </c>
      <c r="H598" s="34"/>
    </row>
    <row r="599" spans="1:8">
      <c r="A599" s="5" t="s">
        <v>146</v>
      </c>
      <c r="B599" s="5"/>
      <c r="C599" s="5" t="s">
        <v>749</v>
      </c>
      <c r="D599" s="924" t="s">
        <v>1391</v>
      </c>
      <c r="E599" s="925"/>
      <c r="F599" s="5" t="s">
        <v>1940</v>
      </c>
      <c r="G599" s="21">
        <v>4.1509999999999998</v>
      </c>
      <c r="H599" s="21">
        <v>0</v>
      </c>
    </row>
    <row r="600" spans="1:8" ht="12.15" customHeight="1">
      <c r="D600" s="926" t="s">
        <v>2150</v>
      </c>
      <c r="E600" s="927"/>
      <c r="F600" s="927"/>
      <c r="G600" s="57">
        <v>0</v>
      </c>
    </row>
    <row r="601" spans="1:8" ht="12.15" customHeight="1">
      <c r="A601" s="5"/>
      <c r="B601" s="5"/>
      <c r="C601" s="5"/>
      <c r="D601" s="926" t="s">
        <v>2421</v>
      </c>
      <c r="E601" s="927"/>
      <c r="F601" s="926"/>
      <c r="G601" s="57">
        <v>0.35549999999999998</v>
      </c>
      <c r="H601" s="34"/>
    </row>
    <row r="602" spans="1:8" ht="12.15" customHeight="1">
      <c r="A602" s="5"/>
      <c r="B602" s="5"/>
      <c r="C602" s="5"/>
      <c r="D602" s="926" t="s">
        <v>2152</v>
      </c>
      <c r="E602" s="927"/>
      <c r="F602" s="926"/>
      <c r="G602" s="57">
        <v>0</v>
      </c>
      <c r="H602" s="34"/>
    </row>
    <row r="603" spans="1:8" ht="12.15" customHeight="1">
      <c r="A603" s="5"/>
      <c r="B603" s="5"/>
      <c r="C603" s="5"/>
      <c r="D603" s="926" t="s">
        <v>2422</v>
      </c>
      <c r="E603" s="927"/>
      <c r="F603" s="926"/>
      <c r="G603" s="57">
        <v>3.3155000000000001</v>
      </c>
      <c r="H603" s="34"/>
    </row>
    <row r="604" spans="1:8" ht="12.15" customHeight="1">
      <c r="A604" s="5"/>
      <c r="B604" s="5"/>
      <c r="C604" s="5"/>
      <c r="D604" s="926" t="s">
        <v>2154</v>
      </c>
      <c r="E604" s="927"/>
      <c r="F604" s="926"/>
      <c r="G604" s="57">
        <v>0</v>
      </c>
      <c r="H604" s="34"/>
    </row>
    <row r="605" spans="1:8" ht="12.15" customHeight="1">
      <c r="A605" s="5"/>
      <c r="B605" s="5"/>
      <c r="C605" s="5"/>
      <c r="D605" s="926" t="s">
        <v>2423</v>
      </c>
      <c r="E605" s="927"/>
      <c r="F605" s="926"/>
      <c r="G605" s="57">
        <v>0.48</v>
      </c>
      <c r="H605" s="34"/>
    </row>
    <row r="606" spans="1:8">
      <c r="A606" s="5" t="s">
        <v>147</v>
      </c>
      <c r="B606" s="5"/>
      <c r="C606" s="5" t="s">
        <v>750</v>
      </c>
      <c r="D606" s="924" t="s">
        <v>1392</v>
      </c>
      <c r="E606" s="925"/>
      <c r="F606" s="5" t="s">
        <v>1940</v>
      </c>
      <c r="G606" s="21">
        <v>50.019750000000002</v>
      </c>
      <c r="H606" s="21">
        <v>0</v>
      </c>
    </row>
    <row r="607" spans="1:8" ht="12.15" customHeight="1">
      <c r="D607" s="926" t="s">
        <v>2154</v>
      </c>
      <c r="E607" s="927"/>
      <c r="F607" s="927"/>
      <c r="G607" s="57">
        <v>0</v>
      </c>
    </row>
    <row r="608" spans="1:8" ht="12.15" customHeight="1">
      <c r="A608" s="5"/>
      <c r="B608" s="5"/>
      <c r="C608" s="5"/>
      <c r="D608" s="926" t="s">
        <v>2424</v>
      </c>
      <c r="E608" s="927"/>
      <c r="F608" s="926"/>
      <c r="G608" s="57">
        <v>31.82985</v>
      </c>
      <c r="H608" s="34"/>
    </row>
    <row r="609" spans="1:8" ht="12.15" customHeight="1">
      <c r="A609" s="5"/>
      <c r="B609" s="5"/>
      <c r="C609" s="5"/>
      <c r="D609" s="926" t="s">
        <v>2425</v>
      </c>
      <c r="E609" s="927"/>
      <c r="F609" s="926"/>
      <c r="G609" s="57">
        <v>18.189900000000002</v>
      </c>
      <c r="H609" s="34"/>
    </row>
    <row r="610" spans="1:8">
      <c r="A610" s="5" t="s">
        <v>148</v>
      </c>
      <c r="B610" s="5"/>
      <c r="C610" s="5" t="s">
        <v>751</v>
      </c>
      <c r="D610" s="924" t="s">
        <v>1393</v>
      </c>
      <c r="E610" s="925"/>
      <c r="F610" s="5" t="s">
        <v>1940</v>
      </c>
      <c r="G610" s="21">
        <v>0.26700000000000002</v>
      </c>
      <c r="H610" s="21">
        <v>0</v>
      </c>
    </row>
    <row r="611" spans="1:8" ht="12.15" customHeight="1">
      <c r="D611" s="926" t="s">
        <v>2426</v>
      </c>
      <c r="E611" s="927"/>
      <c r="F611" s="927"/>
      <c r="G611" s="57">
        <v>0.26700000000000002</v>
      </c>
    </row>
    <row r="612" spans="1:8">
      <c r="A612" s="5" t="s">
        <v>149</v>
      </c>
      <c r="B612" s="5"/>
      <c r="C612" s="5" t="s">
        <v>752</v>
      </c>
      <c r="D612" s="924" t="s">
        <v>1394</v>
      </c>
      <c r="E612" s="925"/>
      <c r="F612" s="5" t="s">
        <v>1943</v>
      </c>
      <c r="G612" s="21">
        <v>54</v>
      </c>
      <c r="H612" s="21">
        <v>0</v>
      </c>
    </row>
    <row r="613" spans="1:8" ht="12.15" customHeight="1">
      <c r="D613" s="926" t="s">
        <v>2427</v>
      </c>
      <c r="E613" s="927"/>
      <c r="F613" s="927"/>
      <c r="G613" s="57">
        <v>54</v>
      </c>
    </row>
    <row r="614" spans="1:8">
      <c r="A614" s="14"/>
      <c r="B614" s="14"/>
      <c r="C614" s="14" t="s">
        <v>47</v>
      </c>
      <c r="D614" s="930" t="s">
        <v>1396</v>
      </c>
      <c r="E614" s="931"/>
      <c r="F614" s="14"/>
      <c r="G614" s="30"/>
      <c r="H614" s="30"/>
    </row>
    <row r="615" spans="1:8">
      <c r="A615" s="5" t="s">
        <v>150</v>
      </c>
      <c r="B615" s="5"/>
      <c r="C615" s="5" t="s">
        <v>753</v>
      </c>
      <c r="D615" s="924" t="s">
        <v>1397</v>
      </c>
      <c r="E615" s="925"/>
      <c r="F615" s="5" t="s">
        <v>1942</v>
      </c>
      <c r="G615" s="21">
        <v>2.8730000000000002</v>
      </c>
      <c r="H615" s="21">
        <v>0</v>
      </c>
    </row>
    <row r="616" spans="1:8" ht="12.15" customHeight="1">
      <c r="D616" s="926" t="s">
        <v>2428</v>
      </c>
      <c r="E616" s="927"/>
      <c r="F616" s="927"/>
      <c r="G616" s="57">
        <v>0.67349999999999999</v>
      </c>
    </row>
    <row r="617" spans="1:8" ht="12.15" customHeight="1">
      <c r="A617" s="5"/>
      <c r="B617" s="5"/>
      <c r="C617" s="5"/>
      <c r="D617" s="926" t="s">
        <v>2429</v>
      </c>
      <c r="E617" s="927"/>
      <c r="F617" s="926"/>
      <c r="G617" s="57">
        <v>0.4622</v>
      </c>
      <c r="H617" s="34"/>
    </row>
    <row r="618" spans="1:8" ht="12.15" customHeight="1">
      <c r="A618" s="5"/>
      <c r="B618" s="5"/>
      <c r="C618" s="5"/>
      <c r="D618" s="926" t="s">
        <v>2430</v>
      </c>
      <c r="E618" s="927"/>
      <c r="F618" s="926"/>
      <c r="G618" s="57">
        <v>1.7373000000000001</v>
      </c>
      <c r="H618" s="34"/>
    </row>
    <row r="619" spans="1:8">
      <c r="A619" s="5" t="s">
        <v>151</v>
      </c>
      <c r="B619" s="5"/>
      <c r="C619" s="5" t="s">
        <v>754</v>
      </c>
      <c r="D619" s="924" t="s">
        <v>1398</v>
      </c>
      <c r="E619" s="925"/>
      <c r="F619" s="5" t="s">
        <v>1938</v>
      </c>
      <c r="G619" s="21">
        <v>1</v>
      </c>
      <c r="H619" s="21">
        <v>0</v>
      </c>
    </row>
    <row r="620" spans="1:8">
      <c r="A620" s="5" t="s">
        <v>152</v>
      </c>
      <c r="B620" s="5"/>
      <c r="C620" s="5" t="s">
        <v>755</v>
      </c>
      <c r="D620" s="924" t="s">
        <v>1399</v>
      </c>
      <c r="E620" s="925"/>
      <c r="F620" s="5" t="s">
        <v>1941</v>
      </c>
      <c r="G620" s="21">
        <v>19.52196</v>
      </c>
      <c r="H620" s="21">
        <v>0</v>
      </c>
    </row>
    <row r="621" spans="1:8" ht="12.15" customHeight="1">
      <c r="D621" s="926" t="s">
        <v>2431</v>
      </c>
      <c r="E621" s="927"/>
      <c r="F621" s="927"/>
      <c r="G621" s="57">
        <v>5.4366500000000002</v>
      </c>
    </row>
    <row r="622" spans="1:8" ht="12.15" customHeight="1">
      <c r="A622" s="5"/>
      <c r="B622" s="5"/>
      <c r="C622" s="5"/>
      <c r="D622" s="926" t="s">
        <v>2432</v>
      </c>
      <c r="E622" s="927"/>
      <c r="F622" s="926"/>
      <c r="G622" s="57">
        <v>3.6030000000000002</v>
      </c>
      <c r="H622" s="34"/>
    </row>
    <row r="623" spans="1:8" ht="12.15" customHeight="1">
      <c r="A623" s="5"/>
      <c r="B623" s="5"/>
      <c r="C623" s="5"/>
      <c r="D623" s="926" t="s">
        <v>2433</v>
      </c>
      <c r="E623" s="927"/>
      <c r="F623" s="926"/>
      <c r="G623" s="57">
        <v>7.1075600000000003</v>
      </c>
      <c r="H623" s="34"/>
    </row>
    <row r="624" spans="1:8" ht="12.15" customHeight="1">
      <c r="A624" s="5"/>
      <c r="B624" s="5"/>
      <c r="C624" s="5"/>
      <c r="D624" s="926" t="s">
        <v>2434</v>
      </c>
      <c r="E624" s="927"/>
      <c r="F624" s="926"/>
      <c r="G624" s="57">
        <v>3.3747500000000001</v>
      </c>
      <c r="H624" s="34"/>
    </row>
    <row r="625" spans="1:8">
      <c r="A625" s="5" t="s">
        <v>153</v>
      </c>
      <c r="B625" s="5"/>
      <c r="C625" s="5" t="s">
        <v>756</v>
      </c>
      <c r="D625" s="924" t="s">
        <v>1400</v>
      </c>
      <c r="E625" s="925"/>
      <c r="F625" s="5" t="s">
        <v>1940</v>
      </c>
      <c r="G625" s="21">
        <v>128.81805</v>
      </c>
      <c r="H625" s="21">
        <v>0</v>
      </c>
    </row>
    <row r="626" spans="1:8" ht="12.15" customHeight="1">
      <c r="D626" s="926" t="s">
        <v>2435</v>
      </c>
      <c r="E626" s="927"/>
      <c r="F626" s="927"/>
      <c r="G626" s="57">
        <v>0</v>
      </c>
    </row>
    <row r="627" spans="1:8" ht="12.15" customHeight="1">
      <c r="A627" s="5"/>
      <c r="B627" s="5"/>
      <c r="C627" s="5"/>
      <c r="D627" s="926" t="s">
        <v>2436</v>
      </c>
      <c r="E627" s="927"/>
      <c r="F627" s="926"/>
      <c r="G627" s="57">
        <v>26.410900000000002</v>
      </c>
      <c r="H627" s="34"/>
    </row>
    <row r="628" spans="1:8" ht="12.15" customHeight="1">
      <c r="A628" s="5"/>
      <c r="B628" s="5"/>
      <c r="C628" s="5"/>
      <c r="D628" s="926" t="s">
        <v>2437</v>
      </c>
      <c r="E628" s="927"/>
      <c r="F628" s="926"/>
      <c r="G628" s="57">
        <v>8.4953000000000003</v>
      </c>
      <c r="H628" s="34"/>
    </row>
    <row r="629" spans="1:8" ht="12.15" customHeight="1">
      <c r="A629" s="5"/>
      <c r="B629" s="5"/>
      <c r="C629" s="5"/>
      <c r="D629" s="926" t="s">
        <v>2438</v>
      </c>
      <c r="E629" s="927"/>
      <c r="F629" s="926"/>
      <c r="G629" s="57">
        <v>3.4906199999999998</v>
      </c>
      <c r="H629" s="34"/>
    </row>
    <row r="630" spans="1:8" ht="12.15" customHeight="1">
      <c r="A630" s="5"/>
      <c r="B630" s="5"/>
      <c r="C630" s="5"/>
      <c r="D630" s="926" t="s">
        <v>2439</v>
      </c>
      <c r="E630" s="927"/>
      <c r="F630" s="926"/>
      <c r="G630" s="57">
        <v>0</v>
      </c>
      <c r="H630" s="34"/>
    </row>
    <row r="631" spans="1:8" ht="12.15" customHeight="1">
      <c r="A631" s="5"/>
      <c r="B631" s="5"/>
      <c r="C631" s="5"/>
      <c r="D631" s="926" t="s">
        <v>2440</v>
      </c>
      <c r="E631" s="927"/>
      <c r="F631" s="926"/>
      <c r="G631" s="57">
        <v>19.681000000000001</v>
      </c>
      <c r="H631" s="34"/>
    </row>
    <row r="632" spans="1:8" ht="12.15" customHeight="1">
      <c r="A632" s="5"/>
      <c r="B632" s="5"/>
      <c r="C632" s="5"/>
      <c r="D632" s="926" t="s">
        <v>2441</v>
      </c>
      <c r="E632" s="927"/>
      <c r="F632" s="926"/>
      <c r="G632" s="57">
        <v>1.9681</v>
      </c>
      <c r="H632" s="34"/>
    </row>
    <row r="633" spans="1:8" ht="12.15" customHeight="1">
      <c r="A633" s="5"/>
      <c r="B633" s="5"/>
      <c r="C633" s="5"/>
      <c r="D633" s="926" t="s">
        <v>2442</v>
      </c>
      <c r="E633" s="927"/>
      <c r="F633" s="926"/>
      <c r="G633" s="57">
        <v>0</v>
      </c>
      <c r="H633" s="34"/>
    </row>
    <row r="634" spans="1:8" ht="12.15" customHeight="1">
      <c r="A634" s="5"/>
      <c r="B634" s="5"/>
      <c r="C634" s="5"/>
      <c r="D634" s="926" t="s">
        <v>2443</v>
      </c>
      <c r="E634" s="927"/>
      <c r="F634" s="926"/>
      <c r="G634" s="57">
        <v>35.960630000000002</v>
      </c>
      <c r="H634" s="34"/>
    </row>
    <row r="635" spans="1:8" ht="12.15" customHeight="1">
      <c r="A635" s="5"/>
      <c r="B635" s="5"/>
      <c r="C635" s="5"/>
      <c r="D635" s="926" t="s">
        <v>2444</v>
      </c>
      <c r="E635" s="927"/>
      <c r="F635" s="926"/>
      <c r="G635" s="57">
        <v>26.5595</v>
      </c>
      <c r="H635" s="34"/>
    </row>
    <row r="636" spans="1:8" ht="12.15" customHeight="1">
      <c r="A636" s="5"/>
      <c r="B636" s="5"/>
      <c r="C636" s="5"/>
      <c r="D636" s="926" t="s">
        <v>2445</v>
      </c>
      <c r="E636" s="927"/>
      <c r="F636" s="926"/>
      <c r="G636" s="57">
        <v>6.2519999999999998</v>
      </c>
      <c r="H636" s="34"/>
    </row>
    <row r="637" spans="1:8">
      <c r="A637" s="5" t="s">
        <v>154</v>
      </c>
      <c r="B637" s="5"/>
      <c r="C637" s="5" t="s">
        <v>757</v>
      </c>
      <c r="D637" s="924" t="s">
        <v>1401</v>
      </c>
      <c r="E637" s="925"/>
      <c r="F637" s="5" t="s">
        <v>1940</v>
      </c>
      <c r="G637" s="21">
        <v>128.81805</v>
      </c>
      <c r="H637" s="21">
        <v>0</v>
      </c>
    </row>
    <row r="638" spans="1:8">
      <c r="A638" s="5" t="s">
        <v>155</v>
      </c>
      <c r="B638" s="5"/>
      <c r="C638" s="5" t="s">
        <v>758</v>
      </c>
      <c r="D638" s="924" t="s">
        <v>1402</v>
      </c>
      <c r="E638" s="925"/>
      <c r="F638" s="5" t="s">
        <v>1941</v>
      </c>
      <c r="G638" s="21">
        <v>8.0175900000000002</v>
      </c>
      <c r="H638" s="21">
        <v>0</v>
      </c>
    </row>
    <row r="639" spans="1:8" ht="12.15" customHeight="1">
      <c r="D639" s="926" t="s">
        <v>2446</v>
      </c>
      <c r="E639" s="927"/>
      <c r="F639" s="927"/>
      <c r="G639" s="57">
        <v>0</v>
      </c>
    </row>
    <row r="640" spans="1:8" ht="12.15" customHeight="1">
      <c r="A640" s="5"/>
      <c r="B640" s="5"/>
      <c r="C640" s="5"/>
      <c r="D640" s="926" t="s">
        <v>2447</v>
      </c>
      <c r="E640" s="927"/>
      <c r="F640" s="926"/>
      <c r="G640" s="57">
        <v>1.7274799999999999</v>
      </c>
      <c r="H640" s="34"/>
    </row>
    <row r="641" spans="1:8" ht="12.15" customHeight="1">
      <c r="A641" s="5"/>
      <c r="B641" s="5"/>
      <c r="C641" s="5"/>
      <c r="D641" s="926" t="s">
        <v>2448</v>
      </c>
      <c r="E641" s="927"/>
      <c r="F641" s="926"/>
      <c r="G641" s="57">
        <v>1.3825000000000001</v>
      </c>
      <c r="H641" s="34"/>
    </row>
    <row r="642" spans="1:8" ht="12.15" customHeight="1">
      <c r="A642" s="5"/>
      <c r="B642" s="5"/>
      <c r="C642" s="5"/>
      <c r="D642" s="926" t="s">
        <v>2449</v>
      </c>
      <c r="E642" s="927"/>
      <c r="F642" s="926"/>
      <c r="G642" s="57">
        <v>0</v>
      </c>
      <c r="H642" s="34"/>
    </row>
    <row r="643" spans="1:8" ht="12.15" customHeight="1">
      <c r="A643" s="5"/>
      <c r="B643" s="5"/>
      <c r="C643" s="5"/>
      <c r="D643" s="926" t="s">
        <v>2450</v>
      </c>
      <c r="E643" s="927"/>
      <c r="F643" s="926"/>
      <c r="G643" s="57">
        <v>2.4E-2</v>
      </c>
      <c r="H643" s="34"/>
    </row>
    <row r="644" spans="1:8" ht="12.15" customHeight="1">
      <c r="A644" s="5"/>
      <c r="B644" s="5"/>
      <c r="C644" s="5"/>
      <c r="D644" s="926" t="s">
        <v>2451</v>
      </c>
      <c r="E644" s="927"/>
      <c r="F644" s="926"/>
      <c r="G644" s="57">
        <v>1.2023999999999999</v>
      </c>
      <c r="H644" s="34"/>
    </row>
    <row r="645" spans="1:8" ht="12.15" customHeight="1">
      <c r="A645" s="5"/>
      <c r="B645" s="5"/>
      <c r="C645" s="5"/>
      <c r="D645" s="926" t="s">
        <v>2452</v>
      </c>
      <c r="E645" s="927"/>
      <c r="F645" s="926"/>
      <c r="G645" s="57">
        <v>2.8767999999999998</v>
      </c>
      <c r="H645" s="34"/>
    </row>
    <row r="646" spans="1:8" ht="12.15" customHeight="1">
      <c r="A646" s="5"/>
      <c r="B646" s="5"/>
      <c r="C646" s="5"/>
      <c r="D646" s="926" t="s">
        <v>2453</v>
      </c>
      <c r="E646" s="927"/>
      <c r="F646" s="926"/>
      <c r="G646" s="57">
        <v>0.12984999999999999</v>
      </c>
      <c r="H646" s="34"/>
    </row>
    <row r="647" spans="1:8" ht="12.15" customHeight="1">
      <c r="A647" s="5"/>
      <c r="B647" s="5"/>
      <c r="C647" s="5"/>
      <c r="D647" s="926" t="s">
        <v>2454</v>
      </c>
      <c r="E647" s="927"/>
      <c r="F647" s="926"/>
      <c r="G647" s="57">
        <v>0.67456000000000005</v>
      </c>
      <c r="H647" s="34"/>
    </row>
    <row r="648" spans="1:8">
      <c r="A648" s="5" t="s">
        <v>156</v>
      </c>
      <c r="B648" s="5"/>
      <c r="C648" s="5" t="s">
        <v>759</v>
      </c>
      <c r="D648" s="924" t="s">
        <v>1404</v>
      </c>
      <c r="E648" s="925"/>
      <c r="F648" s="5" t="s">
        <v>1941</v>
      </c>
      <c r="G648" s="21">
        <v>6.0150000000000002E-2</v>
      </c>
      <c r="H648" s="21">
        <v>0</v>
      </c>
    </row>
    <row r="649" spans="1:8" ht="12.15" customHeight="1">
      <c r="D649" s="926" t="s">
        <v>2455</v>
      </c>
      <c r="E649" s="927"/>
      <c r="F649" s="927"/>
      <c r="G649" s="57">
        <v>6.0150000000000002E-2</v>
      </c>
    </row>
    <row r="650" spans="1:8">
      <c r="A650" s="14"/>
      <c r="B650" s="14"/>
      <c r="C650" s="14" t="s">
        <v>49</v>
      </c>
      <c r="D650" s="930" t="s">
        <v>1406</v>
      </c>
      <c r="E650" s="931"/>
      <c r="F650" s="14"/>
      <c r="G650" s="30"/>
      <c r="H650" s="30"/>
    </row>
    <row r="651" spans="1:8">
      <c r="A651" s="5" t="s">
        <v>157</v>
      </c>
      <c r="B651" s="5"/>
      <c r="C651" s="5" t="s">
        <v>760</v>
      </c>
      <c r="D651" s="924" t="s">
        <v>1407</v>
      </c>
      <c r="E651" s="925"/>
      <c r="F651" s="5" t="s">
        <v>1941</v>
      </c>
      <c r="G651" s="21">
        <v>104.83071</v>
      </c>
      <c r="H651" s="21">
        <v>0</v>
      </c>
    </row>
    <row r="652" spans="1:8" ht="12.15" customHeight="1">
      <c r="D652" s="926" t="s">
        <v>2456</v>
      </c>
      <c r="E652" s="927"/>
      <c r="F652" s="927"/>
      <c r="G652" s="57">
        <v>0</v>
      </c>
    </row>
    <row r="653" spans="1:8" ht="12.15" customHeight="1">
      <c r="A653" s="5"/>
      <c r="B653" s="5"/>
      <c r="C653" s="5"/>
      <c r="D653" s="926" t="s">
        <v>2457</v>
      </c>
      <c r="E653" s="927"/>
      <c r="F653" s="926"/>
      <c r="G653" s="57">
        <v>0</v>
      </c>
      <c r="H653" s="34"/>
    </row>
    <row r="654" spans="1:8" ht="12.15" customHeight="1">
      <c r="A654" s="5"/>
      <c r="B654" s="5"/>
      <c r="C654" s="5"/>
      <c r="D654" s="926" t="s">
        <v>2458</v>
      </c>
      <c r="E654" s="927"/>
      <c r="F654" s="926"/>
      <c r="G654" s="57">
        <v>0</v>
      </c>
      <c r="H654" s="34"/>
    </row>
    <row r="655" spans="1:8" ht="12.15" customHeight="1">
      <c r="A655" s="5"/>
      <c r="B655" s="5"/>
      <c r="C655" s="5"/>
      <c r="D655" s="926" t="s">
        <v>2459</v>
      </c>
      <c r="E655" s="927"/>
      <c r="F655" s="926"/>
      <c r="G655" s="57">
        <v>0.25545000000000001</v>
      </c>
      <c r="H655" s="34"/>
    </row>
    <row r="656" spans="1:8" ht="12.15" customHeight="1">
      <c r="A656" s="5"/>
      <c r="B656" s="5"/>
      <c r="C656" s="5"/>
      <c r="D656" s="926" t="s">
        <v>2460</v>
      </c>
      <c r="E656" s="927"/>
      <c r="F656" s="926"/>
      <c r="G656" s="57">
        <v>2.1638799999999998</v>
      </c>
      <c r="H656" s="34"/>
    </row>
    <row r="657" spans="1:8" ht="12.15" customHeight="1">
      <c r="A657" s="5"/>
      <c r="B657" s="5"/>
      <c r="C657" s="5"/>
      <c r="D657" s="926" t="s">
        <v>2461</v>
      </c>
      <c r="E657" s="927"/>
      <c r="F657" s="926"/>
      <c r="G657" s="57">
        <v>5.25</v>
      </c>
      <c r="H657" s="34"/>
    </row>
    <row r="658" spans="1:8" ht="12.15" customHeight="1">
      <c r="A658" s="5"/>
      <c r="B658" s="5"/>
      <c r="C658" s="5"/>
      <c r="D658" s="926" t="s">
        <v>2462</v>
      </c>
      <c r="E658" s="927"/>
      <c r="F658" s="926"/>
      <c r="G658" s="57">
        <v>0.95308000000000004</v>
      </c>
      <c r="H658" s="34"/>
    </row>
    <row r="659" spans="1:8" ht="12.15" customHeight="1">
      <c r="A659" s="5"/>
      <c r="B659" s="5"/>
      <c r="C659" s="5"/>
      <c r="D659" s="926" t="s">
        <v>2463</v>
      </c>
      <c r="E659" s="927"/>
      <c r="F659" s="926"/>
      <c r="G659" s="57">
        <v>1.2082999999999999</v>
      </c>
      <c r="H659" s="34"/>
    </row>
    <row r="660" spans="1:8" ht="12.15" customHeight="1">
      <c r="A660" s="5"/>
      <c r="B660" s="5"/>
      <c r="C660" s="5"/>
      <c r="D660" s="926" t="s">
        <v>2464</v>
      </c>
      <c r="E660" s="927"/>
      <c r="F660" s="926"/>
      <c r="G660" s="57">
        <v>95</v>
      </c>
      <c r="H660" s="34"/>
    </row>
    <row r="661" spans="1:8">
      <c r="A661" s="14"/>
      <c r="B661" s="14"/>
      <c r="C661" s="14" t="s">
        <v>63</v>
      </c>
      <c r="D661" s="930" t="s">
        <v>1408</v>
      </c>
      <c r="E661" s="931"/>
      <c r="F661" s="14"/>
      <c r="G661" s="30"/>
      <c r="H661" s="30"/>
    </row>
    <row r="662" spans="1:8">
      <c r="A662" s="5" t="s">
        <v>158</v>
      </c>
      <c r="B662" s="5"/>
      <c r="C662" s="5" t="s">
        <v>761</v>
      </c>
      <c r="D662" s="924" t="s">
        <v>1409</v>
      </c>
      <c r="E662" s="925"/>
      <c r="F662" s="5" t="s">
        <v>1940</v>
      </c>
      <c r="G662" s="21">
        <v>17</v>
      </c>
      <c r="H662" s="21">
        <v>0</v>
      </c>
    </row>
    <row r="663" spans="1:8" ht="12.15" customHeight="1">
      <c r="D663" s="926" t="s">
        <v>2465</v>
      </c>
      <c r="E663" s="927"/>
      <c r="F663" s="927"/>
      <c r="G663" s="57">
        <v>17</v>
      </c>
    </row>
    <row r="664" spans="1:8">
      <c r="A664" s="5" t="s">
        <v>159</v>
      </c>
      <c r="B664" s="5"/>
      <c r="C664" s="5" t="s">
        <v>762</v>
      </c>
      <c r="D664" s="924" t="s">
        <v>1411</v>
      </c>
      <c r="E664" s="925"/>
      <c r="F664" s="5" t="s">
        <v>1943</v>
      </c>
      <c r="G664" s="21">
        <v>1</v>
      </c>
      <c r="H664" s="21">
        <v>0</v>
      </c>
    </row>
    <row r="665" spans="1:8" ht="12.9" customHeight="1">
      <c r="C665" s="54" t="s">
        <v>605</v>
      </c>
      <c r="D665" s="917" t="s">
        <v>1412</v>
      </c>
      <c r="E665" s="918"/>
      <c r="F665" s="918"/>
      <c r="G665" s="918"/>
    </row>
    <row r="666" spans="1:8">
      <c r="A666" s="14"/>
      <c r="B666" s="14"/>
      <c r="C666" s="14" t="s">
        <v>64</v>
      </c>
      <c r="D666" s="930" t="s">
        <v>1413</v>
      </c>
      <c r="E666" s="931"/>
      <c r="F666" s="14"/>
      <c r="G666" s="30"/>
      <c r="H666" s="30"/>
    </row>
    <row r="667" spans="1:8">
      <c r="A667" s="5" t="s">
        <v>160</v>
      </c>
      <c r="B667" s="5"/>
      <c r="C667" s="5" t="s">
        <v>763</v>
      </c>
      <c r="D667" s="924" t="s">
        <v>1414</v>
      </c>
      <c r="E667" s="925"/>
      <c r="F667" s="5" t="s">
        <v>1940</v>
      </c>
      <c r="G667" s="21">
        <v>3820.1991699999999</v>
      </c>
      <c r="H667" s="21">
        <v>0</v>
      </c>
    </row>
    <row r="668" spans="1:8" ht="12.15" customHeight="1">
      <c r="D668" s="926" t="s">
        <v>2466</v>
      </c>
      <c r="E668" s="927"/>
      <c r="F668" s="927"/>
      <c r="G668" s="57">
        <v>0</v>
      </c>
    </row>
    <row r="669" spans="1:8" ht="12.15" customHeight="1">
      <c r="A669" s="5"/>
      <c r="B669" s="5"/>
      <c r="C669" s="5"/>
      <c r="D669" s="926" t="s">
        <v>2467</v>
      </c>
      <c r="E669" s="927"/>
      <c r="F669" s="926"/>
      <c r="G669" s="57">
        <v>3820.1991699999999</v>
      </c>
      <c r="H669" s="34"/>
    </row>
    <row r="670" spans="1:8">
      <c r="A670" s="5" t="s">
        <v>161</v>
      </c>
      <c r="B670" s="5"/>
      <c r="C670" s="5" t="s">
        <v>764</v>
      </c>
      <c r="D670" s="924" t="s">
        <v>1415</v>
      </c>
      <c r="E670" s="925"/>
      <c r="F670" s="5" t="s">
        <v>1940</v>
      </c>
      <c r="G670" s="21">
        <v>306.36750000000001</v>
      </c>
      <c r="H670" s="21">
        <v>0</v>
      </c>
    </row>
    <row r="671" spans="1:8" ht="12.15" customHeight="1">
      <c r="D671" s="926" t="s">
        <v>2468</v>
      </c>
      <c r="E671" s="927"/>
      <c r="F671" s="927"/>
      <c r="G671" s="57">
        <v>0</v>
      </c>
    </row>
    <row r="672" spans="1:8" ht="12.15" customHeight="1">
      <c r="A672" s="5"/>
      <c r="B672" s="5"/>
      <c r="C672" s="5"/>
      <c r="D672" s="926" t="s">
        <v>2469</v>
      </c>
      <c r="E672" s="927"/>
      <c r="F672" s="926"/>
      <c r="G672" s="57">
        <v>264.77999999999997</v>
      </c>
      <c r="H672" s="34"/>
    </row>
    <row r="673" spans="1:8" ht="12.15" customHeight="1">
      <c r="A673" s="5"/>
      <c r="B673" s="5"/>
      <c r="C673" s="5"/>
      <c r="D673" s="926" t="s">
        <v>2470</v>
      </c>
      <c r="E673" s="927"/>
      <c r="F673" s="926"/>
      <c r="G673" s="57">
        <v>9.1875</v>
      </c>
      <c r="H673" s="34"/>
    </row>
    <row r="674" spans="1:8" ht="12.15" customHeight="1">
      <c r="A674" s="5"/>
      <c r="B674" s="5"/>
      <c r="C674" s="5"/>
      <c r="D674" s="926" t="s">
        <v>2471</v>
      </c>
      <c r="E674" s="927"/>
      <c r="F674" s="926"/>
      <c r="G674" s="57">
        <v>32.4</v>
      </c>
      <c r="H674" s="34"/>
    </row>
    <row r="675" spans="1:8">
      <c r="A675" s="5" t="s">
        <v>162</v>
      </c>
      <c r="B675" s="5"/>
      <c r="C675" s="5" t="s">
        <v>765</v>
      </c>
      <c r="D675" s="924" t="s">
        <v>1416</v>
      </c>
      <c r="E675" s="925"/>
      <c r="F675" s="5" t="s">
        <v>1940</v>
      </c>
      <c r="G675" s="21">
        <v>306.36750000000001</v>
      </c>
      <c r="H675" s="21">
        <v>0</v>
      </c>
    </row>
    <row r="676" spans="1:8" ht="12.15" customHeight="1">
      <c r="D676" s="926" t="s">
        <v>2468</v>
      </c>
      <c r="E676" s="927"/>
      <c r="F676" s="927"/>
      <c r="G676" s="57">
        <v>0</v>
      </c>
    </row>
    <row r="677" spans="1:8" ht="12.15" customHeight="1">
      <c r="A677" s="5"/>
      <c r="B677" s="5"/>
      <c r="C677" s="5"/>
      <c r="D677" s="926" t="s">
        <v>2469</v>
      </c>
      <c r="E677" s="927"/>
      <c r="F677" s="926"/>
      <c r="G677" s="57">
        <v>264.77999999999997</v>
      </c>
      <c r="H677" s="34"/>
    </row>
    <row r="678" spans="1:8" ht="12.15" customHeight="1">
      <c r="A678" s="5"/>
      <c r="B678" s="5"/>
      <c r="C678" s="5"/>
      <c r="D678" s="926" t="s">
        <v>2470</v>
      </c>
      <c r="E678" s="927"/>
      <c r="F678" s="926"/>
      <c r="G678" s="57">
        <v>9.1875</v>
      </c>
      <c r="H678" s="34"/>
    </row>
    <row r="679" spans="1:8" ht="12.15" customHeight="1">
      <c r="A679" s="5"/>
      <c r="B679" s="5"/>
      <c r="C679" s="5"/>
      <c r="D679" s="926" t="s">
        <v>2471</v>
      </c>
      <c r="E679" s="927"/>
      <c r="F679" s="926"/>
      <c r="G679" s="57">
        <v>32.4</v>
      </c>
      <c r="H679" s="34"/>
    </row>
    <row r="680" spans="1:8">
      <c r="A680" s="5" t="s">
        <v>163</v>
      </c>
      <c r="B680" s="5"/>
      <c r="C680" s="5" t="s">
        <v>766</v>
      </c>
      <c r="D680" s="924" t="s">
        <v>1417</v>
      </c>
      <c r="E680" s="925"/>
      <c r="F680" s="5" t="s">
        <v>1940</v>
      </c>
      <c r="G680" s="21">
        <v>221.07</v>
      </c>
      <c r="H680" s="21">
        <v>0</v>
      </c>
    </row>
    <row r="681" spans="1:8" ht="12.15" customHeight="1">
      <c r="D681" s="926" t="s">
        <v>2472</v>
      </c>
      <c r="E681" s="927"/>
      <c r="F681" s="927"/>
      <c r="G681" s="57">
        <v>0</v>
      </c>
    </row>
    <row r="682" spans="1:8" ht="12.15" customHeight="1">
      <c r="A682" s="5"/>
      <c r="B682" s="5"/>
      <c r="C682" s="5"/>
      <c r="D682" s="926" t="s">
        <v>2473</v>
      </c>
      <c r="E682" s="927"/>
      <c r="F682" s="926"/>
      <c r="G682" s="57">
        <v>122.5</v>
      </c>
      <c r="H682" s="34"/>
    </row>
    <row r="683" spans="1:8" ht="12.15" customHeight="1">
      <c r="A683" s="5"/>
      <c r="B683" s="5"/>
      <c r="C683" s="5"/>
      <c r="D683" s="926" t="s">
        <v>2474</v>
      </c>
      <c r="E683" s="927"/>
      <c r="F683" s="926"/>
      <c r="G683" s="57">
        <v>12.52</v>
      </c>
      <c r="H683" s="34"/>
    </row>
    <row r="684" spans="1:8" ht="12.15" customHeight="1">
      <c r="A684" s="5"/>
      <c r="B684" s="5"/>
      <c r="C684" s="5"/>
      <c r="D684" s="926" t="s">
        <v>2475</v>
      </c>
      <c r="E684" s="927"/>
      <c r="F684" s="926"/>
      <c r="G684" s="57">
        <v>3</v>
      </c>
      <c r="H684" s="34"/>
    </row>
    <row r="685" spans="1:8" ht="12.15" customHeight="1">
      <c r="A685" s="5"/>
      <c r="B685" s="5"/>
      <c r="C685" s="5"/>
      <c r="D685" s="926" t="s">
        <v>2476</v>
      </c>
      <c r="E685" s="927"/>
      <c r="F685" s="926"/>
      <c r="G685" s="57">
        <v>64.45</v>
      </c>
      <c r="H685" s="34"/>
    </row>
    <row r="686" spans="1:8" ht="12.15" customHeight="1">
      <c r="A686" s="5"/>
      <c r="B686" s="5"/>
      <c r="C686" s="5"/>
      <c r="D686" s="926" t="s">
        <v>2477</v>
      </c>
      <c r="E686" s="927"/>
      <c r="F686" s="926"/>
      <c r="G686" s="57">
        <v>18.600000000000001</v>
      </c>
      <c r="H686" s="34"/>
    </row>
    <row r="687" spans="1:8">
      <c r="A687" s="14"/>
      <c r="B687" s="14"/>
      <c r="C687" s="14" t="s">
        <v>65</v>
      </c>
      <c r="D687" s="930" t="s">
        <v>1418</v>
      </c>
      <c r="E687" s="931"/>
      <c r="F687" s="14"/>
      <c r="G687" s="30"/>
      <c r="H687" s="30"/>
    </row>
    <row r="688" spans="1:8">
      <c r="A688" s="5" t="s">
        <v>164</v>
      </c>
      <c r="B688" s="5"/>
      <c r="C688" s="5" t="s">
        <v>767</v>
      </c>
      <c r="D688" s="924" t="s">
        <v>1419</v>
      </c>
      <c r="E688" s="925"/>
      <c r="F688" s="5" t="s">
        <v>1940</v>
      </c>
      <c r="G688" s="21">
        <v>3833.4803700000002</v>
      </c>
      <c r="H688" s="21">
        <v>0</v>
      </c>
    </row>
    <row r="689" spans="1:8" ht="12.15" customHeight="1">
      <c r="D689" s="926" t="s">
        <v>2478</v>
      </c>
      <c r="E689" s="927"/>
      <c r="F689" s="927"/>
      <c r="G689" s="57">
        <v>0</v>
      </c>
    </row>
    <row r="690" spans="1:8" ht="12.15" customHeight="1">
      <c r="A690" s="5"/>
      <c r="B690" s="5"/>
      <c r="C690" s="5"/>
      <c r="D690" s="926" t="s">
        <v>2479</v>
      </c>
      <c r="E690" s="927"/>
      <c r="F690" s="926"/>
      <c r="G690" s="57">
        <v>2679.53935</v>
      </c>
      <c r="H690" s="34"/>
    </row>
    <row r="691" spans="1:8" ht="12.15" customHeight="1">
      <c r="A691" s="5"/>
      <c r="B691" s="5"/>
      <c r="C691" s="5"/>
      <c r="D691" s="926" t="s">
        <v>2480</v>
      </c>
      <c r="E691" s="927"/>
      <c r="F691" s="926"/>
      <c r="G691" s="57">
        <v>93.778400000000005</v>
      </c>
      <c r="H691" s="34"/>
    </row>
    <row r="692" spans="1:8" ht="12.15" customHeight="1">
      <c r="A692" s="5"/>
      <c r="B692" s="5"/>
      <c r="C692" s="5"/>
      <c r="D692" s="926" t="s">
        <v>2112</v>
      </c>
      <c r="E692" s="927"/>
      <c r="F692" s="926"/>
      <c r="G692" s="57">
        <v>0</v>
      </c>
      <c r="H692" s="34"/>
    </row>
    <row r="693" spans="1:8" ht="12.15" customHeight="1">
      <c r="A693" s="5"/>
      <c r="B693" s="5"/>
      <c r="C693" s="5"/>
      <c r="D693" s="926" t="s">
        <v>2481</v>
      </c>
      <c r="E693" s="927"/>
      <c r="F693" s="926"/>
      <c r="G693" s="57">
        <v>86.94</v>
      </c>
      <c r="H693" s="34"/>
    </row>
    <row r="694" spans="1:8" ht="12.15" customHeight="1">
      <c r="A694" s="5"/>
      <c r="B694" s="5"/>
      <c r="C694" s="5"/>
      <c r="D694" s="926" t="s">
        <v>2482</v>
      </c>
      <c r="E694" s="927"/>
      <c r="F694" s="926"/>
      <c r="G694" s="57">
        <v>41.744999999999997</v>
      </c>
      <c r="H694" s="34"/>
    </row>
    <row r="695" spans="1:8" ht="12.15" customHeight="1">
      <c r="A695" s="5"/>
      <c r="B695" s="5"/>
      <c r="C695" s="5"/>
      <c r="D695" s="926" t="s">
        <v>2483</v>
      </c>
      <c r="E695" s="927"/>
      <c r="F695" s="926"/>
      <c r="G695" s="57">
        <v>83.19</v>
      </c>
      <c r="H695" s="34"/>
    </row>
    <row r="696" spans="1:8" ht="12.15" customHeight="1">
      <c r="A696" s="5"/>
      <c r="B696" s="5"/>
      <c r="C696" s="5"/>
      <c r="D696" s="926" t="s">
        <v>2484</v>
      </c>
      <c r="E696" s="927"/>
      <c r="F696" s="926"/>
      <c r="G696" s="57">
        <v>10.35</v>
      </c>
      <c r="H696" s="34"/>
    </row>
    <row r="697" spans="1:8" ht="12.15" customHeight="1">
      <c r="A697" s="5"/>
      <c r="B697" s="5"/>
      <c r="C697" s="5"/>
      <c r="D697" s="926" t="s">
        <v>2485</v>
      </c>
      <c r="E697" s="927"/>
      <c r="F697" s="926"/>
      <c r="G697" s="57">
        <v>27.0549</v>
      </c>
      <c r="H697" s="34"/>
    </row>
    <row r="698" spans="1:8" ht="12.15" customHeight="1">
      <c r="A698" s="5"/>
      <c r="B698" s="5"/>
      <c r="C698" s="5"/>
      <c r="D698" s="926" t="s">
        <v>2486</v>
      </c>
      <c r="E698" s="927"/>
      <c r="F698" s="926"/>
      <c r="G698" s="57">
        <v>9.7843499999999999</v>
      </c>
      <c r="H698" s="34"/>
    </row>
    <row r="699" spans="1:8" ht="12.15" customHeight="1">
      <c r="A699" s="5"/>
      <c r="B699" s="5"/>
      <c r="C699" s="5"/>
      <c r="D699" s="926" t="s">
        <v>2167</v>
      </c>
      <c r="E699" s="927"/>
      <c r="F699" s="926"/>
      <c r="G699" s="57">
        <v>0</v>
      </c>
      <c r="H699" s="34"/>
    </row>
    <row r="700" spans="1:8" ht="12.15" customHeight="1">
      <c r="A700" s="5"/>
      <c r="B700" s="5"/>
      <c r="C700" s="5"/>
      <c r="D700" s="926" t="s">
        <v>2487</v>
      </c>
      <c r="E700" s="927"/>
      <c r="F700" s="926"/>
      <c r="G700" s="57">
        <v>6.6749999999999998</v>
      </c>
      <c r="H700" s="34"/>
    </row>
    <row r="701" spans="1:8" ht="12.15" customHeight="1">
      <c r="A701" s="5"/>
      <c r="B701" s="5"/>
      <c r="C701" s="5"/>
      <c r="D701" s="926" t="s">
        <v>2488</v>
      </c>
      <c r="E701" s="927"/>
      <c r="F701" s="926"/>
      <c r="G701" s="57">
        <v>20.403600000000001</v>
      </c>
      <c r="H701" s="34"/>
    </row>
    <row r="702" spans="1:8" ht="12.15" customHeight="1">
      <c r="A702" s="5"/>
      <c r="B702" s="5"/>
      <c r="C702" s="5"/>
      <c r="D702" s="926" t="s">
        <v>2489</v>
      </c>
      <c r="E702" s="927"/>
      <c r="F702" s="926"/>
      <c r="G702" s="57">
        <v>62.388800000000003</v>
      </c>
      <c r="H702" s="34"/>
    </row>
    <row r="703" spans="1:8" ht="12.15" customHeight="1">
      <c r="A703" s="5"/>
      <c r="B703" s="5"/>
      <c r="C703" s="5"/>
      <c r="D703" s="926" t="s">
        <v>2490</v>
      </c>
      <c r="E703" s="927"/>
      <c r="F703" s="926"/>
      <c r="G703" s="57">
        <v>54.591000000000001</v>
      </c>
      <c r="H703" s="34"/>
    </row>
    <row r="704" spans="1:8" ht="12.15" customHeight="1">
      <c r="A704" s="5"/>
      <c r="B704" s="5"/>
      <c r="C704" s="5"/>
      <c r="D704" s="926" t="s">
        <v>2491</v>
      </c>
      <c r="E704" s="927"/>
      <c r="F704" s="926"/>
      <c r="G704" s="57">
        <v>26.0245</v>
      </c>
      <c r="H704" s="34"/>
    </row>
    <row r="705" spans="1:8" ht="12.15" customHeight="1">
      <c r="A705" s="5"/>
      <c r="B705" s="5"/>
      <c r="C705" s="5"/>
      <c r="D705" s="926" t="s">
        <v>2492</v>
      </c>
      <c r="E705" s="927"/>
      <c r="F705" s="926"/>
      <c r="G705" s="57">
        <v>10.23</v>
      </c>
      <c r="H705" s="34"/>
    </row>
    <row r="706" spans="1:8" ht="12.15" customHeight="1">
      <c r="A706" s="5"/>
      <c r="B706" s="5"/>
      <c r="C706" s="5"/>
      <c r="D706" s="926" t="s">
        <v>2493</v>
      </c>
      <c r="E706" s="927"/>
      <c r="F706" s="926"/>
      <c r="G706" s="57">
        <v>13.718</v>
      </c>
      <c r="H706" s="34"/>
    </row>
    <row r="707" spans="1:8" ht="12.15" customHeight="1">
      <c r="A707" s="5"/>
      <c r="B707" s="5"/>
      <c r="C707" s="5"/>
      <c r="D707" s="926" t="s">
        <v>2494</v>
      </c>
      <c r="E707" s="927"/>
      <c r="F707" s="926"/>
      <c r="G707" s="57">
        <v>1.55</v>
      </c>
      <c r="H707" s="34"/>
    </row>
    <row r="708" spans="1:8" ht="12.15" customHeight="1">
      <c r="A708" s="5"/>
      <c r="B708" s="5"/>
      <c r="C708" s="5"/>
      <c r="D708" s="926" t="s">
        <v>2495</v>
      </c>
      <c r="E708" s="927"/>
      <c r="F708" s="926"/>
      <c r="G708" s="57">
        <v>46.546500000000002</v>
      </c>
      <c r="H708" s="34"/>
    </row>
    <row r="709" spans="1:8" ht="12.15" customHeight="1">
      <c r="A709" s="5"/>
      <c r="B709" s="5"/>
      <c r="C709" s="5"/>
      <c r="D709" s="926" t="s">
        <v>2496</v>
      </c>
      <c r="E709" s="927"/>
      <c r="F709" s="926"/>
      <c r="G709" s="57">
        <v>6.5025000000000004</v>
      </c>
      <c r="H709" s="34"/>
    </row>
    <row r="710" spans="1:8" ht="12.15" customHeight="1">
      <c r="A710" s="5"/>
      <c r="B710" s="5"/>
      <c r="C710" s="5"/>
      <c r="D710" s="926" t="s">
        <v>2497</v>
      </c>
      <c r="E710" s="927"/>
      <c r="F710" s="926"/>
      <c r="G710" s="57">
        <v>21.794</v>
      </c>
      <c r="H710" s="34"/>
    </row>
    <row r="711" spans="1:8" ht="12.15" customHeight="1">
      <c r="A711" s="5"/>
      <c r="B711" s="5"/>
      <c r="C711" s="5"/>
      <c r="D711" s="926" t="s">
        <v>2498</v>
      </c>
      <c r="E711" s="927"/>
      <c r="F711" s="926"/>
      <c r="G711" s="57">
        <v>0.17</v>
      </c>
      <c r="H711" s="34"/>
    </row>
    <row r="712" spans="1:8" ht="12.15" customHeight="1">
      <c r="A712" s="5"/>
      <c r="B712" s="5"/>
      <c r="C712" s="5"/>
      <c r="D712" s="926" t="s">
        <v>2499</v>
      </c>
      <c r="E712" s="927"/>
      <c r="F712" s="926"/>
      <c r="G712" s="57">
        <v>13.6248</v>
      </c>
      <c r="H712" s="34"/>
    </row>
    <row r="713" spans="1:8" ht="12.15" customHeight="1">
      <c r="A713" s="5"/>
      <c r="B713" s="5"/>
      <c r="C713" s="5"/>
      <c r="D713" s="926" t="s">
        <v>2500</v>
      </c>
      <c r="E713" s="927"/>
      <c r="F713" s="926"/>
      <c r="G713" s="57">
        <v>33.75</v>
      </c>
      <c r="H713" s="34"/>
    </row>
    <row r="714" spans="1:8" ht="12.15" customHeight="1">
      <c r="A714" s="5"/>
      <c r="B714" s="5"/>
      <c r="C714" s="5"/>
      <c r="D714" s="926" t="s">
        <v>2501</v>
      </c>
      <c r="E714" s="927"/>
      <c r="F714" s="926"/>
      <c r="G714" s="57">
        <v>16.696999999999999</v>
      </c>
      <c r="H714" s="34"/>
    </row>
    <row r="715" spans="1:8" ht="12.15" customHeight="1">
      <c r="A715" s="5"/>
      <c r="B715" s="5"/>
      <c r="C715" s="5"/>
      <c r="D715" s="926" t="s">
        <v>2502</v>
      </c>
      <c r="E715" s="927"/>
      <c r="F715" s="926"/>
      <c r="G715" s="57">
        <v>18.974900000000002</v>
      </c>
      <c r="H715" s="34"/>
    </row>
    <row r="716" spans="1:8" ht="12.15" customHeight="1">
      <c r="A716" s="5"/>
      <c r="B716" s="5"/>
      <c r="C716" s="5"/>
      <c r="D716" s="926" t="s">
        <v>2182</v>
      </c>
      <c r="E716" s="927"/>
      <c r="F716" s="926"/>
      <c r="G716" s="57">
        <v>0</v>
      </c>
      <c r="H716" s="34"/>
    </row>
    <row r="717" spans="1:8" ht="12.15" customHeight="1">
      <c r="A717" s="5"/>
      <c r="B717" s="5"/>
      <c r="C717" s="5"/>
      <c r="D717" s="926" t="s">
        <v>2503</v>
      </c>
      <c r="E717" s="927"/>
      <c r="F717" s="926"/>
      <c r="G717" s="57">
        <v>8.5</v>
      </c>
      <c r="H717" s="34"/>
    </row>
    <row r="718" spans="1:8" ht="12.15" customHeight="1">
      <c r="A718" s="5"/>
      <c r="B718" s="5"/>
      <c r="C718" s="5"/>
      <c r="D718" s="926" t="s">
        <v>2504</v>
      </c>
      <c r="E718" s="927"/>
      <c r="F718" s="926"/>
      <c r="G718" s="57">
        <v>35.015000000000001</v>
      </c>
      <c r="H718" s="34"/>
    </row>
    <row r="719" spans="1:8" ht="12.15" customHeight="1">
      <c r="A719" s="5"/>
      <c r="B719" s="5"/>
      <c r="C719" s="5"/>
      <c r="D719" s="926" t="s">
        <v>2505</v>
      </c>
      <c r="E719" s="927"/>
      <c r="F719" s="926"/>
      <c r="G719" s="57">
        <v>28.216249999999999</v>
      </c>
      <c r="H719" s="34"/>
    </row>
    <row r="720" spans="1:8" ht="12.15" customHeight="1">
      <c r="A720" s="5"/>
      <c r="B720" s="5"/>
      <c r="C720" s="5"/>
      <c r="D720" s="926" t="s">
        <v>2506</v>
      </c>
      <c r="E720" s="927"/>
      <c r="F720" s="926"/>
      <c r="G720" s="57">
        <v>53.957999999999998</v>
      </c>
      <c r="H720" s="34"/>
    </row>
    <row r="721" spans="1:8" ht="12.15" customHeight="1">
      <c r="A721" s="5"/>
      <c r="B721" s="5"/>
      <c r="C721" s="5"/>
      <c r="D721" s="926" t="s">
        <v>2507</v>
      </c>
      <c r="E721" s="927"/>
      <c r="F721" s="926"/>
      <c r="G721" s="57">
        <v>-5.7119999999999997</v>
      </c>
      <c r="H721" s="34"/>
    </row>
    <row r="722" spans="1:8" ht="12.15" customHeight="1">
      <c r="A722" s="5"/>
      <c r="B722" s="5"/>
      <c r="C722" s="5"/>
      <c r="D722" s="926" t="s">
        <v>2508</v>
      </c>
      <c r="E722" s="927"/>
      <c r="F722" s="926"/>
      <c r="G722" s="57">
        <v>192.28422</v>
      </c>
      <c r="H722" s="34"/>
    </row>
    <row r="723" spans="1:8" ht="12.15" customHeight="1">
      <c r="A723" s="5"/>
      <c r="B723" s="5"/>
      <c r="C723" s="5"/>
      <c r="D723" s="926" t="s">
        <v>2509</v>
      </c>
      <c r="E723" s="927"/>
      <c r="F723" s="926"/>
      <c r="G723" s="57">
        <v>30.402249999999999</v>
      </c>
      <c r="H723" s="34"/>
    </row>
    <row r="724" spans="1:8" ht="12.15" customHeight="1">
      <c r="A724" s="5"/>
      <c r="B724" s="5"/>
      <c r="C724" s="5"/>
      <c r="D724" s="926" t="s">
        <v>2510</v>
      </c>
      <c r="E724" s="927"/>
      <c r="F724" s="926"/>
      <c r="G724" s="57">
        <v>6.72</v>
      </c>
      <c r="H724" s="34"/>
    </row>
    <row r="725" spans="1:8" ht="12.15" customHeight="1">
      <c r="A725" s="5"/>
      <c r="B725" s="5"/>
      <c r="C725" s="5"/>
      <c r="D725" s="926" t="s">
        <v>2511</v>
      </c>
      <c r="E725" s="927"/>
      <c r="F725" s="926"/>
      <c r="G725" s="57">
        <v>-169.11879999999999</v>
      </c>
      <c r="H725" s="34"/>
    </row>
    <row r="726" spans="1:8" ht="12.15" customHeight="1">
      <c r="A726" s="5"/>
      <c r="B726" s="5"/>
      <c r="C726" s="5"/>
      <c r="D726" s="926" t="s">
        <v>2512</v>
      </c>
      <c r="E726" s="927"/>
      <c r="F726" s="926"/>
      <c r="G726" s="57">
        <v>17.25</v>
      </c>
      <c r="H726" s="34"/>
    </row>
    <row r="727" spans="1:8" ht="12.15" customHeight="1">
      <c r="A727" s="5"/>
      <c r="B727" s="5"/>
      <c r="C727" s="5"/>
      <c r="D727" s="926" t="s">
        <v>2513</v>
      </c>
      <c r="E727" s="927"/>
      <c r="F727" s="926"/>
      <c r="G727" s="57">
        <v>122.4</v>
      </c>
      <c r="H727" s="34"/>
    </row>
    <row r="728" spans="1:8" ht="12.15" customHeight="1">
      <c r="A728" s="5"/>
      <c r="B728" s="5"/>
      <c r="C728" s="5"/>
      <c r="D728" s="926" t="s">
        <v>2514</v>
      </c>
      <c r="E728" s="927"/>
      <c r="F728" s="926"/>
      <c r="G728" s="57">
        <v>15.6</v>
      </c>
      <c r="H728" s="34"/>
    </row>
    <row r="729" spans="1:8" ht="12.15" customHeight="1">
      <c r="A729" s="5"/>
      <c r="B729" s="5"/>
      <c r="C729" s="5"/>
      <c r="D729" s="926" t="s">
        <v>2515</v>
      </c>
      <c r="E729" s="927"/>
      <c r="F729" s="926"/>
      <c r="G729" s="57">
        <v>51.794849999999997</v>
      </c>
      <c r="H729" s="34"/>
    </row>
    <row r="730" spans="1:8" ht="12.15" customHeight="1">
      <c r="A730" s="5"/>
      <c r="B730" s="5"/>
      <c r="C730" s="5"/>
      <c r="D730" s="926" t="s">
        <v>2516</v>
      </c>
      <c r="E730" s="927"/>
      <c r="F730" s="926"/>
      <c r="G730" s="57">
        <v>15.747999999999999</v>
      </c>
      <c r="H730" s="34"/>
    </row>
    <row r="731" spans="1:8" ht="12.15" customHeight="1">
      <c r="A731" s="5"/>
      <c r="B731" s="5"/>
      <c r="C731" s="5"/>
      <c r="D731" s="926" t="s">
        <v>2517</v>
      </c>
      <c r="E731" s="927"/>
      <c r="F731" s="926"/>
      <c r="G731" s="57">
        <v>44.4</v>
      </c>
      <c r="H731" s="34"/>
    </row>
    <row r="732" spans="1:8">
      <c r="A732" s="5" t="s">
        <v>165</v>
      </c>
      <c r="B732" s="5"/>
      <c r="C732" s="5" t="s">
        <v>768</v>
      </c>
      <c r="D732" s="924" t="s">
        <v>1421</v>
      </c>
      <c r="E732" s="925"/>
      <c r="F732" s="5" t="s">
        <v>1940</v>
      </c>
      <c r="G732" s="21">
        <v>156.57079999999999</v>
      </c>
      <c r="H732" s="21">
        <v>0</v>
      </c>
    </row>
    <row r="733" spans="1:8" ht="12.15" customHeight="1">
      <c r="D733" s="926" t="s">
        <v>2518</v>
      </c>
      <c r="E733" s="927"/>
      <c r="F733" s="927"/>
      <c r="G733" s="57">
        <v>0</v>
      </c>
    </row>
    <row r="734" spans="1:8" ht="12.15" customHeight="1">
      <c r="A734" s="5"/>
      <c r="B734" s="5"/>
      <c r="C734" s="5"/>
      <c r="D734" s="926" t="s">
        <v>2519</v>
      </c>
      <c r="E734" s="927"/>
      <c r="F734" s="926"/>
      <c r="G734" s="57">
        <v>0</v>
      </c>
      <c r="H734" s="34"/>
    </row>
    <row r="735" spans="1:8" ht="12.15" customHeight="1">
      <c r="A735" s="5"/>
      <c r="B735" s="5"/>
      <c r="C735" s="5"/>
      <c r="D735" s="926" t="s">
        <v>2520</v>
      </c>
      <c r="E735" s="927"/>
      <c r="F735" s="926"/>
      <c r="G735" s="57">
        <v>4.6500000000000004</v>
      </c>
      <c r="H735" s="34"/>
    </row>
    <row r="736" spans="1:8" ht="12.15" customHeight="1">
      <c r="A736" s="5"/>
      <c r="B736" s="5"/>
      <c r="C736" s="5"/>
      <c r="D736" s="926" t="s">
        <v>2521</v>
      </c>
      <c r="E736" s="927"/>
      <c r="F736" s="926"/>
      <c r="G736" s="57">
        <v>58.826000000000001</v>
      </c>
      <c r="H736" s="34"/>
    </row>
    <row r="737" spans="1:8" ht="12.15" customHeight="1">
      <c r="A737" s="5"/>
      <c r="B737" s="5"/>
      <c r="C737" s="5"/>
      <c r="D737" s="926" t="s">
        <v>2522</v>
      </c>
      <c r="E737" s="927"/>
      <c r="F737" s="926"/>
      <c r="G737" s="57">
        <v>38.186399999999999</v>
      </c>
      <c r="H737" s="34"/>
    </row>
    <row r="738" spans="1:8" ht="12.15" customHeight="1">
      <c r="A738" s="5"/>
      <c r="B738" s="5"/>
      <c r="C738" s="5"/>
      <c r="D738" s="926" t="s">
        <v>2523</v>
      </c>
      <c r="E738" s="927"/>
      <c r="F738" s="926"/>
      <c r="G738" s="57">
        <v>40.450400000000002</v>
      </c>
      <c r="H738" s="34"/>
    </row>
    <row r="739" spans="1:8" ht="12.15" customHeight="1">
      <c r="A739" s="5"/>
      <c r="B739" s="5"/>
      <c r="C739" s="5"/>
      <c r="D739" s="926" t="s">
        <v>2524</v>
      </c>
      <c r="E739" s="927"/>
      <c r="F739" s="926"/>
      <c r="G739" s="57">
        <v>14.458</v>
      </c>
      <c r="H739" s="34"/>
    </row>
    <row r="740" spans="1:8" ht="38.4" customHeight="1">
      <c r="C740" s="54" t="s">
        <v>605</v>
      </c>
      <c r="D740" s="917" t="s">
        <v>1422</v>
      </c>
      <c r="E740" s="918"/>
      <c r="F740" s="918"/>
      <c r="G740" s="918"/>
    </row>
    <row r="741" spans="1:8">
      <c r="A741" s="5" t="s">
        <v>166</v>
      </c>
      <c r="B741" s="5"/>
      <c r="C741" s="5" t="s">
        <v>769</v>
      </c>
      <c r="D741" s="924" t="s">
        <v>1423</v>
      </c>
      <c r="E741" s="925"/>
      <c r="F741" s="5" t="s">
        <v>1940</v>
      </c>
      <c r="G741" s="21">
        <v>12.548</v>
      </c>
      <c r="H741" s="21">
        <v>0</v>
      </c>
    </row>
    <row r="742" spans="1:8" ht="12.15" customHeight="1">
      <c r="D742" s="926" t="s">
        <v>2525</v>
      </c>
      <c r="E742" s="927"/>
      <c r="F742" s="927"/>
      <c r="G742" s="57">
        <v>0</v>
      </c>
    </row>
    <row r="743" spans="1:8" ht="12.15" customHeight="1">
      <c r="A743" s="5"/>
      <c r="B743" s="5"/>
      <c r="C743" s="5"/>
      <c r="D743" s="926" t="s">
        <v>2526</v>
      </c>
      <c r="E743" s="927"/>
      <c r="F743" s="926"/>
      <c r="G743" s="57">
        <v>0</v>
      </c>
      <c r="H743" s="34"/>
    </row>
    <row r="744" spans="1:8" ht="12.15" customHeight="1">
      <c r="A744" s="5"/>
      <c r="B744" s="5"/>
      <c r="C744" s="5"/>
      <c r="D744" s="926" t="s">
        <v>2527</v>
      </c>
      <c r="E744" s="927"/>
      <c r="F744" s="926"/>
      <c r="G744" s="57">
        <v>1.8480000000000001</v>
      </c>
      <c r="H744" s="34"/>
    </row>
    <row r="745" spans="1:8" ht="12.15" customHeight="1">
      <c r="A745" s="5"/>
      <c r="B745" s="5"/>
      <c r="C745" s="5"/>
      <c r="D745" s="926" t="s">
        <v>2528</v>
      </c>
      <c r="E745" s="927"/>
      <c r="F745" s="926"/>
      <c r="G745" s="57">
        <v>5.516</v>
      </c>
      <c r="H745" s="34"/>
    </row>
    <row r="746" spans="1:8" ht="12.15" customHeight="1">
      <c r="A746" s="5"/>
      <c r="B746" s="5"/>
      <c r="C746" s="5"/>
      <c r="D746" s="926" t="s">
        <v>2529</v>
      </c>
      <c r="E746" s="927"/>
      <c r="F746" s="926"/>
      <c r="G746" s="57">
        <v>5.1840000000000002</v>
      </c>
      <c r="H746" s="34"/>
    </row>
    <row r="747" spans="1:8" ht="25.65" customHeight="1">
      <c r="C747" s="54" t="s">
        <v>605</v>
      </c>
      <c r="D747" s="917" t="s">
        <v>1424</v>
      </c>
      <c r="E747" s="918"/>
      <c r="F747" s="918"/>
      <c r="G747" s="918"/>
    </row>
    <row r="748" spans="1:8">
      <c r="A748" s="5" t="s">
        <v>167</v>
      </c>
      <c r="B748" s="5"/>
      <c r="C748" s="5" t="s">
        <v>770</v>
      </c>
      <c r="D748" s="924" t="s">
        <v>1425</v>
      </c>
      <c r="E748" s="925"/>
      <c r="F748" s="5" t="s">
        <v>1940</v>
      </c>
      <c r="G748" s="21">
        <v>1995.96237</v>
      </c>
      <c r="H748" s="21">
        <v>0</v>
      </c>
    </row>
    <row r="749" spans="1:8" ht="12.15" customHeight="1">
      <c r="D749" s="926" t="s">
        <v>2478</v>
      </c>
      <c r="E749" s="927"/>
      <c r="F749" s="927"/>
      <c r="G749" s="57">
        <v>0</v>
      </c>
    </row>
    <row r="750" spans="1:8" ht="12.15" customHeight="1">
      <c r="A750" s="5"/>
      <c r="B750" s="5"/>
      <c r="C750" s="5"/>
      <c r="D750" s="926" t="s">
        <v>2479</v>
      </c>
      <c r="E750" s="927"/>
      <c r="F750" s="926"/>
      <c r="G750" s="57">
        <v>2679.53935</v>
      </c>
      <c r="H750" s="34"/>
    </row>
    <row r="751" spans="1:8" ht="12.15" customHeight="1">
      <c r="A751" s="5"/>
      <c r="B751" s="5"/>
      <c r="C751" s="5"/>
      <c r="D751" s="926" t="s">
        <v>2480</v>
      </c>
      <c r="E751" s="927"/>
      <c r="F751" s="926"/>
      <c r="G751" s="57">
        <v>93.778400000000005</v>
      </c>
      <c r="H751" s="34"/>
    </row>
    <row r="752" spans="1:8" ht="12.15" customHeight="1">
      <c r="A752" s="5"/>
      <c r="B752" s="5"/>
      <c r="C752" s="5"/>
      <c r="D752" s="926" t="s">
        <v>2112</v>
      </c>
      <c r="E752" s="927"/>
      <c r="F752" s="926"/>
      <c r="G752" s="57">
        <v>0</v>
      </c>
      <c r="H752" s="34"/>
    </row>
    <row r="753" spans="1:8" ht="12.15" customHeight="1">
      <c r="A753" s="5"/>
      <c r="B753" s="5"/>
      <c r="C753" s="5"/>
      <c r="D753" s="926" t="s">
        <v>2481</v>
      </c>
      <c r="E753" s="927"/>
      <c r="F753" s="926"/>
      <c r="G753" s="57">
        <v>86.94</v>
      </c>
      <c r="H753" s="34"/>
    </row>
    <row r="754" spans="1:8" ht="12.15" customHeight="1">
      <c r="A754" s="5"/>
      <c r="B754" s="5"/>
      <c r="C754" s="5"/>
      <c r="D754" s="926" t="s">
        <v>2482</v>
      </c>
      <c r="E754" s="927"/>
      <c r="F754" s="926"/>
      <c r="G754" s="57">
        <v>41.744999999999997</v>
      </c>
      <c r="H754" s="34"/>
    </row>
    <row r="755" spans="1:8" ht="12.15" customHeight="1">
      <c r="A755" s="5"/>
      <c r="B755" s="5"/>
      <c r="C755" s="5"/>
      <c r="D755" s="926" t="s">
        <v>2483</v>
      </c>
      <c r="E755" s="927"/>
      <c r="F755" s="926"/>
      <c r="G755" s="57">
        <v>83.19</v>
      </c>
      <c r="H755" s="34"/>
    </row>
    <row r="756" spans="1:8" ht="12.15" customHeight="1">
      <c r="A756" s="5"/>
      <c r="B756" s="5"/>
      <c r="C756" s="5"/>
      <c r="D756" s="926" t="s">
        <v>2484</v>
      </c>
      <c r="E756" s="927"/>
      <c r="F756" s="926"/>
      <c r="G756" s="57">
        <v>10.35</v>
      </c>
      <c r="H756" s="34"/>
    </row>
    <row r="757" spans="1:8" ht="12.15" customHeight="1">
      <c r="A757" s="5"/>
      <c r="B757" s="5"/>
      <c r="C757" s="5"/>
      <c r="D757" s="926" t="s">
        <v>2485</v>
      </c>
      <c r="E757" s="927"/>
      <c r="F757" s="926"/>
      <c r="G757" s="57">
        <v>27.0549</v>
      </c>
      <c r="H757" s="34"/>
    </row>
    <row r="758" spans="1:8" ht="12.15" customHeight="1">
      <c r="A758" s="5"/>
      <c r="B758" s="5"/>
      <c r="C758" s="5"/>
      <c r="D758" s="926" t="s">
        <v>2512</v>
      </c>
      <c r="E758" s="927"/>
      <c r="F758" s="926"/>
      <c r="G758" s="57">
        <v>17.25</v>
      </c>
      <c r="H758" s="34"/>
    </row>
    <row r="759" spans="1:8" ht="12.15" customHeight="1">
      <c r="A759" s="5"/>
      <c r="B759" s="5"/>
      <c r="C759" s="5"/>
      <c r="D759" s="926" t="s">
        <v>2515</v>
      </c>
      <c r="E759" s="927"/>
      <c r="F759" s="926"/>
      <c r="G759" s="57">
        <v>51.794849999999997</v>
      </c>
      <c r="H759" s="34"/>
    </row>
    <row r="760" spans="1:8" ht="12.15" customHeight="1">
      <c r="A760" s="5"/>
      <c r="B760" s="5"/>
      <c r="C760" s="5"/>
      <c r="D760" s="926" t="s">
        <v>2516</v>
      </c>
      <c r="E760" s="927"/>
      <c r="F760" s="926"/>
      <c r="G760" s="57">
        <v>15.747999999999999</v>
      </c>
      <c r="H760" s="34"/>
    </row>
    <row r="761" spans="1:8" ht="12.15" customHeight="1">
      <c r="A761" s="5"/>
      <c r="B761" s="5"/>
      <c r="C761" s="5"/>
      <c r="D761" s="926" t="s">
        <v>2486</v>
      </c>
      <c r="E761" s="927"/>
      <c r="F761" s="926"/>
      <c r="G761" s="57">
        <v>9.7843499999999999</v>
      </c>
      <c r="H761" s="34"/>
    </row>
    <row r="762" spans="1:8" ht="12.15" customHeight="1">
      <c r="A762" s="5"/>
      <c r="B762" s="5"/>
      <c r="C762" s="5"/>
      <c r="D762" s="926" t="s">
        <v>2167</v>
      </c>
      <c r="E762" s="927"/>
      <c r="F762" s="926"/>
      <c r="G762" s="57">
        <v>0</v>
      </c>
      <c r="H762" s="34"/>
    </row>
    <row r="763" spans="1:8" ht="12.15" customHeight="1">
      <c r="A763" s="5"/>
      <c r="B763" s="5"/>
      <c r="C763" s="5"/>
      <c r="D763" s="926" t="s">
        <v>2487</v>
      </c>
      <c r="E763" s="927"/>
      <c r="F763" s="926"/>
      <c r="G763" s="57">
        <v>6.6749999999999998</v>
      </c>
      <c r="H763" s="34"/>
    </row>
    <row r="764" spans="1:8" ht="12.15" customHeight="1">
      <c r="A764" s="5"/>
      <c r="B764" s="5"/>
      <c r="C764" s="5"/>
      <c r="D764" s="926" t="s">
        <v>2488</v>
      </c>
      <c r="E764" s="927"/>
      <c r="F764" s="926"/>
      <c r="G764" s="57">
        <v>20.403600000000001</v>
      </c>
      <c r="H764" s="34"/>
    </row>
    <row r="765" spans="1:8" ht="12.15" customHeight="1">
      <c r="A765" s="5"/>
      <c r="B765" s="5"/>
      <c r="C765" s="5"/>
      <c r="D765" s="926" t="s">
        <v>2489</v>
      </c>
      <c r="E765" s="927"/>
      <c r="F765" s="926"/>
      <c r="G765" s="57">
        <v>62.388800000000003</v>
      </c>
      <c r="H765" s="34"/>
    </row>
    <row r="766" spans="1:8" ht="12.15" customHeight="1">
      <c r="A766" s="5"/>
      <c r="B766" s="5"/>
      <c r="C766" s="5"/>
      <c r="D766" s="926" t="s">
        <v>2490</v>
      </c>
      <c r="E766" s="927"/>
      <c r="F766" s="926"/>
      <c r="G766" s="57">
        <v>54.591000000000001</v>
      </c>
      <c r="H766" s="34"/>
    </row>
    <row r="767" spans="1:8" ht="12.15" customHeight="1">
      <c r="A767" s="5"/>
      <c r="B767" s="5"/>
      <c r="C767" s="5"/>
      <c r="D767" s="926" t="s">
        <v>2491</v>
      </c>
      <c r="E767" s="927"/>
      <c r="F767" s="926"/>
      <c r="G767" s="57">
        <v>26.0245</v>
      </c>
      <c r="H767" s="34"/>
    </row>
    <row r="768" spans="1:8" ht="12.15" customHeight="1">
      <c r="A768" s="5"/>
      <c r="B768" s="5"/>
      <c r="C768" s="5"/>
      <c r="D768" s="926" t="s">
        <v>2492</v>
      </c>
      <c r="E768" s="927"/>
      <c r="F768" s="926"/>
      <c r="G768" s="57">
        <v>10.23</v>
      </c>
      <c r="H768" s="34"/>
    </row>
    <row r="769" spans="1:8" ht="12.15" customHeight="1">
      <c r="A769" s="5"/>
      <c r="B769" s="5"/>
      <c r="C769" s="5"/>
      <c r="D769" s="926" t="s">
        <v>2493</v>
      </c>
      <c r="E769" s="927"/>
      <c r="F769" s="926"/>
      <c r="G769" s="57">
        <v>13.718</v>
      </c>
      <c r="H769" s="34"/>
    </row>
    <row r="770" spans="1:8" ht="12.15" customHeight="1">
      <c r="A770" s="5"/>
      <c r="B770" s="5"/>
      <c r="C770" s="5"/>
      <c r="D770" s="926" t="s">
        <v>2494</v>
      </c>
      <c r="E770" s="927"/>
      <c r="F770" s="926"/>
      <c r="G770" s="57">
        <v>1.55</v>
      </c>
      <c r="H770" s="34"/>
    </row>
    <row r="771" spans="1:8" ht="12.15" customHeight="1">
      <c r="A771" s="5"/>
      <c r="B771" s="5"/>
      <c r="C771" s="5"/>
      <c r="D771" s="926" t="s">
        <v>2495</v>
      </c>
      <c r="E771" s="927"/>
      <c r="F771" s="926"/>
      <c r="G771" s="57">
        <v>46.546500000000002</v>
      </c>
      <c r="H771" s="34"/>
    </row>
    <row r="772" spans="1:8" ht="12.15" customHeight="1">
      <c r="A772" s="5"/>
      <c r="B772" s="5"/>
      <c r="C772" s="5"/>
      <c r="D772" s="926" t="s">
        <v>2496</v>
      </c>
      <c r="E772" s="927"/>
      <c r="F772" s="926"/>
      <c r="G772" s="57">
        <v>6.5025000000000004</v>
      </c>
      <c r="H772" s="34"/>
    </row>
    <row r="773" spans="1:8" ht="12.15" customHeight="1">
      <c r="A773" s="5"/>
      <c r="B773" s="5"/>
      <c r="C773" s="5"/>
      <c r="D773" s="926" t="s">
        <v>2497</v>
      </c>
      <c r="E773" s="927"/>
      <c r="F773" s="926"/>
      <c r="G773" s="57">
        <v>21.794</v>
      </c>
      <c r="H773" s="34"/>
    </row>
    <row r="774" spans="1:8" ht="12.15" customHeight="1">
      <c r="A774" s="5"/>
      <c r="B774" s="5"/>
      <c r="C774" s="5"/>
      <c r="D774" s="926" t="s">
        <v>2498</v>
      </c>
      <c r="E774" s="927"/>
      <c r="F774" s="926"/>
      <c r="G774" s="57">
        <v>0.17</v>
      </c>
      <c r="H774" s="34"/>
    </row>
    <row r="775" spans="1:8" ht="12.15" customHeight="1">
      <c r="A775" s="5"/>
      <c r="B775" s="5"/>
      <c r="C775" s="5"/>
      <c r="D775" s="926" t="s">
        <v>2499</v>
      </c>
      <c r="E775" s="927"/>
      <c r="F775" s="926"/>
      <c r="G775" s="57">
        <v>13.6248</v>
      </c>
      <c r="H775" s="34"/>
    </row>
    <row r="776" spans="1:8" ht="12.15" customHeight="1">
      <c r="A776" s="5"/>
      <c r="B776" s="5"/>
      <c r="C776" s="5"/>
      <c r="D776" s="926" t="s">
        <v>2500</v>
      </c>
      <c r="E776" s="927"/>
      <c r="F776" s="926"/>
      <c r="G776" s="57">
        <v>33.75</v>
      </c>
      <c r="H776" s="34"/>
    </row>
    <row r="777" spans="1:8" ht="12.15" customHeight="1">
      <c r="A777" s="5"/>
      <c r="B777" s="5"/>
      <c r="C777" s="5"/>
      <c r="D777" s="926" t="s">
        <v>2501</v>
      </c>
      <c r="E777" s="927"/>
      <c r="F777" s="926"/>
      <c r="G777" s="57">
        <v>16.696999999999999</v>
      </c>
      <c r="H777" s="34"/>
    </row>
    <row r="778" spans="1:8" ht="12.15" customHeight="1">
      <c r="A778" s="5"/>
      <c r="B778" s="5"/>
      <c r="C778" s="5"/>
      <c r="D778" s="926" t="s">
        <v>2502</v>
      </c>
      <c r="E778" s="927"/>
      <c r="F778" s="926"/>
      <c r="G778" s="57">
        <v>18.974900000000002</v>
      </c>
      <c r="H778" s="34"/>
    </row>
    <row r="779" spans="1:8" ht="12.15" customHeight="1">
      <c r="A779" s="5"/>
      <c r="B779" s="5"/>
      <c r="C779" s="5"/>
      <c r="D779" s="926" t="s">
        <v>2182</v>
      </c>
      <c r="E779" s="927"/>
      <c r="F779" s="926"/>
      <c r="G779" s="57">
        <v>0</v>
      </c>
      <c r="H779" s="34"/>
    </row>
    <row r="780" spans="1:8" ht="12.15" customHeight="1">
      <c r="A780" s="5"/>
      <c r="B780" s="5"/>
      <c r="C780" s="5"/>
      <c r="D780" s="926" t="s">
        <v>2503</v>
      </c>
      <c r="E780" s="927"/>
      <c r="F780" s="926"/>
      <c r="G780" s="57">
        <v>8.5</v>
      </c>
      <c r="H780" s="34"/>
    </row>
    <row r="781" spans="1:8" ht="12.15" customHeight="1">
      <c r="A781" s="5"/>
      <c r="B781" s="5"/>
      <c r="C781" s="5"/>
      <c r="D781" s="926" t="s">
        <v>2504</v>
      </c>
      <c r="E781" s="927"/>
      <c r="F781" s="926"/>
      <c r="G781" s="57">
        <v>35.015000000000001</v>
      </c>
      <c r="H781" s="34"/>
    </row>
    <row r="782" spans="1:8" ht="12.15" customHeight="1">
      <c r="A782" s="5"/>
      <c r="B782" s="5"/>
      <c r="C782" s="5"/>
      <c r="D782" s="926" t="s">
        <v>2505</v>
      </c>
      <c r="E782" s="927"/>
      <c r="F782" s="926"/>
      <c r="G782" s="57">
        <v>28.216249999999999</v>
      </c>
      <c r="H782" s="34"/>
    </row>
    <row r="783" spans="1:8" ht="12.15" customHeight="1">
      <c r="A783" s="5"/>
      <c r="B783" s="5"/>
      <c r="C783" s="5"/>
      <c r="D783" s="926" t="s">
        <v>2506</v>
      </c>
      <c r="E783" s="927"/>
      <c r="F783" s="926"/>
      <c r="G783" s="57">
        <v>53.957999999999998</v>
      </c>
      <c r="H783" s="34"/>
    </row>
    <row r="784" spans="1:8" ht="12.15" customHeight="1">
      <c r="A784" s="5"/>
      <c r="B784" s="5"/>
      <c r="C784" s="5"/>
      <c r="D784" s="926" t="s">
        <v>2507</v>
      </c>
      <c r="E784" s="927"/>
      <c r="F784" s="926"/>
      <c r="G784" s="57">
        <v>-5.7119999999999997</v>
      </c>
      <c r="H784" s="34"/>
    </row>
    <row r="785" spans="1:8" ht="12.15" customHeight="1">
      <c r="A785" s="5"/>
      <c r="B785" s="5"/>
      <c r="C785" s="5"/>
      <c r="D785" s="926" t="s">
        <v>2508</v>
      </c>
      <c r="E785" s="927"/>
      <c r="F785" s="926"/>
      <c r="G785" s="57">
        <v>192.28422</v>
      </c>
      <c r="H785" s="34"/>
    </row>
    <row r="786" spans="1:8" ht="12.15" customHeight="1">
      <c r="A786" s="5"/>
      <c r="B786" s="5"/>
      <c r="C786" s="5"/>
      <c r="D786" s="926" t="s">
        <v>2509</v>
      </c>
      <c r="E786" s="927"/>
      <c r="F786" s="926"/>
      <c r="G786" s="57">
        <v>30.402249999999999</v>
      </c>
      <c r="H786" s="34"/>
    </row>
    <row r="787" spans="1:8" ht="12.15" customHeight="1">
      <c r="A787" s="5"/>
      <c r="B787" s="5"/>
      <c r="C787" s="5"/>
      <c r="D787" s="926" t="s">
        <v>2510</v>
      </c>
      <c r="E787" s="927"/>
      <c r="F787" s="926"/>
      <c r="G787" s="57">
        <v>6.72</v>
      </c>
      <c r="H787" s="34"/>
    </row>
    <row r="788" spans="1:8" ht="12.15" customHeight="1">
      <c r="A788" s="5"/>
      <c r="B788" s="5"/>
      <c r="C788" s="5"/>
      <c r="D788" s="926" t="s">
        <v>2530</v>
      </c>
      <c r="E788" s="927"/>
      <c r="F788" s="926"/>
      <c r="G788" s="57">
        <v>-156.57079999999999</v>
      </c>
      <c r="H788" s="34"/>
    </row>
    <row r="789" spans="1:8" ht="12.15" customHeight="1">
      <c r="A789" s="5"/>
      <c r="B789" s="5"/>
      <c r="C789" s="5"/>
      <c r="D789" s="926" t="s">
        <v>2531</v>
      </c>
      <c r="E789" s="927"/>
      <c r="F789" s="926"/>
      <c r="G789" s="57">
        <v>-952.90800000000002</v>
      </c>
      <c r="H789" s="34"/>
    </row>
    <row r="790" spans="1:8" ht="12.15" customHeight="1">
      <c r="A790" s="5"/>
      <c r="B790" s="5"/>
      <c r="C790" s="5"/>
      <c r="D790" s="926" t="s">
        <v>2513</v>
      </c>
      <c r="E790" s="927"/>
      <c r="F790" s="926"/>
      <c r="G790" s="57">
        <v>122.4</v>
      </c>
      <c r="H790" s="34"/>
    </row>
    <row r="791" spans="1:8" ht="12.15" customHeight="1">
      <c r="A791" s="5"/>
      <c r="B791" s="5"/>
      <c r="C791" s="5"/>
      <c r="D791" s="926" t="s">
        <v>2514</v>
      </c>
      <c r="E791" s="927"/>
      <c r="F791" s="926"/>
      <c r="G791" s="57">
        <v>15.6</v>
      </c>
      <c r="H791" s="34"/>
    </row>
    <row r="792" spans="1:8" ht="12.15" customHeight="1">
      <c r="A792" s="5"/>
      <c r="B792" s="5"/>
      <c r="C792" s="5"/>
      <c r="D792" s="926" t="s">
        <v>2532</v>
      </c>
      <c r="E792" s="927"/>
      <c r="F792" s="926"/>
      <c r="G792" s="57">
        <v>-898.53700000000003</v>
      </c>
      <c r="H792" s="34"/>
    </row>
    <row r="793" spans="1:8" ht="12.15" customHeight="1">
      <c r="A793" s="5"/>
      <c r="B793" s="5"/>
      <c r="C793" s="5"/>
      <c r="D793" s="926" t="s">
        <v>2533</v>
      </c>
      <c r="E793" s="927"/>
      <c r="F793" s="926"/>
      <c r="G793" s="57">
        <v>1.379</v>
      </c>
      <c r="H793" s="34"/>
    </row>
    <row r="794" spans="1:8" ht="12.15" customHeight="1">
      <c r="A794" s="5"/>
      <c r="B794" s="5"/>
      <c r="C794" s="5"/>
      <c r="D794" s="926" t="s">
        <v>2534</v>
      </c>
      <c r="E794" s="927"/>
      <c r="F794" s="926"/>
      <c r="G794" s="57">
        <v>44.4</v>
      </c>
      <c r="H794" s="34"/>
    </row>
    <row r="795" spans="1:8">
      <c r="A795" s="5" t="s">
        <v>168</v>
      </c>
      <c r="B795" s="5"/>
      <c r="C795" s="5" t="s">
        <v>771</v>
      </c>
      <c r="D795" s="924" t="s">
        <v>1426</v>
      </c>
      <c r="E795" s="925"/>
      <c r="F795" s="5" t="s">
        <v>1940</v>
      </c>
      <c r="G795" s="21">
        <v>221.07</v>
      </c>
      <c r="H795" s="21">
        <v>0</v>
      </c>
    </row>
    <row r="796" spans="1:8" ht="12.15" customHeight="1">
      <c r="D796" s="926" t="s">
        <v>2473</v>
      </c>
      <c r="E796" s="927"/>
      <c r="F796" s="927"/>
      <c r="G796" s="57">
        <v>122.5</v>
      </c>
    </row>
    <row r="797" spans="1:8" ht="12.15" customHeight="1">
      <c r="A797" s="5"/>
      <c r="B797" s="5"/>
      <c r="C797" s="5"/>
      <c r="D797" s="926" t="s">
        <v>2474</v>
      </c>
      <c r="E797" s="927"/>
      <c r="F797" s="926"/>
      <c r="G797" s="57">
        <v>12.52</v>
      </c>
      <c r="H797" s="34"/>
    </row>
    <row r="798" spans="1:8" ht="12.15" customHeight="1">
      <c r="A798" s="5"/>
      <c r="B798" s="5"/>
      <c r="C798" s="5"/>
      <c r="D798" s="926" t="s">
        <v>2475</v>
      </c>
      <c r="E798" s="927"/>
      <c r="F798" s="926"/>
      <c r="G798" s="57">
        <v>3</v>
      </c>
      <c r="H798" s="34"/>
    </row>
    <row r="799" spans="1:8" ht="12.15" customHeight="1">
      <c r="A799" s="5"/>
      <c r="B799" s="5"/>
      <c r="C799" s="5"/>
      <c r="D799" s="926" t="s">
        <v>2476</v>
      </c>
      <c r="E799" s="927"/>
      <c r="F799" s="926"/>
      <c r="G799" s="57">
        <v>64.45</v>
      </c>
      <c r="H799" s="34"/>
    </row>
    <row r="800" spans="1:8" ht="12.15" customHeight="1">
      <c r="A800" s="5"/>
      <c r="B800" s="5"/>
      <c r="C800" s="5"/>
      <c r="D800" s="926" t="s">
        <v>2477</v>
      </c>
      <c r="E800" s="927"/>
      <c r="F800" s="926"/>
      <c r="G800" s="57">
        <v>18.600000000000001</v>
      </c>
      <c r="H800" s="34"/>
    </row>
    <row r="801" spans="1:8">
      <c r="A801" s="5" t="s">
        <v>169</v>
      </c>
      <c r="B801" s="5"/>
      <c r="C801" s="5" t="s">
        <v>772</v>
      </c>
      <c r="D801" s="924" t="s">
        <v>1427</v>
      </c>
      <c r="E801" s="925"/>
      <c r="F801" s="5" t="s">
        <v>1940</v>
      </c>
      <c r="G801" s="21">
        <v>221.07</v>
      </c>
      <c r="H801" s="21">
        <v>0</v>
      </c>
    </row>
    <row r="802" spans="1:8" ht="12.15" customHeight="1">
      <c r="D802" s="926" t="s">
        <v>2473</v>
      </c>
      <c r="E802" s="927"/>
      <c r="F802" s="927"/>
      <c r="G802" s="57">
        <v>122.5</v>
      </c>
    </row>
    <row r="803" spans="1:8" ht="12.15" customHeight="1">
      <c r="A803" s="5"/>
      <c r="B803" s="5"/>
      <c r="C803" s="5"/>
      <c r="D803" s="926" t="s">
        <v>2474</v>
      </c>
      <c r="E803" s="927"/>
      <c r="F803" s="926"/>
      <c r="G803" s="57">
        <v>12.52</v>
      </c>
      <c r="H803" s="34"/>
    </row>
    <row r="804" spans="1:8" ht="12.15" customHeight="1">
      <c r="A804" s="5"/>
      <c r="B804" s="5"/>
      <c r="C804" s="5"/>
      <c r="D804" s="926" t="s">
        <v>2475</v>
      </c>
      <c r="E804" s="927"/>
      <c r="F804" s="926"/>
      <c r="G804" s="57">
        <v>3</v>
      </c>
      <c r="H804" s="34"/>
    </row>
    <row r="805" spans="1:8" ht="12.15" customHeight="1">
      <c r="A805" s="5"/>
      <c r="B805" s="5"/>
      <c r="C805" s="5"/>
      <c r="D805" s="926" t="s">
        <v>2476</v>
      </c>
      <c r="E805" s="927"/>
      <c r="F805" s="926"/>
      <c r="G805" s="57">
        <v>64.45</v>
      </c>
      <c r="H805" s="34"/>
    </row>
    <row r="806" spans="1:8" ht="12.15" customHeight="1">
      <c r="A806" s="5"/>
      <c r="B806" s="5"/>
      <c r="C806" s="5"/>
      <c r="D806" s="926" t="s">
        <v>2477</v>
      </c>
      <c r="E806" s="927"/>
      <c r="F806" s="926"/>
      <c r="G806" s="57">
        <v>18.600000000000001</v>
      </c>
      <c r="H806" s="34"/>
    </row>
    <row r="807" spans="1:8">
      <c r="A807" s="14"/>
      <c r="B807" s="14"/>
      <c r="C807" s="14" t="s">
        <v>66</v>
      </c>
      <c r="D807" s="930" t="s">
        <v>1428</v>
      </c>
      <c r="E807" s="931"/>
      <c r="F807" s="14"/>
      <c r="G807" s="30"/>
      <c r="H807" s="30"/>
    </row>
    <row r="808" spans="1:8">
      <c r="A808" s="5" t="s">
        <v>170</v>
      </c>
      <c r="B808" s="5"/>
      <c r="C808" s="5" t="s">
        <v>773</v>
      </c>
      <c r="D808" s="924" t="s">
        <v>1429</v>
      </c>
      <c r="E808" s="925"/>
      <c r="F808" s="5" t="s">
        <v>1940</v>
      </c>
      <c r="G808" s="21">
        <v>355.6</v>
      </c>
      <c r="H808" s="21">
        <v>0</v>
      </c>
    </row>
    <row r="809" spans="1:8" ht="12.15" customHeight="1">
      <c r="D809" s="926" t="s">
        <v>2468</v>
      </c>
      <c r="E809" s="927"/>
      <c r="F809" s="927"/>
      <c r="G809" s="57">
        <v>0</v>
      </c>
    </row>
    <row r="810" spans="1:8" ht="12.15" customHeight="1">
      <c r="A810" s="5"/>
      <c r="B810" s="5"/>
      <c r="C810" s="5"/>
      <c r="D810" s="926" t="s">
        <v>2535</v>
      </c>
      <c r="E810" s="927"/>
      <c r="F810" s="926"/>
      <c r="G810" s="57">
        <v>203.7</v>
      </c>
      <c r="H810" s="34"/>
    </row>
    <row r="811" spans="1:8" ht="12.15" customHeight="1">
      <c r="A811" s="5"/>
      <c r="B811" s="5"/>
      <c r="C811" s="5"/>
      <c r="D811" s="926" t="s">
        <v>2536</v>
      </c>
      <c r="E811" s="927"/>
      <c r="F811" s="926"/>
      <c r="G811" s="57">
        <v>119.5</v>
      </c>
      <c r="H811" s="34"/>
    </row>
    <row r="812" spans="1:8" ht="12.15" customHeight="1">
      <c r="A812" s="5"/>
      <c r="B812" s="5"/>
      <c r="C812" s="5"/>
      <c r="D812" s="926" t="s">
        <v>2537</v>
      </c>
      <c r="E812" s="927"/>
      <c r="F812" s="926"/>
      <c r="G812" s="57">
        <v>32.4</v>
      </c>
      <c r="H812" s="34"/>
    </row>
    <row r="813" spans="1:8" ht="25.65" customHeight="1">
      <c r="C813" s="54" t="s">
        <v>605</v>
      </c>
      <c r="D813" s="917" t="s">
        <v>1431</v>
      </c>
      <c r="E813" s="918"/>
      <c r="F813" s="918"/>
      <c r="G813" s="918"/>
    </row>
    <row r="814" spans="1:8">
      <c r="A814" s="5" t="s">
        <v>171</v>
      </c>
      <c r="B814" s="5"/>
      <c r="C814" s="5" t="s">
        <v>774</v>
      </c>
      <c r="D814" s="924" t="s">
        <v>1432</v>
      </c>
      <c r="E814" s="925"/>
      <c r="F814" s="5" t="s">
        <v>1940</v>
      </c>
      <c r="G814" s="21">
        <v>25.428000000000001</v>
      </c>
      <c r="H814" s="21">
        <v>0</v>
      </c>
    </row>
    <row r="815" spans="1:8" ht="12.15" customHeight="1">
      <c r="D815" s="926" t="s">
        <v>2538</v>
      </c>
      <c r="E815" s="927"/>
      <c r="F815" s="927"/>
      <c r="G815" s="57">
        <v>25.428000000000001</v>
      </c>
    </row>
    <row r="816" spans="1:8" ht="25.65" customHeight="1">
      <c r="C816" s="54" t="s">
        <v>605</v>
      </c>
      <c r="D816" s="917" t="s">
        <v>1433</v>
      </c>
      <c r="E816" s="918"/>
      <c r="F816" s="918"/>
      <c r="G816" s="918"/>
    </row>
    <row r="817" spans="1:8">
      <c r="A817" s="5" t="s">
        <v>172</v>
      </c>
      <c r="B817" s="5"/>
      <c r="C817" s="5" t="s">
        <v>775</v>
      </c>
      <c r="D817" s="924" t="s">
        <v>1434</v>
      </c>
      <c r="E817" s="925"/>
      <c r="F817" s="5" t="s">
        <v>1940</v>
      </c>
      <c r="G817" s="21">
        <v>82.91</v>
      </c>
      <c r="H817" s="21">
        <v>0</v>
      </c>
    </row>
    <row r="818" spans="1:8" ht="12.15" customHeight="1">
      <c r="D818" s="926" t="s">
        <v>2539</v>
      </c>
      <c r="E818" s="927"/>
      <c r="F818" s="927"/>
      <c r="G818" s="57">
        <v>82.91</v>
      </c>
    </row>
    <row r="819" spans="1:8" ht="25.65" customHeight="1">
      <c r="C819" s="54" t="s">
        <v>605</v>
      </c>
      <c r="D819" s="917" t="s">
        <v>1433</v>
      </c>
      <c r="E819" s="918"/>
      <c r="F819" s="918"/>
      <c r="G819" s="918"/>
    </row>
    <row r="820" spans="1:8">
      <c r="A820" s="5" t="s">
        <v>173</v>
      </c>
      <c r="B820" s="5"/>
      <c r="C820" s="5" t="s">
        <v>776</v>
      </c>
      <c r="D820" s="924" t="s">
        <v>1435</v>
      </c>
      <c r="E820" s="925"/>
      <c r="F820" s="5" t="s">
        <v>1940</v>
      </c>
      <c r="G820" s="21">
        <v>6.1619999999999999</v>
      </c>
      <c r="H820" s="21">
        <v>0</v>
      </c>
    </row>
    <row r="821" spans="1:8" ht="12.15" customHeight="1">
      <c r="D821" s="926" t="s">
        <v>2540</v>
      </c>
      <c r="E821" s="927"/>
      <c r="F821" s="927"/>
      <c r="G821" s="57">
        <v>6.1619999999999999</v>
      </c>
    </row>
    <row r="822" spans="1:8" ht="25.65" customHeight="1">
      <c r="C822" s="54" t="s">
        <v>605</v>
      </c>
      <c r="D822" s="917" t="s">
        <v>1433</v>
      </c>
      <c r="E822" s="918"/>
      <c r="F822" s="918"/>
      <c r="G822" s="918"/>
    </row>
    <row r="823" spans="1:8">
      <c r="A823" s="5" t="s">
        <v>174</v>
      </c>
      <c r="B823" s="5"/>
      <c r="C823" s="5" t="s">
        <v>777</v>
      </c>
      <c r="D823" s="924" t="s">
        <v>1436</v>
      </c>
      <c r="E823" s="925"/>
      <c r="F823" s="5" t="s">
        <v>1940</v>
      </c>
      <c r="G823" s="21">
        <v>36.24</v>
      </c>
      <c r="H823" s="21">
        <v>0</v>
      </c>
    </row>
    <row r="824" spans="1:8" ht="12.15" customHeight="1">
      <c r="D824" s="926" t="s">
        <v>2541</v>
      </c>
      <c r="E824" s="927"/>
      <c r="F824" s="927"/>
      <c r="G824" s="57">
        <v>36.24</v>
      </c>
    </row>
    <row r="825" spans="1:8" ht="25.65" customHeight="1">
      <c r="C825" s="54" t="s">
        <v>605</v>
      </c>
      <c r="D825" s="917" t="s">
        <v>1438</v>
      </c>
      <c r="E825" s="918"/>
      <c r="F825" s="918"/>
      <c r="G825" s="918"/>
    </row>
    <row r="826" spans="1:8">
      <c r="A826" s="5" t="s">
        <v>175</v>
      </c>
      <c r="B826" s="5"/>
      <c r="C826" s="5" t="s">
        <v>778</v>
      </c>
      <c r="D826" s="924" t="s">
        <v>1439</v>
      </c>
      <c r="E826" s="925"/>
      <c r="F826" s="5" t="s">
        <v>1940</v>
      </c>
      <c r="G826" s="21">
        <v>23.815999999999999</v>
      </c>
      <c r="H826" s="21">
        <v>0</v>
      </c>
    </row>
    <row r="827" spans="1:8" ht="12.15" customHeight="1">
      <c r="D827" s="926" t="s">
        <v>2542</v>
      </c>
      <c r="E827" s="927"/>
      <c r="F827" s="927"/>
      <c r="G827" s="57">
        <v>23.815999999999999</v>
      </c>
    </row>
    <row r="828" spans="1:8" ht="25.65" customHeight="1">
      <c r="C828" s="54" t="s">
        <v>605</v>
      </c>
      <c r="D828" s="917" t="s">
        <v>1441</v>
      </c>
      <c r="E828" s="918"/>
      <c r="F828" s="918"/>
      <c r="G828" s="918"/>
    </row>
    <row r="829" spans="1:8">
      <c r="A829" s="5" t="s">
        <v>176</v>
      </c>
      <c r="B829" s="5"/>
      <c r="C829" s="5" t="s">
        <v>779</v>
      </c>
      <c r="D829" s="924" t="s">
        <v>1439</v>
      </c>
      <c r="E829" s="925"/>
      <c r="F829" s="5" t="s">
        <v>1940</v>
      </c>
      <c r="G829" s="21">
        <v>7.95</v>
      </c>
      <c r="H829" s="21">
        <v>0</v>
      </c>
    </row>
    <row r="830" spans="1:8" ht="12.15" customHeight="1">
      <c r="D830" s="926" t="s">
        <v>2543</v>
      </c>
      <c r="E830" s="927"/>
      <c r="F830" s="927"/>
      <c r="G830" s="57">
        <v>0</v>
      </c>
    </row>
    <row r="831" spans="1:8" ht="12.15" customHeight="1">
      <c r="A831" s="5"/>
      <c r="B831" s="5"/>
      <c r="C831" s="5"/>
      <c r="D831" s="926" t="s">
        <v>2544</v>
      </c>
      <c r="E831" s="927"/>
      <c r="F831" s="926"/>
      <c r="G831" s="57">
        <v>7.95</v>
      </c>
      <c r="H831" s="34"/>
    </row>
    <row r="832" spans="1:8">
      <c r="A832" s="5" t="s">
        <v>177</v>
      </c>
      <c r="B832" s="5"/>
      <c r="C832" s="5" t="s">
        <v>780</v>
      </c>
      <c r="D832" s="924" t="s">
        <v>1443</v>
      </c>
      <c r="E832" s="925"/>
      <c r="F832" s="5" t="s">
        <v>1939</v>
      </c>
      <c r="G832" s="21">
        <v>141.20599999999999</v>
      </c>
      <c r="H832" s="21">
        <v>0</v>
      </c>
    </row>
    <row r="833" spans="1:8" ht="12.15" customHeight="1">
      <c r="D833" s="926" t="s">
        <v>2468</v>
      </c>
      <c r="E833" s="927"/>
      <c r="F833" s="927"/>
      <c r="G833" s="57">
        <v>0</v>
      </c>
    </row>
    <row r="834" spans="1:8" ht="12.15" customHeight="1">
      <c r="A834" s="5"/>
      <c r="B834" s="5"/>
      <c r="C834" s="5"/>
      <c r="D834" s="926" t="s">
        <v>2545</v>
      </c>
      <c r="E834" s="927"/>
      <c r="F834" s="926"/>
      <c r="G834" s="57">
        <v>12.19</v>
      </c>
      <c r="H834" s="34"/>
    </row>
    <row r="835" spans="1:8" ht="12.15" customHeight="1">
      <c r="A835" s="5"/>
      <c r="B835" s="5"/>
      <c r="C835" s="5"/>
      <c r="D835" s="926" t="s">
        <v>2546</v>
      </c>
      <c r="E835" s="927"/>
      <c r="F835" s="926"/>
      <c r="G835" s="57">
        <v>5.3</v>
      </c>
      <c r="H835" s="34"/>
    </row>
    <row r="836" spans="1:8" ht="12.15" customHeight="1">
      <c r="A836" s="5"/>
      <c r="B836" s="5"/>
      <c r="C836" s="5"/>
      <c r="D836" s="926" t="s">
        <v>2547</v>
      </c>
      <c r="E836" s="927"/>
      <c r="F836" s="926"/>
      <c r="G836" s="57">
        <v>123.71599999999999</v>
      </c>
      <c r="H836" s="34"/>
    </row>
    <row r="837" spans="1:8">
      <c r="A837" s="6" t="s">
        <v>178</v>
      </c>
      <c r="B837" s="6"/>
      <c r="C837" s="6" t="s">
        <v>781</v>
      </c>
      <c r="D837" s="928" t="s">
        <v>1444</v>
      </c>
      <c r="E837" s="929"/>
      <c r="F837" s="6" t="s">
        <v>1943</v>
      </c>
      <c r="G837" s="22">
        <v>77.663300000000007</v>
      </c>
      <c r="H837" s="22">
        <v>0</v>
      </c>
    </row>
    <row r="838" spans="1:8" ht="12.15" customHeight="1">
      <c r="D838" s="932" t="s">
        <v>2548</v>
      </c>
      <c r="E838" s="933"/>
      <c r="F838" s="933"/>
      <c r="G838" s="58">
        <v>77.663300000000007</v>
      </c>
    </row>
    <row r="839" spans="1:8">
      <c r="A839" s="5" t="s">
        <v>179</v>
      </c>
      <c r="B839" s="5"/>
      <c r="C839" s="5" t="s">
        <v>782</v>
      </c>
      <c r="D839" s="924" t="s">
        <v>1445</v>
      </c>
      <c r="E839" s="925"/>
      <c r="F839" s="5" t="s">
        <v>1940</v>
      </c>
      <c r="G839" s="21">
        <v>127.45</v>
      </c>
      <c r="H839" s="21">
        <v>0</v>
      </c>
    </row>
    <row r="840" spans="1:8" ht="12.15" customHeight="1">
      <c r="D840" s="926" t="s">
        <v>2549</v>
      </c>
      <c r="E840" s="927"/>
      <c r="F840" s="927"/>
      <c r="G840" s="57">
        <v>119.5</v>
      </c>
    </row>
    <row r="841" spans="1:8" ht="12.15" customHeight="1">
      <c r="A841" s="5"/>
      <c r="B841" s="5"/>
      <c r="C841" s="5"/>
      <c r="D841" s="926" t="s">
        <v>2550</v>
      </c>
      <c r="E841" s="927"/>
      <c r="F841" s="926"/>
      <c r="G841" s="57">
        <v>7.95</v>
      </c>
      <c r="H841" s="34"/>
    </row>
    <row r="842" spans="1:8">
      <c r="A842" s="5" t="s">
        <v>180</v>
      </c>
      <c r="B842" s="5"/>
      <c r="C842" s="5" t="s">
        <v>783</v>
      </c>
      <c r="D842" s="924" t="s">
        <v>1446</v>
      </c>
      <c r="E842" s="925"/>
      <c r="F842" s="5" t="s">
        <v>1939</v>
      </c>
      <c r="G842" s="21">
        <v>50</v>
      </c>
      <c r="H842" s="21">
        <v>0</v>
      </c>
    </row>
    <row r="843" spans="1:8">
      <c r="A843" s="5" t="s">
        <v>181</v>
      </c>
      <c r="B843" s="5"/>
      <c r="C843" s="5" t="s">
        <v>784</v>
      </c>
      <c r="D843" s="924" t="s">
        <v>1447</v>
      </c>
      <c r="E843" s="925"/>
      <c r="F843" s="5" t="s">
        <v>1940</v>
      </c>
      <c r="G843" s="21">
        <v>95</v>
      </c>
      <c r="H843" s="21">
        <v>0</v>
      </c>
    </row>
    <row r="844" spans="1:8">
      <c r="A844" s="14"/>
      <c r="B844" s="14"/>
      <c r="C844" s="14" t="s">
        <v>67</v>
      </c>
      <c r="D844" s="930" t="s">
        <v>1448</v>
      </c>
      <c r="E844" s="931"/>
      <c r="F844" s="14"/>
      <c r="G844" s="30"/>
      <c r="H844" s="30"/>
    </row>
    <row r="845" spans="1:8">
      <c r="A845" s="5" t="s">
        <v>182</v>
      </c>
      <c r="B845" s="5"/>
      <c r="C845" s="5" t="s">
        <v>785</v>
      </c>
      <c r="D845" s="924" t="s">
        <v>1449</v>
      </c>
      <c r="E845" s="925"/>
      <c r="F845" s="5" t="s">
        <v>1941</v>
      </c>
      <c r="G845" s="21">
        <v>48.195920000000001</v>
      </c>
      <c r="H845" s="21">
        <v>0</v>
      </c>
    </row>
    <row r="846" spans="1:8" ht="12.15" customHeight="1">
      <c r="D846" s="926" t="s">
        <v>2551</v>
      </c>
      <c r="E846" s="927"/>
      <c r="F846" s="927"/>
      <c r="G846" s="57">
        <v>0</v>
      </c>
    </row>
    <row r="847" spans="1:8" ht="12.15" customHeight="1">
      <c r="A847" s="5"/>
      <c r="B847" s="5"/>
      <c r="C847" s="5"/>
      <c r="D847" s="926" t="s">
        <v>2552</v>
      </c>
      <c r="E847" s="927"/>
      <c r="F847" s="926"/>
      <c r="G847" s="57">
        <v>0</v>
      </c>
      <c r="H847" s="34"/>
    </row>
    <row r="848" spans="1:8" ht="12.15" customHeight="1">
      <c r="A848" s="5"/>
      <c r="B848" s="5"/>
      <c r="C848" s="5"/>
      <c r="D848" s="926" t="s">
        <v>2553</v>
      </c>
      <c r="E848" s="927"/>
      <c r="F848" s="926"/>
      <c r="G848" s="57">
        <v>1.2555799999999999</v>
      </c>
      <c r="H848" s="34"/>
    </row>
    <row r="849" spans="1:8" ht="12.15" customHeight="1">
      <c r="A849" s="5"/>
      <c r="B849" s="5"/>
      <c r="C849" s="5"/>
      <c r="D849" s="926" t="s">
        <v>2554</v>
      </c>
      <c r="E849" s="927"/>
      <c r="F849" s="926"/>
      <c r="G849" s="57">
        <v>0</v>
      </c>
      <c r="H849" s="34"/>
    </row>
    <row r="850" spans="1:8" ht="12.15" customHeight="1">
      <c r="A850" s="5"/>
      <c r="B850" s="5"/>
      <c r="C850" s="5"/>
      <c r="D850" s="926" t="s">
        <v>2555</v>
      </c>
      <c r="E850" s="927"/>
      <c r="F850" s="926"/>
      <c r="G850" s="57">
        <v>1.6072500000000001</v>
      </c>
      <c r="H850" s="34"/>
    </row>
    <row r="851" spans="1:8" ht="12.15" customHeight="1">
      <c r="A851" s="5"/>
      <c r="B851" s="5"/>
      <c r="C851" s="5"/>
      <c r="D851" s="926" t="s">
        <v>2556</v>
      </c>
      <c r="E851" s="927"/>
      <c r="F851" s="926"/>
      <c r="G851" s="57">
        <v>0</v>
      </c>
      <c r="H851" s="34"/>
    </row>
    <row r="852" spans="1:8" ht="12.15" customHeight="1">
      <c r="A852" s="5"/>
      <c r="B852" s="5"/>
      <c r="C852" s="5"/>
      <c r="D852" s="926" t="s">
        <v>2557</v>
      </c>
      <c r="E852" s="927"/>
      <c r="F852" s="926"/>
      <c r="G852" s="57">
        <v>0.47598000000000001</v>
      </c>
      <c r="H852" s="34"/>
    </row>
    <row r="853" spans="1:8" ht="12.15" customHeight="1">
      <c r="A853" s="5"/>
      <c r="B853" s="5"/>
      <c r="C853" s="5"/>
      <c r="D853" s="926" t="s">
        <v>2558</v>
      </c>
      <c r="E853" s="927"/>
      <c r="F853" s="926"/>
      <c r="G853" s="57">
        <v>0</v>
      </c>
      <c r="H853" s="34"/>
    </row>
    <row r="854" spans="1:8" ht="12.15" customHeight="1">
      <c r="A854" s="5"/>
      <c r="B854" s="5"/>
      <c r="C854" s="5"/>
      <c r="D854" s="926" t="s">
        <v>2559</v>
      </c>
      <c r="E854" s="927"/>
      <c r="F854" s="926"/>
      <c r="G854" s="57">
        <v>2.1315</v>
      </c>
      <c r="H854" s="34"/>
    </row>
    <row r="855" spans="1:8" ht="12.15" customHeight="1">
      <c r="A855" s="5"/>
      <c r="B855" s="5"/>
      <c r="C855" s="5"/>
      <c r="D855" s="926" t="s">
        <v>2560</v>
      </c>
      <c r="E855" s="927"/>
      <c r="F855" s="926"/>
      <c r="G855" s="57">
        <v>0</v>
      </c>
      <c r="H855" s="34"/>
    </row>
    <row r="856" spans="1:8" ht="12.15" customHeight="1">
      <c r="A856" s="5"/>
      <c r="B856" s="5"/>
      <c r="C856" s="5"/>
      <c r="D856" s="926" t="s">
        <v>2561</v>
      </c>
      <c r="E856" s="927"/>
      <c r="F856" s="926"/>
      <c r="G856" s="57">
        <v>0.77971999999999997</v>
      </c>
      <c r="H856" s="34"/>
    </row>
    <row r="857" spans="1:8" ht="12.15" customHeight="1">
      <c r="A857" s="5"/>
      <c r="B857" s="5"/>
      <c r="C857" s="5"/>
      <c r="D857" s="926" t="s">
        <v>2562</v>
      </c>
      <c r="E857" s="927"/>
      <c r="F857" s="926"/>
      <c r="G857" s="57">
        <v>0</v>
      </c>
      <c r="H857" s="34"/>
    </row>
    <row r="858" spans="1:8" ht="12.15" customHeight="1">
      <c r="A858" s="5"/>
      <c r="B858" s="5"/>
      <c r="C858" s="5"/>
      <c r="D858" s="926" t="s">
        <v>2563</v>
      </c>
      <c r="E858" s="927"/>
      <c r="F858" s="926"/>
      <c r="G858" s="57">
        <v>3.32775</v>
      </c>
      <c r="H858" s="34"/>
    </row>
    <row r="859" spans="1:8" ht="12.15" customHeight="1">
      <c r="A859" s="5"/>
      <c r="B859" s="5"/>
      <c r="C859" s="5"/>
      <c r="D859" s="926" t="s">
        <v>2564</v>
      </c>
      <c r="E859" s="927"/>
      <c r="F859" s="926"/>
      <c r="G859" s="57">
        <v>0</v>
      </c>
      <c r="H859" s="34"/>
    </row>
    <row r="860" spans="1:8" ht="12.15" customHeight="1">
      <c r="A860" s="5"/>
      <c r="B860" s="5"/>
      <c r="C860" s="5"/>
      <c r="D860" s="926" t="s">
        <v>2565</v>
      </c>
      <c r="E860" s="927"/>
      <c r="F860" s="926"/>
      <c r="G860" s="57">
        <v>19.371099999999998</v>
      </c>
      <c r="H860" s="34"/>
    </row>
    <row r="861" spans="1:8" ht="12.15" customHeight="1">
      <c r="A861" s="5"/>
      <c r="B861" s="5"/>
      <c r="C861" s="5"/>
      <c r="D861" s="926" t="s">
        <v>2413</v>
      </c>
      <c r="E861" s="927"/>
      <c r="F861" s="926"/>
      <c r="G861" s="57">
        <v>0</v>
      </c>
      <c r="H861" s="34"/>
    </row>
    <row r="862" spans="1:8" ht="12.15" customHeight="1">
      <c r="A862" s="5"/>
      <c r="B862" s="5"/>
      <c r="C862" s="5"/>
      <c r="D862" s="926" t="s">
        <v>2566</v>
      </c>
      <c r="E862" s="927"/>
      <c r="F862" s="926"/>
      <c r="G862" s="57">
        <v>0</v>
      </c>
      <c r="H862" s="34"/>
    </row>
    <row r="863" spans="1:8" ht="12.15" customHeight="1">
      <c r="A863" s="5"/>
      <c r="B863" s="5"/>
      <c r="C863" s="5"/>
      <c r="D863" s="926" t="s">
        <v>2567</v>
      </c>
      <c r="E863" s="927"/>
      <c r="F863" s="926"/>
      <c r="G863" s="57">
        <v>5.6935000000000002</v>
      </c>
      <c r="H863" s="34"/>
    </row>
    <row r="864" spans="1:8" ht="12.15" customHeight="1">
      <c r="A864" s="5"/>
      <c r="B864" s="5"/>
      <c r="C864" s="5"/>
      <c r="D864" s="926" t="s">
        <v>2568</v>
      </c>
      <c r="E864" s="927"/>
      <c r="F864" s="926"/>
      <c r="G864" s="57">
        <v>0</v>
      </c>
      <c r="H864" s="34"/>
    </row>
    <row r="865" spans="1:8" ht="12.15" customHeight="1">
      <c r="A865" s="5"/>
      <c r="B865" s="5"/>
      <c r="C865" s="5"/>
      <c r="D865" s="926" t="s">
        <v>2569</v>
      </c>
      <c r="E865" s="927"/>
      <c r="F865" s="926"/>
      <c r="G865" s="57">
        <v>2.6256300000000001</v>
      </c>
      <c r="H865" s="34"/>
    </row>
    <row r="866" spans="1:8" ht="12.15" customHeight="1">
      <c r="A866" s="5"/>
      <c r="B866" s="5"/>
      <c r="C866" s="5"/>
      <c r="D866" s="926" t="s">
        <v>2570</v>
      </c>
      <c r="E866" s="927"/>
      <c r="F866" s="926"/>
      <c r="G866" s="57">
        <v>0</v>
      </c>
      <c r="H866" s="34"/>
    </row>
    <row r="867" spans="1:8" ht="12.15" customHeight="1">
      <c r="A867" s="5"/>
      <c r="B867" s="5"/>
      <c r="C867" s="5"/>
      <c r="D867" s="926" t="s">
        <v>2571</v>
      </c>
      <c r="E867" s="927"/>
      <c r="F867" s="926"/>
      <c r="G867" s="57">
        <v>0.92459999999999998</v>
      </c>
      <c r="H867" s="34"/>
    </row>
    <row r="868" spans="1:8" ht="12.15" customHeight="1">
      <c r="A868" s="5"/>
      <c r="B868" s="5"/>
      <c r="C868" s="5"/>
      <c r="D868" s="926" t="s">
        <v>2572</v>
      </c>
      <c r="E868" s="927"/>
      <c r="F868" s="926"/>
      <c r="G868" s="57">
        <v>0</v>
      </c>
      <c r="H868" s="34"/>
    </row>
    <row r="869" spans="1:8" ht="12.15" customHeight="1">
      <c r="A869" s="5"/>
      <c r="B869" s="5"/>
      <c r="C869" s="5"/>
      <c r="D869" s="926" t="s">
        <v>2573</v>
      </c>
      <c r="E869" s="927"/>
      <c r="F869" s="926"/>
      <c r="G869" s="57">
        <v>1.8475999999999999</v>
      </c>
      <c r="H869" s="34"/>
    </row>
    <row r="870" spans="1:8" ht="12.15" customHeight="1">
      <c r="A870" s="5"/>
      <c r="B870" s="5"/>
      <c r="C870" s="5"/>
      <c r="D870" s="926" t="s">
        <v>2574</v>
      </c>
      <c r="E870" s="927"/>
      <c r="F870" s="926"/>
      <c r="G870" s="57">
        <v>0</v>
      </c>
      <c r="H870" s="34"/>
    </row>
    <row r="871" spans="1:8" ht="12.15" customHeight="1">
      <c r="A871" s="5"/>
      <c r="B871" s="5"/>
      <c r="C871" s="5"/>
      <c r="D871" s="926" t="s">
        <v>2575</v>
      </c>
      <c r="E871" s="927"/>
      <c r="F871" s="926"/>
      <c r="G871" s="57">
        <v>0.13453999999999999</v>
      </c>
      <c r="H871" s="34"/>
    </row>
    <row r="872" spans="1:8" ht="12.15" customHeight="1">
      <c r="A872" s="5"/>
      <c r="B872" s="5"/>
      <c r="C872" s="5"/>
      <c r="D872" s="926" t="s">
        <v>2576</v>
      </c>
      <c r="E872" s="927"/>
      <c r="F872" s="926"/>
      <c r="G872" s="57">
        <v>0</v>
      </c>
      <c r="H872" s="34"/>
    </row>
    <row r="873" spans="1:8" ht="12.15" customHeight="1">
      <c r="A873" s="5"/>
      <c r="B873" s="5"/>
      <c r="C873" s="5"/>
      <c r="D873" s="926" t="s">
        <v>2577</v>
      </c>
      <c r="E873" s="927"/>
      <c r="F873" s="926"/>
      <c r="G873" s="57">
        <v>0.99988999999999995</v>
      </c>
      <c r="H873" s="34"/>
    </row>
    <row r="874" spans="1:8" ht="12.15" customHeight="1">
      <c r="A874" s="5"/>
      <c r="B874" s="5"/>
      <c r="C874" s="5"/>
      <c r="D874" s="926" t="s">
        <v>2405</v>
      </c>
      <c r="E874" s="927"/>
      <c r="F874" s="926"/>
      <c r="G874" s="57">
        <v>0</v>
      </c>
      <c r="H874" s="34"/>
    </row>
    <row r="875" spans="1:8" ht="12.15" customHeight="1">
      <c r="A875" s="5"/>
      <c r="B875" s="5"/>
      <c r="C875" s="5"/>
      <c r="D875" s="926" t="s">
        <v>2578</v>
      </c>
      <c r="E875" s="927"/>
      <c r="F875" s="926"/>
      <c r="G875" s="57">
        <v>0</v>
      </c>
      <c r="H875" s="34"/>
    </row>
    <row r="876" spans="1:8" ht="12.15" customHeight="1">
      <c r="A876" s="5"/>
      <c r="B876" s="5"/>
      <c r="C876" s="5"/>
      <c r="D876" s="926" t="s">
        <v>2579</v>
      </c>
      <c r="E876" s="927"/>
      <c r="F876" s="926"/>
      <c r="G876" s="57">
        <v>1.1015999999999999</v>
      </c>
      <c r="H876" s="34"/>
    </row>
    <row r="877" spans="1:8" ht="12.15" customHeight="1">
      <c r="A877" s="5"/>
      <c r="B877" s="5"/>
      <c r="C877" s="5"/>
      <c r="D877" s="926" t="s">
        <v>2580</v>
      </c>
      <c r="E877" s="927"/>
      <c r="F877" s="926"/>
      <c r="G877" s="57">
        <v>0</v>
      </c>
      <c r="H877" s="34"/>
    </row>
    <row r="878" spans="1:8" ht="12.15" customHeight="1">
      <c r="A878" s="5"/>
      <c r="B878" s="5"/>
      <c r="C878" s="5"/>
      <c r="D878" s="926" t="s">
        <v>2581</v>
      </c>
      <c r="E878" s="927"/>
      <c r="F878" s="926"/>
      <c r="G878" s="57">
        <v>2.7542800000000001</v>
      </c>
      <c r="H878" s="34"/>
    </row>
    <row r="879" spans="1:8" ht="12.15" customHeight="1">
      <c r="A879" s="5"/>
      <c r="B879" s="5"/>
      <c r="C879" s="5"/>
      <c r="D879" s="926" t="s">
        <v>2582</v>
      </c>
      <c r="E879" s="927"/>
      <c r="F879" s="926"/>
      <c r="G879" s="57">
        <v>0</v>
      </c>
      <c r="H879" s="34"/>
    </row>
    <row r="880" spans="1:8" ht="12.15" customHeight="1">
      <c r="A880" s="5"/>
      <c r="B880" s="5"/>
      <c r="C880" s="5"/>
      <c r="D880" s="926" t="s">
        <v>2583</v>
      </c>
      <c r="E880" s="927"/>
      <c r="F880" s="926"/>
      <c r="G880" s="57">
        <v>0.15540000000000001</v>
      </c>
      <c r="H880" s="34"/>
    </row>
    <row r="881" spans="1:8" ht="12.15" customHeight="1">
      <c r="A881" s="5"/>
      <c r="B881" s="5"/>
      <c r="C881" s="5"/>
      <c r="D881" s="926" t="s">
        <v>2584</v>
      </c>
      <c r="E881" s="927"/>
      <c r="F881" s="926"/>
      <c r="G881" s="57">
        <v>0</v>
      </c>
      <c r="H881" s="34"/>
    </row>
    <row r="882" spans="1:8" ht="12.15" customHeight="1">
      <c r="A882" s="5"/>
      <c r="B882" s="5"/>
      <c r="C882" s="5"/>
      <c r="D882" s="926" t="s">
        <v>2585</v>
      </c>
      <c r="E882" s="927"/>
      <c r="F882" s="926"/>
      <c r="G882" s="57">
        <v>1.6758</v>
      </c>
      <c r="H882" s="34"/>
    </row>
    <row r="883" spans="1:8" ht="12.15" customHeight="1">
      <c r="A883" s="5"/>
      <c r="B883" s="5"/>
      <c r="C883" s="5"/>
      <c r="D883" s="926" t="s">
        <v>2586</v>
      </c>
      <c r="E883" s="927"/>
      <c r="F883" s="926"/>
      <c r="G883" s="57">
        <v>1.3342000000000001</v>
      </c>
      <c r="H883" s="34"/>
    </row>
    <row r="884" spans="1:8">
      <c r="A884" s="5" t="s">
        <v>183</v>
      </c>
      <c r="B884" s="5"/>
      <c r="C884" s="5" t="s">
        <v>786</v>
      </c>
      <c r="D884" s="924" t="s">
        <v>1451</v>
      </c>
      <c r="E884" s="925"/>
      <c r="F884" s="5" t="s">
        <v>1941</v>
      </c>
      <c r="G884" s="21">
        <v>41.232660000000003</v>
      </c>
      <c r="H884" s="21">
        <v>0</v>
      </c>
    </row>
    <row r="885" spans="1:8" ht="12.15" customHeight="1">
      <c r="D885" s="926" t="s">
        <v>2587</v>
      </c>
      <c r="E885" s="927"/>
      <c r="F885" s="927"/>
      <c r="G885" s="57">
        <v>0</v>
      </c>
    </row>
    <row r="886" spans="1:8" ht="12.15" customHeight="1">
      <c r="A886" s="5"/>
      <c r="B886" s="5"/>
      <c r="C886" s="5"/>
      <c r="D886" s="926" t="s">
        <v>2588</v>
      </c>
      <c r="E886" s="927"/>
      <c r="F886" s="926"/>
      <c r="G886" s="57">
        <v>0</v>
      </c>
      <c r="H886" s="34"/>
    </row>
    <row r="887" spans="1:8" ht="12.15" customHeight="1">
      <c r="A887" s="5"/>
      <c r="B887" s="5"/>
      <c r="C887" s="5"/>
      <c r="D887" s="926" t="s">
        <v>2589</v>
      </c>
      <c r="E887" s="927"/>
      <c r="F887" s="926"/>
      <c r="G887" s="57">
        <v>0</v>
      </c>
      <c r="H887" s="34"/>
    </row>
    <row r="888" spans="1:8" ht="12.15" customHeight="1">
      <c r="A888" s="5"/>
      <c r="B888" s="5"/>
      <c r="C888" s="5"/>
      <c r="D888" s="926" t="s">
        <v>2590</v>
      </c>
      <c r="E888" s="927"/>
      <c r="F888" s="926"/>
      <c r="G888" s="57">
        <v>2.02725</v>
      </c>
      <c r="H888" s="34"/>
    </row>
    <row r="889" spans="1:8" ht="12.15" customHeight="1">
      <c r="A889" s="5"/>
      <c r="B889" s="5"/>
      <c r="C889" s="5"/>
      <c r="D889" s="926" t="s">
        <v>2591</v>
      </c>
      <c r="E889" s="927"/>
      <c r="F889" s="926"/>
      <c r="G889" s="57">
        <v>0</v>
      </c>
      <c r="H889" s="34"/>
    </row>
    <row r="890" spans="1:8" ht="12.15" customHeight="1">
      <c r="A890" s="5"/>
      <c r="B890" s="5"/>
      <c r="C890" s="5"/>
      <c r="D890" s="926" t="s">
        <v>2592</v>
      </c>
      <c r="E890" s="927"/>
      <c r="F890" s="926"/>
      <c r="G890" s="57">
        <v>1.3940999999999999</v>
      </c>
      <c r="H890" s="34"/>
    </row>
    <row r="891" spans="1:8" ht="12.15" customHeight="1">
      <c r="A891" s="5"/>
      <c r="B891" s="5"/>
      <c r="C891" s="5"/>
      <c r="D891" s="926" t="s">
        <v>2593</v>
      </c>
      <c r="E891" s="927"/>
      <c r="F891" s="926"/>
      <c r="G891" s="57">
        <v>0</v>
      </c>
      <c r="H891" s="34"/>
    </row>
    <row r="892" spans="1:8" ht="12.15" customHeight="1">
      <c r="A892" s="5"/>
      <c r="B892" s="5"/>
      <c r="C892" s="5"/>
      <c r="D892" s="926" t="s">
        <v>2594</v>
      </c>
      <c r="E892" s="927"/>
      <c r="F892" s="926"/>
      <c r="G892" s="57">
        <v>1.448</v>
      </c>
      <c r="H892" s="34"/>
    </row>
    <row r="893" spans="1:8" ht="12.15" customHeight="1">
      <c r="A893" s="5"/>
      <c r="B893" s="5"/>
      <c r="C893" s="5"/>
      <c r="D893" s="926" t="s">
        <v>2595</v>
      </c>
      <c r="E893" s="927"/>
      <c r="F893" s="926"/>
      <c r="G893" s="57">
        <v>0</v>
      </c>
      <c r="H893" s="34"/>
    </row>
    <row r="894" spans="1:8" ht="12.15" customHeight="1">
      <c r="A894" s="5"/>
      <c r="B894" s="5"/>
      <c r="C894" s="5"/>
      <c r="D894" s="926" t="s">
        <v>2596</v>
      </c>
      <c r="E894" s="927"/>
      <c r="F894" s="926"/>
      <c r="G894" s="57">
        <v>0</v>
      </c>
      <c r="H894" s="34"/>
    </row>
    <row r="895" spans="1:8" ht="12.15" customHeight="1">
      <c r="A895" s="5"/>
      <c r="B895" s="5"/>
      <c r="C895" s="5"/>
      <c r="D895" s="926" t="s">
        <v>2597</v>
      </c>
      <c r="E895" s="927"/>
      <c r="F895" s="926"/>
      <c r="G895" s="57">
        <v>7.6594800000000003</v>
      </c>
      <c r="H895" s="34"/>
    </row>
    <row r="896" spans="1:8" ht="12.15" customHeight="1">
      <c r="A896" s="5"/>
      <c r="B896" s="5"/>
      <c r="C896" s="5"/>
      <c r="D896" s="926" t="s">
        <v>2598</v>
      </c>
      <c r="E896" s="927"/>
      <c r="F896" s="926"/>
      <c r="G896" s="57">
        <v>0</v>
      </c>
      <c r="H896" s="34"/>
    </row>
    <row r="897" spans="1:8" ht="12.15" customHeight="1">
      <c r="A897" s="5"/>
      <c r="B897" s="5"/>
      <c r="C897" s="5"/>
      <c r="D897" s="926" t="s">
        <v>2599</v>
      </c>
      <c r="E897" s="927"/>
      <c r="F897" s="926"/>
      <c r="G897" s="57">
        <v>1.3137000000000001</v>
      </c>
      <c r="H897" s="34"/>
    </row>
    <row r="898" spans="1:8" ht="12.15" customHeight="1">
      <c r="A898" s="5"/>
      <c r="B898" s="5"/>
      <c r="C898" s="5"/>
      <c r="D898" s="926" t="s">
        <v>2600</v>
      </c>
      <c r="E898" s="927"/>
      <c r="F898" s="926"/>
      <c r="G898" s="57">
        <v>0</v>
      </c>
      <c r="H898" s="34"/>
    </row>
    <row r="899" spans="1:8" ht="12.15" customHeight="1">
      <c r="A899" s="5"/>
      <c r="B899" s="5"/>
      <c r="C899" s="5"/>
      <c r="D899" s="926" t="s">
        <v>2601</v>
      </c>
      <c r="E899" s="927"/>
      <c r="F899" s="926"/>
      <c r="G899" s="57">
        <v>4.9003199999999998</v>
      </c>
      <c r="H899" s="34"/>
    </row>
    <row r="900" spans="1:8" ht="12.15" customHeight="1">
      <c r="A900" s="5"/>
      <c r="B900" s="5"/>
      <c r="C900" s="5"/>
      <c r="D900" s="926" t="s">
        <v>2602</v>
      </c>
      <c r="E900" s="927"/>
      <c r="F900" s="926"/>
      <c r="G900" s="57">
        <v>0</v>
      </c>
      <c r="H900" s="34"/>
    </row>
    <row r="901" spans="1:8" ht="12.15" customHeight="1">
      <c r="A901" s="5"/>
      <c r="B901" s="5"/>
      <c r="C901" s="5"/>
      <c r="D901" s="926" t="s">
        <v>2603</v>
      </c>
      <c r="E901" s="927"/>
      <c r="F901" s="926"/>
      <c r="G901" s="57">
        <v>0.57399999999999995</v>
      </c>
      <c r="H901" s="34"/>
    </row>
    <row r="902" spans="1:8" ht="12.15" customHeight="1">
      <c r="A902" s="5"/>
      <c r="B902" s="5"/>
      <c r="C902" s="5"/>
      <c r="D902" s="926" t="s">
        <v>2604</v>
      </c>
      <c r="E902" s="927"/>
      <c r="F902" s="926"/>
      <c r="G902" s="57">
        <v>0</v>
      </c>
      <c r="H902" s="34"/>
    </row>
    <row r="903" spans="1:8" ht="12.15" customHeight="1">
      <c r="A903" s="5"/>
      <c r="B903" s="5"/>
      <c r="C903" s="5"/>
      <c r="D903" s="926" t="s">
        <v>2605</v>
      </c>
      <c r="E903" s="927"/>
      <c r="F903" s="926"/>
      <c r="G903" s="57">
        <v>1.5246</v>
      </c>
      <c r="H903" s="34"/>
    </row>
    <row r="904" spans="1:8" ht="12.15" customHeight="1">
      <c r="A904" s="5"/>
      <c r="B904" s="5"/>
      <c r="C904" s="5"/>
      <c r="D904" s="926" t="s">
        <v>2606</v>
      </c>
      <c r="E904" s="927"/>
      <c r="F904" s="926"/>
      <c r="G904" s="57">
        <v>0</v>
      </c>
      <c r="H904" s="34"/>
    </row>
    <row r="905" spans="1:8" ht="12.15" customHeight="1">
      <c r="A905" s="5"/>
      <c r="B905" s="5"/>
      <c r="C905" s="5"/>
      <c r="D905" s="926" t="s">
        <v>2607</v>
      </c>
      <c r="E905" s="927"/>
      <c r="F905" s="926"/>
      <c r="G905" s="57">
        <v>0.28799999999999998</v>
      </c>
      <c r="H905" s="34"/>
    </row>
    <row r="906" spans="1:8" ht="12.15" customHeight="1">
      <c r="A906" s="5"/>
      <c r="B906" s="5"/>
      <c r="C906" s="5"/>
      <c r="D906" s="926" t="s">
        <v>2608</v>
      </c>
      <c r="E906" s="927"/>
      <c r="F906" s="926"/>
      <c r="G906" s="57">
        <v>0</v>
      </c>
      <c r="H906" s="34"/>
    </row>
    <row r="907" spans="1:8" ht="12.15" customHeight="1">
      <c r="A907" s="5"/>
      <c r="B907" s="5"/>
      <c r="C907" s="5"/>
      <c r="D907" s="926" t="s">
        <v>2609</v>
      </c>
      <c r="E907" s="927"/>
      <c r="F907" s="926"/>
      <c r="G907" s="57">
        <v>0.999</v>
      </c>
      <c r="H907" s="34"/>
    </row>
    <row r="908" spans="1:8" ht="12.15" customHeight="1">
      <c r="A908" s="5"/>
      <c r="B908" s="5"/>
      <c r="C908" s="5"/>
      <c r="D908" s="926" t="s">
        <v>2610</v>
      </c>
      <c r="E908" s="927"/>
      <c r="F908" s="926"/>
      <c r="G908" s="57">
        <v>15.76266</v>
      </c>
      <c r="H908" s="34"/>
    </row>
    <row r="909" spans="1:8" ht="12.15" customHeight="1">
      <c r="A909" s="5"/>
      <c r="B909" s="5"/>
      <c r="C909" s="5"/>
      <c r="D909" s="926" t="s">
        <v>2611</v>
      </c>
      <c r="E909" s="927"/>
      <c r="F909" s="926"/>
      <c r="G909" s="57">
        <v>0</v>
      </c>
      <c r="H909" s="34"/>
    </row>
    <row r="910" spans="1:8" ht="12.15" customHeight="1">
      <c r="A910" s="5"/>
      <c r="B910" s="5"/>
      <c r="C910" s="5"/>
      <c r="D910" s="926" t="s">
        <v>2612</v>
      </c>
      <c r="E910" s="927"/>
      <c r="F910" s="926"/>
      <c r="G910" s="57">
        <v>1.8915500000000001</v>
      </c>
      <c r="H910" s="34"/>
    </row>
    <row r="911" spans="1:8" ht="12.15" customHeight="1">
      <c r="A911" s="5"/>
      <c r="B911" s="5"/>
      <c r="C911" s="5"/>
      <c r="D911" s="926" t="s">
        <v>2613</v>
      </c>
      <c r="E911" s="927"/>
      <c r="F911" s="926"/>
      <c r="G911" s="57">
        <v>1.45</v>
      </c>
      <c r="H911" s="34"/>
    </row>
    <row r="912" spans="1:8">
      <c r="A912" s="5" t="s">
        <v>184</v>
      </c>
      <c r="B912" s="5"/>
      <c r="C912" s="5" t="s">
        <v>787</v>
      </c>
      <c r="D912" s="924" t="s">
        <v>1452</v>
      </c>
      <c r="E912" s="925"/>
      <c r="F912" s="5" t="s">
        <v>1941</v>
      </c>
      <c r="G912" s="21">
        <v>54.99</v>
      </c>
      <c r="H912" s="21">
        <v>0</v>
      </c>
    </row>
    <row r="913" spans="1:8" ht="12.15" customHeight="1">
      <c r="D913" s="926" t="s">
        <v>2614</v>
      </c>
      <c r="E913" s="927"/>
      <c r="F913" s="927"/>
      <c r="G913" s="57">
        <v>54.99</v>
      </c>
    </row>
    <row r="914" spans="1:8">
      <c r="A914" s="5" t="s">
        <v>185</v>
      </c>
      <c r="B914" s="5"/>
      <c r="C914" s="5" t="s">
        <v>788</v>
      </c>
      <c r="D914" s="924" t="s">
        <v>1453</v>
      </c>
      <c r="E914" s="925"/>
      <c r="F914" s="5" t="s">
        <v>1941</v>
      </c>
      <c r="G914" s="21">
        <v>56.55592</v>
      </c>
      <c r="H914" s="21">
        <v>0</v>
      </c>
    </row>
    <row r="915" spans="1:8" ht="12.15" customHeight="1">
      <c r="D915" s="926" t="s">
        <v>2615</v>
      </c>
      <c r="E915" s="927"/>
      <c r="F915" s="927"/>
      <c r="G915" s="57">
        <v>56.55592</v>
      </c>
    </row>
    <row r="916" spans="1:8">
      <c r="A916" s="5" t="s">
        <v>186</v>
      </c>
      <c r="B916" s="5"/>
      <c r="C916" s="5" t="s">
        <v>789</v>
      </c>
      <c r="D916" s="924" t="s">
        <v>1454</v>
      </c>
      <c r="E916" s="925"/>
      <c r="F916" s="5" t="s">
        <v>1941</v>
      </c>
      <c r="G916" s="21">
        <v>114.09766</v>
      </c>
      <c r="H916" s="21">
        <v>0</v>
      </c>
    </row>
    <row r="917" spans="1:8" ht="12.15" customHeight="1">
      <c r="D917" s="926" t="s">
        <v>2616</v>
      </c>
      <c r="E917" s="927"/>
      <c r="F917" s="927"/>
      <c r="G917" s="57">
        <v>114.09766</v>
      </c>
    </row>
    <row r="918" spans="1:8">
      <c r="A918" s="5" t="s">
        <v>187</v>
      </c>
      <c r="B918" s="5"/>
      <c r="C918" s="5" t="s">
        <v>790</v>
      </c>
      <c r="D918" s="924" t="s">
        <v>1455</v>
      </c>
      <c r="E918" s="925"/>
      <c r="F918" s="5" t="s">
        <v>1941</v>
      </c>
      <c r="G918" s="21">
        <v>109.98</v>
      </c>
      <c r="H918" s="21">
        <v>0</v>
      </c>
    </row>
    <row r="919" spans="1:8" ht="12.15" customHeight="1">
      <c r="D919" s="926" t="s">
        <v>2617</v>
      </c>
      <c r="E919" s="927"/>
      <c r="F919" s="927"/>
      <c r="G919" s="57">
        <v>109.98</v>
      </c>
    </row>
    <row r="920" spans="1:8">
      <c r="A920" s="5" t="s">
        <v>188</v>
      </c>
      <c r="B920" s="5"/>
      <c r="C920" s="5" t="s">
        <v>791</v>
      </c>
      <c r="D920" s="924" t="s">
        <v>1456</v>
      </c>
      <c r="E920" s="925"/>
      <c r="F920" s="5" t="s">
        <v>1941</v>
      </c>
      <c r="G920" s="21">
        <v>30.294</v>
      </c>
      <c r="H920" s="21">
        <v>0</v>
      </c>
    </row>
    <row r="921" spans="1:8" ht="12.15" customHeight="1">
      <c r="D921" s="926" t="s">
        <v>2595</v>
      </c>
      <c r="E921" s="927"/>
      <c r="F921" s="927"/>
      <c r="G921" s="57">
        <v>0</v>
      </c>
    </row>
    <row r="922" spans="1:8" ht="12.15" customHeight="1">
      <c r="A922" s="5"/>
      <c r="B922" s="5"/>
      <c r="C922" s="5"/>
      <c r="D922" s="926" t="s">
        <v>2596</v>
      </c>
      <c r="E922" s="927"/>
      <c r="F922" s="926"/>
      <c r="G922" s="57">
        <v>0</v>
      </c>
      <c r="H922" s="34"/>
    </row>
    <row r="923" spans="1:8" ht="12.15" customHeight="1">
      <c r="A923" s="5"/>
      <c r="B923" s="5"/>
      <c r="C923" s="5"/>
      <c r="D923" s="926" t="s">
        <v>2618</v>
      </c>
      <c r="E923" s="927"/>
      <c r="F923" s="926"/>
      <c r="G923" s="57">
        <v>13.206</v>
      </c>
      <c r="H923" s="34"/>
    </row>
    <row r="924" spans="1:8" ht="12.15" customHeight="1">
      <c r="A924" s="5"/>
      <c r="B924" s="5"/>
      <c r="C924" s="5"/>
      <c r="D924" s="926" t="s">
        <v>2600</v>
      </c>
      <c r="E924" s="927"/>
      <c r="F924" s="926"/>
      <c r="G924" s="57">
        <v>0</v>
      </c>
      <c r="H924" s="34"/>
    </row>
    <row r="925" spans="1:8" ht="12.15" customHeight="1">
      <c r="A925" s="5"/>
      <c r="B925" s="5"/>
      <c r="C925" s="5"/>
      <c r="D925" s="926" t="s">
        <v>2619</v>
      </c>
      <c r="E925" s="927"/>
      <c r="F925" s="926"/>
      <c r="G925" s="57">
        <v>8.9640000000000004</v>
      </c>
      <c r="H925" s="34"/>
    </row>
    <row r="926" spans="1:8" ht="12.15" customHeight="1">
      <c r="A926" s="5"/>
      <c r="B926" s="5"/>
      <c r="C926" s="5"/>
      <c r="D926" s="926" t="s">
        <v>2580</v>
      </c>
      <c r="E926" s="927"/>
      <c r="F926" s="926"/>
      <c r="G926" s="57">
        <v>0</v>
      </c>
      <c r="H926" s="34"/>
    </row>
    <row r="927" spans="1:8" ht="12.15" customHeight="1">
      <c r="A927" s="5"/>
      <c r="B927" s="5"/>
      <c r="C927" s="5"/>
      <c r="D927" s="926" t="s">
        <v>2620</v>
      </c>
      <c r="E927" s="927"/>
      <c r="F927" s="926"/>
      <c r="G927" s="57">
        <v>5.5830000000000002</v>
      </c>
      <c r="H927" s="34"/>
    </row>
    <row r="928" spans="1:8" ht="12.15" customHeight="1">
      <c r="A928" s="5"/>
      <c r="B928" s="5"/>
      <c r="C928" s="5"/>
      <c r="D928" s="926" t="s">
        <v>2604</v>
      </c>
      <c r="E928" s="927"/>
      <c r="F928" s="926"/>
      <c r="G928" s="57">
        <v>0</v>
      </c>
      <c r="H928" s="34"/>
    </row>
    <row r="929" spans="1:8" ht="12.15" customHeight="1">
      <c r="A929" s="5"/>
      <c r="B929" s="5"/>
      <c r="C929" s="5"/>
      <c r="D929" s="926" t="s">
        <v>2621</v>
      </c>
      <c r="E929" s="927"/>
      <c r="F929" s="926"/>
      <c r="G929" s="57">
        <v>2.5409999999999999</v>
      </c>
      <c r="H929" s="34"/>
    </row>
    <row r="930" spans="1:8">
      <c r="A930" s="5" t="s">
        <v>189</v>
      </c>
      <c r="B930" s="5"/>
      <c r="C930" s="5" t="s">
        <v>792</v>
      </c>
      <c r="D930" s="924" t="s">
        <v>1457</v>
      </c>
      <c r="E930" s="925"/>
      <c r="F930" s="5" t="s">
        <v>1940</v>
      </c>
      <c r="G930" s="21">
        <v>12.6945</v>
      </c>
      <c r="H930" s="21">
        <v>0</v>
      </c>
    </row>
    <row r="931" spans="1:8" ht="12.15" customHeight="1">
      <c r="D931" s="926" t="s">
        <v>2622</v>
      </c>
      <c r="E931" s="927"/>
      <c r="F931" s="927"/>
      <c r="G931" s="57">
        <v>12.6945</v>
      </c>
    </row>
    <row r="932" spans="1:8">
      <c r="A932" s="5" t="s">
        <v>190</v>
      </c>
      <c r="B932" s="5"/>
      <c r="C932" s="5" t="s">
        <v>793</v>
      </c>
      <c r="D932" s="924" t="s">
        <v>1458</v>
      </c>
      <c r="E932" s="925"/>
      <c r="F932" s="5" t="s">
        <v>1940</v>
      </c>
      <c r="G932" s="21">
        <v>12.6945</v>
      </c>
      <c r="H932" s="21">
        <v>0</v>
      </c>
    </row>
    <row r="933" spans="1:8">
      <c r="A933" s="5" t="s">
        <v>191</v>
      </c>
      <c r="B933" s="5"/>
      <c r="C933" s="5" t="s">
        <v>794</v>
      </c>
      <c r="D933" s="924" t="s">
        <v>1459</v>
      </c>
      <c r="E933" s="925"/>
      <c r="F933" s="5" t="s">
        <v>1942</v>
      </c>
      <c r="G933" s="21">
        <v>18.258520000000001</v>
      </c>
      <c r="H933" s="21">
        <v>0</v>
      </c>
    </row>
    <row r="934" spans="1:8" ht="12.15" customHeight="1">
      <c r="D934" s="926" t="s">
        <v>2623</v>
      </c>
      <c r="E934" s="927"/>
      <c r="F934" s="927"/>
      <c r="G934" s="57">
        <v>2.4300000000000002</v>
      </c>
    </row>
    <row r="935" spans="1:8" ht="12.15" customHeight="1">
      <c r="A935" s="5"/>
      <c r="B935" s="5"/>
      <c r="C935" s="5"/>
      <c r="D935" s="926" t="s">
        <v>2624</v>
      </c>
      <c r="E935" s="927"/>
      <c r="F935" s="926"/>
      <c r="G935" s="57">
        <v>2.4300000000000002</v>
      </c>
      <c r="H935" s="34"/>
    </row>
    <row r="936" spans="1:8" ht="12.15" customHeight="1">
      <c r="A936" s="5"/>
      <c r="B936" s="5"/>
      <c r="C936" s="5"/>
      <c r="D936" s="926" t="s">
        <v>2625</v>
      </c>
      <c r="E936" s="927"/>
      <c r="F936" s="926"/>
      <c r="G936" s="57">
        <v>0</v>
      </c>
      <c r="H936" s="34"/>
    </row>
    <row r="937" spans="1:8" ht="12.15" customHeight="1">
      <c r="A937" s="5"/>
      <c r="B937" s="5"/>
      <c r="C937" s="5"/>
      <c r="D937" s="926" t="s">
        <v>2588</v>
      </c>
      <c r="E937" s="927"/>
      <c r="F937" s="926"/>
      <c r="G937" s="57">
        <v>0</v>
      </c>
      <c r="H937" s="34"/>
    </row>
    <row r="938" spans="1:8" ht="12.15" customHeight="1">
      <c r="A938" s="5"/>
      <c r="B938" s="5"/>
      <c r="C938" s="5"/>
      <c r="D938" s="926" t="s">
        <v>2626</v>
      </c>
      <c r="E938" s="927"/>
      <c r="F938" s="926"/>
      <c r="G938" s="57">
        <v>1.17405</v>
      </c>
      <c r="H938" s="34"/>
    </row>
    <row r="939" spans="1:8" ht="12.15" customHeight="1">
      <c r="A939" s="5"/>
      <c r="B939" s="5"/>
      <c r="C939" s="5"/>
      <c r="D939" s="926" t="s">
        <v>2552</v>
      </c>
      <c r="E939" s="927"/>
      <c r="F939" s="926"/>
      <c r="G939" s="57">
        <v>0</v>
      </c>
      <c r="H939" s="34"/>
    </row>
    <row r="940" spans="1:8" ht="12.15" customHeight="1">
      <c r="A940" s="5"/>
      <c r="B940" s="5"/>
      <c r="C940" s="5"/>
      <c r="D940" s="926" t="s">
        <v>2627</v>
      </c>
      <c r="E940" s="927"/>
      <c r="F940" s="926"/>
      <c r="G940" s="57">
        <v>5.9290000000000002E-2</v>
      </c>
      <c r="H940" s="34"/>
    </row>
    <row r="941" spans="1:8" ht="12.15" customHeight="1">
      <c r="A941" s="5"/>
      <c r="B941" s="5"/>
      <c r="C941" s="5"/>
      <c r="D941" s="926" t="s">
        <v>2554</v>
      </c>
      <c r="E941" s="927"/>
      <c r="F941" s="926"/>
      <c r="G941" s="57">
        <v>0</v>
      </c>
      <c r="H941" s="34"/>
    </row>
    <row r="942" spans="1:8" ht="12.15" customHeight="1">
      <c r="A942" s="5"/>
      <c r="B942" s="5"/>
      <c r="C942" s="5"/>
      <c r="D942" s="926" t="s">
        <v>2628</v>
      </c>
      <c r="E942" s="927"/>
      <c r="F942" s="926"/>
      <c r="G942" s="57">
        <v>7.7920000000000003E-2</v>
      </c>
      <c r="H942" s="34"/>
    </row>
    <row r="943" spans="1:8" ht="12.15" customHeight="1">
      <c r="A943" s="5"/>
      <c r="B943" s="5"/>
      <c r="C943" s="5"/>
      <c r="D943" s="926" t="s">
        <v>2556</v>
      </c>
      <c r="E943" s="927"/>
      <c r="F943" s="926"/>
      <c r="G943" s="57">
        <v>0</v>
      </c>
      <c r="H943" s="34"/>
    </row>
    <row r="944" spans="1:8" ht="12.15" customHeight="1">
      <c r="A944" s="5"/>
      <c r="B944" s="5"/>
      <c r="C944" s="5"/>
      <c r="D944" s="926" t="s">
        <v>2629</v>
      </c>
      <c r="E944" s="927"/>
      <c r="F944" s="926"/>
      <c r="G944" s="57">
        <v>2.308E-2</v>
      </c>
      <c r="H944" s="34"/>
    </row>
    <row r="945" spans="1:8" ht="12.15" customHeight="1">
      <c r="A945" s="5"/>
      <c r="B945" s="5"/>
      <c r="C945" s="5"/>
      <c r="D945" s="926" t="s">
        <v>2558</v>
      </c>
      <c r="E945" s="927"/>
      <c r="F945" s="926"/>
      <c r="G945" s="57">
        <v>0</v>
      </c>
      <c r="H945" s="34"/>
    </row>
    <row r="946" spans="1:8" ht="12.15" customHeight="1">
      <c r="A946" s="5"/>
      <c r="B946" s="5"/>
      <c r="C946" s="5"/>
      <c r="D946" s="926" t="s">
        <v>2630</v>
      </c>
      <c r="E946" s="927"/>
      <c r="F946" s="926"/>
      <c r="G946" s="57">
        <v>0.10334</v>
      </c>
      <c r="H946" s="34"/>
    </row>
    <row r="947" spans="1:8" ht="12.15" customHeight="1">
      <c r="A947" s="5"/>
      <c r="B947" s="5"/>
      <c r="C947" s="5"/>
      <c r="D947" s="926" t="s">
        <v>2560</v>
      </c>
      <c r="E947" s="927"/>
      <c r="F947" s="926"/>
      <c r="G947" s="57">
        <v>0</v>
      </c>
      <c r="H947" s="34"/>
    </row>
    <row r="948" spans="1:8" ht="12.15" customHeight="1">
      <c r="A948" s="5"/>
      <c r="B948" s="5"/>
      <c r="C948" s="5"/>
      <c r="D948" s="926" t="s">
        <v>2631</v>
      </c>
      <c r="E948" s="927"/>
      <c r="F948" s="926"/>
      <c r="G948" s="57">
        <v>3.78E-2</v>
      </c>
      <c r="H948" s="34"/>
    </row>
    <row r="949" spans="1:8" ht="12.15" customHeight="1">
      <c r="A949" s="5"/>
      <c r="B949" s="5"/>
      <c r="C949" s="5"/>
      <c r="D949" s="926" t="s">
        <v>2589</v>
      </c>
      <c r="E949" s="927"/>
      <c r="F949" s="926"/>
      <c r="G949" s="57">
        <v>0</v>
      </c>
      <c r="H949" s="34"/>
    </row>
    <row r="950" spans="1:8" ht="12.15" customHeight="1">
      <c r="A950" s="5"/>
      <c r="B950" s="5"/>
      <c r="C950" s="5"/>
      <c r="D950" s="926" t="s">
        <v>2632</v>
      </c>
      <c r="E950" s="927"/>
      <c r="F950" s="926"/>
      <c r="G950" s="57">
        <v>8.6720000000000005E-2</v>
      </c>
      <c r="H950" s="34"/>
    </row>
    <row r="951" spans="1:8" ht="12.15" customHeight="1">
      <c r="A951" s="5"/>
      <c r="B951" s="5"/>
      <c r="C951" s="5"/>
      <c r="D951" s="926" t="s">
        <v>2413</v>
      </c>
      <c r="E951" s="927"/>
      <c r="F951" s="926"/>
      <c r="G951" s="57">
        <v>0</v>
      </c>
      <c r="H951" s="34"/>
    </row>
    <row r="952" spans="1:8" ht="12.15" customHeight="1">
      <c r="A952" s="5"/>
      <c r="B952" s="5"/>
      <c r="C952" s="5"/>
      <c r="D952" s="926" t="s">
        <v>2566</v>
      </c>
      <c r="E952" s="927"/>
      <c r="F952" s="926"/>
      <c r="G952" s="57">
        <v>0</v>
      </c>
      <c r="H952" s="34"/>
    </row>
    <row r="953" spans="1:8" ht="12.15" customHeight="1">
      <c r="A953" s="5"/>
      <c r="B953" s="5"/>
      <c r="C953" s="5"/>
      <c r="D953" s="926" t="s">
        <v>2633</v>
      </c>
      <c r="E953" s="927"/>
      <c r="F953" s="926"/>
      <c r="G953" s="57">
        <v>0.41403000000000001</v>
      </c>
      <c r="H953" s="34"/>
    </row>
    <row r="954" spans="1:8" ht="12.15" customHeight="1">
      <c r="A954" s="5"/>
      <c r="B954" s="5"/>
      <c r="C954" s="5"/>
      <c r="D954" s="926" t="s">
        <v>2568</v>
      </c>
      <c r="E954" s="927"/>
      <c r="F954" s="926"/>
      <c r="G954" s="57">
        <v>0</v>
      </c>
      <c r="H954" s="34"/>
    </row>
    <row r="955" spans="1:8" ht="12.15" customHeight="1">
      <c r="A955" s="5"/>
      <c r="B955" s="5"/>
      <c r="C955" s="5"/>
      <c r="D955" s="926" t="s">
        <v>2634</v>
      </c>
      <c r="E955" s="927"/>
      <c r="F955" s="926"/>
      <c r="G955" s="57">
        <v>0.15911</v>
      </c>
      <c r="H955" s="34"/>
    </row>
    <row r="956" spans="1:8" ht="12.15" customHeight="1">
      <c r="A956" s="5"/>
      <c r="B956" s="5"/>
      <c r="C956" s="5"/>
      <c r="D956" s="926" t="s">
        <v>2570</v>
      </c>
      <c r="E956" s="927"/>
      <c r="F956" s="926"/>
      <c r="G956" s="57">
        <v>0</v>
      </c>
      <c r="H956" s="34"/>
    </row>
    <row r="957" spans="1:8" ht="12.15" customHeight="1">
      <c r="A957" s="5"/>
      <c r="B957" s="5"/>
      <c r="C957" s="5"/>
      <c r="D957" s="926" t="s">
        <v>2635</v>
      </c>
      <c r="E957" s="927"/>
      <c r="F957" s="926"/>
      <c r="G957" s="57">
        <v>5.6030000000000003E-2</v>
      </c>
      <c r="H957" s="34"/>
    </row>
    <row r="958" spans="1:8" ht="12.15" customHeight="1">
      <c r="A958" s="5"/>
      <c r="B958" s="5"/>
      <c r="C958" s="5"/>
      <c r="D958" s="926" t="s">
        <v>2572</v>
      </c>
      <c r="E958" s="927"/>
      <c r="F958" s="926"/>
      <c r="G958" s="57">
        <v>0</v>
      </c>
      <c r="H958" s="34"/>
    </row>
    <row r="959" spans="1:8" ht="12.15" customHeight="1">
      <c r="A959" s="5"/>
      <c r="B959" s="5"/>
      <c r="C959" s="5"/>
      <c r="D959" s="926" t="s">
        <v>2636</v>
      </c>
      <c r="E959" s="927"/>
      <c r="F959" s="926"/>
      <c r="G959" s="57">
        <v>0.10835</v>
      </c>
      <c r="H959" s="34"/>
    </row>
    <row r="960" spans="1:8" ht="12.15" customHeight="1">
      <c r="A960" s="5"/>
      <c r="B960" s="5"/>
      <c r="C960" s="5"/>
      <c r="D960" s="926" t="s">
        <v>2574</v>
      </c>
      <c r="E960" s="927"/>
      <c r="F960" s="926"/>
      <c r="G960" s="57">
        <v>0</v>
      </c>
      <c r="H960" s="34"/>
    </row>
    <row r="961" spans="1:8" ht="12.15" customHeight="1">
      <c r="A961" s="5"/>
      <c r="B961" s="5"/>
      <c r="C961" s="5"/>
      <c r="D961" s="926" t="s">
        <v>2637</v>
      </c>
      <c r="E961" s="927"/>
      <c r="F961" s="926"/>
      <c r="G961" s="57">
        <v>7.8899999999999994E-3</v>
      </c>
      <c r="H961" s="34"/>
    </row>
    <row r="962" spans="1:8" ht="12.15" customHeight="1">
      <c r="A962" s="5"/>
      <c r="B962" s="5"/>
      <c r="C962" s="5"/>
      <c r="D962" s="926" t="s">
        <v>2576</v>
      </c>
      <c r="E962" s="927"/>
      <c r="F962" s="926"/>
      <c r="G962" s="57">
        <v>0</v>
      </c>
      <c r="H962" s="34"/>
    </row>
    <row r="963" spans="1:8" ht="12.15" customHeight="1">
      <c r="A963" s="5"/>
      <c r="B963" s="5"/>
      <c r="C963" s="5"/>
      <c r="D963" s="926" t="s">
        <v>2638</v>
      </c>
      <c r="E963" s="927"/>
      <c r="F963" s="926"/>
      <c r="G963" s="57">
        <v>6.3780000000000003E-2</v>
      </c>
      <c r="H963" s="34"/>
    </row>
    <row r="964" spans="1:8" ht="12.15" customHeight="1">
      <c r="A964" s="5"/>
      <c r="B964" s="5"/>
      <c r="C964" s="5"/>
      <c r="D964" s="926" t="s">
        <v>2526</v>
      </c>
      <c r="E964" s="927"/>
      <c r="F964" s="926"/>
      <c r="G964" s="57">
        <v>0</v>
      </c>
      <c r="H964" s="34"/>
    </row>
    <row r="965" spans="1:8" ht="12.15" customHeight="1">
      <c r="A965" s="5"/>
      <c r="B965" s="5"/>
      <c r="C965" s="5"/>
      <c r="D965" s="926" t="s">
        <v>2591</v>
      </c>
      <c r="E965" s="927"/>
      <c r="F965" s="926"/>
      <c r="G965" s="57">
        <v>0</v>
      </c>
      <c r="H965" s="34"/>
    </row>
    <row r="966" spans="1:8" ht="12.15" customHeight="1">
      <c r="A966" s="5"/>
      <c r="B966" s="5"/>
      <c r="C966" s="5"/>
      <c r="D966" s="926" t="s">
        <v>2595</v>
      </c>
      <c r="E966" s="927"/>
      <c r="F966" s="926"/>
      <c r="G966" s="57">
        <v>0</v>
      </c>
      <c r="H966" s="34"/>
    </row>
    <row r="967" spans="1:8" ht="12.15" customHeight="1">
      <c r="A967" s="5"/>
      <c r="B967" s="5"/>
      <c r="C967" s="5"/>
      <c r="D967" s="926" t="s">
        <v>2596</v>
      </c>
      <c r="E967" s="927"/>
      <c r="F967" s="926"/>
      <c r="G967" s="57">
        <v>0</v>
      </c>
      <c r="H967" s="34"/>
    </row>
    <row r="968" spans="1:8" ht="12.15" customHeight="1">
      <c r="A968" s="5"/>
      <c r="B968" s="5"/>
      <c r="C968" s="5"/>
      <c r="D968" s="926" t="s">
        <v>2639</v>
      </c>
      <c r="E968" s="927"/>
      <c r="F968" s="926"/>
      <c r="G968" s="57">
        <v>0.32011000000000001</v>
      </c>
      <c r="H968" s="34"/>
    </row>
    <row r="969" spans="1:8" ht="12.15" customHeight="1">
      <c r="A969" s="5"/>
      <c r="B969" s="5"/>
      <c r="C969" s="5"/>
      <c r="D969" s="926" t="s">
        <v>2598</v>
      </c>
      <c r="E969" s="927"/>
      <c r="F969" s="926"/>
      <c r="G969" s="57">
        <v>0</v>
      </c>
      <c r="H969" s="34"/>
    </row>
    <row r="970" spans="1:8" ht="12.15" customHeight="1">
      <c r="A970" s="5"/>
      <c r="B970" s="5"/>
      <c r="C970" s="5"/>
      <c r="D970" s="926" t="s">
        <v>2640</v>
      </c>
      <c r="E970" s="927"/>
      <c r="F970" s="926"/>
      <c r="G970" s="57">
        <v>5.4899999999999997E-2</v>
      </c>
      <c r="H970" s="34"/>
    </row>
    <row r="971" spans="1:8" ht="12.15" customHeight="1">
      <c r="A971" s="5"/>
      <c r="B971" s="5"/>
      <c r="C971" s="5"/>
      <c r="D971" s="926" t="s">
        <v>2600</v>
      </c>
      <c r="E971" s="927"/>
      <c r="F971" s="926"/>
      <c r="G971" s="57">
        <v>0</v>
      </c>
      <c r="H971" s="34"/>
    </row>
    <row r="972" spans="1:8" ht="12.15" customHeight="1">
      <c r="A972" s="5"/>
      <c r="B972" s="5"/>
      <c r="C972" s="5"/>
      <c r="D972" s="926" t="s">
        <v>2641</v>
      </c>
      <c r="E972" s="927"/>
      <c r="F972" s="926"/>
      <c r="G972" s="57">
        <v>0.21729000000000001</v>
      </c>
      <c r="H972" s="34"/>
    </row>
    <row r="973" spans="1:8" ht="12.15" customHeight="1">
      <c r="A973" s="5"/>
      <c r="B973" s="5"/>
      <c r="C973" s="5"/>
      <c r="D973" s="926" t="s">
        <v>2602</v>
      </c>
      <c r="E973" s="927"/>
      <c r="F973" s="926"/>
      <c r="G973" s="57">
        <v>0</v>
      </c>
      <c r="H973" s="34"/>
    </row>
    <row r="974" spans="1:8" ht="12.15" customHeight="1">
      <c r="A974" s="5"/>
      <c r="B974" s="5"/>
      <c r="C974" s="5"/>
      <c r="D974" s="926" t="s">
        <v>2642</v>
      </c>
      <c r="E974" s="927"/>
      <c r="F974" s="926"/>
      <c r="G974" s="57">
        <v>2.545E-2</v>
      </c>
      <c r="H974" s="34"/>
    </row>
    <row r="975" spans="1:8" ht="12.15" customHeight="1">
      <c r="A975" s="5"/>
      <c r="B975" s="5"/>
      <c r="C975" s="5"/>
      <c r="D975" s="926" t="s">
        <v>2604</v>
      </c>
      <c r="E975" s="927"/>
      <c r="F975" s="926"/>
      <c r="G975" s="57">
        <v>0</v>
      </c>
      <c r="H975" s="34"/>
    </row>
    <row r="976" spans="1:8" ht="12.15" customHeight="1">
      <c r="A976" s="5"/>
      <c r="B976" s="5"/>
      <c r="C976" s="5"/>
      <c r="D976" s="926" t="s">
        <v>2643</v>
      </c>
      <c r="E976" s="927"/>
      <c r="F976" s="926"/>
      <c r="G976" s="57">
        <v>6.1589999999999999E-2</v>
      </c>
      <c r="H976" s="34"/>
    </row>
    <row r="977" spans="1:8" ht="12.15" customHeight="1">
      <c r="A977" s="5"/>
      <c r="B977" s="5"/>
      <c r="C977" s="5"/>
      <c r="D977" s="926" t="s">
        <v>2606</v>
      </c>
      <c r="E977" s="927"/>
      <c r="F977" s="926"/>
      <c r="G977" s="57">
        <v>0</v>
      </c>
      <c r="H977" s="34"/>
    </row>
    <row r="978" spans="1:8" ht="12.15" customHeight="1">
      <c r="A978" s="5"/>
      <c r="B978" s="5"/>
      <c r="C978" s="5"/>
      <c r="D978" s="926" t="s">
        <v>2644</v>
      </c>
      <c r="E978" s="927"/>
      <c r="F978" s="926"/>
      <c r="G978" s="57">
        <v>1.1639999999999999E-2</v>
      </c>
      <c r="H978" s="34"/>
    </row>
    <row r="979" spans="1:8" ht="12.15" customHeight="1">
      <c r="A979" s="5"/>
      <c r="B979" s="5"/>
      <c r="C979" s="5"/>
      <c r="D979" s="926" t="s">
        <v>2578</v>
      </c>
      <c r="E979" s="927"/>
      <c r="F979" s="926"/>
      <c r="G979" s="57">
        <v>0</v>
      </c>
      <c r="H979" s="34"/>
    </row>
    <row r="980" spans="1:8" ht="12.15" customHeight="1">
      <c r="A980" s="5"/>
      <c r="B980" s="5"/>
      <c r="C980" s="5"/>
      <c r="D980" s="926" t="s">
        <v>2645</v>
      </c>
      <c r="E980" s="927"/>
      <c r="F980" s="926"/>
      <c r="G980" s="57">
        <v>5.5629999999999999E-2</v>
      </c>
      <c r="H980" s="34"/>
    </row>
    <row r="981" spans="1:8" ht="12.15" customHeight="1">
      <c r="A981" s="5"/>
      <c r="B981" s="5"/>
      <c r="C981" s="5"/>
      <c r="D981" s="926" t="s">
        <v>2580</v>
      </c>
      <c r="E981" s="927"/>
      <c r="F981" s="926"/>
      <c r="G981" s="57">
        <v>0</v>
      </c>
      <c r="H981" s="34"/>
    </row>
    <row r="982" spans="1:8" ht="12.15" customHeight="1">
      <c r="A982" s="5"/>
      <c r="B982" s="5"/>
      <c r="C982" s="5"/>
      <c r="D982" s="926" t="s">
        <v>2646</v>
      </c>
      <c r="E982" s="927"/>
      <c r="F982" s="926"/>
      <c r="G982" s="57">
        <v>0.13533000000000001</v>
      </c>
      <c r="H982" s="34"/>
    </row>
    <row r="983" spans="1:8" ht="12.15" customHeight="1">
      <c r="A983" s="5"/>
      <c r="B983" s="5"/>
      <c r="C983" s="5"/>
      <c r="D983" s="926" t="s">
        <v>2582</v>
      </c>
      <c r="E983" s="927"/>
      <c r="F983" s="926"/>
      <c r="G983" s="57">
        <v>0</v>
      </c>
      <c r="H983" s="34"/>
    </row>
    <row r="984" spans="1:8" ht="12.15" customHeight="1">
      <c r="A984" s="5"/>
      <c r="B984" s="5"/>
      <c r="C984" s="5"/>
      <c r="D984" s="926" t="s">
        <v>2647</v>
      </c>
      <c r="E984" s="927"/>
      <c r="F984" s="926"/>
      <c r="G984" s="57">
        <v>7.6400000000000001E-3</v>
      </c>
      <c r="H984" s="34"/>
    </row>
    <row r="985" spans="1:8" ht="12.15" customHeight="1">
      <c r="A985" s="5"/>
      <c r="B985" s="5"/>
      <c r="C985" s="5"/>
      <c r="D985" s="926" t="s">
        <v>2608</v>
      </c>
      <c r="E985" s="927"/>
      <c r="F985" s="926"/>
      <c r="G985" s="57">
        <v>0</v>
      </c>
      <c r="H985" s="34"/>
    </row>
    <row r="986" spans="1:8" ht="12.15" customHeight="1">
      <c r="A986" s="5"/>
      <c r="B986" s="5"/>
      <c r="C986" s="5"/>
      <c r="D986" s="926" t="s">
        <v>2648</v>
      </c>
      <c r="E986" s="927"/>
      <c r="F986" s="926"/>
      <c r="G986" s="57">
        <v>3.6319999999999998E-2</v>
      </c>
      <c r="H986" s="34"/>
    </row>
    <row r="987" spans="1:8" ht="12.15" customHeight="1">
      <c r="A987" s="5"/>
      <c r="B987" s="5"/>
      <c r="C987" s="5"/>
      <c r="D987" s="926" t="s">
        <v>2592</v>
      </c>
      <c r="E987" s="927"/>
      <c r="F987" s="926"/>
      <c r="G987" s="57">
        <v>1.3940999999999999</v>
      </c>
      <c r="H987" s="34"/>
    </row>
    <row r="988" spans="1:8" ht="12.15" customHeight="1">
      <c r="A988" s="5"/>
      <c r="B988" s="5"/>
      <c r="C988" s="5"/>
      <c r="D988" s="926" t="s">
        <v>2562</v>
      </c>
      <c r="E988" s="927"/>
      <c r="F988" s="926"/>
      <c r="G988" s="57">
        <v>0</v>
      </c>
      <c r="H988" s="34"/>
    </row>
    <row r="989" spans="1:8" ht="12.15" customHeight="1">
      <c r="A989" s="5"/>
      <c r="B989" s="5"/>
      <c r="C989" s="5"/>
      <c r="D989" s="926" t="s">
        <v>2649</v>
      </c>
      <c r="E989" s="927"/>
      <c r="F989" s="926"/>
      <c r="G989" s="57">
        <v>0.16133</v>
      </c>
      <c r="H989" s="34"/>
    </row>
    <row r="990" spans="1:8" ht="12.15" customHeight="1">
      <c r="A990" s="5"/>
      <c r="B990" s="5"/>
      <c r="C990" s="5"/>
      <c r="D990" s="926" t="s">
        <v>2593</v>
      </c>
      <c r="E990" s="927"/>
      <c r="F990" s="926"/>
      <c r="G990" s="57">
        <v>0</v>
      </c>
      <c r="H990" s="34"/>
    </row>
    <row r="991" spans="1:8" ht="12.15" customHeight="1">
      <c r="A991" s="5"/>
      <c r="B991" s="5"/>
      <c r="C991" s="5"/>
      <c r="D991" s="926" t="s">
        <v>2594</v>
      </c>
      <c r="E991" s="927"/>
      <c r="F991" s="926"/>
      <c r="G991" s="57">
        <v>1.448</v>
      </c>
      <c r="H991" s="34"/>
    </row>
    <row r="992" spans="1:8" ht="12.15" customHeight="1">
      <c r="A992" s="5"/>
      <c r="B992" s="5"/>
      <c r="C992" s="5"/>
      <c r="D992" s="926" t="s">
        <v>2564</v>
      </c>
      <c r="E992" s="927"/>
      <c r="F992" s="926"/>
      <c r="G992" s="57">
        <v>0</v>
      </c>
      <c r="H992" s="34"/>
    </row>
    <row r="993" spans="1:8" ht="12.15" customHeight="1">
      <c r="A993" s="5"/>
      <c r="B993" s="5"/>
      <c r="C993" s="5"/>
      <c r="D993" s="926" t="s">
        <v>2650</v>
      </c>
      <c r="E993" s="927"/>
      <c r="F993" s="926"/>
      <c r="G993" s="57">
        <v>1.0061899999999999</v>
      </c>
      <c r="H993" s="34"/>
    </row>
    <row r="994" spans="1:8" ht="12.15" customHeight="1">
      <c r="A994" s="5"/>
      <c r="B994" s="5"/>
      <c r="C994" s="5"/>
      <c r="D994" s="926" t="s">
        <v>2584</v>
      </c>
      <c r="E994" s="927"/>
      <c r="F994" s="926"/>
      <c r="G994" s="57">
        <v>0</v>
      </c>
      <c r="H994" s="34"/>
    </row>
    <row r="995" spans="1:8" ht="12.15" customHeight="1">
      <c r="A995" s="5"/>
      <c r="B995" s="5"/>
      <c r="C995" s="5"/>
      <c r="D995" s="926" t="s">
        <v>2651</v>
      </c>
      <c r="E995" s="927"/>
      <c r="F995" s="926"/>
      <c r="G995" s="57">
        <v>8.7050000000000002E-2</v>
      </c>
      <c r="H995" s="34"/>
    </row>
    <row r="996" spans="1:8" ht="12.15" customHeight="1">
      <c r="A996" s="5"/>
      <c r="B996" s="5"/>
      <c r="C996" s="5"/>
      <c r="D996" s="926" t="s">
        <v>2652</v>
      </c>
      <c r="E996" s="927"/>
      <c r="F996" s="926"/>
      <c r="G996" s="57">
        <v>6.93E-2</v>
      </c>
      <c r="H996" s="34"/>
    </row>
    <row r="997" spans="1:8" ht="12.15" customHeight="1">
      <c r="A997" s="5"/>
      <c r="B997" s="5"/>
      <c r="C997" s="5"/>
      <c r="D997" s="926" t="s">
        <v>2653</v>
      </c>
      <c r="E997" s="927"/>
      <c r="F997" s="926"/>
      <c r="G997" s="57">
        <v>0</v>
      </c>
      <c r="H997" s="34"/>
    </row>
    <row r="998" spans="1:8" ht="12.15" customHeight="1">
      <c r="A998" s="5"/>
      <c r="B998" s="5"/>
      <c r="C998" s="5"/>
      <c r="D998" s="926" t="s">
        <v>2654</v>
      </c>
      <c r="E998" s="927"/>
      <c r="F998" s="926"/>
      <c r="G998" s="57">
        <v>5.7205399999999997</v>
      </c>
      <c r="H998" s="34"/>
    </row>
    <row r="999" spans="1:8" ht="12.15" customHeight="1">
      <c r="A999" s="5"/>
      <c r="B999" s="5"/>
      <c r="C999" s="5"/>
      <c r="D999" s="926" t="s">
        <v>2655</v>
      </c>
      <c r="E999" s="927"/>
      <c r="F999" s="926"/>
      <c r="G999" s="57">
        <v>0.21471999999999999</v>
      </c>
      <c r="H999" s="34"/>
    </row>
    <row r="1000" spans="1:8">
      <c r="A1000" s="5" t="s">
        <v>192</v>
      </c>
      <c r="B1000" s="5"/>
      <c r="C1000" s="5" t="s">
        <v>795</v>
      </c>
      <c r="D1000" s="924" t="s">
        <v>1460</v>
      </c>
      <c r="E1000" s="925"/>
      <c r="F1000" s="5" t="s">
        <v>1940</v>
      </c>
      <c r="G1000" s="21">
        <v>29.67</v>
      </c>
      <c r="H1000" s="21">
        <v>0</v>
      </c>
    </row>
    <row r="1001" spans="1:8" ht="12.15" customHeight="1">
      <c r="D1001" s="926" t="s">
        <v>2656</v>
      </c>
      <c r="E1001" s="927"/>
      <c r="F1001" s="927"/>
      <c r="G1001" s="57">
        <v>29.67</v>
      </c>
    </row>
    <row r="1002" spans="1:8">
      <c r="A1002" s="5" t="s">
        <v>193</v>
      </c>
      <c r="B1002" s="5"/>
      <c r="C1002" s="5" t="s">
        <v>796</v>
      </c>
      <c r="D1002" s="924" t="s">
        <v>1461</v>
      </c>
      <c r="E1002" s="925"/>
      <c r="F1002" s="5" t="s">
        <v>1941</v>
      </c>
      <c r="G1002" s="21">
        <v>13.651</v>
      </c>
      <c r="H1002" s="21">
        <v>0</v>
      </c>
    </row>
    <row r="1003" spans="1:8" ht="12.15" customHeight="1">
      <c r="D1003" s="926" t="s">
        <v>2321</v>
      </c>
      <c r="E1003" s="927"/>
      <c r="F1003" s="927"/>
      <c r="G1003" s="57">
        <v>0</v>
      </c>
    </row>
    <row r="1004" spans="1:8" ht="12.15" customHeight="1">
      <c r="A1004" s="5"/>
      <c r="B1004" s="5"/>
      <c r="C1004" s="5"/>
      <c r="D1004" s="926" t="s">
        <v>2657</v>
      </c>
      <c r="E1004" s="927"/>
      <c r="F1004" s="926"/>
      <c r="G1004" s="57">
        <v>12.971</v>
      </c>
      <c r="H1004" s="34"/>
    </row>
    <row r="1005" spans="1:8" ht="12.15" customHeight="1">
      <c r="A1005" s="5"/>
      <c r="B1005" s="5"/>
      <c r="C1005" s="5"/>
      <c r="D1005" s="926" t="s">
        <v>2658</v>
      </c>
      <c r="E1005" s="927"/>
      <c r="F1005" s="926"/>
      <c r="G1005" s="57">
        <v>0.68</v>
      </c>
      <c r="H1005" s="34"/>
    </row>
    <row r="1006" spans="1:8">
      <c r="A1006" s="5" t="s">
        <v>194</v>
      </c>
      <c r="B1006" s="5"/>
      <c r="C1006" s="5" t="s">
        <v>797</v>
      </c>
      <c r="D1006" s="924" t="s">
        <v>1462</v>
      </c>
      <c r="E1006" s="925"/>
      <c r="F1006" s="5" t="s">
        <v>1940</v>
      </c>
      <c r="G1006" s="21">
        <v>27.341999999999999</v>
      </c>
      <c r="H1006" s="21">
        <v>0</v>
      </c>
    </row>
    <row r="1007" spans="1:8" ht="12.15" customHeight="1">
      <c r="D1007" s="926" t="s">
        <v>2128</v>
      </c>
      <c r="E1007" s="927"/>
      <c r="F1007" s="927"/>
      <c r="G1007" s="57">
        <v>0</v>
      </c>
    </row>
    <row r="1008" spans="1:8" ht="12.15" customHeight="1">
      <c r="A1008" s="5"/>
      <c r="B1008" s="5"/>
      <c r="C1008" s="5"/>
      <c r="D1008" s="926" t="s">
        <v>2659</v>
      </c>
      <c r="E1008" s="927"/>
      <c r="F1008" s="926"/>
      <c r="G1008" s="57">
        <v>16.946000000000002</v>
      </c>
      <c r="H1008" s="34"/>
    </row>
    <row r="1009" spans="1:8" ht="12.15" customHeight="1">
      <c r="A1009" s="5"/>
      <c r="B1009" s="5"/>
      <c r="C1009" s="5"/>
      <c r="D1009" s="926" t="s">
        <v>2660</v>
      </c>
      <c r="E1009" s="927"/>
      <c r="F1009" s="926"/>
      <c r="G1009" s="57">
        <v>10.396000000000001</v>
      </c>
      <c r="H1009" s="34"/>
    </row>
    <row r="1010" spans="1:8">
      <c r="A1010" s="5" t="s">
        <v>195</v>
      </c>
      <c r="B1010" s="5"/>
      <c r="C1010" s="5" t="s">
        <v>798</v>
      </c>
      <c r="D1010" s="924" t="s">
        <v>1463</v>
      </c>
      <c r="E1010" s="925"/>
      <c r="F1010" s="5" t="s">
        <v>1941</v>
      </c>
      <c r="G1010" s="21">
        <v>0.52500000000000002</v>
      </c>
      <c r="H1010" s="21">
        <v>0</v>
      </c>
    </row>
    <row r="1011" spans="1:8" ht="12.15" customHeight="1">
      <c r="D1011" s="926" t="s">
        <v>2661</v>
      </c>
      <c r="E1011" s="927"/>
      <c r="F1011" s="927"/>
      <c r="G1011" s="57">
        <v>0.52500000000000002</v>
      </c>
    </row>
    <row r="1012" spans="1:8">
      <c r="A1012" s="5" t="s">
        <v>196</v>
      </c>
      <c r="B1012" s="5"/>
      <c r="C1012" s="5" t="s">
        <v>799</v>
      </c>
      <c r="D1012" s="924" t="s">
        <v>1465</v>
      </c>
      <c r="E1012" s="925"/>
      <c r="F1012" s="5" t="s">
        <v>1941</v>
      </c>
      <c r="G1012" s="21">
        <v>3.1</v>
      </c>
      <c r="H1012" s="21">
        <v>0</v>
      </c>
    </row>
    <row r="1013" spans="1:8" ht="12.15" customHeight="1">
      <c r="D1013" s="926" t="s">
        <v>2662</v>
      </c>
      <c r="E1013" s="927"/>
      <c r="F1013" s="927"/>
      <c r="G1013" s="57">
        <v>3.1</v>
      </c>
    </row>
    <row r="1014" spans="1:8">
      <c r="A1014" s="5" t="s">
        <v>197</v>
      </c>
      <c r="B1014" s="5"/>
      <c r="C1014" s="5" t="s">
        <v>800</v>
      </c>
      <c r="D1014" s="924" t="s">
        <v>1466</v>
      </c>
      <c r="E1014" s="925"/>
      <c r="F1014" s="5" t="s">
        <v>1941</v>
      </c>
      <c r="G1014" s="21">
        <v>1.575</v>
      </c>
      <c r="H1014" s="21">
        <v>0</v>
      </c>
    </row>
    <row r="1015" spans="1:8" ht="12.15" customHeight="1">
      <c r="D1015" s="926" t="s">
        <v>2663</v>
      </c>
      <c r="E1015" s="927"/>
      <c r="F1015" s="927"/>
      <c r="G1015" s="57">
        <v>1.575</v>
      </c>
    </row>
    <row r="1016" spans="1:8">
      <c r="A1016" s="5" t="s">
        <v>198</v>
      </c>
      <c r="B1016" s="5"/>
      <c r="C1016" s="5" t="s">
        <v>801</v>
      </c>
      <c r="D1016" s="924" t="s">
        <v>1467</v>
      </c>
      <c r="E1016" s="925"/>
      <c r="F1016" s="5" t="s">
        <v>1941</v>
      </c>
      <c r="G1016" s="21">
        <v>8.36</v>
      </c>
      <c r="H1016" s="21">
        <v>0</v>
      </c>
    </row>
    <row r="1017" spans="1:8" ht="12.15" customHeight="1">
      <c r="D1017" s="926" t="s">
        <v>2664</v>
      </c>
      <c r="E1017" s="927"/>
      <c r="F1017" s="927"/>
      <c r="G1017" s="57">
        <v>8.36</v>
      </c>
    </row>
    <row r="1018" spans="1:8">
      <c r="A1018" s="5" t="s">
        <v>199</v>
      </c>
      <c r="B1018" s="5"/>
      <c r="C1018" s="5" t="s">
        <v>802</v>
      </c>
      <c r="D1018" s="924" t="s">
        <v>1468</v>
      </c>
      <c r="E1018" s="925"/>
      <c r="F1018" s="5" t="s">
        <v>1941</v>
      </c>
      <c r="G1018" s="21">
        <v>72.864999999999995</v>
      </c>
      <c r="H1018" s="21">
        <v>0</v>
      </c>
    </row>
    <row r="1019" spans="1:8" ht="12.15" customHeight="1">
      <c r="D1019" s="926" t="s">
        <v>2665</v>
      </c>
      <c r="E1019" s="927"/>
      <c r="F1019" s="927"/>
      <c r="G1019" s="57">
        <v>33.86</v>
      </c>
    </row>
    <row r="1020" spans="1:8" ht="12.15" customHeight="1">
      <c r="A1020" s="5"/>
      <c r="B1020" s="5"/>
      <c r="C1020" s="5"/>
      <c r="D1020" s="926" t="s">
        <v>2666</v>
      </c>
      <c r="E1020" s="927"/>
      <c r="F1020" s="926"/>
      <c r="G1020" s="57">
        <v>3.2</v>
      </c>
      <c r="H1020" s="34"/>
    </row>
    <row r="1021" spans="1:8" ht="12.15" customHeight="1">
      <c r="A1021" s="5"/>
      <c r="B1021" s="5"/>
      <c r="C1021" s="5"/>
      <c r="D1021" s="926" t="s">
        <v>2667</v>
      </c>
      <c r="E1021" s="927"/>
      <c r="F1021" s="926"/>
      <c r="G1021" s="57">
        <v>34.5</v>
      </c>
      <c r="H1021" s="34"/>
    </row>
    <row r="1022" spans="1:8" ht="12.15" customHeight="1">
      <c r="A1022" s="5"/>
      <c r="B1022" s="5"/>
      <c r="C1022" s="5"/>
      <c r="D1022" s="926" t="s">
        <v>2668</v>
      </c>
      <c r="E1022" s="927"/>
      <c r="F1022" s="926"/>
      <c r="G1022" s="57">
        <v>1.3049999999999999</v>
      </c>
      <c r="H1022" s="34"/>
    </row>
    <row r="1023" spans="1:8">
      <c r="A1023" s="5" t="s">
        <v>200</v>
      </c>
      <c r="B1023" s="5"/>
      <c r="C1023" s="5" t="s">
        <v>803</v>
      </c>
      <c r="D1023" s="924" t="s">
        <v>1469</v>
      </c>
      <c r="E1023" s="925"/>
      <c r="F1023" s="5" t="s">
        <v>1941</v>
      </c>
      <c r="G1023" s="21">
        <v>57.080919999999999</v>
      </c>
      <c r="H1023" s="21">
        <v>0</v>
      </c>
    </row>
    <row r="1024" spans="1:8" ht="12.15" customHeight="1">
      <c r="D1024" s="926" t="s">
        <v>2669</v>
      </c>
      <c r="E1024" s="927"/>
      <c r="F1024" s="927"/>
      <c r="G1024" s="57">
        <v>57.080919999999999</v>
      </c>
    </row>
    <row r="1025" spans="1:8">
      <c r="A1025" s="5" t="s">
        <v>201</v>
      </c>
      <c r="B1025" s="5"/>
      <c r="C1025" s="5" t="s">
        <v>804</v>
      </c>
      <c r="D1025" s="924" t="s">
        <v>1470</v>
      </c>
      <c r="E1025" s="925"/>
      <c r="F1025" s="5" t="s">
        <v>1941</v>
      </c>
      <c r="G1025" s="21">
        <v>117.19766</v>
      </c>
      <c r="H1025" s="21">
        <v>0</v>
      </c>
    </row>
    <row r="1026" spans="1:8" ht="12.15" customHeight="1">
      <c r="D1026" s="926" t="s">
        <v>2670</v>
      </c>
      <c r="E1026" s="927"/>
      <c r="F1026" s="927"/>
      <c r="G1026" s="57">
        <v>117.19766</v>
      </c>
    </row>
    <row r="1027" spans="1:8">
      <c r="A1027" s="5" t="s">
        <v>202</v>
      </c>
      <c r="B1027" s="5"/>
      <c r="C1027" s="5" t="s">
        <v>805</v>
      </c>
      <c r="D1027" s="924" t="s">
        <v>1471</v>
      </c>
      <c r="E1027" s="925"/>
      <c r="F1027" s="5" t="s">
        <v>1941</v>
      </c>
      <c r="G1027" s="21">
        <v>56.564999999999998</v>
      </c>
      <c r="H1027" s="21">
        <v>0</v>
      </c>
    </row>
    <row r="1028" spans="1:8" ht="12.15" customHeight="1">
      <c r="D1028" s="926" t="s">
        <v>2671</v>
      </c>
      <c r="E1028" s="927"/>
      <c r="F1028" s="927"/>
      <c r="G1028" s="57">
        <v>56.564999999999998</v>
      </c>
    </row>
    <row r="1029" spans="1:8">
      <c r="A1029" s="5" t="s">
        <v>203</v>
      </c>
      <c r="B1029" s="5"/>
      <c r="C1029" s="5" t="s">
        <v>806</v>
      </c>
      <c r="D1029" s="924" t="s">
        <v>1472</v>
      </c>
      <c r="E1029" s="925"/>
      <c r="F1029" s="5" t="s">
        <v>1939</v>
      </c>
      <c r="G1029" s="21">
        <v>83</v>
      </c>
      <c r="H1029" s="21">
        <v>0</v>
      </c>
    </row>
    <row r="1030" spans="1:8" ht="69.599999999999994" customHeight="1">
      <c r="C1030" s="54" t="s">
        <v>605</v>
      </c>
      <c r="D1030" s="917" t="s">
        <v>1474</v>
      </c>
      <c r="E1030" s="918"/>
      <c r="F1030" s="918"/>
      <c r="G1030" s="918"/>
    </row>
    <row r="1031" spans="1:8">
      <c r="A1031" s="14"/>
      <c r="B1031" s="14"/>
      <c r="C1031" s="14" t="s">
        <v>91</v>
      </c>
      <c r="D1031" s="930" t="s">
        <v>1475</v>
      </c>
      <c r="E1031" s="931"/>
      <c r="F1031" s="14"/>
      <c r="G1031" s="30"/>
      <c r="H1031" s="30"/>
    </row>
    <row r="1032" spans="1:8">
      <c r="A1032" s="5" t="s">
        <v>204</v>
      </c>
      <c r="B1032" s="5"/>
      <c r="C1032" s="5" t="s">
        <v>807</v>
      </c>
      <c r="D1032" s="924" t="s">
        <v>1476</v>
      </c>
      <c r="E1032" s="925"/>
      <c r="F1032" s="5" t="s">
        <v>1939</v>
      </c>
      <c r="G1032" s="21">
        <v>13.824999999999999</v>
      </c>
      <c r="H1032" s="21">
        <v>0</v>
      </c>
    </row>
    <row r="1033" spans="1:8" ht="12.15" customHeight="1">
      <c r="D1033" s="926" t="s">
        <v>2672</v>
      </c>
      <c r="E1033" s="927"/>
      <c r="F1033" s="927"/>
      <c r="G1033" s="57">
        <v>13.824999999999999</v>
      </c>
    </row>
    <row r="1034" spans="1:8" ht="25.65" customHeight="1">
      <c r="C1034" s="54" t="s">
        <v>605</v>
      </c>
      <c r="D1034" s="917" t="s">
        <v>1478</v>
      </c>
      <c r="E1034" s="918"/>
      <c r="F1034" s="918"/>
      <c r="G1034" s="918"/>
    </row>
    <row r="1035" spans="1:8">
      <c r="A1035" s="5" t="s">
        <v>205</v>
      </c>
      <c r="B1035" s="5"/>
      <c r="C1035" s="5" t="s">
        <v>808</v>
      </c>
      <c r="D1035" s="924" t="s">
        <v>1479</v>
      </c>
      <c r="E1035" s="925"/>
      <c r="F1035" s="5" t="s">
        <v>1943</v>
      </c>
      <c r="G1035" s="21">
        <v>2</v>
      </c>
      <c r="H1035" s="21">
        <v>0</v>
      </c>
    </row>
    <row r="1036" spans="1:8">
      <c r="A1036" s="5" t="s">
        <v>206</v>
      </c>
      <c r="B1036" s="5"/>
      <c r="C1036" s="5" t="s">
        <v>809</v>
      </c>
      <c r="D1036" s="924" t="s">
        <v>1480</v>
      </c>
      <c r="E1036" s="925"/>
      <c r="F1036" s="5" t="s">
        <v>1939</v>
      </c>
      <c r="G1036" s="21">
        <v>129.17699999999999</v>
      </c>
      <c r="H1036" s="21">
        <v>0</v>
      </c>
    </row>
    <row r="1037" spans="1:8" ht="12.15" customHeight="1">
      <c r="D1037" s="926" t="s">
        <v>2673</v>
      </c>
      <c r="E1037" s="927"/>
      <c r="F1037" s="927"/>
      <c r="G1037" s="57">
        <v>0</v>
      </c>
    </row>
    <row r="1038" spans="1:8" ht="12.15" customHeight="1">
      <c r="A1038" s="5"/>
      <c r="B1038" s="5"/>
      <c r="C1038" s="5"/>
      <c r="D1038" s="926" t="s">
        <v>2674</v>
      </c>
      <c r="E1038" s="927"/>
      <c r="F1038" s="926"/>
      <c r="G1038" s="57">
        <v>104.137</v>
      </c>
      <c r="H1038" s="34"/>
    </row>
    <row r="1039" spans="1:8" ht="12.15" customHeight="1">
      <c r="A1039" s="5"/>
      <c r="B1039" s="5"/>
      <c r="C1039" s="5"/>
      <c r="D1039" s="926" t="s">
        <v>2675</v>
      </c>
      <c r="E1039" s="927"/>
      <c r="F1039" s="926"/>
      <c r="G1039" s="57">
        <v>25.04</v>
      </c>
      <c r="H1039" s="34"/>
    </row>
    <row r="1040" spans="1:8" ht="25.65" customHeight="1">
      <c r="C1040" s="54" t="s">
        <v>605</v>
      </c>
      <c r="D1040" s="917" t="s">
        <v>1482</v>
      </c>
      <c r="E1040" s="918"/>
      <c r="F1040" s="918"/>
      <c r="G1040" s="918"/>
    </row>
    <row r="1041" spans="1:8">
      <c r="A1041" s="5" t="s">
        <v>207</v>
      </c>
      <c r="B1041" s="5"/>
      <c r="C1041" s="5" t="s">
        <v>810</v>
      </c>
      <c r="D1041" s="924" t="s">
        <v>1483</v>
      </c>
      <c r="E1041" s="925"/>
      <c r="F1041" s="5" t="s">
        <v>1939</v>
      </c>
      <c r="G1041" s="21">
        <v>23</v>
      </c>
      <c r="H1041" s="21">
        <v>0</v>
      </c>
    </row>
    <row r="1042" spans="1:8" ht="12.15" customHeight="1">
      <c r="D1042" s="926" t="s">
        <v>2676</v>
      </c>
      <c r="E1042" s="927"/>
      <c r="F1042" s="927"/>
      <c r="G1042" s="57">
        <v>23</v>
      </c>
    </row>
    <row r="1043" spans="1:8">
      <c r="A1043" s="6" t="s">
        <v>208</v>
      </c>
      <c r="B1043" s="6"/>
      <c r="C1043" s="6" t="s">
        <v>811</v>
      </c>
      <c r="D1043" s="928" t="s">
        <v>1484</v>
      </c>
      <c r="E1043" s="929"/>
      <c r="F1043" s="6" t="s">
        <v>1939</v>
      </c>
      <c r="G1043" s="22">
        <v>23</v>
      </c>
      <c r="H1043" s="22">
        <v>0</v>
      </c>
    </row>
    <row r="1044" spans="1:8">
      <c r="A1044" s="14"/>
      <c r="B1044" s="14"/>
      <c r="C1044" s="14" t="s">
        <v>97</v>
      </c>
      <c r="D1044" s="930" t="s">
        <v>1485</v>
      </c>
      <c r="E1044" s="931"/>
      <c r="F1044" s="14"/>
      <c r="G1044" s="30"/>
      <c r="H1044" s="30"/>
    </row>
    <row r="1045" spans="1:8">
      <c r="A1045" s="5" t="s">
        <v>209</v>
      </c>
      <c r="B1045" s="5"/>
      <c r="C1045" s="5" t="s">
        <v>812</v>
      </c>
      <c r="D1045" s="924" t="s">
        <v>1486</v>
      </c>
      <c r="E1045" s="925"/>
      <c r="F1045" s="5" t="s">
        <v>1940</v>
      </c>
      <c r="G1045" s="21">
        <v>5.7872399999999997</v>
      </c>
      <c r="H1045" s="21">
        <v>0</v>
      </c>
    </row>
    <row r="1046" spans="1:8" ht="12.15" customHeight="1">
      <c r="D1046" s="926" t="s">
        <v>2677</v>
      </c>
      <c r="E1046" s="927"/>
      <c r="F1046" s="927"/>
      <c r="G1046" s="57">
        <v>5.7872399999999997</v>
      </c>
    </row>
    <row r="1047" spans="1:8">
      <c r="A1047" s="14"/>
      <c r="B1047" s="14"/>
      <c r="C1047" s="14" t="s">
        <v>98</v>
      </c>
      <c r="D1047" s="930" t="s">
        <v>1487</v>
      </c>
      <c r="E1047" s="931"/>
      <c r="F1047" s="14"/>
      <c r="G1047" s="30"/>
      <c r="H1047" s="30"/>
    </row>
    <row r="1048" spans="1:8">
      <c r="A1048" s="5" t="s">
        <v>210</v>
      </c>
      <c r="B1048" s="5"/>
      <c r="C1048" s="5" t="s">
        <v>813</v>
      </c>
      <c r="D1048" s="924" t="s">
        <v>1488</v>
      </c>
      <c r="E1048" s="925"/>
      <c r="F1048" s="5" t="s">
        <v>1940</v>
      </c>
      <c r="G1048" s="21">
        <v>561.75</v>
      </c>
      <c r="H1048" s="21">
        <v>0</v>
      </c>
    </row>
    <row r="1049" spans="1:8" ht="12.15" customHeight="1">
      <c r="D1049" s="926" t="s">
        <v>2678</v>
      </c>
      <c r="E1049" s="927"/>
      <c r="F1049" s="927"/>
      <c r="G1049" s="57">
        <v>0</v>
      </c>
    </row>
    <row r="1050" spans="1:8" ht="12.15" customHeight="1">
      <c r="A1050" s="5"/>
      <c r="B1050" s="5"/>
      <c r="C1050" s="5"/>
      <c r="D1050" s="926" t="s">
        <v>2679</v>
      </c>
      <c r="E1050" s="927"/>
      <c r="F1050" s="926"/>
      <c r="G1050" s="57">
        <v>196.91</v>
      </c>
      <c r="H1050" s="34"/>
    </row>
    <row r="1051" spans="1:8" ht="12.15" customHeight="1">
      <c r="A1051" s="5"/>
      <c r="B1051" s="5"/>
      <c r="C1051" s="5"/>
      <c r="D1051" s="926" t="s">
        <v>2680</v>
      </c>
      <c r="E1051" s="927"/>
      <c r="F1051" s="926"/>
      <c r="G1051" s="57">
        <v>78.849999999999994</v>
      </c>
      <c r="H1051" s="34"/>
    </row>
    <row r="1052" spans="1:8" ht="12.15" customHeight="1">
      <c r="A1052" s="5"/>
      <c r="B1052" s="5"/>
      <c r="C1052" s="5"/>
      <c r="D1052" s="926" t="s">
        <v>2681</v>
      </c>
      <c r="E1052" s="927"/>
      <c r="F1052" s="926"/>
      <c r="G1052" s="57">
        <v>0</v>
      </c>
      <c r="H1052" s="34"/>
    </row>
    <row r="1053" spans="1:8" ht="12.15" customHeight="1">
      <c r="A1053" s="5"/>
      <c r="B1053" s="5"/>
      <c r="C1053" s="5"/>
      <c r="D1053" s="926" t="s">
        <v>2682</v>
      </c>
      <c r="E1053" s="927"/>
      <c r="F1053" s="926"/>
      <c r="G1053" s="57">
        <v>248.45</v>
      </c>
      <c r="H1053" s="34"/>
    </row>
    <row r="1054" spans="1:8" ht="12.15" customHeight="1">
      <c r="A1054" s="5"/>
      <c r="B1054" s="5"/>
      <c r="C1054" s="5"/>
      <c r="D1054" s="926" t="s">
        <v>2683</v>
      </c>
      <c r="E1054" s="927"/>
      <c r="F1054" s="926"/>
      <c r="G1054" s="57">
        <v>37.54</v>
      </c>
      <c r="H1054" s="34"/>
    </row>
    <row r="1055" spans="1:8">
      <c r="A1055" s="5" t="s">
        <v>211</v>
      </c>
      <c r="B1055" s="5"/>
      <c r="C1055" s="5" t="s">
        <v>814</v>
      </c>
      <c r="D1055" s="924" t="s">
        <v>1489</v>
      </c>
      <c r="E1055" s="925"/>
      <c r="F1055" s="5" t="s">
        <v>1940</v>
      </c>
      <c r="G1055" s="21">
        <v>618.05999999999995</v>
      </c>
      <c r="H1055" s="21">
        <v>0</v>
      </c>
    </row>
    <row r="1056" spans="1:8" ht="12.15" customHeight="1">
      <c r="D1056" s="926" t="s">
        <v>2684</v>
      </c>
      <c r="E1056" s="927"/>
      <c r="F1056" s="927"/>
      <c r="G1056" s="57">
        <v>0</v>
      </c>
    </row>
    <row r="1057" spans="1:8" ht="12.15" customHeight="1">
      <c r="A1057" s="5"/>
      <c r="B1057" s="5"/>
      <c r="C1057" s="5"/>
      <c r="D1057" s="926" t="s">
        <v>2685</v>
      </c>
      <c r="E1057" s="927"/>
      <c r="F1057" s="926"/>
      <c r="G1057" s="57">
        <v>581.42999999999995</v>
      </c>
      <c r="H1057" s="34"/>
    </row>
    <row r="1058" spans="1:8" ht="12.15" customHeight="1">
      <c r="A1058" s="5"/>
      <c r="B1058" s="5"/>
      <c r="C1058" s="5"/>
      <c r="D1058" s="926" t="s">
        <v>2686</v>
      </c>
      <c r="E1058" s="927"/>
      <c r="F1058" s="926"/>
      <c r="G1058" s="57">
        <v>36.630000000000003</v>
      </c>
      <c r="H1058" s="34"/>
    </row>
    <row r="1059" spans="1:8">
      <c r="A1059" s="5" t="s">
        <v>212</v>
      </c>
      <c r="B1059" s="5"/>
      <c r="C1059" s="5" t="s">
        <v>815</v>
      </c>
      <c r="D1059" s="924" t="s">
        <v>1490</v>
      </c>
      <c r="E1059" s="925"/>
      <c r="F1059" s="5" t="s">
        <v>1940</v>
      </c>
      <c r="G1059" s="21">
        <v>7519.2</v>
      </c>
      <c r="H1059" s="21">
        <v>0</v>
      </c>
    </row>
    <row r="1060" spans="1:8" ht="12.15" customHeight="1">
      <c r="D1060" s="926" t="s">
        <v>2687</v>
      </c>
      <c r="E1060" s="927"/>
      <c r="F1060" s="927"/>
      <c r="G1060" s="57">
        <v>7519.2</v>
      </c>
    </row>
    <row r="1061" spans="1:8">
      <c r="A1061" s="5" t="s">
        <v>213</v>
      </c>
      <c r="B1061" s="5"/>
      <c r="C1061" s="5" t="s">
        <v>816</v>
      </c>
      <c r="D1061" s="924" t="s">
        <v>1491</v>
      </c>
      <c r="E1061" s="925"/>
      <c r="F1061" s="5" t="s">
        <v>1940</v>
      </c>
      <c r="G1061" s="21">
        <v>1253.2</v>
      </c>
      <c r="H1061" s="21">
        <v>0</v>
      </c>
    </row>
    <row r="1062" spans="1:8" ht="12.15" customHeight="1">
      <c r="D1062" s="926" t="s">
        <v>2688</v>
      </c>
      <c r="E1062" s="927"/>
      <c r="F1062" s="927"/>
      <c r="G1062" s="57">
        <v>1253.2</v>
      </c>
    </row>
    <row r="1063" spans="1:8">
      <c r="A1063" s="5" t="s">
        <v>214</v>
      </c>
      <c r="B1063" s="5"/>
      <c r="C1063" s="5" t="s">
        <v>817</v>
      </c>
      <c r="D1063" s="924" t="s">
        <v>1492</v>
      </c>
      <c r="E1063" s="925"/>
      <c r="F1063" s="5" t="s">
        <v>1940</v>
      </c>
      <c r="G1063" s="21">
        <v>225576</v>
      </c>
      <c r="H1063" s="21">
        <v>0</v>
      </c>
    </row>
    <row r="1064" spans="1:8" ht="12.15" customHeight="1">
      <c r="D1064" s="926" t="s">
        <v>2689</v>
      </c>
      <c r="E1064" s="927"/>
      <c r="F1064" s="927"/>
      <c r="G1064" s="57">
        <v>225576</v>
      </c>
    </row>
    <row r="1065" spans="1:8">
      <c r="A1065" s="5" t="s">
        <v>215</v>
      </c>
      <c r="B1065" s="5"/>
      <c r="C1065" s="5" t="s">
        <v>818</v>
      </c>
      <c r="D1065" s="924" t="s">
        <v>1493</v>
      </c>
      <c r="E1065" s="925"/>
      <c r="F1065" s="5" t="s">
        <v>1940</v>
      </c>
      <c r="G1065" s="21">
        <v>1253.2</v>
      </c>
      <c r="H1065" s="21">
        <v>0</v>
      </c>
    </row>
    <row r="1066" spans="1:8">
      <c r="A1066" s="5" t="s">
        <v>216</v>
      </c>
      <c r="B1066" s="5"/>
      <c r="C1066" s="5" t="s">
        <v>819</v>
      </c>
      <c r="D1066" s="924" t="s">
        <v>1494</v>
      </c>
      <c r="E1066" s="925"/>
      <c r="F1066" s="5" t="s">
        <v>1940</v>
      </c>
      <c r="G1066" s="21">
        <v>1253.2</v>
      </c>
      <c r="H1066" s="21">
        <v>0</v>
      </c>
    </row>
    <row r="1067" spans="1:8">
      <c r="A1067" s="5" t="s">
        <v>217</v>
      </c>
      <c r="B1067" s="5"/>
      <c r="C1067" s="5" t="s">
        <v>820</v>
      </c>
      <c r="D1067" s="924" t="s">
        <v>1495</v>
      </c>
      <c r="E1067" s="925"/>
      <c r="F1067" s="5" t="s">
        <v>1940</v>
      </c>
      <c r="G1067" s="21">
        <v>1253.2</v>
      </c>
      <c r="H1067" s="21">
        <v>0</v>
      </c>
    </row>
    <row r="1068" spans="1:8">
      <c r="A1068" s="14"/>
      <c r="B1068" s="14"/>
      <c r="C1068" s="14" t="s">
        <v>99</v>
      </c>
      <c r="D1068" s="930" t="s">
        <v>1496</v>
      </c>
      <c r="E1068" s="931"/>
      <c r="F1068" s="14"/>
      <c r="G1068" s="30"/>
      <c r="H1068" s="30"/>
    </row>
    <row r="1069" spans="1:8">
      <c r="A1069" s="5" t="s">
        <v>218</v>
      </c>
      <c r="B1069" s="5"/>
      <c r="C1069" s="5" t="s">
        <v>821</v>
      </c>
      <c r="D1069" s="924" t="s">
        <v>1497</v>
      </c>
      <c r="E1069" s="925"/>
      <c r="F1069" s="5" t="s">
        <v>1940</v>
      </c>
      <c r="G1069" s="21">
        <v>1455.221</v>
      </c>
      <c r="H1069" s="21">
        <v>0</v>
      </c>
    </row>
    <row r="1070" spans="1:8" ht="12.15" customHeight="1">
      <c r="D1070" s="926" t="s">
        <v>2690</v>
      </c>
      <c r="E1070" s="927"/>
      <c r="F1070" s="927"/>
      <c r="G1070" s="57">
        <v>0</v>
      </c>
    </row>
    <row r="1071" spans="1:8" ht="12.15" customHeight="1">
      <c r="A1071" s="5"/>
      <c r="B1071" s="5"/>
      <c r="C1071" s="5"/>
      <c r="D1071" s="926" t="s">
        <v>2691</v>
      </c>
      <c r="E1071" s="927"/>
      <c r="F1071" s="926"/>
      <c r="G1071" s="57">
        <v>342.37099999999998</v>
      </c>
      <c r="H1071" s="34"/>
    </row>
    <row r="1072" spans="1:8" ht="12.15" customHeight="1">
      <c r="A1072" s="5"/>
      <c r="B1072" s="5"/>
      <c r="C1072" s="5"/>
      <c r="D1072" s="926" t="s">
        <v>2692</v>
      </c>
      <c r="E1072" s="927"/>
      <c r="F1072" s="926"/>
      <c r="G1072" s="57">
        <v>362.1</v>
      </c>
      <c r="H1072" s="34"/>
    </row>
    <row r="1073" spans="1:8" ht="12.15" customHeight="1">
      <c r="A1073" s="5"/>
      <c r="B1073" s="5"/>
      <c r="C1073" s="5"/>
      <c r="D1073" s="926" t="s">
        <v>2693</v>
      </c>
      <c r="E1073" s="927"/>
      <c r="F1073" s="926"/>
      <c r="G1073" s="57">
        <v>724.75</v>
      </c>
      <c r="H1073" s="34"/>
    </row>
    <row r="1074" spans="1:8" ht="12.15" customHeight="1">
      <c r="A1074" s="5"/>
      <c r="B1074" s="5"/>
      <c r="C1074" s="5"/>
      <c r="D1074" s="926" t="s">
        <v>2694</v>
      </c>
      <c r="E1074" s="927"/>
      <c r="F1074" s="926"/>
      <c r="G1074" s="57">
        <v>26</v>
      </c>
      <c r="H1074" s="34"/>
    </row>
    <row r="1075" spans="1:8">
      <c r="A1075" s="5" t="s">
        <v>219</v>
      </c>
      <c r="B1075" s="5"/>
      <c r="C1075" s="5" t="s">
        <v>822</v>
      </c>
      <c r="D1075" s="924" t="s">
        <v>1498</v>
      </c>
      <c r="E1075" s="925"/>
      <c r="F1075" s="5" t="s">
        <v>1943</v>
      </c>
      <c r="G1075" s="21">
        <v>14</v>
      </c>
      <c r="H1075" s="21">
        <v>0</v>
      </c>
    </row>
    <row r="1076" spans="1:8" ht="12.15" customHeight="1">
      <c r="D1076" s="926" t="s">
        <v>2695</v>
      </c>
      <c r="E1076" s="927"/>
      <c r="F1076" s="927"/>
      <c r="G1076" s="57">
        <v>3</v>
      </c>
    </row>
    <row r="1077" spans="1:8" ht="12.15" customHeight="1">
      <c r="A1077" s="5"/>
      <c r="B1077" s="5"/>
      <c r="C1077" s="5"/>
      <c r="D1077" s="926" t="s">
        <v>2696</v>
      </c>
      <c r="E1077" s="927"/>
      <c r="F1077" s="926"/>
      <c r="G1077" s="57">
        <v>3</v>
      </c>
      <c r="H1077" s="34"/>
    </row>
    <row r="1078" spans="1:8" ht="12.15" customHeight="1">
      <c r="A1078" s="5"/>
      <c r="B1078" s="5"/>
      <c r="C1078" s="5"/>
      <c r="D1078" s="926" t="s">
        <v>2697</v>
      </c>
      <c r="E1078" s="927"/>
      <c r="F1078" s="926"/>
      <c r="G1078" s="57">
        <v>2</v>
      </c>
      <c r="H1078" s="34"/>
    </row>
    <row r="1079" spans="1:8" ht="12.15" customHeight="1">
      <c r="A1079" s="5"/>
      <c r="B1079" s="5"/>
      <c r="C1079" s="5"/>
      <c r="D1079" s="926" t="s">
        <v>2698</v>
      </c>
      <c r="E1079" s="927"/>
      <c r="F1079" s="926"/>
      <c r="G1079" s="57">
        <v>5</v>
      </c>
      <c r="H1079" s="34"/>
    </row>
    <row r="1080" spans="1:8" ht="12.15" customHeight="1">
      <c r="A1080" s="5"/>
      <c r="B1080" s="5"/>
      <c r="C1080" s="5"/>
      <c r="D1080" s="926" t="s">
        <v>2699</v>
      </c>
      <c r="E1080" s="927"/>
      <c r="F1080" s="926"/>
      <c r="G1080" s="57">
        <v>1</v>
      </c>
      <c r="H1080" s="34"/>
    </row>
    <row r="1081" spans="1:8">
      <c r="A1081" s="6" t="s">
        <v>220</v>
      </c>
      <c r="B1081" s="6"/>
      <c r="C1081" s="6" t="s">
        <v>823</v>
      </c>
      <c r="D1081" s="928" t="s">
        <v>1499</v>
      </c>
      <c r="E1081" s="929"/>
      <c r="F1081" s="6" t="s">
        <v>1943</v>
      </c>
      <c r="G1081" s="22">
        <v>11</v>
      </c>
      <c r="H1081" s="22">
        <v>0</v>
      </c>
    </row>
    <row r="1082" spans="1:8">
      <c r="A1082" s="6" t="s">
        <v>221</v>
      </c>
      <c r="B1082" s="6"/>
      <c r="C1082" s="6" t="s">
        <v>824</v>
      </c>
      <c r="D1082" s="928" t="s">
        <v>1500</v>
      </c>
      <c r="E1082" s="929"/>
      <c r="F1082" s="6" t="s">
        <v>1943</v>
      </c>
      <c r="G1082" s="22">
        <v>3</v>
      </c>
      <c r="H1082" s="22">
        <v>0</v>
      </c>
    </row>
    <row r="1083" spans="1:8">
      <c r="A1083" s="5" t="s">
        <v>222</v>
      </c>
      <c r="B1083" s="5"/>
      <c r="C1083" s="5" t="s">
        <v>825</v>
      </c>
      <c r="D1083" s="924" t="s">
        <v>1501</v>
      </c>
      <c r="E1083" s="925"/>
      <c r="F1083" s="5" t="s">
        <v>1943</v>
      </c>
      <c r="G1083" s="21">
        <v>40</v>
      </c>
      <c r="H1083" s="21">
        <v>0</v>
      </c>
    </row>
    <row r="1084" spans="1:8">
      <c r="A1084" s="5" t="s">
        <v>223</v>
      </c>
      <c r="B1084" s="5"/>
      <c r="C1084" s="5" t="s">
        <v>826</v>
      </c>
      <c r="D1084" s="924" t="s">
        <v>1502</v>
      </c>
      <c r="E1084" s="925"/>
      <c r="F1084" s="5" t="s">
        <v>1941</v>
      </c>
      <c r="G1084" s="21">
        <v>4</v>
      </c>
      <c r="H1084" s="21">
        <v>0</v>
      </c>
    </row>
    <row r="1085" spans="1:8">
      <c r="A1085" s="5" t="s">
        <v>224</v>
      </c>
      <c r="B1085" s="5"/>
      <c r="C1085" s="5" t="s">
        <v>827</v>
      </c>
      <c r="D1085" s="924" t="s">
        <v>1503</v>
      </c>
      <c r="E1085" s="925"/>
      <c r="F1085" s="5" t="s">
        <v>1943</v>
      </c>
      <c r="G1085" s="21">
        <v>25</v>
      </c>
      <c r="H1085" s="21">
        <v>0</v>
      </c>
    </row>
    <row r="1086" spans="1:8">
      <c r="A1086" s="5" t="s">
        <v>225</v>
      </c>
      <c r="B1086" s="5"/>
      <c r="C1086" s="5" t="s">
        <v>828</v>
      </c>
      <c r="D1086" s="924" t="s">
        <v>1504</v>
      </c>
      <c r="E1086" s="925"/>
      <c r="F1086" s="5" t="s">
        <v>1943</v>
      </c>
      <c r="G1086" s="21">
        <v>40</v>
      </c>
      <c r="H1086" s="21">
        <v>0</v>
      </c>
    </row>
    <row r="1087" spans="1:8">
      <c r="A1087" s="5" t="s">
        <v>226</v>
      </c>
      <c r="B1087" s="5"/>
      <c r="C1087" s="5" t="s">
        <v>829</v>
      </c>
      <c r="D1087" s="924" t="s">
        <v>1505</v>
      </c>
      <c r="E1087" s="925"/>
      <c r="F1087" s="5" t="s">
        <v>1938</v>
      </c>
      <c r="G1087" s="21">
        <v>1</v>
      </c>
      <c r="H1087" s="21">
        <v>0</v>
      </c>
    </row>
    <row r="1088" spans="1:8" ht="179.7" customHeight="1">
      <c r="C1088" s="54" t="s">
        <v>605</v>
      </c>
      <c r="D1088" s="917" t="s">
        <v>1506</v>
      </c>
      <c r="E1088" s="918"/>
      <c r="F1088" s="918"/>
      <c r="G1088" s="918"/>
    </row>
    <row r="1089" spans="1:8">
      <c r="A1089" s="14"/>
      <c r="B1089" s="14"/>
      <c r="C1089" s="14" t="s">
        <v>100</v>
      </c>
      <c r="D1089" s="930" t="s">
        <v>1507</v>
      </c>
      <c r="E1089" s="931"/>
      <c r="F1089" s="14"/>
      <c r="G1089" s="30"/>
      <c r="H1089" s="30"/>
    </row>
    <row r="1090" spans="1:8">
      <c r="A1090" s="5" t="s">
        <v>227</v>
      </c>
      <c r="B1090" s="5"/>
      <c r="C1090" s="5" t="s">
        <v>830</v>
      </c>
      <c r="D1090" s="924" t="s">
        <v>1508</v>
      </c>
      <c r="E1090" s="925"/>
      <c r="F1090" s="5" t="s">
        <v>1941</v>
      </c>
      <c r="G1090" s="21">
        <v>1.1134999999999999</v>
      </c>
      <c r="H1090" s="21">
        <v>0</v>
      </c>
    </row>
    <row r="1091" spans="1:8" ht="12.15" customHeight="1">
      <c r="D1091" s="926" t="s">
        <v>2700</v>
      </c>
      <c r="E1091" s="927"/>
      <c r="F1091" s="927"/>
      <c r="G1091" s="57">
        <v>1.1134999999999999</v>
      </c>
    </row>
    <row r="1092" spans="1:8">
      <c r="A1092" s="5" t="s">
        <v>228</v>
      </c>
      <c r="B1092" s="5"/>
      <c r="C1092" s="5" t="s">
        <v>831</v>
      </c>
      <c r="D1092" s="924" t="s">
        <v>1509</v>
      </c>
      <c r="E1092" s="925"/>
      <c r="F1092" s="5" t="s">
        <v>1941</v>
      </c>
      <c r="G1092" s="21">
        <v>1.1134999999999999</v>
      </c>
      <c r="H1092" s="21">
        <v>0</v>
      </c>
    </row>
    <row r="1093" spans="1:8">
      <c r="A1093" s="5" t="s">
        <v>229</v>
      </c>
      <c r="B1093" s="5"/>
      <c r="C1093" s="5" t="s">
        <v>832</v>
      </c>
      <c r="D1093" s="924" t="s">
        <v>1510</v>
      </c>
      <c r="E1093" s="925"/>
      <c r="F1093" s="5" t="s">
        <v>1940</v>
      </c>
      <c r="G1093" s="21">
        <v>13.1</v>
      </c>
      <c r="H1093" s="21">
        <v>0</v>
      </c>
    </row>
    <row r="1094" spans="1:8" ht="12.15" customHeight="1">
      <c r="D1094" s="926" t="s">
        <v>2701</v>
      </c>
      <c r="E1094" s="927"/>
      <c r="F1094" s="927"/>
      <c r="G1094" s="57">
        <v>13.1</v>
      </c>
    </row>
    <row r="1095" spans="1:8">
      <c r="A1095" s="5" t="s">
        <v>230</v>
      </c>
      <c r="B1095" s="5"/>
      <c r="C1095" s="5" t="s">
        <v>833</v>
      </c>
      <c r="D1095" s="924" t="s">
        <v>1511</v>
      </c>
      <c r="E1095" s="925"/>
      <c r="F1095" s="5" t="s">
        <v>1940</v>
      </c>
      <c r="G1095" s="21">
        <v>14.56</v>
      </c>
      <c r="H1095" s="21">
        <v>0</v>
      </c>
    </row>
    <row r="1096" spans="1:8" ht="12.15" customHeight="1">
      <c r="D1096" s="926" t="s">
        <v>2702</v>
      </c>
      <c r="E1096" s="927"/>
      <c r="F1096" s="927"/>
      <c r="G1096" s="57">
        <v>14.56</v>
      </c>
    </row>
    <row r="1097" spans="1:8">
      <c r="A1097" s="5" t="s">
        <v>231</v>
      </c>
      <c r="B1097" s="5"/>
      <c r="C1097" s="5" t="s">
        <v>834</v>
      </c>
      <c r="D1097" s="924" t="s">
        <v>1512</v>
      </c>
      <c r="E1097" s="925"/>
      <c r="F1097" s="5" t="s">
        <v>1940</v>
      </c>
      <c r="G1097" s="21">
        <v>4.7249999999999996</v>
      </c>
      <c r="H1097" s="21">
        <v>0</v>
      </c>
    </row>
    <row r="1098" spans="1:8" ht="12.15" customHeight="1">
      <c r="D1098" s="926" t="s">
        <v>2703</v>
      </c>
      <c r="E1098" s="927"/>
      <c r="F1098" s="927"/>
      <c r="G1098" s="57">
        <v>4.7249999999999996</v>
      </c>
    </row>
    <row r="1099" spans="1:8">
      <c r="A1099" s="5" t="s">
        <v>232</v>
      </c>
      <c r="B1099" s="5"/>
      <c r="C1099" s="5" t="s">
        <v>835</v>
      </c>
      <c r="D1099" s="924" t="s">
        <v>1513</v>
      </c>
      <c r="E1099" s="925"/>
      <c r="F1099" s="5" t="s">
        <v>1940</v>
      </c>
      <c r="G1099" s="21">
        <v>5.85</v>
      </c>
      <c r="H1099" s="21">
        <v>0</v>
      </c>
    </row>
    <row r="1100" spans="1:8" ht="12.15" customHeight="1">
      <c r="D1100" s="926" t="s">
        <v>2704</v>
      </c>
      <c r="E1100" s="927"/>
      <c r="F1100" s="927"/>
      <c r="G1100" s="57">
        <v>5.85</v>
      </c>
    </row>
    <row r="1101" spans="1:8">
      <c r="A1101" s="5" t="s">
        <v>233</v>
      </c>
      <c r="B1101" s="5"/>
      <c r="C1101" s="5" t="s">
        <v>836</v>
      </c>
      <c r="D1101" s="924" t="s">
        <v>1514</v>
      </c>
      <c r="E1101" s="925"/>
      <c r="F1101" s="5" t="s">
        <v>1943</v>
      </c>
      <c r="G1101" s="21">
        <v>2</v>
      </c>
      <c r="H1101" s="21">
        <v>0</v>
      </c>
    </row>
    <row r="1102" spans="1:8" ht="12.15" customHeight="1">
      <c r="D1102" s="926" t="s">
        <v>2705</v>
      </c>
      <c r="E1102" s="927"/>
      <c r="F1102" s="927"/>
      <c r="G1102" s="57">
        <v>2</v>
      </c>
    </row>
    <row r="1103" spans="1:8">
      <c r="A1103" s="5" t="s">
        <v>234</v>
      </c>
      <c r="B1103" s="5"/>
      <c r="C1103" s="5" t="s">
        <v>837</v>
      </c>
      <c r="D1103" s="924" t="s">
        <v>1515</v>
      </c>
      <c r="E1103" s="925"/>
      <c r="F1103" s="5" t="s">
        <v>1940</v>
      </c>
      <c r="G1103" s="21">
        <v>2.25</v>
      </c>
      <c r="H1103" s="21">
        <v>0</v>
      </c>
    </row>
    <row r="1104" spans="1:8" ht="12.15" customHeight="1">
      <c r="D1104" s="926" t="s">
        <v>2706</v>
      </c>
      <c r="E1104" s="927"/>
      <c r="F1104" s="927"/>
      <c r="G1104" s="57">
        <v>2.25</v>
      </c>
    </row>
    <row r="1105" spans="1:8">
      <c r="A1105" s="5" t="s">
        <v>235</v>
      </c>
      <c r="B1105" s="5"/>
      <c r="C1105" s="5" t="s">
        <v>838</v>
      </c>
      <c r="D1105" s="924" t="s">
        <v>1516</v>
      </c>
      <c r="E1105" s="925"/>
      <c r="F1105" s="5" t="s">
        <v>1940</v>
      </c>
      <c r="G1105" s="21">
        <v>12.64</v>
      </c>
      <c r="H1105" s="21">
        <v>0</v>
      </c>
    </row>
    <row r="1106" spans="1:8" ht="12.15" customHeight="1">
      <c r="D1106" s="926" t="s">
        <v>2707</v>
      </c>
      <c r="E1106" s="927"/>
      <c r="F1106" s="927"/>
      <c r="G1106" s="57">
        <v>0</v>
      </c>
    </row>
    <row r="1107" spans="1:8" ht="12.15" customHeight="1">
      <c r="A1107" s="5"/>
      <c r="B1107" s="5"/>
      <c r="C1107" s="5"/>
      <c r="D1107" s="926" t="s">
        <v>2708</v>
      </c>
      <c r="E1107" s="927"/>
      <c r="F1107" s="926"/>
      <c r="G1107" s="57">
        <v>12.64</v>
      </c>
      <c r="H1107" s="34"/>
    </row>
    <row r="1108" spans="1:8">
      <c r="A1108" s="5" t="s">
        <v>236</v>
      </c>
      <c r="B1108" s="5"/>
      <c r="C1108" s="5" t="s">
        <v>839</v>
      </c>
      <c r="D1108" s="924" t="s">
        <v>1517</v>
      </c>
      <c r="E1108" s="925"/>
      <c r="F1108" s="5" t="s">
        <v>1943</v>
      </c>
      <c r="G1108" s="21">
        <v>9</v>
      </c>
      <c r="H1108" s="21">
        <v>0</v>
      </c>
    </row>
    <row r="1109" spans="1:8" ht="12.15" customHeight="1">
      <c r="D1109" s="926" t="s">
        <v>2709</v>
      </c>
      <c r="E1109" s="927"/>
      <c r="F1109" s="927"/>
      <c r="G1109" s="57">
        <v>9</v>
      </c>
    </row>
    <row r="1110" spans="1:8">
      <c r="A1110" s="5" t="s">
        <v>237</v>
      </c>
      <c r="B1110" s="5"/>
      <c r="C1110" s="5" t="s">
        <v>840</v>
      </c>
      <c r="D1110" s="924" t="s">
        <v>1518</v>
      </c>
      <c r="E1110" s="925"/>
      <c r="F1110" s="5" t="s">
        <v>1940</v>
      </c>
      <c r="G1110" s="21">
        <v>5.85</v>
      </c>
      <c r="H1110" s="21">
        <v>0</v>
      </c>
    </row>
    <row r="1111" spans="1:8" ht="12.15" customHeight="1">
      <c r="D1111" s="926" t="s">
        <v>2710</v>
      </c>
      <c r="E1111" s="927"/>
      <c r="F1111" s="927"/>
      <c r="G1111" s="57">
        <v>5.85</v>
      </c>
    </row>
    <row r="1112" spans="1:8">
      <c r="A1112" s="5" t="s">
        <v>238</v>
      </c>
      <c r="B1112" s="5"/>
      <c r="C1112" s="5" t="s">
        <v>841</v>
      </c>
      <c r="D1112" s="924" t="s">
        <v>1519</v>
      </c>
      <c r="E1112" s="925"/>
      <c r="F1112" s="5" t="s">
        <v>1941</v>
      </c>
      <c r="G1112" s="21">
        <v>0</v>
      </c>
      <c r="H1112" s="21">
        <v>0</v>
      </c>
    </row>
    <row r="1113" spans="1:8" ht="12.15" customHeight="1">
      <c r="D1113" s="926" t="s">
        <v>2711</v>
      </c>
      <c r="E1113" s="927"/>
      <c r="F1113" s="927"/>
      <c r="G1113" s="57">
        <v>0</v>
      </c>
    </row>
    <row r="1114" spans="1:8" ht="12.15" customHeight="1">
      <c r="A1114" s="5"/>
      <c r="B1114" s="5"/>
      <c r="C1114" s="5"/>
      <c r="D1114" s="926" t="s">
        <v>2712</v>
      </c>
      <c r="E1114" s="927"/>
      <c r="F1114" s="926"/>
      <c r="G1114" s="57">
        <v>0</v>
      </c>
      <c r="H1114" s="34"/>
    </row>
    <row r="1115" spans="1:8">
      <c r="A1115" s="5" t="s">
        <v>239</v>
      </c>
      <c r="B1115" s="5"/>
      <c r="C1115" s="5" t="s">
        <v>842</v>
      </c>
      <c r="D1115" s="924" t="s">
        <v>1520</v>
      </c>
      <c r="E1115" s="925"/>
      <c r="F1115" s="5" t="s">
        <v>1941</v>
      </c>
      <c r="G1115" s="21">
        <v>12.122999999999999</v>
      </c>
      <c r="H1115" s="21">
        <v>0</v>
      </c>
    </row>
    <row r="1116" spans="1:8" ht="12.15" customHeight="1">
      <c r="D1116" s="926" t="s">
        <v>2713</v>
      </c>
      <c r="E1116" s="927"/>
      <c r="F1116" s="927"/>
      <c r="G1116" s="57">
        <v>0</v>
      </c>
    </row>
    <row r="1117" spans="1:8" ht="12.15" customHeight="1">
      <c r="A1117" s="5"/>
      <c r="B1117" s="5"/>
      <c r="C1117" s="5"/>
      <c r="D1117" s="926" t="s">
        <v>2714</v>
      </c>
      <c r="E1117" s="927"/>
      <c r="F1117" s="926"/>
      <c r="G1117" s="57">
        <v>8.0310000000000006</v>
      </c>
      <c r="H1117" s="34"/>
    </row>
    <row r="1118" spans="1:8" ht="12.15" customHeight="1">
      <c r="A1118" s="5"/>
      <c r="B1118" s="5"/>
      <c r="C1118" s="5"/>
      <c r="D1118" s="926" t="s">
        <v>2715</v>
      </c>
      <c r="E1118" s="927"/>
      <c r="F1118" s="926"/>
      <c r="G1118" s="57">
        <v>4.0919999999999996</v>
      </c>
      <c r="H1118" s="34"/>
    </row>
    <row r="1119" spans="1:8">
      <c r="A1119" s="5" t="s">
        <v>240</v>
      </c>
      <c r="B1119" s="5"/>
      <c r="C1119" s="5" t="s">
        <v>843</v>
      </c>
      <c r="D1119" s="924" t="s">
        <v>1521</v>
      </c>
      <c r="E1119" s="925"/>
      <c r="F1119" s="5" t="s">
        <v>1941</v>
      </c>
      <c r="G1119" s="21">
        <v>10.442</v>
      </c>
      <c r="H1119" s="21">
        <v>0</v>
      </c>
    </row>
    <row r="1120" spans="1:8" ht="12.15" customHeight="1">
      <c r="D1120" s="926" t="s">
        <v>2716</v>
      </c>
      <c r="E1120" s="927"/>
      <c r="F1120" s="927"/>
      <c r="G1120" s="57">
        <v>2.5920000000000001</v>
      </c>
    </row>
    <row r="1121" spans="1:8" ht="12.15" customHeight="1">
      <c r="A1121" s="5"/>
      <c r="B1121" s="5"/>
      <c r="C1121" s="5"/>
      <c r="D1121" s="926" t="s">
        <v>2717</v>
      </c>
      <c r="E1121" s="927"/>
      <c r="F1121" s="926"/>
      <c r="G1121" s="57">
        <v>7.85</v>
      </c>
      <c r="H1121" s="34"/>
    </row>
    <row r="1122" spans="1:8">
      <c r="A1122" s="5" t="s">
        <v>241</v>
      </c>
      <c r="B1122" s="5"/>
      <c r="C1122" s="5" t="s">
        <v>844</v>
      </c>
      <c r="D1122" s="924" t="s">
        <v>1522</v>
      </c>
      <c r="E1122" s="925"/>
      <c r="F1122" s="5" t="s">
        <v>1941</v>
      </c>
      <c r="G1122" s="21">
        <v>1.00238</v>
      </c>
      <c r="H1122" s="21">
        <v>0</v>
      </c>
    </row>
    <row r="1123" spans="1:8" ht="12.15" customHeight="1">
      <c r="D1123" s="926" t="s">
        <v>2718</v>
      </c>
      <c r="E1123" s="927"/>
      <c r="F1123" s="927"/>
      <c r="G1123" s="57">
        <v>1.00238</v>
      </c>
    </row>
    <row r="1124" spans="1:8">
      <c r="A1124" s="5" t="s">
        <v>242</v>
      </c>
      <c r="B1124" s="5"/>
      <c r="C1124" s="5" t="s">
        <v>845</v>
      </c>
      <c r="D1124" s="924" t="s">
        <v>1523</v>
      </c>
      <c r="E1124" s="925"/>
      <c r="F1124" s="5" t="s">
        <v>1941</v>
      </c>
      <c r="G1124" s="21">
        <v>273.03750000000002</v>
      </c>
      <c r="H1124" s="21">
        <v>0</v>
      </c>
    </row>
    <row r="1125" spans="1:8" ht="12.15" customHeight="1">
      <c r="D1125" s="926" t="s">
        <v>2719</v>
      </c>
      <c r="E1125" s="927"/>
      <c r="F1125" s="927"/>
      <c r="G1125" s="57">
        <v>273.03750000000002</v>
      </c>
    </row>
    <row r="1126" spans="1:8">
      <c r="A1126" s="5" t="s">
        <v>243</v>
      </c>
      <c r="B1126" s="5"/>
      <c r="C1126" s="5" t="s">
        <v>846</v>
      </c>
      <c r="D1126" s="924" t="s">
        <v>1524</v>
      </c>
      <c r="E1126" s="925"/>
      <c r="F1126" s="5" t="s">
        <v>1939</v>
      </c>
      <c r="G1126" s="21">
        <v>25</v>
      </c>
      <c r="H1126" s="21">
        <v>0</v>
      </c>
    </row>
    <row r="1127" spans="1:8" ht="12.15" customHeight="1">
      <c r="D1127" s="926" t="s">
        <v>2720</v>
      </c>
      <c r="E1127" s="927"/>
      <c r="F1127" s="927"/>
      <c r="G1127" s="57">
        <v>25</v>
      </c>
    </row>
    <row r="1128" spans="1:8">
      <c r="A1128" s="5" t="s">
        <v>244</v>
      </c>
      <c r="B1128" s="5"/>
      <c r="C1128" s="5" t="s">
        <v>846</v>
      </c>
      <c r="D1128" s="924" t="s">
        <v>1525</v>
      </c>
      <c r="E1128" s="925"/>
      <c r="F1128" s="5" t="s">
        <v>1943</v>
      </c>
      <c r="G1128" s="21">
        <v>1</v>
      </c>
      <c r="H1128" s="21">
        <v>0</v>
      </c>
    </row>
    <row r="1129" spans="1:8">
      <c r="A1129" s="14"/>
      <c r="B1129" s="14"/>
      <c r="C1129" s="14" t="s">
        <v>101</v>
      </c>
      <c r="D1129" s="930" t="s">
        <v>1526</v>
      </c>
      <c r="E1129" s="931"/>
      <c r="F1129" s="14"/>
      <c r="G1129" s="30"/>
      <c r="H1129" s="30"/>
    </row>
    <row r="1130" spans="1:8">
      <c r="A1130" s="5" t="s">
        <v>245</v>
      </c>
      <c r="B1130" s="5"/>
      <c r="C1130" s="5" t="s">
        <v>847</v>
      </c>
      <c r="D1130" s="924" t="s">
        <v>1527</v>
      </c>
      <c r="E1130" s="925"/>
      <c r="F1130" s="5" t="s">
        <v>1940</v>
      </c>
      <c r="G1130" s="21">
        <v>27</v>
      </c>
      <c r="H1130" s="21">
        <v>0</v>
      </c>
    </row>
    <row r="1131" spans="1:8" ht="12.15" customHeight="1">
      <c r="D1131" s="926" t="s">
        <v>2721</v>
      </c>
      <c r="E1131" s="927"/>
      <c r="F1131" s="927"/>
      <c r="G1131" s="57">
        <v>27</v>
      </c>
    </row>
    <row r="1132" spans="1:8">
      <c r="A1132" s="5" t="s">
        <v>246</v>
      </c>
      <c r="B1132" s="5"/>
      <c r="C1132" s="5" t="s">
        <v>848</v>
      </c>
      <c r="D1132" s="924" t="s">
        <v>1528</v>
      </c>
      <c r="E1132" s="925"/>
      <c r="F1132" s="5" t="s">
        <v>1939</v>
      </c>
      <c r="G1132" s="21">
        <v>10</v>
      </c>
      <c r="H1132" s="21">
        <v>0</v>
      </c>
    </row>
    <row r="1133" spans="1:8" ht="12.15" customHeight="1">
      <c r="D1133" s="926" t="s">
        <v>2722</v>
      </c>
      <c r="E1133" s="927"/>
      <c r="F1133" s="927"/>
      <c r="G1133" s="57">
        <v>10</v>
      </c>
    </row>
    <row r="1134" spans="1:8">
      <c r="A1134" s="5" t="s">
        <v>247</v>
      </c>
      <c r="B1134" s="5"/>
      <c r="C1134" s="5" t="s">
        <v>849</v>
      </c>
      <c r="D1134" s="924" t="s">
        <v>1529</v>
      </c>
      <c r="E1134" s="925"/>
      <c r="F1134" s="5" t="s">
        <v>1939</v>
      </c>
      <c r="G1134" s="21">
        <v>8.75</v>
      </c>
      <c r="H1134" s="21">
        <v>0</v>
      </c>
    </row>
    <row r="1135" spans="1:8" ht="12.15" customHeight="1">
      <c r="D1135" s="926" t="s">
        <v>2723</v>
      </c>
      <c r="E1135" s="927"/>
      <c r="F1135" s="927"/>
      <c r="G1135" s="57">
        <v>8.75</v>
      </c>
    </row>
    <row r="1136" spans="1:8">
      <c r="A1136" s="14"/>
      <c r="B1136" s="14"/>
      <c r="C1136" s="14" t="s">
        <v>102</v>
      </c>
      <c r="D1136" s="930" t="s">
        <v>1530</v>
      </c>
      <c r="E1136" s="931"/>
      <c r="F1136" s="14"/>
      <c r="G1136" s="30"/>
      <c r="H1136" s="30"/>
    </row>
    <row r="1137" spans="1:8">
      <c r="A1137" s="5" t="s">
        <v>248</v>
      </c>
      <c r="B1137" s="5"/>
      <c r="C1137" s="5" t="s">
        <v>850</v>
      </c>
      <c r="D1137" s="924" t="s">
        <v>1531</v>
      </c>
      <c r="E1137" s="925"/>
      <c r="F1137" s="5" t="s">
        <v>1941</v>
      </c>
      <c r="G1137" s="21">
        <v>2095.73522</v>
      </c>
      <c r="H1137" s="21">
        <v>0</v>
      </c>
    </row>
    <row r="1138" spans="1:8" ht="12.15" customHeight="1">
      <c r="D1138" s="926" t="s">
        <v>2724</v>
      </c>
      <c r="E1138" s="927"/>
      <c r="F1138" s="927"/>
      <c r="G1138" s="57">
        <v>0</v>
      </c>
    </row>
    <row r="1139" spans="1:8" ht="12.15" customHeight="1">
      <c r="A1139" s="5"/>
      <c r="B1139" s="5"/>
      <c r="C1139" s="5"/>
      <c r="D1139" s="926" t="s">
        <v>2725</v>
      </c>
      <c r="E1139" s="927"/>
      <c r="F1139" s="926"/>
      <c r="G1139" s="57">
        <v>78.98433</v>
      </c>
      <c r="H1139" s="34"/>
    </row>
    <row r="1140" spans="1:8" ht="12.15" customHeight="1">
      <c r="A1140" s="5"/>
      <c r="B1140" s="5"/>
      <c r="C1140" s="5"/>
      <c r="D1140" s="926" t="s">
        <v>2726</v>
      </c>
      <c r="E1140" s="927"/>
      <c r="F1140" s="926"/>
      <c r="G1140" s="57">
        <v>1583.175</v>
      </c>
      <c r="H1140" s="34"/>
    </row>
    <row r="1141" spans="1:8" ht="12.15" customHeight="1">
      <c r="A1141" s="5"/>
      <c r="B1141" s="5"/>
      <c r="C1141" s="5"/>
      <c r="D1141" s="926" t="s">
        <v>2727</v>
      </c>
      <c r="E1141" s="927"/>
      <c r="F1141" s="926"/>
      <c r="G1141" s="57">
        <v>369.36151000000001</v>
      </c>
      <c r="H1141" s="34"/>
    </row>
    <row r="1142" spans="1:8" ht="12.15" customHeight="1">
      <c r="A1142" s="5"/>
      <c r="B1142" s="5"/>
      <c r="C1142" s="5"/>
      <c r="D1142" s="926" t="s">
        <v>2728</v>
      </c>
      <c r="E1142" s="927"/>
      <c r="F1142" s="926"/>
      <c r="G1142" s="57">
        <v>64.214380000000006</v>
      </c>
      <c r="H1142" s="34"/>
    </row>
    <row r="1143" spans="1:8">
      <c r="A1143" s="5" t="s">
        <v>249</v>
      </c>
      <c r="B1143" s="5"/>
      <c r="C1143" s="5" t="s">
        <v>851</v>
      </c>
      <c r="D1143" s="924" t="s">
        <v>1532</v>
      </c>
      <c r="E1143" s="925"/>
      <c r="F1143" s="5" t="s">
        <v>1941</v>
      </c>
      <c r="G1143" s="21">
        <v>52.5</v>
      </c>
      <c r="H1143" s="21">
        <v>0</v>
      </c>
    </row>
    <row r="1144" spans="1:8" ht="12.15" customHeight="1">
      <c r="D1144" s="926" t="s">
        <v>2729</v>
      </c>
      <c r="E1144" s="927"/>
      <c r="F1144" s="927"/>
      <c r="G1144" s="57">
        <v>0</v>
      </c>
    </row>
    <row r="1145" spans="1:8" ht="12.15" customHeight="1">
      <c r="A1145" s="5"/>
      <c r="B1145" s="5"/>
      <c r="C1145" s="5"/>
      <c r="D1145" s="926" t="s">
        <v>2730</v>
      </c>
      <c r="E1145" s="927"/>
      <c r="F1145" s="926"/>
      <c r="G1145" s="57">
        <v>52.5</v>
      </c>
      <c r="H1145" s="34"/>
    </row>
    <row r="1146" spans="1:8">
      <c r="A1146" s="5" t="s">
        <v>250</v>
      </c>
      <c r="B1146" s="5"/>
      <c r="C1146" s="5" t="s">
        <v>852</v>
      </c>
      <c r="D1146" s="924" t="s">
        <v>1533</v>
      </c>
      <c r="E1146" s="925"/>
      <c r="F1146" s="5" t="s">
        <v>1941</v>
      </c>
      <c r="G1146" s="21">
        <v>45.26614</v>
      </c>
      <c r="H1146" s="21">
        <v>0</v>
      </c>
    </row>
    <row r="1147" spans="1:8" ht="12.15" customHeight="1">
      <c r="D1147" s="926" t="s">
        <v>2731</v>
      </c>
      <c r="E1147" s="927"/>
      <c r="F1147" s="927"/>
      <c r="G1147" s="57">
        <v>45.26614</v>
      </c>
    </row>
    <row r="1148" spans="1:8">
      <c r="A1148" s="14"/>
      <c r="B1148" s="14"/>
      <c r="C1148" s="14" t="s">
        <v>103</v>
      </c>
      <c r="D1148" s="930" t="s">
        <v>1534</v>
      </c>
      <c r="E1148" s="931"/>
      <c r="F1148" s="14"/>
      <c r="G1148" s="30"/>
      <c r="H1148" s="30"/>
    </row>
    <row r="1149" spans="1:8">
      <c r="A1149" s="5" t="s">
        <v>251</v>
      </c>
      <c r="B1149" s="5"/>
      <c r="C1149" s="5" t="s">
        <v>853</v>
      </c>
      <c r="D1149" s="924" t="s">
        <v>1535</v>
      </c>
      <c r="E1149" s="925"/>
      <c r="F1149" s="5" t="s">
        <v>1942</v>
      </c>
      <c r="G1149" s="21">
        <v>4688.5666199999996</v>
      </c>
      <c r="H1149" s="21">
        <v>0</v>
      </c>
    </row>
    <row r="1150" spans="1:8">
      <c r="A1150" s="14"/>
      <c r="B1150" s="14"/>
      <c r="C1150" s="14" t="s">
        <v>854</v>
      </c>
      <c r="D1150" s="930" t="s">
        <v>1536</v>
      </c>
      <c r="E1150" s="931"/>
      <c r="F1150" s="14"/>
      <c r="G1150" s="30"/>
      <c r="H1150" s="30"/>
    </row>
    <row r="1151" spans="1:8">
      <c r="A1151" s="5" t="s">
        <v>252</v>
      </c>
      <c r="B1151" s="5"/>
      <c r="C1151" s="5" t="s">
        <v>855</v>
      </c>
      <c r="D1151" s="924" t="s">
        <v>1537</v>
      </c>
      <c r="E1151" s="925"/>
      <c r="F1151" s="5" t="s">
        <v>1942</v>
      </c>
      <c r="G1151" s="21">
        <v>1964.7370699999999</v>
      </c>
      <c r="H1151" s="21">
        <v>0</v>
      </c>
    </row>
    <row r="1152" spans="1:8">
      <c r="A1152" s="5" t="s">
        <v>253</v>
      </c>
      <c r="B1152" s="5"/>
      <c r="C1152" s="5" t="s">
        <v>856</v>
      </c>
      <c r="D1152" s="924" t="s">
        <v>1538</v>
      </c>
      <c r="E1152" s="925"/>
      <c r="F1152" s="5" t="s">
        <v>1942</v>
      </c>
      <c r="G1152" s="21">
        <v>37330.004330000003</v>
      </c>
      <c r="H1152" s="21">
        <v>0</v>
      </c>
    </row>
    <row r="1153" spans="1:8" ht="12.15" customHeight="1">
      <c r="D1153" s="926" t="s">
        <v>2732</v>
      </c>
      <c r="E1153" s="927"/>
      <c r="F1153" s="927"/>
      <c r="G1153" s="57">
        <v>37330.004330000003</v>
      </c>
    </row>
    <row r="1154" spans="1:8">
      <c r="A1154" s="5" t="s">
        <v>254</v>
      </c>
      <c r="B1154" s="5"/>
      <c r="C1154" s="5" t="s">
        <v>857</v>
      </c>
      <c r="D1154" s="924" t="s">
        <v>1539</v>
      </c>
      <c r="E1154" s="925"/>
      <c r="F1154" s="5" t="s">
        <v>1942</v>
      </c>
      <c r="G1154" s="21">
        <v>3.9100199999999998</v>
      </c>
      <c r="H1154" s="21">
        <v>0</v>
      </c>
    </row>
    <row r="1155" spans="1:8">
      <c r="A1155" s="5" t="s">
        <v>255</v>
      </c>
      <c r="B1155" s="5"/>
      <c r="C1155" s="5" t="s">
        <v>858</v>
      </c>
      <c r="D1155" s="924" t="s">
        <v>1540</v>
      </c>
      <c r="E1155" s="925"/>
      <c r="F1155" s="5" t="s">
        <v>1942</v>
      </c>
      <c r="G1155" s="21">
        <v>0.12576000000000001</v>
      </c>
      <c r="H1155" s="21">
        <v>0</v>
      </c>
    </row>
    <row r="1156" spans="1:8" ht="12.15" customHeight="1">
      <c r="D1156" s="926" t="s">
        <v>2733</v>
      </c>
      <c r="E1156" s="927"/>
      <c r="F1156" s="927"/>
      <c r="G1156" s="57">
        <v>0.12576000000000001</v>
      </c>
    </row>
    <row r="1157" spans="1:8">
      <c r="A1157" s="5" t="s">
        <v>256</v>
      </c>
      <c r="B1157" s="5"/>
      <c r="C1157" s="5" t="s">
        <v>859</v>
      </c>
      <c r="D1157" s="924" t="s">
        <v>1541</v>
      </c>
      <c r="E1157" s="925"/>
      <c r="F1157" s="5" t="s">
        <v>1942</v>
      </c>
      <c r="G1157" s="21">
        <v>5.1840000000000002</v>
      </c>
      <c r="H1157" s="21">
        <v>0</v>
      </c>
    </row>
    <row r="1158" spans="1:8">
      <c r="A1158" s="5" t="s">
        <v>257</v>
      </c>
      <c r="B1158" s="5"/>
      <c r="C1158" s="5" t="s">
        <v>860</v>
      </c>
      <c r="D1158" s="924" t="s">
        <v>1542</v>
      </c>
      <c r="E1158" s="925"/>
      <c r="F1158" s="5" t="s">
        <v>1942</v>
      </c>
      <c r="G1158" s="21">
        <v>0.35882999999999998</v>
      </c>
      <c r="H1158" s="21">
        <v>0</v>
      </c>
    </row>
    <row r="1159" spans="1:8">
      <c r="A1159" s="5" t="s">
        <v>258</v>
      </c>
      <c r="B1159" s="5"/>
      <c r="C1159" s="5" t="s">
        <v>861</v>
      </c>
      <c r="D1159" s="924" t="s">
        <v>1543</v>
      </c>
      <c r="E1159" s="925"/>
      <c r="F1159" s="5" t="s">
        <v>1942</v>
      </c>
      <c r="G1159" s="21">
        <v>1.1259999999999999</v>
      </c>
      <c r="H1159" s="21">
        <v>0</v>
      </c>
    </row>
    <row r="1160" spans="1:8" ht="12.15" customHeight="1">
      <c r="D1160" s="926" t="s">
        <v>2734</v>
      </c>
      <c r="E1160" s="927"/>
      <c r="F1160" s="927"/>
      <c r="G1160" s="57">
        <v>1.1259999999999999</v>
      </c>
    </row>
    <row r="1161" spans="1:8">
      <c r="A1161" s="5" t="s">
        <v>259</v>
      </c>
      <c r="B1161" s="5"/>
      <c r="C1161" s="5" t="s">
        <v>862</v>
      </c>
      <c r="D1161" s="924" t="s">
        <v>1544</v>
      </c>
      <c r="E1161" s="925"/>
      <c r="F1161" s="5" t="s">
        <v>1942</v>
      </c>
      <c r="G1161" s="21">
        <v>20</v>
      </c>
      <c r="H1161" s="21">
        <v>0</v>
      </c>
    </row>
    <row r="1162" spans="1:8">
      <c r="A1162" s="5" t="s">
        <v>260</v>
      </c>
      <c r="B1162" s="5"/>
      <c r="C1162" s="5" t="s">
        <v>863</v>
      </c>
      <c r="D1162" s="924" t="s">
        <v>1545</v>
      </c>
      <c r="E1162" s="925"/>
      <c r="F1162" s="5" t="s">
        <v>1942</v>
      </c>
      <c r="G1162" s="21">
        <v>130.88659999999999</v>
      </c>
      <c r="H1162" s="21">
        <v>0</v>
      </c>
    </row>
    <row r="1163" spans="1:8" ht="12.15" customHeight="1">
      <c r="D1163" s="926" t="s">
        <v>2735</v>
      </c>
      <c r="E1163" s="927"/>
      <c r="F1163" s="927"/>
      <c r="G1163" s="57">
        <v>130.88659999999999</v>
      </c>
    </row>
    <row r="1164" spans="1:8">
      <c r="A1164" s="77" t="s">
        <v>261</v>
      </c>
      <c r="B1164" s="77"/>
      <c r="C1164" s="77" t="s">
        <v>864</v>
      </c>
      <c r="D1164" s="936" t="s">
        <v>1546</v>
      </c>
      <c r="E1164" s="935"/>
      <c r="F1164" s="77" t="s">
        <v>1942</v>
      </c>
      <c r="G1164" s="79">
        <v>1803.1458600000001</v>
      </c>
      <c r="H1164" s="78">
        <v>0</v>
      </c>
    </row>
    <row r="1165" spans="1:8" ht="12.15" customHeight="1">
      <c r="D1165" s="926" t="s">
        <v>2736</v>
      </c>
      <c r="E1165" s="927"/>
      <c r="F1165" s="927"/>
      <c r="G1165" s="57">
        <v>1803.1458600000001</v>
      </c>
    </row>
    <row r="1166" spans="1:8">
      <c r="A1166" s="14"/>
      <c r="B1166" s="14"/>
      <c r="C1166" s="14" t="s">
        <v>865</v>
      </c>
      <c r="D1166" s="930" t="s">
        <v>1548</v>
      </c>
      <c r="E1166" s="931"/>
      <c r="F1166" s="14"/>
      <c r="G1166" s="30"/>
      <c r="H1166" s="30"/>
    </row>
    <row r="1167" spans="1:8">
      <c r="A1167" s="5" t="s">
        <v>262</v>
      </c>
      <c r="B1167" s="5"/>
      <c r="C1167" s="5" t="s">
        <v>866</v>
      </c>
      <c r="D1167" s="924" t="s">
        <v>1549</v>
      </c>
      <c r="E1167" s="925"/>
      <c r="F1167" s="5" t="s">
        <v>1940</v>
      </c>
      <c r="G1167" s="21">
        <v>220.5</v>
      </c>
      <c r="H1167" s="21">
        <v>0</v>
      </c>
    </row>
    <row r="1168" spans="1:8" ht="12.15" customHeight="1">
      <c r="D1168" s="926" t="s">
        <v>2413</v>
      </c>
      <c r="E1168" s="927"/>
      <c r="F1168" s="927"/>
      <c r="G1168" s="57">
        <v>0</v>
      </c>
    </row>
    <row r="1169" spans="1:8" ht="12.15" customHeight="1">
      <c r="A1169" s="5"/>
      <c r="B1169" s="5"/>
      <c r="C1169" s="5"/>
      <c r="D1169" s="926" t="s">
        <v>2588</v>
      </c>
      <c r="E1169" s="927"/>
      <c r="F1169" s="926"/>
      <c r="G1169" s="57">
        <v>0</v>
      </c>
      <c r="H1169" s="34"/>
    </row>
    <row r="1170" spans="1:8" ht="12.15" customHeight="1">
      <c r="A1170" s="5"/>
      <c r="B1170" s="5"/>
      <c r="C1170" s="5"/>
      <c r="D1170" s="926" t="s">
        <v>2737</v>
      </c>
      <c r="E1170" s="927"/>
      <c r="F1170" s="926"/>
      <c r="G1170" s="57">
        <v>181.18</v>
      </c>
      <c r="H1170" s="34"/>
    </row>
    <row r="1171" spans="1:8" ht="12.15" customHeight="1">
      <c r="A1171" s="5"/>
      <c r="B1171" s="5"/>
      <c r="C1171" s="5"/>
      <c r="D1171" s="926" t="s">
        <v>2738</v>
      </c>
      <c r="E1171" s="927"/>
      <c r="F1171" s="926"/>
      <c r="G1171" s="57">
        <v>0</v>
      </c>
      <c r="H1171" s="34"/>
    </row>
    <row r="1172" spans="1:8" ht="12.15" customHeight="1">
      <c r="A1172" s="5"/>
      <c r="B1172" s="5"/>
      <c r="C1172" s="5"/>
      <c r="D1172" s="926" t="s">
        <v>2580</v>
      </c>
      <c r="E1172" s="927"/>
      <c r="F1172" s="926"/>
      <c r="G1172" s="57">
        <v>0</v>
      </c>
      <c r="H1172" s="34"/>
    </row>
    <row r="1173" spans="1:8" ht="12.15" customHeight="1">
      <c r="A1173" s="5"/>
      <c r="B1173" s="5"/>
      <c r="C1173" s="5"/>
      <c r="D1173" s="926" t="s">
        <v>2739</v>
      </c>
      <c r="E1173" s="927"/>
      <c r="F1173" s="926"/>
      <c r="G1173" s="57">
        <v>37.22</v>
      </c>
      <c r="H1173" s="34"/>
    </row>
    <row r="1174" spans="1:8" ht="12.15" customHeight="1">
      <c r="A1174" s="5"/>
      <c r="B1174" s="5"/>
      <c r="C1174" s="5"/>
      <c r="D1174" s="926" t="s">
        <v>2582</v>
      </c>
      <c r="E1174" s="927"/>
      <c r="F1174" s="926"/>
      <c r="G1174" s="57">
        <v>0</v>
      </c>
      <c r="H1174" s="34"/>
    </row>
    <row r="1175" spans="1:8" ht="12.15" customHeight="1">
      <c r="A1175" s="5"/>
      <c r="B1175" s="5"/>
      <c r="C1175" s="5"/>
      <c r="D1175" s="926" t="s">
        <v>2740</v>
      </c>
      <c r="E1175" s="927"/>
      <c r="F1175" s="926"/>
      <c r="G1175" s="57">
        <v>2.1</v>
      </c>
      <c r="H1175" s="34"/>
    </row>
    <row r="1176" spans="1:8">
      <c r="A1176" s="6" t="s">
        <v>263</v>
      </c>
      <c r="B1176" s="6"/>
      <c r="C1176" s="6" t="s">
        <v>661</v>
      </c>
      <c r="D1176" s="928" t="s">
        <v>1550</v>
      </c>
      <c r="E1176" s="929"/>
      <c r="F1176" s="6" t="s">
        <v>1940</v>
      </c>
      <c r="G1176" s="22">
        <v>253.57499999999999</v>
      </c>
      <c r="H1176" s="22">
        <v>0</v>
      </c>
    </row>
    <row r="1177" spans="1:8" ht="12.15" customHeight="1">
      <c r="D1177" s="932" t="s">
        <v>2741</v>
      </c>
      <c r="E1177" s="933"/>
      <c r="F1177" s="933"/>
      <c r="G1177" s="58">
        <v>220.5</v>
      </c>
    </row>
    <row r="1178" spans="1:8" ht="12.15" customHeight="1">
      <c r="A1178" s="6"/>
      <c r="B1178" s="6"/>
      <c r="C1178" s="6"/>
      <c r="D1178" s="932" t="s">
        <v>2742</v>
      </c>
      <c r="E1178" s="933"/>
      <c r="F1178" s="932"/>
      <c r="G1178" s="58">
        <v>33.075000000000003</v>
      </c>
      <c r="H1178" s="35"/>
    </row>
    <row r="1179" spans="1:8">
      <c r="A1179" s="5" t="s">
        <v>264</v>
      </c>
      <c r="B1179" s="5"/>
      <c r="C1179" s="5" t="s">
        <v>867</v>
      </c>
      <c r="D1179" s="924" t="s">
        <v>1551</v>
      </c>
      <c r="E1179" s="925"/>
      <c r="F1179" s="5" t="s">
        <v>1940</v>
      </c>
      <c r="G1179" s="21">
        <v>235</v>
      </c>
      <c r="H1179" s="21">
        <v>0</v>
      </c>
    </row>
    <row r="1180" spans="1:8" ht="12.15" customHeight="1">
      <c r="D1180" s="926" t="s">
        <v>2413</v>
      </c>
      <c r="E1180" s="927"/>
      <c r="F1180" s="927"/>
      <c r="G1180" s="57">
        <v>0</v>
      </c>
    </row>
    <row r="1181" spans="1:8" ht="12.15" customHeight="1">
      <c r="A1181" s="5"/>
      <c r="B1181" s="5"/>
      <c r="C1181" s="5"/>
      <c r="D1181" s="926" t="s">
        <v>2588</v>
      </c>
      <c r="E1181" s="927"/>
      <c r="F1181" s="926"/>
      <c r="G1181" s="57">
        <v>0</v>
      </c>
      <c r="H1181" s="34"/>
    </row>
    <row r="1182" spans="1:8" ht="12.15" customHeight="1">
      <c r="A1182" s="5"/>
      <c r="B1182" s="5"/>
      <c r="C1182" s="5"/>
      <c r="D1182" s="926" t="s">
        <v>2737</v>
      </c>
      <c r="E1182" s="927"/>
      <c r="F1182" s="926"/>
      <c r="G1182" s="57">
        <v>181.18</v>
      </c>
      <c r="H1182" s="34"/>
    </row>
    <row r="1183" spans="1:8" ht="12.15" customHeight="1">
      <c r="A1183" s="5"/>
      <c r="B1183" s="5"/>
      <c r="C1183" s="5"/>
      <c r="D1183" s="926" t="s">
        <v>2738</v>
      </c>
      <c r="E1183" s="927"/>
      <c r="F1183" s="926"/>
      <c r="G1183" s="57">
        <v>0</v>
      </c>
      <c r="H1183" s="34"/>
    </row>
    <row r="1184" spans="1:8" ht="12.15" customHeight="1">
      <c r="A1184" s="5"/>
      <c r="B1184" s="5"/>
      <c r="C1184" s="5"/>
      <c r="D1184" s="926" t="s">
        <v>2580</v>
      </c>
      <c r="E1184" s="927"/>
      <c r="F1184" s="926"/>
      <c r="G1184" s="57">
        <v>0</v>
      </c>
      <c r="H1184" s="34"/>
    </row>
    <row r="1185" spans="1:8" ht="12.15" customHeight="1">
      <c r="A1185" s="5"/>
      <c r="B1185" s="5"/>
      <c r="C1185" s="5"/>
      <c r="D1185" s="926" t="s">
        <v>2739</v>
      </c>
      <c r="E1185" s="927"/>
      <c r="F1185" s="926"/>
      <c r="G1185" s="57">
        <v>37.22</v>
      </c>
      <c r="H1185" s="34"/>
    </row>
    <row r="1186" spans="1:8" ht="12.15" customHeight="1">
      <c r="A1186" s="5"/>
      <c r="B1186" s="5"/>
      <c r="C1186" s="5"/>
      <c r="D1186" s="926" t="s">
        <v>2582</v>
      </c>
      <c r="E1186" s="927"/>
      <c r="F1186" s="926"/>
      <c r="G1186" s="57">
        <v>0</v>
      </c>
      <c r="H1186" s="34"/>
    </row>
    <row r="1187" spans="1:8" ht="12.15" customHeight="1">
      <c r="A1187" s="5"/>
      <c r="B1187" s="5"/>
      <c r="C1187" s="5"/>
      <c r="D1187" s="926" t="s">
        <v>2740</v>
      </c>
      <c r="E1187" s="927"/>
      <c r="F1187" s="926"/>
      <c r="G1187" s="57">
        <v>2.1</v>
      </c>
      <c r="H1187" s="34"/>
    </row>
    <row r="1188" spans="1:8" ht="12.15" customHeight="1">
      <c r="A1188" s="5"/>
      <c r="B1188" s="5"/>
      <c r="C1188" s="5"/>
      <c r="D1188" s="926" t="s">
        <v>2743</v>
      </c>
      <c r="E1188" s="927"/>
      <c r="F1188" s="926"/>
      <c r="G1188" s="57">
        <v>14.5</v>
      </c>
      <c r="H1188" s="34"/>
    </row>
    <row r="1189" spans="1:8">
      <c r="A1189" s="6" t="s">
        <v>265</v>
      </c>
      <c r="B1189" s="6"/>
      <c r="C1189" s="6" t="s">
        <v>660</v>
      </c>
      <c r="D1189" s="928" t="s">
        <v>1552</v>
      </c>
      <c r="E1189" s="929"/>
      <c r="F1189" s="6" t="s">
        <v>1940</v>
      </c>
      <c r="G1189" s="22">
        <v>270.25</v>
      </c>
      <c r="H1189" s="22">
        <v>0</v>
      </c>
    </row>
    <row r="1190" spans="1:8" ht="12.15" customHeight="1">
      <c r="D1190" s="932" t="s">
        <v>2744</v>
      </c>
      <c r="E1190" s="933"/>
      <c r="F1190" s="933"/>
      <c r="G1190" s="58">
        <v>235</v>
      </c>
    </row>
    <row r="1191" spans="1:8" ht="12.15" customHeight="1">
      <c r="A1191" s="6"/>
      <c r="B1191" s="6"/>
      <c r="C1191" s="6"/>
      <c r="D1191" s="932" t="s">
        <v>2745</v>
      </c>
      <c r="E1191" s="933"/>
      <c r="F1191" s="932"/>
      <c r="G1191" s="58">
        <v>35.25</v>
      </c>
      <c r="H1191" s="35"/>
    </row>
    <row r="1192" spans="1:8">
      <c r="A1192" s="5" t="s">
        <v>266</v>
      </c>
      <c r="B1192" s="5"/>
      <c r="C1192" s="5" t="s">
        <v>868</v>
      </c>
      <c r="D1192" s="924" t="s">
        <v>1553</v>
      </c>
      <c r="E1192" s="925"/>
      <c r="F1192" s="5" t="s">
        <v>1940</v>
      </c>
      <c r="G1192" s="21">
        <v>381.24</v>
      </c>
      <c r="H1192" s="21">
        <v>0</v>
      </c>
    </row>
    <row r="1193" spans="1:8" ht="12.15" customHeight="1">
      <c r="D1193" s="926" t="s">
        <v>2413</v>
      </c>
      <c r="E1193" s="927"/>
      <c r="F1193" s="927"/>
      <c r="G1193" s="57">
        <v>0</v>
      </c>
    </row>
    <row r="1194" spans="1:8" ht="12.15" customHeight="1">
      <c r="A1194" s="5"/>
      <c r="B1194" s="5"/>
      <c r="C1194" s="5"/>
      <c r="D1194" s="926" t="s">
        <v>2588</v>
      </c>
      <c r="E1194" s="927"/>
      <c r="F1194" s="926"/>
      <c r="G1194" s="57">
        <v>0</v>
      </c>
      <c r="H1194" s="34"/>
    </row>
    <row r="1195" spans="1:8" ht="12.15" customHeight="1">
      <c r="A1195" s="5"/>
      <c r="B1195" s="5"/>
      <c r="C1195" s="5"/>
      <c r="D1195" s="926" t="s">
        <v>2737</v>
      </c>
      <c r="E1195" s="927"/>
      <c r="F1195" s="926"/>
      <c r="G1195" s="57">
        <v>181.18</v>
      </c>
      <c r="H1195" s="34"/>
    </row>
    <row r="1196" spans="1:8" ht="12.15" customHeight="1">
      <c r="A1196" s="5"/>
      <c r="B1196" s="5"/>
      <c r="C1196" s="5"/>
      <c r="D1196" s="926" t="s">
        <v>2558</v>
      </c>
      <c r="E1196" s="927"/>
      <c r="F1196" s="926"/>
      <c r="G1196" s="57">
        <v>0</v>
      </c>
      <c r="H1196" s="34"/>
    </row>
    <row r="1197" spans="1:8" ht="12.15" customHeight="1">
      <c r="A1197" s="5"/>
      <c r="B1197" s="5"/>
      <c r="C1197" s="5"/>
      <c r="D1197" s="926" t="s">
        <v>2746</v>
      </c>
      <c r="E1197" s="927"/>
      <c r="F1197" s="926"/>
      <c r="G1197" s="57">
        <v>28.42</v>
      </c>
      <c r="H1197" s="34"/>
    </row>
    <row r="1198" spans="1:8" ht="12.15" customHeight="1">
      <c r="A1198" s="5"/>
      <c r="B1198" s="5"/>
      <c r="C1198" s="5"/>
      <c r="D1198" s="926" t="s">
        <v>2403</v>
      </c>
      <c r="E1198" s="927"/>
      <c r="F1198" s="926"/>
      <c r="G1198" s="57">
        <v>0</v>
      </c>
      <c r="H1198" s="34"/>
    </row>
    <row r="1199" spans="1:8" ht="12.15" customHeight="1">
      <c r="A1199" s="5"/>
      <c r="B1199" s="5"/>
      <c r="C1199" s="5"/>
      <c r="D1199" s="926" t="s">
        <v>2572</v>
      </c>
      <c r="E1199" s="927"/>
      <c r="F1199" s="926"/>
      <c r="G1199" s="57">
        <v>0</v>
      </c>
      <c r="H1199" s="34"/>
    </row>
    <row r="1200" spans="1:8" ht="12.15" customHeight="1">
      <c r="A1200" s="5"/>
      <c r="B1200" s="5"/>
      <c r="C1200" s="5"/>
      <c r="D1200" s="926" t="s">
        <v>2747</v>
      </c>
      <c r="E1200" s="927"/>
      <c r="F1200" s="926"/>
      <c r="G1200" s="57">
        <v>29.8</v>
      </c>
      <c r="H1200" s="34"/>
    </row>
    <row r="1201" spans="1:8" ht="12.15" customHeight="1">
      <c r="A1201" s="5"/>
      <c r="B1201" s="5"/>
      <c r="C1201" s="5"/>
      <c r="D1201" s="926" t="s">
        <v>2574</v>
      </c>
      <c r="E1201" s="927"/>
      <c r="F1201" s="926"/>
      <c r="G1201" s="57">
        <v>0</v>
      </c>
      <c r="H1201" s="34"/>
    </row>
    <row r="1202" spans="1:8" ht="12.15" customHeight="1">
      <c r="A1202" s="5"/>
      <c r="B1202" s="5"/>
      <c r="C1202" s="5"/>
      <c r="D1202" s="926" t="s">
        <v>2748</v>
      </c>
      <c r="E1202" s="927"/>
      <c r="F1202" s="926"/>
      <c r="G1202" s="57">
        <v>2.17</v>
      </c>
      <c r="H1202" s="34"/>
    </row>
    <row r="1203" spans="1:8" ht="12.15" customHeight="1">
      <c r="A1203" s="5"/>
      <c r="B1203" s="5"/>
      <c r="C1203" s="5"/>
      <c r="D1203" s="926" t="s">
        <v>2591</v>
      </c>
      <c r="E1203" s="927"/>
      <c r="F1203" s="926"/>
      <c r="G1203" s="57">
        <v>0</v>
      </c>
      <c r="H1203" s="34"/>
    </row>
    <row r="1204" spans="1:8" ht="12.15" customHeight="1">
      <c r="A1204" s="5"/>
      <c r="B1204" s="5"/>
      <c r="C1204" s="5"/>
      <c r="D1204" s="926" t="s">
        <v>2749</v>
      </c>
      <c r="E1204" s="927"/>
      <c r="F1204" s="926"/>
      <c r="G1204" s="57">
        <v>15.49</v>
      </c>
      <c r="H1204" s="34"/>
    </row>
    <row r="1205" spans="1:8" ht="12.15" customHeight="1">
      <c r="A1205" s="5"/>
      <c r="B1205" s="5"/>
      <c r="C1205" s="5"/>
      <c r="D1205" s="926" t="s">
        <v>2593</v>
      </c>
      <c r="E1205" s="927"/>
      <c r="F1205" s="926"/>
      <c r="G1205" s="57">
        <v>0</v>
      </c>
      <c r="H1205" s="34"/>
    </row>
    <row r="1206" spans="1:8" ht="12.15" customHeight="1">
      <c r="A1206" s="5"/>
      <c r="B1206" s="5"/>
      <c r="C1206" s="5"/>
      <c r="D1206" s="926" t="s">
        <v>2750</v>
      </c>
      <c r="E1206" s="927"/>
      <c r="F1206" s="926"/>
      <c r="G1206" s="57">
        <v>18.100000000000001</v>
      </c>
      <c r="H1206" s="34"/>
    </row>
    <row r="1207" spans="1:8" ht="12.15" customHeight="1">
      <c r="A1207" s="5"/>
      <c r="B1207" s="5"/>
      <c r="C1207" s="5"/>
      <c r="D1207" s="926" t="s">
        <v>2738</v>
      </c>
      <c r="E1207" s="927"/>
      <c r="F1207" s="926"/>
      <c r="G1207" s="57">
        <v>0</v>
      </c>
      <c r="H1207" s="34"/>
    </row>
    <row r="1208" spans="1:8" ht="12.15" customHeight="1">
      <c r="A1208" s="5"/>
      <c r="B1208" s="5"/>
      <c r="C1208" s="5"/>
      <c r="D1208" s="926" t="s">
        <v>2600</v>
      </c>
      <c r="E1208" s="927"/>
      <c r="F1208" s="926"/>
      <c r="G1208" s="57">
        <v>0</v>
      </c>
      <c r="H1208" s="34"/>
    </row>
    <row r="1209" spans="1:8" ht="12.15" customHeight="1">
      <c r="A1209" s="5"/>
      <c r="B1209" s="5"/>
      <c r="C1209" s="5"/>
      <c r="D1209" s="926" t="s">
        <v>2751</v>
      </c>
      <c r="E1209" s="927"/>
      <c r="F1209" s="926"/>
      <c r="G1209" s="57">
        <v>59.76</v>
      </c>
      <c r="H1209" s="34"/>
    </row>
    <row r="1210" spans="1:8" ht="12.15" customHeight="1">
      <c r="A1210" s="5"/>
      <c r="B1210" s="5"/>
      <c r="C1210" s="5"/>
      <c r="D1210" s="926" t="s">
        <v>2602</v>
      </c>
      <c r="E1210" s="927"/>
      <c r="F1210" s="926"/>
      <c r="G1210" s="57">
        <v>0</v>
      </c>
      <c r="H1210" s="34"/>
    </row>
    <row r="1211" spans="1:8" ht="12.15" customHeight="1">
      <c r="A1211" s="5"/>
      <c r="B1211" s="5"/>
      <c r="C1211" s="5"/>
      <c r="D1211" s="926" t="s">
        <v>2752</v>
      </c>
      <c r="E1211" s="927"/>
      <c r="F1211" s="926"/>
      <c r="G1211" s="57">
        <v>7</v>
      </c>
      <c r="H1211" s="34"/>
    </row>
    <row r="1212" spans="1:8" ht="12.15" customHeight="1">
      <c r="A1212" s="5"/>
      <c r="B1212" s="5"/>
      <c r="C1212" s="5"/>
      <c r="D1212" s="926" t="s">
        <v>2580</v>
      </c>
      <c r="E1212" s="927"/>
      <c r="F1212" s="926"/>
      <c r="G1212" s="57">
        <v>0</v>
      </c>
      <c r="H1212" s="34"/>
    </row>
    <row r="1213" spans="1:8" ht="12.15" customHeight="1">
      <c r="A1213" s="5"/>
      <c r="B1213" s="5"/>
      <c r="C1213" s="5"/>
      <c r="D1213" s="926" t="s">
        <v>2739</v>
      </c>
      <c r="E1213" s="927"/>
      <c r="F1213" s="926"/>
      <c r="G1213" s="57">
        <v>37.22</v>
      </c>
      <c r="H1213" s="34"/>
    </row>
    <row r="1214" spans="1:8" ht="12.15" customHeight="1">
      <c r="A1214" s="5"/>
      <c r="B1214" s="5"/>
      <c r="C1214" s="5"/>
      <c r="D1214" s="926" t="s">
        <v>2582</v>
      </c>
      <c r="E1214" s="927"/>
      <c r="F1214" s="926"/>
      <c r="G1214" s="57">
        <v>0</v>
      </c>
      <c r="H1214" s="34"/>
    </row>
    <row r="1215" spans="1:8" ht="12.15" customHeight="1">
      <c r="A1215" s="5"/>
      <c r="B1215" s="5"/>
      <c r="C1215" s="5"/>
      <c r="D1215" s="926" t="s">
        <v>2740</v>
      </c>
      <c r="E1215" s="927"/>
      <c r="F1215" s="926"/>
      <c r="G1215" s="57">
        <v>2.1</v>
      </c>
      <c r="H1215" s="34"/>
    </row>
    <row r="1216" spans="1:8" ht="25.65" customHeight="1">
      <c r="C1216" s="54" t="s">
        <v>605</v>
      </c>
      <c r="D1216" s="917" t="s">
        <v>1554</v>
      </c>
      <c r="E1216" s="918"/>
      <c r="F1216" s="918"/>
      <c r="G1216" s="918"/>
    </row>
    <row r="1217" spans="1:8">
      <c r="A1217" s="5" t="s">
        <v>267</v>
      </c>
      <c r="B1217" s="5"/>
      <c r="C1217" s="5" t="s">
        <v>869</v>
      </c>
      <c r="D1217" s="924" t="s">
        <v>1555</v>
      </c>
      <c r="E1217" s="925"/>
      <c r="F1217" s="5" t="s">
        <v>1940</v>
      </c>
      <c r="G1217" s="21">
        <v>220.5</v>
      </c>
      <c r="H1217" s="21">
        <v>0</v>
      </c>
    </row>
    <row r="1218" spans="1:8" ht="12.15" customHeight="1">
      <c r="D1218" s="926" t="s">
        <v>2413</v>
      </c>
      <c r="E1218" s="927"/>
      <c r="F1218" s="927"/>
      <c r="G1218" s="57">
        <v>0</v>
      </c>
    </row>
    <row r="1219" spans="1:8" ht="12.15" customHeight="1">
      <c r="A1219" s="5"/>
      <c r="B1219" s="5"/>
      <c r="C1219" s="5"/>
      <c r="D1219" s="926" t="s">
        <v>2588</v>
      </c>
      <c r="E1219" s="927"/>
      <c r="F1219" s="926"/>
      <c r="G1219" s="57">
        <v>0</v>
      </c>
      <c r="H1219" s="34"/>
    </row>
    <row r="1220" spans="1:8" ht="12.15" customHeight="1">
      <c r="A1220" s="5"/>
      <c r="B1220" s="5"/>
      <c r="C1220" s="5"/>
      <c r="D1220" s="926" t="s">
        <v>2737</v>
      </c>
      <c r="E1220" s="927"/>
      <c r="F1220" s="926"/>
      <c r="G1220" s="57">
        <v>181.18</v>
      </c>
      <c r="H1220" s="34"/>
    </row>
    <row r="1221" spans="1:8" ht="12.15" customHeight="1">
      <c r="A1221" s="5"/>
      <c r="B1221" s="5"/>
      <c r="C1221" s="5"/>
      <c r="D1221" s="926" t="s">
        <v>2738</v>
      </c>
      <c r="E1221" s="927"/>
      <c r="F1221" s="926"/>
      <c r="G1221" s="57">
        <v>0</v>
      </c>
      <c r="H1221" s="34"/>
    </row>
    <row r="1222" spans="1:8" ht="12.15" customHeight="1">
      <c r="A1222" s="5"/>
      <c r="B1222" s="5"/>
      <c r="C1222" s="5"/>
      <c r="D1222" s="926" t="s">
        <v>2580</v>
      </c>
      <c r="E1222" s="927"/>
      <c r="F1222" s="926"/>
      <c r="G1222" s="57">
        <v>0</v>
      </c>
      <c r="H1222" s="34"/>
    </row>
    <row r="1223" spans="1:8" ht="12.15" customHeight="1">
      <c r="A1223" s="5"/>
      <c r="B1223" s="5"/>
      <c r="C1223" s="5"/>
      <c r="D1223" s="926" t="s">
        <v>2739</v>
      </c>
      <c r="E1223" s="927"/>
      <c r="F1223" s="926"/>
      <c r="G1223" s="57">
        <v>37.22</v>
      </c>
      <c r="H1223" s="34"/>
    </row>
    <row r="1224" spans="1:8" ht="12.15" customHeight="1">
      <c r="A1224" s="5"/>
      <c r="B1224" s="5"/>
      <c r="C1224" s="5"/>
      <c r="D1224" s="926" t="s">
        <v>2582</v>
      </c>
      <c r="E1224" s="927"/>
      <c r="F1224" s="926"/>
      <c r="G1224" s="57">
        <v>0</v>
      </c>
      <c r="H1224" s="34"/>
    </row>
    <row r="1225" spans="1:8" ht="12.15" customHeight="1">
      <c r="A1225" s="5"/>
      <c r="B1225" s="5"/>
      <c r="C1225" s="5"/>
      <c r="D1225" s="926" t="s">
        <v>2740</v>
      </c>
      <c r="E1225" s="927"/>
      <c r="F1225" s="926"/>
      <c r="G1225" s="57">
        <v>2.1</v>
      </c>
      <c r="H1225" s="34"/>
    </row>
    <row r="1226" spans="1:8">
      <c r="A1226" s="6" t="s">
        <v>268</v>
      </c>
      <c r="B1226" s="6"/>
      <c r="C1226" s="6" t="s">
        <v>870</v>
      </c>
      <c r="D1226" s="928" t="s">
        <v>1556</v>
      </c>
      <c r="E1226" s="929"/>
      <c r="F1226" s="6" t="s">
        <v>1940</v>
      </c>
      <c r="G1226" s="22">
        <v>253.57499999999999</v>
      </c>
      <c r="H1226" s="22">
        <v>0</v>
      </c>
    </row>
    <row r="1227" spans="1:8" ht="12.15" customHeight="1">
      <c r="D1227" s="932" t="s">
        <v>2741</v>
      </c>
      <c r="E1227" s="933"/>
      <c r="F1227" s="933"/>
      <c r="G1227" s="58">
        <v>220.5</v>
      </c>
    </row>
    <row r="1228" spans="1:8" ht="12.15" customHeight="1">
      <c r="A1228" s="6"/>
      <c r="B1228" s="6"/>
      <c r="C1228" s="6"/>
      <c r="D1228" s="932" t="s">
        <v>2742</v>
      </c>
      <c r="E1228" s="933"/>
      <c r="F1228" s="932"/>
      <c r="G1228" s="58">
        <v>33.075000000000003</v>
      </c>
      <c r="H1228" s="35"/>
    </row>
    <row r="1229" spans="1:8">
      <c r="A1229" s="5" t="s">
        <v>269</v>
      </c>
      <c r="B1229" s="5"/>
      <c r="C1229" s="5" t="s">
        <v>871</v>
      </c>
      <c r="D1229" s="924" t="s">
        <v>1557</v>
      </c>
      <c r="E1229" s="925"/>
      <c r="F1229" s="5" t="s">
        <v>1940</v>
      </c>
      <c r="G1229" s="21">
        <v>707.2</v>
      </c>
      <c r="H1229" s="21">
        <v>0</v>
      </c>
    </row>
    <row r="1230" spans="1:8" ht="12.15" customHeight="1">
      <c r="D1230" s="926" t="s">
        <v>2753</v>
      </c>
      <c r="E1230" s="927"/>
      <c r="F1230" s="927"/>
      <c r="G1230" s="57">
        <v>0</v>
      </c>
    </row>
    <row r="1231" spans="1:8" ht="12.15" customHeight="1">
      <c r="A1231" s="5"/>
      <c r="B1231" s="5"/>
      <c r="C1231" s="5"/>
      <c r="D1231" s="926" t="s">
        <v>2754</v>
      </c>
      <c r="E1231" s="927"/>
      <c r="F1231" s="926"/>
      <c r="G1231" s="57">
        <v>692.7</v>
      </c>
      <c r="H1231" s="34"/>
    </row>
    <row r="1232" spans="1:8" ht="12.15" customHeight="1">
      <c r="A1232" s="5"/>
      <c r="B1232" s="5"/>
      <c r="C1232" s="5"/>
      <c r="D1232" s="926" t="s">
        <v>2755</v>
      </c>
      <c r="E1232" s="927"/>
      <c r="F1232" s="926"/>
      <c r="G1232" s="57">
        <v>14.5</v>
      </c>
      <c r="H1232" s="34"/>
    </row>
    <row r="1233" spans="1:8">
      <c r="A1233" s="6" t="s">
        <v>270</v>
      </c>
      <c r="B1233" s="6"/>
      <c r="C1233" s="6" t="s">
        <v>872</v>
      </c>
      <c r="D1233" s="928" t="s">
        <v>1558</v>
      </c>
      <c r="E1233" s="929"/>
      <c r="F1233" s="6" t="s">
        <v>1944</v>
      </c>
      <c r="G1233" s="22">
        <v>212.16</v>
      </c>
      <c r="H1233" s="22">
        <v>0</v>
      </c>
    </row>
    <row r="1234" spans="1:8" ht="12.15" customHeight="1">
      <c r="D1234" s="932" t="s">
        <v>2756</v>
      </c>
      <c r="E1234" s="933"/>
      <c r="F1234" s="933"/>
      <c r="G1234" s="58">
        <v>212.16</v>
      </c>
    </row>
    <row r="1235" spans="1:8">
      <c r="A1235" s="5" t="s">
        <v>271</v>
      </c>
      <c r="B1235" s="5"/>
      <c r="C1235" s="5" t="s">
        <v>873</v>
      </c>
      <c r="D1235" s="924" t="s">
        <v>1559</v>
      </c>
      <c r="E1235" s="925"/>
      <c r="F1235" s="5" t="s">
        <v>1940</v>
      </c>
      <c r="G1235" s="21">
        <v>545.64049999999997</v>
      </c>
      <c r="H1235" s="21">
        <v>0</v>
      </c>
    </row>
    <row r="1236" spans="1:8" ht="12.15" customHeight="1">
      <c r="D1236" s="926" t="s">
        <v>2753</v>
      </c>
      <c r="E1236" s="927"/>
      <c r="F1236" s="927"/>
      <c r="G1236" s="57">
        <v>0</v>
      </c>
    </row>
    <row r="1237" spans="1:8" ht="12.15" customHeight="1">
      <c r="A1237" s="5"/>
      <c r="B1237" s="5"/>
      <c r="C1237" s="5"/>
      <c r="D1237" s="926" t="s">
        <v>2757</v>
      </c>
      <c r="E1237" s="927"/>
      <c r="F1237" s="926"/>
      <c r="G1237" s="57">
        <v>256.6105</v>
      </c>
      <c r="H1237" s="34"/>
    </row>
    <row r="1238" spans="1:8" ht="12.15" customHeight="1">
      <c r="A1238" s="5"/>
      <c r="B1238" s="5"/>
      <c r="C1238" s="5"/>
      <c r="D1238" s="926" t="s">
        <v>2758</v>
      </c>
      <c r="E1238" s="927"/>
      <c r="F1238" s="926"/>
      <c r="G1238" s="57">
        <v>124.59</v>
      </c>
      <c r="H1238" s="34"/>
    </row>
    <row r="1239" spans="1:8" ht="12.15" customHeight="1">
      <c r="A1239" s="5"/>
      <c r="B1239" s="5"/>
      <c r="C1239" s="5"/>
      <c r="D1239" s="926" t="s">
        <v>2759</v>
      </c>
      <c r="E1239" s="927"/>
      <c r="F1239" s="926"/>
      <c r="G1239" s="57">
        <v>20</v>
      </c>
      <c r="H1239" s="34"/>
    </row>
    <row r="1240" spans="1:8" ht="12.15" customHeight="1">
      <c r="A1240" s="5"/>
      <c r="B1240" s="5"/>
      <c r="C1240" s="5"/>
      <c r="D1240" s="926" t="s">
        <v>2760</v>
      </c>
      <c r="E1240" s="927"/>
      <c r="F1240" s="926"/>
      <c r="G1240" s="57">
        <v>24.44</v>
      </c>
      <c r="H1240" s="34"/>
    </row>
    <row r="1241" spans="1:8" ht="12.15" customHeight="1">
      <c r="A1241" s="5"/>
      <c r="B1241" s="5"/>
      <c r="C1241" s="5"/>
      <c r="D1241" s="926" t="s">
        <v>2761</v>
      </c>
      <c r="E1241" s="927"/>
      <c r="F1241" s="926"/>
      <c r="G1241" s="57">
        <v>120</v>
      </c>
      <c r="H1241" s="34"/>
    </row>
    <row r="1242" spans="1:8">
      <c r="A1242" s="6" t="s">
        <v>272</v>
      </c>
      <c r="B1242" s="6"/>
      <c r="C1242" s="6" t="s">
        <v>872</v>
      </c>
      <c r="D1242" s="928" t="s">
        <v>1558</v>
      </c>
      <c r="E1242" s="929"/>
      <c r="F1242" s="6" t="s">
        <v>1944</v>
      </c>
      <c r="G1242" s="22">
        <v>190.97417999999999</v>
      </c>
      <c r="H1242" s="22">
        <v>0</v>
      </c>
    </row>
    <row r="1243" spans="1:8" ht="12.15" customHeight="1">
      <c r="D1243" s="932" t="s">
        <v>2762</v>
      </c>
      <c r="E1243" s="933"/>
      <c r="F1243" s="933"/>
      <c r="G1243" s="58">
        <v>190.97417999999999</v>
      </c>
    </row>
    <row r="1244" spans="1:8">
      <c r="A1244" s="5" t="s">
        <v>273</v>
      </c>
      <c r="B1244" s="5"/>
      <c r="C1244" s="5" t="s">
        <v>874</v>
      </c>
      <c r="D1244" s="924" t="s">
        <v>1560</v>
      </c>
      <c r="E1244" s="925"/>
      <c r="F1244" s="5" t="s">
        <v>1940</v>
      </c>
      <c r="G1244" s="21">
        <v>30.8</v>
      </c>
      <c r="H1244" s="21">
        <v>0</v>
      </c>
    </row>
    <row r="1245" spans="1:8" ht="12.15" customHeight="1">
      <c r="D1245" s="926" t="s">
        <v>2763</v>
      </c>
      <c r="E1245" s="927"/>
      <c r="F1245" s="927"/>
      <c r="G1245" s="57">
        <v>16.3</v>
      </c>
    </row>
    <row r="1246" spans="1:8" ht="12.15" customHeight="1">
      <c r="A1246" s="5"/>
      <c r="B1246" s="5"/>
      <c r="C1246" s="5"/>
      <c r="D1246" s="926" t="s">
        <v>2764</v>
      </c>
      <c r="E1246" s="927"/>
      <c r="F1246" s="926"/>
      <c r="G1246" s="57">
        <v>14.5</v>
      </c>
      <c r="H1246" s="34"/>
    </row>
    <row r="1247" spans="1:8">
      <c r="A1247" s="6" t="s">
        <v>274</v>
      </c>
      <c r="B1247" s="6"/>
      <c r="C1247" s="6" t="s">
        <v>875</v>
      </c>
      <c r="D1247" s="928" t="s">
        <v>1562</v>
      </c>
      <c r="E1247" s="929"/>
      <c r="F1247" s="6" t="s">
        <v>1940</v>
      </c>
      <c r="G1247" s="22">
        <v>18.745000000000001</v>
      </c>
      <c r="H1247" s="22">
        <v>0</v>
      </c>
    </row>
    <row r="1248" spans="1:8" ht="12.15" customHeight="1">
      <c r="D1248" s="932" t="s">
        <v>2765</v>
      </c>
      <c r="E1248" s="933"/>
      <c r="F1248" s="933"/>
      <c r="G1248" s="58">
        <v>16.3</v>
      </c>
    </row>
    <row r="1249" spans="1:8" ht="12.15" customHeight="1">
      <c r="A1249" s="6"/>
      <c r="B1249" s="6"/>
      <c r="C1249" s="6"/>
      <c r="D1249" s="932" t="s">
        <v>2766</v>
      </c>
      <c r="E1249" s="933"/>
      <c r="F1249" s="932"/>
      <c r="G1249" s="58">
        <v>2.4449999999999998</v>
      </c>
      <c r="H1249" s="35"/>
    </row>
    <row r="1250" spans="1:8">
      <c r="A1250" s="6" t="s">
        <v>275</v>
      </c>
      <c r="B1250" s="6"/>
      <c r="C1250" s="6" t="s">
        <v>876</v>
      </c>
      <c r="D1250" s="928" t="s">
        <v>1563</v>
      </c>
      <c r="E1250" s="929"/>
      <c r="F1250" s="6" t="s">
        <v>1940</v>
      </c>
      <c r="G1250" s="22">
        <v>16.675000000000001</v>
      </c>
      <c r="H1250" s="22">
        <v>0</v>
      </c>
    </row>
    <row r="1251" spans="1:8" ht="12.15" customHeight="1">
      <c r="D1251" s="932" t="s">
        <v>2767</v>
      </c>
      <c r="E1251" s="933"/>
      <c r="F1251" s="933"/>
      <c r="G1251" s="58">
        <v>14.5</v>
      </c>
    </row>
    <row r="1252" spans="1:8" ht="12.15" customHeight="1">
      <c r="A1252" s="6"/>
      <c r="B1252" s="6"/>
      <c r="C1252" s="6"/>
      <c r="D1252" s="932" t="s">
        <v>2768</v>
      </c>
      <c r="E1252" s="933"/>
      <c r="F1252" s="932"/>
      <c r="G1252" s="58">
        <v>2.1749999999999998</v>
      </c>
      <c r="H1252" s="35"/>
    </row>
    <row r="1253" spans="1:8">
      <c r="A1253" s="5" t="s">
        <v>276</v>
      </c>
      <c r="B1253" s="5"/>
      <c r="C1253" s="5" t="s">
        <v>877</v>
      </c>
      <c r="D1253" s="924" t="s">
        <v>1560</v>
      </c>
      <c r="E1253" s="925"/>
      <c r="F1253" s="5" t="s">
        <v>1940</v>
      </c>
      <c r="G1253" s="21">
        <v>676.4</v>
      </c>
      <c r="H1253" s="21">
        <v>0</v>
      </c>
    </row>
    <row r="1254" spans="1:8" ht="12.15" customHeight="1">
      <c r="D1254" s="926" t="s">
        <v>2753</v>
      </c>
      <c r="E1254" s="927"/>
      <c r="F1254" s="927"/>
      <c r="G1254" s="57">
        <v>0</v>
      </c>
    </row>
    <row r="1255" spans="1:8" ht="12.15" customHeight="1">
      <c r="A1255" s="5"/>
      <c r="B1255" s="5"/>
      <c r="C1255" s="5"/>
      <c r="D1255" s="926" t="s">
        <v>2769</v>
      </c>
      <c r="E1255" s="927"/>
      <c r="F1255" s="926"/>
      <c r="G1255" s="57">
        <v>676.4</v>
      </c>
      <c r="H1255" s="34"/>
    </row>
    <row r="1256" spans="1:8">
      <c r="A1256" s="6" t="s">
        <v>277</v>
      </c>
      <c r="B1256" s="6"/>
      <c r="C1256" s="6" t="s">
        <v>878</v>
      </c>
      <c r="D1256" s="928" t="s">
        <v>1562</v>
      </c>
      <c r="E1256" s="929"/>
      <c r="F1256" s="6" t="s">
        <v>1940</v>
      </c>
      <c r="G1256" s="22">
        <v>1555.72</v>
      </c>
      <c r="H1256" s="22">
        <v>0</v>
      </c>
    </row>
    <row r="1257" spans="1:8" ht="12.15" customHeight="1">
      <c r="D1257" s="932" t="s">
        <v>2770</v>
      </c>
      <c r="E1257" s="933"/>
      <c r="F1257" s="933"/>
      <c r="G1257" s="58">
        <v>1352.8</v>
      </c>
    </row>
    <row r="1258" spans="1:8" ht="12.15" customHeight="1">
      <c r="A1258" s="6"/>
      <c r="B1258" s="6"/>
      <c r="C1258" s="6"/>
      <c r="D1258" s="932" t="s">
        <v>2771</v>
      </c>
      <c r="E1258" s="933"/>
      <c r="F1258" s="932"/>
      <c r="G1258" s="58">
        <v>202.92</v>
      </c>
      <c r="H1258" s="35"/>
    </row>
    <row r="1259" spans="1:8">
      <c r="A1259" s="5" t="s">
        <v>278</v>
      </c>
      <c r="B1259" s="5"/>
      <c r="C1259" s="5" t="s">
        <v>879</v>
      </c>
      <c r="D1259" s="924" t="s">
        <v>1565</v>
      </c>
      <c r="E1259" s="925"/>
      <c r="F1259" s="5" t="s">
        <v>1940</v>
      </c>
      <c r="G1259" s="21">
        <v>164.44</v>
      </c>
      <c r="H1259" s="21">
        <v>0</v>
      </c>
    </row>
    <row r="1260" spans="1:8" ht="12.15" customHeight="1">
      <c r="D1260" s="926" t="s">
        <v>2753</v>
      </c>
      <c r="E1260" s="927"/>
      <c r="F1260" s="927"/>
      <c r="G1260" s="57">
        <v>0</v>
      </c>
    </row>
    <row r="1261" spans="1:8" ht="12.15" customHeight="1">
      <c r="A1261" s="5"/>
      <c r="B1261" s="5"/>
      <c r="C1261" s="5"/>
      <c r="D1261" s="926" t="s">
        <v>2772</v>
      </c>
      <c r="E1261" s="927"/>
      <c r="F1261" s="926"/>
      <c r="G1261" s="57">
        <v>24.44</v>
      </c>
      <c r="H1261" s="34"/>
    </row>
    <row r="1262" spans="1:8" ht="12.15" customHeight="1">
      <c r="A1262" s="5"/>
      <c r="B1262" s="5"/>
      <c r="C1262" s="5"/>
      <c r="D1262" s="926" t="s">
        <v>2773</v>
      </c>
      <c r="E1262" s="927"/>
      <c r="F1262" s="926"/>
      <c r="G1262" s="57">
        <v>20</v>
      </c>
      <c r="H1262" s="34"/>
    </row>
    <row r="1263" spans="1:8" ht="12.15" customHeight="1">
      <c r="A1263" s="5"/>
      <c r="B1263" s="5"/>
      <c r="C1263" s="5"/>
      <c r="D1263" s="926" t="s">
        <v>2774</v>
      </c>
      <c r="E1263" s="927"/>
      <c r="F1263" s="926"/>
      <c r="G1263" s="57">
        <v>120</v>
      </c>
      <c r="H1263" s="34"/>
    </row>
    <row r="1264" spans="1:8">
      <c r="A1264" s="6" t="s">
        <v>279</v>
      </c>
      <c r="B1264" s="6"/>
      <c r="C1264" s="6" t="s">
        <v>875</v>
      </c>
      <c r="D1264" s="928" t="s">
        <v>1562</v>
      </c>
      <c r="E1264" s="929"/>
      <c r="F1264" s="6" t="s">
        <v>1940</v>
      </c>
      <c r="G1264" s="22">
        <v>29.327999999999999</v>
      </c>
      <c r="H1264" s="22">
        <v>0</v>
      </c>
    </row>
    <row r="1265" spans="1:8" ht="12.15" customHeight="1">
      <c r="D1265" s="932" t="s">
        <v>2775</v>
      </c>
      <c r="E1265" s="933"/>
      <c r="F1265" s="933"/>
      <c r="G1265" s="58">
        <v>24.44</v>
      </c>
    </row>
    <row r="1266" spans="1:8" ht="12.15" customHeight="1">
      <c r="A1266" s="6"/>
      <c r="B1266" s="6"/>
      <c r="C1266" s="6"/>
      <c r="D1266" s="932" t="s">
        <v>2776</v>
      </c>
      <c r="E1266" s="933"/>
      <c r="F1266" s="932"/>
      <c r="G1266" s="58">
        <v>4.8879999999999999</v>
      </c>
      <c r="H1266" s="35"/>
    </row>
    <row r="1267" spans="1:8">
      <c r="A1267" s="6" t="s">
        <v>280</v>
      </c>
      <c r="B1267" s="6"/>
      <c r="C1267" s="6" t="s">
        <v>876</v>
      </c>
      <c r="D1267" s="928" t="s">
        <v>5828</v>
      </c>
      <c r="E1267" s="929"/>
      <c r="F1267" s="6" t="s">
        <v>1940</v>
      </c>
      <c r="G1267" s="22">
        <v>168</v>
      </c>
      <c r="H1267" s="22">
        <v>0</v>
      </c>
    </row>
    <row r="1268" spans="1:8" ht="12.15" customHeight="1">
      <c r="D1268" s="932" t="s">
        <v>2777</v>
      </c>
      <c r="E1268" s="933"/>
      <c r="F1268" s="933"/>
      <c r="G1268" s="58">
        <v>168</v>
      </c>
    </row>
    <row r="1269" spans="1:8">
      <c r="A1269" s="5" t="s">
        <v>281</v>
      </c>
      <c r="B1269" s="5"/>
      <c r="C1269" s="5" t="s">
        <v>880</v>
      </c>
      <c r="D1269" s="924" t="s">
        <v>1565</v>
      </c>
      <c r="E1269" s="925"/>
      <c r="F1269" s="5" t="s">
        <v>1940</v>
      </c>
      <c r="G1269" s="21">
        <v>381.20049999999998</v>
      </c>
      <c r="H1269" s="21">
        <v>0</v>
      </c>
    </row>
    <row r="1270" spans="1:8" ht="12.15" customHeight="1">
      <c r="D1270" s="926" t="s">
        <v>2753</v>
      </c>
      <c r="E1270" s="927"/>
      <c r="F1270" s="927"/>
      <c r="G1270" s="57">
        <v>0</v>
      </c>
    </row>
    <row r="1271" spans="1:8" ht="12.15" customHeight="1">
      <c r="A1271" s="5"/>
      <c r="B1271" s="5"/>
      <c r="C1271" s="5"/>
      <c r="D1271" s="926" t="s">
        <v>2757</v>
      </c>
      <c r="E1271" s="927"/>
      <c r="F1271" s="926"/>
      <c r="G1271" s="57">
        <v>256.6105</v>
      </c>
      <c r="H1271" s="34"/>
    </row>
    <row r="1272" spans="1:8" ht="12.15" customHeight="1">
      <c r="A1272" s="5"/>
      <c r="B1272" s="5"/>
      <c r="C1272" s="5"/>
      <c r="D1272" s="926" t="s">
        <v>2758</v>
      </c>
      <c r="E1272" s="927"/>
      <c r="F1272" s="926"/>
      <c r="G1272" s="57">
        <v>124.59</v>
      </c>
      <c r="H1272" s="34"/>
    </row>
    <row r="1273" spans="1:8">
      <c r="A1273" s="6" t="s">
        <v>282</v>
      </c>
      <c r="B1273" s="6"/>
      <c r="C1273" s="6" t="s">
        <v>878</v>
      </c>
      <c r="D1273" s="928" t="s">
        <v>1562</v>
      </c>
      <c r="E1273" s="929"/>
      <c r="F1273" s="6" t="s">
        <v>1940</v>
      </c>
      <c r="G1273" s="22">
        <v>914.88120000000004</v>
      </c>
      <c r="H1273" s="22">
        <v>0</v>
      </c>
    </row>
    <row r="1274" spans="1:8" ht="12.15" customHeight="1">
      <c r="D1274" s="932" t="s">
        <v>2778</v>
      </c>
      <c r="E1274" s="933"/>
      <c r="F1274" s="933"/>
      <c r="G1274" s="58">
        <v>762.40099999999995</v>
      </c>
    </row>
    <row r="1275" spans="1:8" ht="12.15" customHeight="1">
      <c r="A1275" s="6"/>
      <c r="B1275" s="6"/>
      <c r="C1275" s="6"/>
      <c r="D1275" s="932" t="s">
        <v>2779</v>
      </c>
      <c r="E1275" s="933"/>
      <c r="F1275" s="932"/>
      <c r="G1275" s="58">
        <v>152.4802</v>
      </c>
      <c r="H1275" s="35"/>
    </row>
    <row r="1276" spans="1:8">
      <c r="A1276" s="5" t="s">
        <v>283</v>
      </c>
      <c r="B1276" s="5"/>
      <c r="C1276" s="5" t="s">
        <v>881</v>
      </c>
      <c r="D1276" s="924" t="s">
        <v>1566</v>
      </c>
      <c r="E1276" s="925"/>
      <c r="F1276" s="5" t="s">
        <v>1940</v>
      </c>
      <c r="G1276" s="21">
        <v>472</v>
      </c>
      <c r="H1276" s="21">
        <v>0</v>
      </c>
    </row>
    <row r="1277" spans="1:8" ht="12.15" customHeight="1">
      <c r="D1277" s="926" t="s">
        <v>2780</v>
      </c>
      <c r="E1277" s="927"/>
      <c r="F1277" s="927"/>
      <c r="G1277" s="57">
        <v>432</v>
      </c>
    </row>
    <row r="1278" spans="1:8" ht="12.15" customHeight="1">
      <c r="A1278" s="5"/>
      <c r="B1278" s="5"/>
      <c r="C1278" s="5"/>
      <c r="D1278" s="926" t="s">
        <v>2781</v>
      </c>
      <c r="E1278" s="927"/>
      <c r="F1278" s="926"/>
      <c r="G1278" s="57">
        <v>40</v>
      </c>
      <c r="H1278" s="34"/>
    </row>
    <row r="1279" spans="1:8">
      <c r="A1279" s="5" t="s">
        <v>284</v>
      </c>
      <c r="B1279" s="5"/>
      <c r="C1279" s="5" t="s">
        <v>882</v>
      </c>
      <c r="D1279" s="924" t="s">
        <v>1568</v>
      </c>
      <c r="E1279" s="925"/>
      <c r="F1279" s="5" t="s">
        <v>1940</v>
      </c>
      <c r="G1279" s="21">
        <v>929.9</v>
      </c>
      <c r="H1279" s="21">
        <v>0</v>
      </c>
    </row>
    <row r="1280" spans="1:8" ht="12.15" customHeight="1">
      <c r="D1280" s="926" t="s">
        <v>2782</v>
      </c>
      <c r="E1280" s="927"/>
      <c r="F1280" s="927"/>
      <c r="G1280" s="57">
        <v>929.9</v>
      </c>
    </row>
    <row r="1281" spans="1:8">
      <c r="A1281" s="6" t="s">
        <v>285</v>
      </c>
      <c r="B1281" s="6"/>
      <c r="C1281" s="6" t="s">
        <v>661</v>
      </c>
      <c r="D1281" s="928" t="s">
        <v>1550</v>
      </c>
      <c r="E1281" s="929"/>
      <c r="F1281" s="6" t="s">
        <v>1940</v>
      </c>
      <c r="G1281" s="22">
        <v>1022.89</v>
      </c>
      <c r="H1281" s="22">
        <v>0</v>
      </c>
    </row>
    <row r="1282" spans="1:8" ht="12.15" customHeight="1">
      <c r="D1282" s="932" t="s">
        <v>2783</v>
      </c>
      <c r="E1282" s="933"/>
      <c r="F1282" s="933"/>
      <c r="G1282" s="58">
        <v>929.9</v>
      </c>
    </row>
    <row r="1283" spans="1:8" ht="12.15" customHeight="1">
      <c r="A1283" s="6"/>
      <c r="B1283" s="6"/>
      <c r="C1283" s="6"/>
      <c r="D1283" s="932" t="s">
        <v>2784</v>
      </c>
      <c r="E1283" s="933"/>
      <c r="F1283" s="932"/>
      <c r="G1283" s="58">
        <v>92.99</v>
      </c>
      <c r="H1283" s="35"/>
    </row>
    <row r="1284" spans="1:8">
      <c r="A1284" s="5" t="s">
        <v>286</v>
      </c>
      <c r="B1284" s="5"/>
      <c r="C1284" s="5" t="s">
        <v>883</v>
      </c>
      <c r="D1284" s="924" t="s">
        <v>1569</v>
      </c>
      <c r="E1284" s="925"/>
      <c r="F1284" s="5" t="s">
        <v>1940</v>
      </c>
      <c r="G1284" s="21">
        <v>334.6</v>
      </c>
      <c r="H1284" s="21">
        <v>0</v>
      </c>
    </row>
    <row r="1285" spans="1:8" ht="12.15" customHeight="1">
      <c r="D1285" s="926" t="s">
        <v>2785</v>
      </c>
      <c r="E1285" s="927"/>
      <c r="F1285" s="927"/>
      <c r="G1285" s="57">
        <v>334.6</v>
      </c>
    </row>
    <row r="1286" spans="1:8">
      <c r="A1286" s="5" t="s">
        <v>287</v>
      </c>
      <c r="B1286" s="5"/>
      <c r="C1286" s="5" t="s">
        <v>884</v>
      </c>
      <c r="D1286" s="924" t="s">
        <v>1570</v>
      </c>
      <c r="E1286" s="925"/>
      <c r="F1286" s="5" t="s">
        <v>1940</v>
      </c>
      <c r="G1286" s="21">
        <v>36.520000000000003</v>
      </c>
      <c r="H1286" s="21">
        <v>0</v>
      </c>
    </row>
    <row r="1287" spans="1:8" ht="12.15" customHeight="1">
      <c r="D1287" s="926" t="s">
        <v>2786</v>
      </c>
      <c r="E1287" s="927"/>
      <c r="F1287" s="927"/>
      <c r="G1287" s="57">
        <v>36.520000000000003</v>
      </c>
    </row>
    <row r="1288" spans="1:8">
      <c r="A1288" s="5" t="s">
        <v>288</v>
      </c>
      <c r="B1288" s="5"/>
      <c r="C1288" s="5" t="s">
        <v>885</v>
      </c>
      <c r="D1288" s="924" t="s">
        <v>1572</v>
      </c>
      <c r="E1288" s="925"/>
      <c r="F1288" s="5" t="s">
        <v>1940</v>
      </c>
      <c r="G1288" s="21">
        <v>52.81</v>
      </c>
      <c r="H1288" s="21">
        <v>0</v>
      </c>
    </row>
    <row r="1289" spans="1:8" ht="12.15" customHeight="1">
      <c r="D1289" s="926" t="s">
        <v>2787</v>
      </c>
      <c r="E1289" s="927"/>
      <c r="F1289" s="927"/>
      <c r="G1289" s="57">
        <v>52.81</v>
      </c>
    </row>
    <row r="1290" spans="1:8">
      <c r="A1290" s="5" t="s">
        <v>289</v>
      </c>
      <c r="B1290" s="5"/>
      <c r="C1290" s="5" t="s">
        <v>886</v>
      </c>
      <c r="D1290" s="924" t="s">
        <v>1574</v>
      </c>
      <c r="E1290" s="925"/>
      <c r="F1290" s="5" t="s">
        <v>1945</v>
      </c>
      <c r="G1290" s="21">
        <v>18683.790700000001</v>
      </c>
      <c r="H1290" s="21">
        <v>0</v>
      </c>
    </row>
    <row r="1291" spans="1:8">
      <c r="A1291" s="14"/>
      <c r="B1291" s="14"/>
      <c r="C1291" s="14" t="s">
        <v>887</v>
      </c>
      <c r="D1291" s="930" t="s">
        <v>1575</v>
      </c>
      <c r="E1291" s="931"/>
      <c r="F1291" s="14"/>
      <c r="G1291" s="30"/>
      <c r="H1291" s="30"/>
    </row>
    <row r="1292" spans="1:8">
      <c r="A1292" s="5" t="s">
        <v>290</v>
      </c>
      <c r="B1292" s="5"/>
      <c r="C1292" s="5" t="s">
        <v>888</v>
      </c>
      <c r="D1292" s="924" t="s">
        <v>1576</v>
      </c>
      <c r="E1292" s="925"/>
      <c r="F1292" s="5" t="s">
        <v>1943</v>
      </c>
      <c r="G1292" s="21">
        <v>1</v>
      </c>
      <c r="H1292" s="21">
        <v>0</v>
      </c>
    </row>
    <row r="1293" spans="1:8">
      <c r="A1293" s="5" t="s">
        <v>291</v>
      </c>
      <c r="B1293" s="5"/>
      <c r="C1293" s="5" t="s">
        <v>889</v>
      </c>
      <c r="D1293" s="924" t="s">
        <v>1578</v>
      </c>
      <c r="E1293" s="925"/>
      <c r="F1293" s="5" t="s">
        <v>1943</v>
      </c>
      <c r="G1293" s="21">
        <v>9</v>
      </c>
      <c r="H1293" s="21">
        <v>0</v>
      </c>
    </row>
    <row r="1294" spans="1:8" ht="12.9" customHeight="1">
      <c r="C1294" s="54" t="s">
        <v>605</v>
      </c>
      <c r="D1294" s="917" t="s">
        <v>1579</v>
      </c>
      <c r="E1294" s="918"/>
      <c r="F1294" s="918"/>
      <c r="G1294" s="918"/>
    </row>
    <row r="1295" spans="1:8">
      <c r="A1295" s="5" t="s">
        <v>292</v>
      </c>
      <c r="B1295" s="5"/>
      <c r="C1295" s="5" t="s">
        <v>890</v>
      </c>
      <c r="D1295" s="924" t="s">
        <v>1580</v>
      </c>
      <c r="E1295" s="925"/>
      <c r="F1295" s="5" t="s">
        <v>1940</v>
      </c>
      <c r="G1295" s="21">
        <v>668.2</v>
      </c>
      <c r="H1295" s="21">
        <v>0</v>
      </c>
    </row>
    <row r="1296" spans="1:8" ht="12.15" customHeight="1">
      <c r="D1296" s="926" t="s">
        <v>2788</v>
      </c>
      <c r="E1296" s="927"/>
      <c r="F1296" s="927"/>
      <c r="G1296" s="57">
        <v>668.2</v>
      </c>
    </row>
    <row r="1297" spans="1:8">
      <c r="A1297" s="5" t="s">
        <v>293</v>
      </c>
      <c r="B1297" s="5"/>
      <c r="C1297" s="5" t="s">
        <v>891</v>
      </c>
      <c r="D1297" s="924" t="s">
        <v>1581</v>
      </c>
      <c r="E1297" s="925"/>
      <c r="F1297" s="5" t="s">
        <v>1940</v>
      </c>
      <c r="G1297" s="21">
        <v>215.6987</v>
      </c>
      <c r="H1297" s="21">
        <v>0</v>
      </c>
    </row>
    <row r="1298" spans="1:8" ht="12.15" customHeight="1">
      <c r="D1298" s="926" t="s">
        <v>2789</v>
      </c>
      <c r="E1298" s="927"/>
      <c r="F1298" s="927"/>
      <c r="G1298" s="57">
        <v>0</v>
      </c>
    </row>
    <row r="1299" spans="1:8" ht="12.15" customHeight="1">
      <c r="A1299" s="5"/>
      <c r="B1299" s="5"/>
      <c r="C1299" s="5"/>
      <c r="D1299" s="926" t="s">
        <v>2790</v>
      </c>
      <c r="E1299" s="927"/>
      <c r="F1299" s="926"/>
      <c r="G1299" s="57">
        <v>122.9687</v>
      </c>
      <c r="H1299" s="34"/>
    </row>
    <row r="1300" spans="1:8" ht="12.15" customHeight="1">
      <c r="A1300" s="5"/>
      <c r="B1300" s="5"/>
      <c r="C1300" s="5"/>
      <c r="D1300" s="926" t="s">
        <v>2791</v>
      </c>
      <c r="E1300" s="927"/>
      <c r="F1300" s="926"/>
      <c r="G1300" s="57">
        <v>92.73</v>
      </c>
      <c r="H1300" s="34"/>
    </row>
    <row r="1301" spans="1:8">
      <c r="A1301" s="5" t="s">
        <v>294</v>
      </c>
      <c r="B1301" s="5"/>
      <c r="C1301" s="5" t="s">
        <v>892</v>
      </c>
      <c r="D1301" s="924" t="s">
        <v>1583</v>
      </c>
      <c r="E1301" s="925"/>
      <c r="F1301" s="5" t="s">
        <v>1940</v>
      </c>
      <c r="G1301" s="21">
        <v>668.2</v>
      </c>
      <c r="H1301" s="21">
        <v>0</v>
      </c>
    </row>
    <row r="1302" spans="1:8" ht="12.15" customHeight="1">
      <c r="D1302" s="926" t="s">
        <v>2792</v>
      </c>
      <c r="E1302" s="927"/>
      <c r="F1302" s="927"/>
      <c r="G1302" s="57">
        <v>668.2</v>
      </c>
    </row>
    <row r="1303" spans="1:8">
      <c r="A1303" s="5" t="s">
        <v>295</v>
      </c>
      <c r="B1303" s="5"/>
      <c r="C1303" s="5" t="s">
        <v>893</v>
      </c>
      <c r="D1303" s="924" t="s">
        <v>1585</v>
      </c>
      <c r="E1303" s="925"/>
      <c r="F1303" s="5" t="s">
        <v>1940</v>
      </c>
      <c r="G1303" s="21">
        <v>751.98</v>
      </c>
      <c r="H1303" s="21">
        <v>0</v>
      </c>
    </row>
    <row r="1304" spans="1:8" ht="12.15" customHeight="1">
      <c r="D1304" s="926" t="s">
        <v>2793</v>
      </c>
      <c r="E1304" s="927"/>
      <c r="F1304" s="927"/>
      <c r="G1304" s="57">
        <v>751.98</v>
      </c>
    </row>
    <row r="1305" spans="1:8">
      <c r="A1305" s="6" t="s">
        <v>296</v>
      </c>
      <c r="B1305" s="6"/>
      <c r="C1305" s="6" t="s">
        <v>872</v>
      </c>
      <c r="D1305" s="928" t="s">
        <v>1558</v>
      </c>
      <c r="E1305" s="929"/>
      <c r="F1305" s="6" t="s">
        <v>1944</v>
      </c>
      <c r="G1305" s="22">
        <v>225.59399999999999</v>
      </c>
      <c r="H1305" s="22">
        <v>0</v>
      </c>
    </row>
    <row r="1306" spans="1:8" ht="12.15" customHeight="1">
      <c r="D1306" s="932" t="s">
        <v>2794</v>
      </c>
      <c r="E1306" s="933"/>
      <c r="F1306" s="933"/>
      <c r="G1306" s="58">
        <v>225.59399999999999</v>
      </c>
    </row>
    <row r="1307" spans="1:8">
      <c r="A1307" s="5" t="s">
        <v>297</v>
      </c>
      <c r="B1307" s="5"/>
      <c r="C1307" s="5" t="s">
        <v>894</v>
      </c>
      <c r="D1307" s="924" t="s">
        <v>1586</v>
      </c>
      <c r="E1307" s="925"/>
      <c r="F1307" s="5" t="s">
        <v>1940</v>
      </c>
      <c r="G1307" s="21">
        <v>775.92</v>
      </c>
      <c r="H1307" s="21">
        <v>0</v>
      </c>
    </row>
    <row r="1308" spans="1:8" ht="12.15" customHeight="1">
      <c r="D1308" s="926" t="s">
        <v>2793</v>
      </c>
      <c r="E1308" s="927"/>
      <c r="F1308" s="927"/>
      <c r="G1308" s="57">
        <v>751.98</v>
      </c>
    </row>
    <row r="1309" spans="1:8" ht="12.15" customHeight="1">
      <c r="A1309" s="5"/>
      <c r="B1309" s="5"/>
      <c r="C1309" s="5"/>
      <c r="D1309" s="926" t="s">
        <v>2795</v>
      </c>
      <c r="E1309" s="927"/>
      <c r="F1309" s="926"/>
      <c r="G1309" s="57">
        <v>23.94</v>
      </c>
      <c r="H1309" s="34"/>
    </row>
    <row r="1310" spans="1:8">
      <c r="A1310" s="6" t="s">
        <v>298</v>
      </c>
      <c r="B1310" s="6"/>
      <c r="C1310" s="6" t="s">
        <v>895</v>
      </c>
      <c r="D1310" s="928" t="s">
        <v>5837</v>
      </c>
      <c r="E1310" s="929"/>
      <c r="F1310" s="6" t="s">
        <v>1940</v>
      </c>
      <c r="G1310" s="22">
        <v>892.30799999999999</v>
      </c>
      <c r="H1310" s="22">
        <v>0</v>
      </c>
    </row>
    <row r="1311" spans="1:8" ht="12.15" customHeight="1">
      <c r="D1311" s="932" t="s">
        <v>2796</v>
      </c>
      <c r="E1311" s="933"/>
      <c r="F1311" s="933"/>
      <c r="G1311" s="58">
        <v>775.92</v>
      </c>
    </row>
    <row r="1312" spans="1:8" ht="12.15" customHeight="1">
      <c r="A1312" s="6"/>
      <c r="B1312" s="6"/>
      <c r="C1312" s="6"/>
      <c r="D1312" s="932" t="s">
        <v>2797</v>
      </c>
      <c r="E1312" s="933"/>
      <c r="F1312" s="932"/>
      <c r="G1312" s="58">
        <v>116.38800000000001</v>
      </c>
      <c r="H1312" s="35"/>
    </row>
    <row r="1313" spans="1:8">
      <c r="A1313" s="5" t="s">
        <v>299</v>
      </c>
      <c r="B1313" s="5"/>
      <c r="C1313" s="5" t="s">
        <v>896</v>
      </c>
      <c r="D1313" s="924" t="s">
        <v>1587</v>
      </c>
      <c r="E1313" s="925"/>
      <c r="F1313" s="5" t="s">
        <v>1940</v>
      </c>
      <c r="G1313" s="21">
        <v>30.4</v>
      </c>
      <c r="H1313" s="21">
        <v>0</v>
      </c>
    </row>
    <row r="1314" spans="1:8" ht="12.15" customHeight="1">
      <c r="D1314" s="926" t="s">
        <v>2798</v>
      </c>
      <c r="E1314" s="927"/>
      <c r="F1314" s="927"/>
      <c r="G1314" s="57">
        <v>30.4</v>
      </c>
    </row>
    <row r="1315" spans="1:8">
      <c r="A1315" s="5" t="s">
        <v>300</v>
      </c>
      <c r="B1315" s="5"/>
      <c r="C1315" s="5" t="s">
        <v>897</v>
      </c>
      <c r="D1315" s="924" t="s">
        <v>1588</v>
      </c>
      <c r="E1315" s="925"/>
      <c r="F1315" s="5" t="s">
        <v>1940</v>
      </c>
      <c r="G1315" s="21">
        <v>634.4</v>
      </c>
      <c r="H1315" s="21">
        <v>0</v>
      </c>
    </row>
    <row r="1316" spans="1:8" ht="12.15" customHeight="1">
      <c r="D1316" s="926" t="s">
        <v>2321</v>
      </c>
      <c r="E1316" s="927"/>
      <c r="F1316" s="927"/>
      <c r="G1316" s="57">
        <v>0</v>
      </c>
    </row>
    <row r="1317" spans="1:8" ht="12.15" customHeight="1">
      <c r="A1317" s="5"/>
      <c r="B1317" s="5"/>
      <c r="C1317" s="5"/>
      <c r="D1317" s="926" t="s">
        <v>2799</v>
      </c>
      <c r="E1317" s="927"/>
      <c r="F1317" s="926"/>
      <c r="G1317" s="57">
        <v>432.1</v>
      </c>
      <c r="H1317" s="34"/>
    </row>
    <row r="1318" spans="1:8" ht="12.15" customHeight="1">
      <c r="A1318" s="5"/>
      <c r="B1318" s="5"/>
      <c r="C1318" s="5"/>
      <c r="D1318" s="926" t="s">
        <v>2800</v>
      </c>
      <c r="E1318" s="927"/>
      <c r="F1318" s="926"/>
      <c r="G1318" s="57">
        <v>185.3</v>
      </c>
      <c r="H1318" s="34"/>
    </row>
    <row r="1319" spans="1:8" ht="12.15" customHeight="1">
      <c r="A1319" s="5"/>
      <c r="B1319" s="5"/>
      <c r="C1319" s="5"/>
      <c r="D1319" s="926" t="s">
        <v>2801</v>
      </c>
      <c r="E1319" s="927"/>
      <c r="F1319" s="926"/>
      <c r="G1319" s="57">
        <v>17</v>
      </c>
      <c r="H1319" s="34"/>
    </row>
    <row r="1320" spans="1:8">
      <c r="A1320" s="5" t="s">
        <v>301</v>
      </c>
      <c r="B1320" s="5"/>
      <c r="C1320" s="5" t="s">
        <v>898</v>
      </c>
      <c r="D1320" s="924" t="s">
        <v>1589</v>
      </c>
      <c r="E1320" s="925"/>
      <c r="F1320" s="5" t="s">
        <v>1940</v>
      </c>
      <c r="G1320" s="21">
        <v>432.1</v>
      </c>
      <c r="H1320" s="21">
        <v>0</v>
      </c>
    </row>
    <row r="1321" spans="1:8" ht="12.15" customHeight="1">
      <c r="D1321" s="926" t="s">
        <v>2802</v>
      </c>
      <c r="E1321" s="927"/>
      <c r="F1321" s="927"/>
      <c r="G1321" s="57">
        <v>432.1</v>
      </c>
    </row>
    <row r="1322" spans="1:8" ht="25.65" customHeight="1">
      <c r="C1322" s="54" t="s">
        <v>605</v>
      </c>
      <c r="D1322" s="917" t="s">
        <v>1590</v>
      </c>
      <c r="E1322" s="918"/>
      <c r="F1322" s="918"/>
      <c r="G1322" s="918"/>
    </row>
    <row r="1323" spans="1:8">
      <c r="A1323" s="5" t="s">
        <v>302</v>
      </c>
      <c r="B1323" s="5"/>
      <c r="C1323" s="5" t="s">
        <v>899</v>
      </c>
      <c r="D1323" s="924" t="s">
        <v>1583</v>
      </c>
      <c r="E1323" s="925"/>
      <c r="F1323" s="5" t="s">
        <v>1940</v>
      </c>
      <c r="G1323" s="21">
        <v>634.4</v>
      </c>
      <c r="H1323" s="21">
        <v>0</v>
      </c>
    </row>
    <row r="1324" spans="1:8" ht="12.15" customHeight="1">
      <c r="D1324" s="926" t="s">
        <v>2321</v>
      </c>
      <c r="E1324" s="927"/>
      <c r="F1324" s="927"/>
      <c r="G1324" s="57">
        <v>0</v>
      </c>
    </row>
    <row r="1325" spans="1:8" ht="12.15" customHeight="1">
      <c r="A1325" s="5"/>
      <c r="B1325" s="5"/>
      <c r="C1325" s="5"/>
      <c r="D1325" s="926" t="s">
        <v>2799</v>
      </c>
      <c r="E1325" s="927"/>
      <c r="F1325" s="926"/>
      <c r="G1325" s="57">
        <v>432.1</v>
      </c>
      <c r="H1325" s="34"/>
    </row>
    <row r="1326" spans="1:8" ht="12.15" customHeight="1">
      <c r="A1326" s="5"/>
      <c r="B1326" s="5"/>
      <c r="C1326" s="5"/>
      <c r="D1326" s="926" t="s">
        <v>2800</v>
      </c>
      <c r="E1326" s="927"/>
      <c r="F1326" s="926"/>
      <c r="G1326" s="57">
        <v>185.3</v>
      </c>
      <c r="H1326" s="34"/>
    </row>
    <row r="1327" spans="1:8" ht="12.15" customHeight="1">
      <c r="A1327" s="5"/>
      <c r="B1327" s="5"/>
      <c r="C1327" s="5"/>
      <c r="D1327" s="926" t="s">
        <v>2801</v>
      </c>
      <c r="E1327" s="927"/>
      <c r="F1327" s="926"/>
      <c r="G1327" s="57">
        <v>17</v>
      </c>
      <c r="H1327" s="34"/>
    </row>
    <row r="1328" spans="1:8" ht="12.9" customHeight="1">
      <c r="C1328" s="54" t="s">
        <v>605</v>
      </c>
      <c r="D1328" s="917" t="s">
        <v>1592</v>
      </c>
      <c r="E1328" s="918"/>
      <c r="F1328" s="918"/>
      <c r="G1328" s="918"/>
    </row>
    <row r="1329" spans="1:8">
      <c r="A1329" s="5" t="s">
        <v>303</v>
      </c>
      <c r="B1329" s="5"/>
      <c r="C1329" s="5" t="s">
        <v>900</v>
      </c>
      <c r="D1329" s="924" t="s">
        <v>1583</v>
      </c>
      <c r="E1329" s="925"/>
      <c r="F1329" s="5" t="s">
        <v>1940</v>
      </c>
      <c r="G1329" s="21">
        <v>617.4</v>
      </c>
      <c r="H1329" s="21">
        <v>0</v>
      </c>
    </row>
    <row r="1330" spans="1:8" ht="12.15" customHeight="1">
      <c r="D1330" s="926" t="s">
        <v>2321</v>
      </c>
      <c r="E1330" s="927"/>
      <c r="F1330" s="927"/>
      <c r="G1330" s="57">
        <v>0</v>
      </c>
    </row>
    <row r="1331" spans="1:8" ht="12.15" customHeight="1">
      <c r="A1331" s="5"/>
      <c r="B1331" s="5"/>
      <c r="C1331" s="5"/>
      <c r="D1331" s="926" t="s">
        <v>2799</v>
      </c>
      <c r="E1331" s="927"/>
      <c r="F1331" s="926"/>
      <c r="G1331" s="57">
        <v>432.1</v>
      </c>
      <c r="H1331" s="34"/>
    </row>
    <row r="1332" spans="1:8" ht="12.15" customHeight="1">
      <c r="A1332" s="5"/>
      <c r="B1332" s="5"/>
      <c r="C1332" s="5"/>
      <c r="D1332" s="926" t="s">
        <v>2800</v>
      </c>
      <c r="E1332" s="927"/>
      <c r="F1332" s="926"/>
      <c r="G1332" s="57">
        <v>185.3</v>
      </c>
      <c r="H1332" s="34"/>
    </row>
    <row r="1333" spans="1:8" ht="12.9" customHeight="1">
      <c r="C1333" s="54" t="s">
        <v>605</v>
      </c>
      <c r="D1333" s="917" t="s">
        <v>1593</v>
      </c>
      <c r="E1333" s="918"/>
      <c r="F1333" s="918"/>
      <c r="G1333" s="918"/>
    </row>
    <row r="1334" spans="1:8">
      <c r="A1334" s="5" t="s">
        <v>304</v>
      </c>
      <c r="B1334" s="5"/>
      <c r="C1334" s="5" t="s">
        <v>901</v>
      </c>
      <c r="D1334" s="924" t="s">
        <v>1594</v>
      </c>
      <c r="E1334" s="925"/>
      <c r="F1334" s="5" t="s">
        <v>1945</v>
      </c>
      <c r="G1334" s="21">
        <v>21555.948499999999</v>
      </c>
      <c r="H1334" s="21">
        <v>0</v>
      </c>
    </row>
    <row r="1335" spans="1:8">
      <c r="A1335" s="14"/>
      <c r="B1335" s="14"/>
      <c r="C1335" s="14" t="s">
        <v>902</v>
      </c>
      <c r="D1335" s="930" t="s">
        <v>1595</v>
      </c>
      <c r="E1335" s="931"/>
      <c r="F1335" s="14"/>
      <c r="G1335" s="30"/>
      <c r="H1335" s="30"/>
    </row>
    <row r="1336" spans="1:8">
      <c r="A1336" s="5" t="s">
        <v>305</v>
      </c>
      <c r="B1336" s="5"/>
      <c r="C1336" s="5" t="s">
        <v>903</v>
      </c>
      <c r="D1336" s="924" t="s">
        <v>1596</v>
      </c>
      <c r="E1336" s="925"/>
      <c r="F1336" s="5" t="s">
        <v>1940</v>
      </c>
      <c r="G1336" s="21">
        <v>562.24269000000004</v>
      </c>
      <c r="H1336" s="21">
        <v>0</v>
      </c>
    </row>
    <row r="1337" spans="1:8" ht="12.15" customHeight="1">
      <c r="D1337" s="926" t="s">
        <v>2413</v>
      </c>
      <c r="E1337" s="927"/>
      <c r="F1337" s="927"/>
      <c r="G1337" s="57">
        <v>0</v>
      </c>
    </row>
    <row r="1338" spans="1:8" ht="12.15" customHeight="1">
      <c r="A1338" s="5"/>
      <c r="B1338" s="5"/>
      <c r="C1338" s="5"/>
      <c r="D1338" s="926" t="s">
        <v>2737</v>
      </c>
      <c r="E1338" s="927"/>
      <c r="F1338" s="926"/>
      <c r="G1338" s="57">
        <v>181.18</v>
      </c>
      <c r="H1338" s="34"/>
    </row>
    <row r="1339" spans="1:8" ht="12.15" customHeight="1">
      <c r="A1339" s="5"/>
      <c r="B1339" s="5"/>
      <c r="C1339" s="5"/>
      <c r="D1339" s="926" t="s">
        <v>2803</v>
      </c>
      <c r="E1339" s="927"/>
      <c r="F1339" s="926"/>
      <c r="G1339" s="57">
        <v>0</v>
      </c>
      <c r="H1339" s="34"/>
    </row>
    <row r="1340" spans="1:8" ht="12.15" customHeight="1">
      <c r="A1340" s="5"/>
      <c r="B1340" s="5"/>
      <c r="C1340" s="5"/>
      <c r="D1340" s="926" t="s">
        <v>2562</v>
      </c>
      <c r="E1340" s="927"/>
      <c r="F1340" s="926"/>
      <c r="G1340" s="57">
        <v>0</v>
      </c>
      <c r="H1340" s="34"/>
    </row>
    <row r="1341" spans="1:8" ht="12.15" customHeight="1">
      <c r="A1341" s="5"/>
      <c r="B1341" s="5"/>
      <c r="C1341" s="5"/>
      <c r="D1341" s="926" t="s">
        <v>2588</v>
      </c>
      <c r="E1341" s="927"/>
      <c r="F1341" s="926"/>
      <c r="G1341" s="57">
        <v>0</v>
      </c>
      <c r="H1341" s="34"/>
    </row>
    <row r="1342" spans="1:8" ht="12.15" customHeight="1">
      <c r="A1342" s="5"/>
      <c r="B1342" s="5"/>
      <c r="C1342" s="5"/>
      <c r="D1342" s="926" t="s">
        <v>2804</v>
      </c>
      <c r="E1342" s="927"/>
      <c r="F1342" s="926"/>
      <c r="G1342" s="57">
        <v>44.34</v>
      </c>
      <c r="H1342" s="34"/>
    </row>
    <row r="1343" spans="1:8" ht="12.15" customHeight="1">
      <c r="A1343" s="5"/>
      <c r="B1343" s="5"/>
      <c r="C1343" s="5"/>
      <c r="D1343" s="926" t="s">
        <v>2738</v>
      </c>
      <c r="E1343" s="927"/>
      <c r="F1343" s="926"/>
      <c r="G1343" s="57">
        <v>0</v>
      </c>
      <c r="H1343" s="34"/>
    </row>
    <row r="1344" spans="1:8" ht="12.15" customHeight="1">
      <c r="A1344" s="5"/>
      <c r="B1344" s="5"/>
      <c r="C1344" s="5"/>
      <c r="D1344" s="926" t="s">
        <v>2596</v>
      </c>
      <c r="E1344" s="927"/>
      <c r="F1344" s="926"/>
      <c r="G1344" s="57">
        <v>0</v>
      </c>
      <c r="H1344" s="34"/>
    </row>
    <row r="1345" spans="1:8" ht="12.15" customHeight="1">
      <c r="A1345" s="5"/>
      <c r="B1345" s="5"/>
      <c r="C1345" s="5"/>
      <c r="D1345" s="926" t="s">
        <v>2805</v>
      </c>
      <c r="E1345" s="927"/>
      <c r="F1345" s="926"/>
      <c r="G1345" s="57">
        <v>88.04</v>
      </c>
      <c r="H1345" s="34"/>
    </row>
    <row r="1346" spans="1:8" ht="12.15" customHeight="1">
      <c r="A1346" s="5"/>
      <c r="B1346" s="5"/>
      <c r="C1346" s="5"/>
      <c r="D1346" s="926" t="s">
        <v>2600</v>
      </c>
      <c r="E1346" s="927"/>
      <c r="F1346" s="926"/>
      <c r="G1346" s="57">
        <v>0</v>
      </c>
      <c r="H1346" s="34"/>
    </row>
    <row r="1347" spans="1:8" ht="12.15" customHeight="1">
      <c r="A1347" s="5"/>
      <c r="B1347" s="5"/>
      <c r="C1347" s="5"/>
      <c r="D1347" s="926" t="s">
        <v>2751</v>
      </c>
      <c r="E1347" s="927"/>
      <c r="F1347" s="926"/>
      <c r="G1347" s="57">
        <v>59.76</v>
      </c>
      <c r="H1347" s="34"/>
    </row>
    <row r="1348" spans="1:8" ht="12.15" customHeight="1">
      <c r="A1348" s="5"/>
      <c r="B1348" s="5"/>
      <c r="C1348" s="5"/>
      <c r="D1348" s="926" t="s">
        <v>2580</v>
      </c>
      <c r="E1348" s="927"/>
      <c r="F1348" s="926"/>
      <c r="G1348" s="57">
        <v>0</v>
      </c>
      <c r="H1348" s="34"/>
    </row>
    <row r="1349" spans="1:8" ht="12.15" customHeight="1">
      <c r="A1349" s="5"/>
      <c r="B1349" s="5"/>
      <c r="C1349" s="5"/>
      <c r="D1349" s="926" t="s">
        <v>2739</v>
      </c>
      <c r="E1349" s="927"/>
      <c r="F1349" s="926"/>
      <c r="G1349" s="57">
        <v>37.22</v>
      </c>
      <c r="H1349" s="34"/>
    </row>
    <row r="1350" spans="1:8" ht="12.15" customHeight="1">
      <c r="A1350" s="5"/>
      <c r="B1350" s="5"/>
      <c r="C1350" s="5"/>
      <c r="D1350" s="926" t="s">
        <v>2604</v>
      </c>
      <c r="E1350" s="927"/>
      <c r="F1350" s="926"/>
      <c r="G1350" s="57">
        <v>0</v>
      </c>
      <c r="H1350" s="34"/>
    </row>
    <row r="1351" spans="1:8" ht="12.15" customHeight="1">
      <c r="A1351" s="5"/>
      <c r="B1351" s="5"/>
      <c r="C1351" s="5"/>
      <c r="D1351" s="926" t="s">
        <v>2806</v>
      </c>
      <c r="E1351" s="927"/>
      <c r="F1351" s="926"/>
      <c r="G1351" s="57">
        <v>16.940000000000001</v>
      </c>
      <c r="H1351" s="34"/>
    </row>
    <row r="1352" spans="1:8" ht="12.15" customHeight="1">
      <c r="A1352" s="5"/>
      <c r="B1352" s="5"/>
      <c r="C1352" s="5"/>
      <c r="D1352" s="926" t="s">
        <v>2608</v>
      </c>
      <c r="E1352" s="927"/>
      <c r="F1352" s="926"/>
      <c r="G1352" s="57">
        <v>0</v>
      </c>
      <c r="H1352" s="34"/>
    </row>
    <row r="1353" spans="1:8" ht="12.15" customHeight="1">
      <c r="A1353" s="5"/>
      <c r="B1353" s="5"/>
      <c r="C1353" s="5"/>
      <c r="D1353" s="926" t="s">
        <v>2807</v>
      </c>
      <c r="E1353" s="927"/>
      <c r="F1353" s="926"/>
      <c r="G1353" s="57">
        <v>9.99</v>
      </c>
      <c r="H1353" s="34"/>
    </row>
    <row r="1354" spans="1:8" ht="12.15" customHeight="1">
      <c r="A1354" s="5"/>
      <c r="B1354" s="5"/>
      <c r="C1354" s="5"/>
      <c r="D1354" s="926" t="s">
        <v>2808</v>
      </c>
      <c r="E1354" s="927"/>
      <c r="F1354" s="926"/>
      <c r="G1354" s="57">
        <v>28.42</v>
      </c>
      <c r="H1354" s="34"/>
    </row>
    <row r="1355" spans="1:8" ht="12.15" customHeight="1">
      <c r="A1355" s="5"/>
      <c r="B1355" s="5"/>
      <c r="C1355" s="5"/>
      <c r="D1355" s="926" t="s">
        <v>2809</v>
      </c>
      <c r="E1355" s="927"/>
      <c r="F1355" s="926"/>
      <c r="G1355" s="57">
        <v>0</v>
      </c>
      <c r="H1355" s="34"/>
    </row>
    <row r="1356" spans="1:8" ht="12.15" customHeight="1">
      <c r="A1356" s="5"/>
      <c r="B1356" s="5"/>
      <c r="C1356" s="5"/>
      <c r="D1356" s="926" t="s">
        <v>2552</v>
      </c>
      <c r="E1356" s="927"/>
      <c r="F1356" s="926"/>
      <c r="G1356" s="57">
        <v>0</v>
      </c>
      <c r="H1356" s="34"/>
    </row>
    <row r="1357" spans="1:8" ht="12.15" customHeight="1">
      <c r="A1357" s="5"/>
      <c r="B1357" s="5"/>
      <c r="C1357" s="5"/>
      <c r="D1357" s="926" t="s">
        <v>2810</v>
      </c>
      <c r="E1357" s="927"/>
      <c r="F1357" s="926"/>
      <c r="G1357" s="57">
        <v>16.306249999999999</v>
      </c>
      <c r="H1357" s="34"/>
    </row>
    <row r="1358" spans="1:8" ht="12.15" customHeight="1">
      <c r="A1358" s="5"/>
      <c r="B1358" s="5"/>
      <c r="C1358" s="5"/>
      <c r="D1358" s="926" t="s">
        <v>2554</v>
      </c>
      <c r="E1358" s="927"/>
      <c r="F1358" s="926"/>
      <c r="G1358" s="57">
        <v>0</v>
      </c>
      <c r="H1358" s="34"/>
    </row>
    <row r="1359" spans="1:8" ht="12.15" customHeight="1">
      <c r="A1359" s="5"/>
      <c r="B1359" s="5"/>
      <c r="C1359" s="5"/>
      <c r="D1359" s="926" t="s">
        <v>2811</v>
      </c>
      <c r="E1359" s="927"/>
      <c r="F1359" s="926"/>
      <c r="G1359" s="57">
        <v>21.43</v>
      </c>
      <c r="H1359" s="34"/>
    </row>
    <row r="1360" spans="1:8" ht="12.15" customHeight="1">
      <c r="A1360" s="5"/>
      <c r="B1360" s="5"/>
      <c r="C1360" s="5"/>
      <c r="D1360" s="926" t="s">
        <v>2556</v>
      </c>
      <c r="E1360" s="927"/>
      <c r="F1360" s="926"/>
      <c r="G1360" s="57">
        <v>0</v>
      </c>
      <c r="H1360" s="34"/>
    </row>
    <row r="1361" spans="1:8" ht="12.15" customHeight="1">
      <c r="A1361" s="5"/>
      <c r="B1361" s="5"/>
      <c r="C1361" s="5"/>
      <c r="D1361" s="926" t="s">
        <v>2812</v>
      </c>
      <c r="E1361" s="927"/>
      <c r="F1361" s="926"/>
      <c r="G1361" s="57">
        <v>6.3464400000000003</v>
      </c>
      <c r="H1361" s="34"/>
    </row>
    <row r="1362" spans="1:8" ht="12.15" customHeight="1">
      <c r="A1362" s="5"/>
      <c r="B1362" s="5"/>
      <c r="C1362" s="5"/>
      <c r="D1362" s="926" t="s">
        <v>2589</v>
      </c>
      <c r="E1362" s="927"/>
      <c r="F1362" s="926"/>
      <c r="G1362" s="57">
        <v>0</v>
      </c>
      <c r="H1362" s="34"/>
    </row>
    <row r="1363" spans="1:8" ht="12.15" customHeight="1">
      <c r="A1363" s="5"/>
      <c r="B1363" s="5"/>
      <c r="C1363" s="5"/>
      <c r="D1363" s="926" t="s">
        <v>2813</v>
      </c>
      <c r="E1363" s="927"/>
      <c r="F1363" s="926"/>
      <c r="G1363" s="57">
        <v>23.85</v>
      </c>
      <c r="H1363" s="34"/>
    </row>
    <row r="1364" spans="1:8" ht="12.15" customHeight="1">
      <c r="A1364" s="5"/>
      <c r="B1364" s="5"/>
      <c r="C1364" s="5"/>
      <c r="D1364" s="926" t="s">
        <v>2558</v>
      </c>
      <c r="E1364" s="927"/>
      <c r="F1364" s="926"/>
      <c r="G1364" s="57">
        <v>0</v>
      </c>
      <c r="H1364" s="34"/>
    </row>
    <row r="1365" spans="1:8" ht="12.15" customHeight="1">
      <c r="A1365" s="5"/>
      <c r="B1365" s="5"/>
      <c r="C1365" s="5"/>
      <c r="D1365" s="926" t="s">
        <v>2746</v>
      </c>
      <c r="E1365" s="927"/>
      <c r="F1365" s="926"/>
      <c r="G1365" s="57">
        <v>28.42</v>
      </c>
      <c r="H1365" s="34"/>
    </row>
    <row r="1366" spans="1:8">
      <c r="A1366" s="6" t="s">
        <v>306</v>
      </c>
      <c r="B1366" s="6"/>
      <c r="C1366" s="6" t="s">
        <v>904</v>
      </c>
      <c r="D1366" s="928" t="s">
        <v>1597</v>
      </c>
      <c r="E1366" s="929"/>
      <c r="F1366" s="6" t="s">
        <v>1941</v>
      </c>
      <c r="G1366" s="22">
        <v>110.09690000000001</v>
      </c>
      <c r="H1366" s="22">
        <v>0</v>
      </c>
    </row>
    <row r="1367" spans="1:8" ht="12.15" customHeight="1">
      <c r="D1367" s="932" t="s">
        <v>2814</v>
      </c>
      <c r="E1367" s="933"/>
      <c r="F1367" s="933"/>
      <c r="G1367" s="58">
        <v>41.405470000000001</v>
      </c>
    </row>
    <row r="1368" spans="1:8" ht="12.15" customHeight="1">
      <c r="A1368" s="6"/>
      <c r="B1368" s="6"/>
      <c r="C1368" s="6"/>
      <c r="D1368" s="932" t="s">
        <v>2815</v>
      </c>
      <c r="E1368" s="933"/>
      <c r="F1368" s="932"/>
      <c r="G1368" s="58">
        <v>19.655950000000001</v>
      </c>
      <c r="H1368" s="35"/>
    </row>
    <row r="1369" spans="1:8" ht="12.15" customHeight="1">
      <c r="A1369" s="6"/>
      <c r="B1369" s="6"/>
      <c r="C1369" s="6"/>
      <c r="D1369" s="932" t="s">
        <v>2816</v>
      </c>
      <c r="E1369" s="933"/>
      <c r="F1369" s="932"/>
      <c r="G1369" s="58">
        <v>43.2378</v>
      </c>
      <c r="H1369" s="35"/>
    </row>
    <row r="1370" spans="1:8" ht="12.15" customHeight="1">
      <c r="A1370" s="6"/>
      <c r="B1370" s="6"/>
      <c r="C1370" s="6"/>
      <c r="D1370" s="932" t="s">
        <v>2817</v>
      </c>
      <c r="E1370" s="933"/>
      <c r="F1370" s="932"/>
      <c r="G1370" s="58">
        <v>5.7976799999999997</v>
      </c>
      <c r="H1370" s="35"/>
    </row>
    <row r="1371" spans="1:8">
      <c r="A1371" s="5" t="s">
        <v>307</v>
      </c>
      <c r="B1371" s="5"/>
      <c r="C1371" s="5" t="s">
        <v>905</v>
      </c>
      <c r="D1371" s="924" t="s">
        <v>1598</v>
      </c>
      <c r="E1371" s="925"/>
      <c r="F1371" s="5" t="s">
        <v>1940</v>
      </c>
      <c r="G1371" s="21">
        <v>588.37874999999997</v>
      </c>
      <c r="H1371" s="21">
        <v>0</v>
      </c>
    </row>
    <row r="1372" spans="1:8" ht="12.15" customHeight="1">
      <c r="D1372" s="926" t="s">
        <v>2413</v>
      </c>
      <c r="E1372" s="927"/>
      <c r="F1372" s="927"/>
      <c r="G1372" s="57">
        <v>0</v>
      </c>
    </row>
    <row r="1373" spans="1:8" ht="12.15" customHeight="1">
      <c r="A1373" s="5"/>
      <c r="B1373" s="5"/>
      <c r="C1373" s="5"/>
      <c r="D1373" s="926" t="s">
        <v>2818</v>
      </c>
      <c r="E1373" s="927"/>
      <c r="F1373" s="926"/>
      <c r="G1373" s="57">
        <v>0</v>
      </c>
      <c r="H1373" s="34"/>
    </row>
    <row r="1374" spans="1:8" ht="12.15" customHeight="1">
      <c r="A1374" s="5"/>
      <c r="B1374" s="5"/>
      <c r="C1374" s="5"/>
      <c r="D1374" s="926" t="s">
        <v>2560</v>
      </c>
      <c r="E1374" s="927"/>
      <c r="F1374" s="926"/>
      <c r="G1374" s="57">
        <v>0</v>
      </c>
      <c r="H1374" s="34"/>
    </row>
    <row r="1375" spans="1:8" ht="12.15" customHeight="1">
      <c r="A1375" s="5"/>
      <c r="B1375" s="5"/>
      <c r="C1375" s="5"/>
      <c r="D1375" s="926" t="s">
        <v>2819</v>
      </c>
      <c r="E1375" s="927"/>
      <c r="F1375" s="926"/>
      <c r="G1375" s="57">
        <v>10.39625</v>
      </c>
      <c r="H1375" s="34"/>
    </row>
    <row r="1376" spans="1:8" ht="12.15" customHeight="1">
      <c r="A1376" s="5"/>
      <c r="B1376" s="5"/>
      <c r="C1376" s="5"/>
      <c r="D1376" s="926" t="s">
        <v>2820</v>
      </c>
      <c r="E1376" s="927"/>
      <c r="F1376" s="926"/>
      <c r="G1376" s="57">
        <v>0</v>
      </c>
      <c r="H1376" s="34"/>
    </row>
    <row r="1377" spans="1:8" ht="12.15" customHeight="1">
      <c r="A1377" s="5"/>
      <c r="B1377" s="5"/>
      <c r="C1377" s="5"/>
      <c r="D1377" s="926" t="s">
        <v>2564</v>
      </c>
      <c r="E1377" s="927"/>
      <c r="F1377" s="926"/>
      <c r="G1377" s="57">
        <v>0</v>
      </c>
      <c r="H1377" s="34"/>
    </row>
    <row r="1378" spans="1:8" ht="12.15" customHeight="1">
      <c r="A1378" s="5"/>
      <c r="B1378" s="5"/>
      <c r="C1378" s="5"/>
      <c r="D1378" s="926" t="s">
        <v>2821</v>
      </c>
      <c r="E1378" s="927"/>
      <c r="F1378" s="926"/>
      <c r="G1378" s="57">
        <v>276.73</v>
      </c>
      <c r="H1378" s="34"/>
    </row>
    <row r="1379" spans="1:8" ht="12.15" customHeight="1">
      <c r="A1379" s="5"/>
      <c r="B1379" s="5"/>
      <c r="C1379" s="5"/>
      <c r="D1379" s="926" t="s">
        <v>2822</v>
      </c>
      <c r="E1379" s="927"/>
      <c r="F1379" s="926"/>
      <c r="G1379" s="57">
        <v>0</v>
      </c>
      <c r="H1379" s="34"/>
    </row>
    <row r="1380" spans="1:8" ht="12.15" customHeight="1">
      <c r="A1380" s="5"/>
      <c r="B1380" s="5"/>
      <c r="C1380" s="5"/>
      <c r="D1380" s="926" t="s">
        <v>2823</v>
      </c>
      <c r="E1380" s="927"/>
      <c r="F1380" s="926"/>
      <c r="G1380" s="57">
        <v>0</v>
      </c>
      <c r="H1380" s="34"/>
    </row>
    <row r="1381" spans="1:8" ht="12.15" customHeight="1">
      <c r="A1381" s="5"/>
      <c r="B1381" s="5"/>
      <c r="C1381" s="5"/>
      <c r="D1381" s="926" t="s">
        <v>2566</v>
      </c>
      <c r="E1381" s="927"/>
      <c r="F1381" s="926"/>
      <c r="G1381" s="57">
        <v>0</v>
      </c>
      <c r="H1381" s="34"/>
    </row>
    <row r="1382" spans="1:8" ht="12.15" customHeight="1">
      <c r="A1382" s="5"/>
      <c r="B1382" s="5"/>
      <c r="C1382" s="5"/>
      <c r="D1382" s="926" t="s">
        <v>2824</v>
      </c>
      <c r="E1382" s="927"/>
      <c r="F1382" s="926"/>
      <c r="G1382" s="57">
        <v>113.87</v>
      </c>
      <c r="H1382" s="34"/>
    </row>
    <row r="1383" spans="1:8" ht="12.15" customHeight="1">
      <c r="A1383" s="5"/>
      <c r="B1383" s="5"/>
      <c r="C1383" s="5"/>
      <c r="D1383" s="926" t="s">
        <v>2820</v>
      </c>
      <c r="E1383" s="927"/>
      <c r="F1383" s="926"/>
      <c r="G1383" s="57">
        <v>0</v>
      </c>
      <c r="H1383" s="34"/>
    </row>
    <row r="1384" spans="1:8" ht="12.15" customHeight="1">
      <c r="A1384" s="5"/>
      <c r="B1384" s="5"/>
      <c r="C1384" s="5"/>
      <c r="D1384" s="926" t="s">
        <v>2568</v>
      </c>
      <c r="E1384" s="927"/>
      <c r="F1384" s="926"/>
      <c r="G1384" s="57">
        <v>0</v>
      </c>
      <c r="H1384" s="34"/>
    </row>
    <row r="1385" spans="1:8" ht="12.15" customHeight="1">
      <c r="A1385" s="5"/>
      <c r="B1385" s="5"/>
      <c r="C1385" s="5"/>
      <c r="D1385" s="926" t="s">
        <v>2825</v>
      </c>
      <c r="E1385" s="927"/>
      <c r="F1385" s="926"/>
      <c r="G1385" s="57">
        <v>43.7605</v>
      </c>
      <c r="H1385" s="34"/>
    </row>
    <row r="1386" spans="1:8" ht="12.15" customHeight="1">
      <c r="A1386" s="5"/>
      <c r="B1386" s="5"/>
      <c r="C1386" s="5"/>
      <c r="D1386" s="926" t="s">
        <v>2826</v>
      </c>
      <c r="E1386" s="927"/>
      <c r="F1386" s="926"/>
      <c r="G1386" s="57">
        <v>0</v>
      </c>
      <c r="H1386" s="34"/>
    </row>
    <row r="1387" spans="1:8" ht="12.15" customHeight="1">
      <c r="A1387" s="5"/>
      <c r="B1387" s="5"/>
      <c r="C1387" s="5"/>
      <c r="D1387" s="926" t="s">
        <v>2570</v>
      </c>
      <c r="E1387" s="927"/>
      <c r="F1387" s="926"/>
      <c r="G1387" s="57">
        <v>0</v>
      </c>
      <c r="H1387" s="34"/>
    </row>
    <row r="1388" spans="1:8" ht="12.15" customHeight="1">
      <c r="A1388" s="5"/>
      <c r="B1388" s="5"/>
      <c r="C1388" s="5"/>
      <c r="D1388" s="926" t="s">
        <v>2827</v>
      </c>
      <c r="E1388" s="927"/>
      <c r="F1388" s="926"/>
      <c r="G1388" s="57">
        <v>15.41</v>
      </c>
      <c r="H1388" s="34"/>
    </row>
    <row r="1389" spans="1:8" ht="12.15" customHeight="1">
      <c r="A1389" s="5"/>
      <c r="B1389" s="5"/>
      <c r="C1389" s="5"/>
      <c r="D1389" s="926" t="s">
        <v>2828</v>
      </c>
      <c r="E1389" s="927"/>
      <c r="F1389" s="926"/>
      <c r="G1389" s="57">
        <v>0</v>
      </c>
      <c r="H1389" s="34"/>
    </row>
    <row r="1390" spans="1:8" ht="12.15" customHeight="1">
      <c r="A1390" s="5"/>
      <c r="B1390" s="5"/>
      <c r="C1390" s="5"/>
      <c r="D1390" s="926" t="s">
        <v>2572</v>
      </c>
      <c r="E1390" s="927"/>
      <c r="F1390" s="926"/>
      <c r="G1390" s="57">
        <v>0</v>
      </c>
      <c r="H1390" s="34"/>
    </row>
    <row r="1391" spans="1:8" ht="12.15" customHeight="1">
      <c r="A1391" s="5"/>
      <c r="B1391" s="5"/>
      <c r="C1391" s="5"/>
      <c r="D1391" s="926" t="s">
        <v>2747</v>
      </c>
      <c r="E1391" s="927"/>
      <c r="F1391" s="926"/>
      <c r="G1391" s="57">
        <v>29.8</v>
      </c>
      <c r="H1391" s="34"/>
    </row>
    <row r="1392" spans="1:8" ht="12.15" customHeight="1">
      <c r="A1392" s="5"/>
      <c r="B1392" s="5"/>
      <c r="C1392" s="5"/>
      <c r="D1392" s="926" t="s">
        <v>2829</v>
      </c>
      <c r="E1392" s="927"/>
      <c r="F1392" s="926"/>
      <c r="G1392" s="57">
        <v>0</v>
      </c>
      <c r="H1392" s="34"/>
    </row>
    <row r="1393" spans="1:8" ht="12.15" customHeight="1">
      <c r="A1393" s="5"/>
      <c r="B1393" s="5"/>
      <c r="C1393" s="5"/>
      <c r="D1393" s="926" t="s">
        <v>2574</v>
      </c>
      <c r="E1393" s="927"/>
      <c r="F1393" s="926"/>
      <c r="G1393" s="57">
        <v>0</v>
      </c>
      <c r="H1393" s="34"/>
    </row>
    <row r="1394" spans="1:8" ht="12.15" customHeight="1">
      <c r="A1394" s="5"/>
      <c r="B1394" s="5"/>
      <c r="C1394" s="5"/>
      <c r="D1394" s="926" t="s">
        <v>2748</v>
      </c>
      <c r="E1394" s="927"/>
      <c r="F1394" s="926"/>
      <c r="G1394" s="57">
        <v>2.17</v>
      </c>
      <c r="H1394" s="34"/>
    </row>
    <row r="1395" spans="1:8" ht="12.15" customHeight="1">
      <c r="A1395" s="5"/>
      <c r="B1395" s="5"/>
      <c r="C1395" s="5"/>
      <c r="D1395" s="926" t="s">
        <v>2576</v>
      </c>
      <c r="E1395" s="927"/>
      <c r="F1395" s="926"/>
      <c r="G1395" s="57">
        <v>0</v>
      </c>
      <c r="H1395" s="34"/>
    </row>
    <row r="1396" spans="1:8" ht="12.15" customHeight="1">
      <c r="A1396" s="5"/>
      <c r="B1396" s="5"/>
      <c r="C1396" s="5"/>
      <c r="D1396" s="926" t="s">
        <v>2830</v>
      </c>
      <c r="E1396" s="927"/>
      <c r="F1396" s="926"/>
      <c r="G1396" s="57">
        <v>17.542000000000002</v>
      </c>
      <c r="H1396" s="34"/>
    </row>
    <row r="1397" spans="1:8" ht="12.15" customHeight="1">
      <c r="A1397" s="5"/>
      <c r="B1397" s="5"/>
      <c r="C1397" s="5"/>
      <c r="D1397" s="926" t="s">
        <v>2405</v>
      </c>
      <c r="E1397" s="927"/>
      <c r="F1397" s="926"/>
      <c r="G1397" s="57">
        <v>0</v>
      </c>
      <c r="H1397" s="34"/>
    </row>
    <row r="1398" spans="1:8" ht="12.15" customHeight="1">
      <c r="A1398" s="5"/>
      <c r="B1398" s="5"/>
      <c r="C1398" s="5"/>
      <c r="D1398" s="926" t="s">
        <v>2831</v>
      </c>
      <c r="E1398" s="927"/>
      <c r="F1398" s="926"/>
      <c r="G1398" s="57">
        <v>0</v>
      </c>
      <c r="H1398" s="34"/>
    </row>
    <row r="1399" spans="1:8" ht="12.15" customHeight="1">
      <c r="A1399" s="5"/>
      <c r="B1399" s="5"/>
      <c r="C1399" s="5"/>
      <c r="D1399" s="926" t="s">
        <v>2598</v>
      </c>
      <c r="E1399" s="927"/>
      <c r="F1399" s="926"/>
      <c r="G1399" s="57">
        <v>0</v>
      </c>
      <c r="H1399" s="34"/>
    </row>
    <row r="1400" spans="1:8" ht="12.15" customHeight="1">
      <c r="A1400" s="5"/>
      <c r="B1400" s="5"/>
      <c r="C1400" s="5"/>
      <c r="D1400" s="926" t="s">
        <v>2582</v>
      </c>
      <c r="E1400" s="927"/>
      <c r="F1400" s="926"/>
      <c r="G1400" s="57">
        <v>0</v>
      </c>
      <c r="H1400" s="34"/>
    </row>
    <row r="1401" spans="1:8" ht="12.15" customHeight="1">
      <c r="A1401" s="5"/>
      <c r="B1401" s="5"/>
      <c r="C1401" s="5"/>
      <c r="D1401" s="926" t="s">
        <v>2740</v>
      </c>
      <c r="E1401" s="927"/>
      <c r="F1401" s="926"/>
      <c r="G1401" s="57">
        <v>2.1</v>
      </c>
      <c r="H1401" s="34"/>
    </row>
    <row r="1402" spans="1:8" ht="12.15" customHeight="1">
      <c r="A1402" s="5"/>
      <c r="B1402" s="5"/>
      <c r="C1402" s="5"/>
      <c r="D1402" s="926" t="s">
        <v>2606</v>
      </c>
      <c r="E1402" s="927"/>
      <c r="F1402" s="926"/>
      <c r="G1402" s="57">
        <v>0</v>
      </c>
      <c r="H1402" s="34"/>
    </row>
    <row r="1403" spans="1:8" ht="12.15" customHeight="1">
      <c r="A1403" s="5"/>
      <c r="B1403" s="5"/>
      <c r="C1403" s="5"/>
      <c r="D1403" s="926" t="s">
        <v>2832</v>
      </c>
      <c r="E1403" s="927"/>
      <c r="F1403" s="926"/>
      <c r="G1403" s="57">
        <v>3.2</v>
      </c>
      <c r="H1403" s="34"/>
    </row>
    <row r="1404" spans="1:8" ht="12.15" customHeight="1">
      <c r="A1404" s="5"/>
      <c r="B1404" s="5"/>
      <c r="C1404" s="5"/>
      <c r="D1404" s="926" t="s">
        <v>2833</v>
      </c>
      <c r="E1404" s="927"/>
      <c r="F1404" s="926"/>
      <c r="G1404" s="57">
        <v>15.1</v>
      </c>
      <c r="H1404" s="34"/>
    </row>
    <row r="1405" spans="1:8" ht="12.15" customHeight="1">
      <c r="A1405" s="5"/>
      <c r="B1405" s="5"/>
      <c r="C1405" s="5"/>
      <c r="D1405" s="926" t="s">
        <v>2578</v>
      </c>
      <c r="E1405" s="927"/>
      <c r="F1405" s="926"/>
      <c r="G1405" s="57">
        <v>0</v>
      </c>
      <c r="H1405" s="34"/>
    </row>
    <row r="1406" spans="1:8" ht="12.15" customHeight="1">
      <c r="A1406" s="5"/>
      <c r="B1406" s="5"/>
      <c r="C1406" s="5"/>
      <c r="D1406" s="926" t="s">
        <v>2834</v>
      </c>
      <c r="E1406" s="927"/>
      <c r="F1406" s="926"/>
      <c r="G1406" s="57">
        <v>15.3</v>
      </c>
      <c r="H1406" s="34"/>
    </row>
    <row r="1407" spans="1:8" ht="12.15" customHeight="1">
      <c r="A1407" s="5"/>
      <c r="B1407" s="5"/>
      <c r="C1407" s="5"/>
      <c r="D1407" s="926" t="s">
        <v>2835</v>
      </c>
      <c r="E1407" s="927"/>
      <c r="F1407" s="926"/>
      <c r="G1407" s="57">
        <v>43</v>
      </c>
      <c r="H1407" s="34"/>
    </row>
    <row r="1408" spans="1:8">
      <c r="A1408" s="6" t="s">
        <v>308</v>
      </c>
      <c r="B1408" s="6"/>
      <c r="C1408" s="6" t="s">
        <v>904</v>
      </c>
      <c r="D1408" s="928" t="s">
        <v>1597</v>
      </c>
      <c r="E1408" s="929"/>
      <c r="F1408" s="6" t="s">
        <v>1941</v>
      </c>
      <c r="G1408" s="22">
        <v>6.4689800000000002</v>
      </c>
      <c r="H1408" s="22">
        <v>0</v>
      </c>
    </row>
    <row r="1409" spans="1:8" ht="12.15" customHeight="1">
      <c r="D1409" s="932" t="s">
        <v>2413</v>
      </c>
      <c r="E1409" s="933"/>
      <c r="F1409" s="933"/>
      <c r="G1409" s="58">
        <v>0</v>
      </c>
    </row>
    <row r="1410" spans="1:8" ht="12.15" customHeight="1">
      <c r="A1410" s="6"/>
      <c r="B1410" s="6"/>
      <c r="C1410" s="6"/>
      <c r="D1410" s="932" t="s">
        <v>2818</v>
      </c>
      <c r="E1410" s="933"/>
      <c r="F1410" s="932"/>
      <c r="G1410" s="58">
        <v>0</v>
      </c>
      <c r="H1410" s="35"/>
    </row>
    <row r="1411" spans="1:8" ht="12.15" customHeight="1">
      <c r="A1411" s="6"/>
      <c r="B1411" s="6"/>
      <c r="C1411" s="6"/>
      <c r="D1411" s="932" t="s">
        <v>2560</v>
      </c>
      <c r="E1411" s="933"/>
      <c r="F1411" s="932"/>
      <c r="G1411" s="58">
        <v>0</v>
      </c>
      <c r="H1411" s="35"/>
    </row>
    <row r="1412" spans="1:8" ht="12.15" customHeight="1">
      <c r="A1412" s="6"/>
      <c r="B1412" s="6"/>
      <c r="C1412" s="6"/>
      <c r="D1412" s="932" t="s">
        <v>2836</v>
      </c>
      <c r="E1412" s="933"/>
      <c r="F1412" s="932"/>
      <c r="G1412" s="58">
        <v>0.63624999999999998</v>
      </c>
      <c r="H1412" s="35"/>
    </row>
    <row r="1413" spans="1:8" ht="12.15" customHeight="1">
      <c r="A1413" s="6"/>
      <c r="B1413" s="6"/>
      <c r="C1413" s="6"/>
      <c r="D1413" s="932" t="s">
        <v>2828</v>
      </c>
      <c r="E1413" s="933"/>
      <c r="F1413" s="932"/>
      <c r="G1413" s="58">
        <v>0</v>
      </c>
      <c r="H1413" s="35"/>
    </row>
    <row r="1414" spans="1:8" ht="12.15" customHeight="1">
      <c r="A1414" s="6"/>
      <c r="B1414" s="6"/>
      <c r="C1414" s="6"/>
      <c r="D1414" s="932" t="s">
        <v>2572</v>
      </c>
      <c r="E1414" s="933"/>
      <c r="F1414" s="932"/>
      <c r="G1414" s="58">
        <v>0</v>
      </c>
      <c r="H1414" s="35"/>
    </row>
    <row r="1415" spans="1:8" ht="12.15" customHeight="1">
      <c r="A1415" s="6"/>
      <c r="B1415" s="6"/>
      <c r="C1415" s="6"/>
      <c r="D1415" s="932" t="s">
        <v>2837</v>
      </c>
      <c r="E1415" s="933"/>
      <c r="F1415" s="932"/>
      <c r="G1415" s="58">
        <v>1.21584</v>
      </c>
      <c r="H1415" s="35"/>
    </row>
    <row r="1416" spans="1:8" ht="12.15" customHeight="1">
      <c r="A1416" s="6"/>
      <c r="B1416" s="6"/>
      <c r="C1416" s="6"/>
      <c r="D1416" s="932" t="s">
        <v>2829</v>
      </c>
      <c r="E1416" s="933"/>
      <c r="F1416" s="932"/>
      <c r="G1416" s="58">
        <v>0</v>
      </c>
      <c r="H1416" s="35"/>
    </row>
    <row r="1417" spans="1:8" ht="12.15" customHeight="1">
      <c r="A1417" s="6"/>
      <c r="B1417" s="6"/>
      <c r="C1417" s="6"/>
      <c r="D1417" s="932" t="s">
        <v>2574</v>
      </c>
      <c r="E1417" s="933"/>
      <c r="F1417" s="932"/>
      <c r="G1417" s="58">
        <v>0</v>
      </c>
      <c r="H1417" s="35"/>
    </row>
    <row r="1418" spans="1:8" ht="12.15" customHeight="1">
      <c r="A1418" s="6"/>
      <c r="B1418" s="6"/>
      <c r="C1418" s="6"/>
      <c r="D1418" s="932" t="s">
        <v>2838</v>
      </c>
      <c r="E1418" s="933"/>
      <c r="F1418" s="932"/>
      <c r="G1418" s="58">
        <v>6.6400000000000001E-2</v>
      </c>
      <c r="H1418" s="35"/>
    </row>
    <row r="1419" spans="1:8" ht="12.15" customHeight="1">
      <c r="A1419" s="6"/>
      <c r="B1419" s="6"/>
      <c r="C1419" s="6"/>
      <c r="D1419" s="932" t="s">
        <v>2576</v>
      </c>
      <c r="E1419" s="933"/>
      <c r="F1419" s="932"/>
      <c r="G1419" s="58">
        <v>0</v>
      </c>
      <c r="H1419" s="35"/>
    </row>
    <row r="1420" spans="1:8" ht="12.15" customHeight="1">
      <c r="A1420" s="6"/>
      <c r="B1420" s="6"/>
      <c r="C1420" s="6"/>
      <c r="D1420" s="932" t="s">
        <v>2839</v>
      </c>
      <c r="E1420" s="933"/>
      <c r="F1420" s="932"/>
      <c r="G1420" s="58">
        <v>0.53678999999999999</v>
      </c>
      <c r="H1420" s="35"/>
    </row>
    <row r="1421" spans="1:8" ht="12.15" customHeight="1">
      <c r="A1421" s="6"/>
      <c r="B1421" s="6"/>
      <c r="C1421" s="6"/>
      <c r="D1421" s="932" t="s">
        <v>2405</v>
      </c>
      <c r="E1421" s="933"/>
      <c r="F1421" s="932"/>
      <c r="G1421" s="58">
        <v>0</v>
      </c>
      <c r="H1421" s="35"/>
    </row>
    <row r="1422" spans="1:8" ht="12.15" customHeight="1">
      <c r="A1422" s="6"/>
      <c r="B1422" s="6"/>
      <c r="C1422" s="6"/>
      <c r="D1422" s="932" t="s">
        <v>2831</v>
      </c>
      <c r="E1422" s="933"/>
      <c r="F1422" s="932"/>
      <c r="G1422" s="58">
        <v>0</v>
      </c>
      <c r="H1422" s="35"/>
    </row>
    <row r="1423" spans="1:8" ht="12.15" customHeight="1">
      <c r="A1423" s="6"/>
      <c r="B1423" s="6"/>
      <c r="C1423" s="6"/>
      <c r="D1423" s="932" t="s">
        <v>2598</v>
      </c>
      <c r="E1423" s="933"/>
      <c r="F1423" s="932"/>
      <c r="G1423" s="58">
        <v>0</v>
      </c>
      <c r="H1423" s="35"/>
    </row>
    <row r="1424" spans="1:8" ht="12.15" customHeight="1">
      <c r="A1424" s="6"/>
      <c r="B1424" s="6"/>
      <c r="C1424" s="6"/>
      <c r="D1424" s="932" t="s">
        <v>2840</v>
      </c>
      <c r="E1424" s="933"/>
      <c r="F1424" s="932"/>
      <c r="G1424" s="58">
        <v>0.77010000000000001</v>
      </c>
      <c r="H1424" s="35"/>
    </row>
    <row r="1425" spans="1:8" ht="12.15" customHeight="1">
      <c r="A1425" s="6"/>
      <c r="B1425" s="6"/>
      <c r="C1425" s="6"/>
      <c r="D1425" s="932" t="s">
        <v>2578</v>
      </c>
      <c r="E1425" s="933"/>
      <c r="F1425" s="932"/>
      <c r="G1425" s="58">
        <v>0</v>
      </c>
      <c r="H1425" s="35"/>
    </row>
    <row r="1426" spans="1:8" ht="12.15" customHeight="1">
      <c r="A1426" s="6"/>
      <c r="B1426" s="6"/>
      <c r="C1426" s="6"/>
      <c r="D1426" s="932" t="s">
        <v>2841</v>
      </c>
      <c r="E1426" s="933"/>
      <c r="F1426" s="932"/>
      <c r="G1426" s="58">
        <v>0.78029999999999999</v>
      </c>
      <c r="H1426" s="35"/>
    </row>
    <row r="1427" spans="1:8" ht="12.15" customHeight="1">
      <c r="A1427" s="6"/>
      <c r="B1427" s="6"/>
      <c r="C1427" s="6"/>
      <c r="D1427" s="932" t="s">
        <v>2582</v>
      </c>
      <c r="E1427" s="933"/>
      <c r="F1427" s="932"/>
      <c r="G1427" s="58">
        <v>0</v>
      </c>
      <c r="H1427" s="35"/>
    </row>
    <row r="1428" spans="1:8" ht="12.15" customHeight="1">
      <c r="A1428" s="6"/>
      <c r="B1428" s="6"/>
      <c r="C1428" s="6"/>
      <c r="D1428" s="932" t="s">
        <v>2842</v>
      </c>
      <c r="E1428" s="933"/>
      <c r="F1428" s="932"/>
      <c r="G1428" s="58">
        <v>0.1071</v>
      </c>
      <c r="H1428" s="35"/>
    </row>
    <row r="1429" spans="1:8" ht="12.15" customHeight="1">
      <c r="A1429" s="6"/>
      <c r="B1429" s="6"/>
      <c r="C1429" s="6"/>
      <c r="D1429" s="932" t="s">
        <v>2606</v>
      </c>
      <c r="E1429" s="933"/>
      <c r="F1429" s="932"/>
      <c r="G1429" s="58">
        <v>0</v>
      </c>
      <c r="H1429" s="35"/>
    </row>
    <row r="1430" spans="1:8" ht="12.15" customHeight="1">
      <c r="A1430" s="6"/>
      <c r="B1430" s="6"/>
      <c r="C1430" s="6"/>
      <c r="D1430" s="932" t="s">
        <v>2843</v>
      </c>
      <c r="E1430" s="933"/>
      <c r="F1430" s="932"/>
      <c r="G1430" s="58">
        <v>0.16320000000000001</v>
      </c>
      <c r="H1430" s="35"/>
    </row>
    <row r="1431" spans="1:8" ht="12.15" customHeight="1">
      <c r="A1431" s="6"/>
      <c r="B1431" s="6"/>
      <c r="C1431" s="6"/>
      <c r="D1431" s="932" t="s">
        <v>2844</v>
      </c>
      <c r="E1431" s="933"/>
      <c r="F1431" s="932"/>
      <c r="G1431" s="58">
        <v>2.1930000000000001</v>
      </c>
      <c r="H1431" s="35"/>
    </row>
    <row r="1432" spans="1:8">
      <c r="A1432" s="6" t="s">
        <v>309</v>
      </c>
      <c r="B1432" s="6"/>
      <c r="C1432" s="6" t="s">
        <v>906</v>
      </c>
      <c r="D1432" s="928" t="s">
        <v>5831</v>
      </c>
      <c r="E1432" s="929"/>
      <c r="F1432" s="6" t="s">
        <v>1940</v>
      </c>
      <c r="G1432" s="22">
        <v>116.1474</v>
      </c>
      <c r="H1432" s="22">
        <v>0</v>
      </c>
    </row>
    <row r="1433" spans="1:8" ht="12.15" customHeight="1">
      <c r="D1433" s="932" t="s">
        <v>2845</v>
      </c>
      <c r="E1433" s="933"/>
      <c r="F1433" s="933"/>
      <c r="G1433" s="58">
        <v>113.87</v>
      </c>
    </row>
    <row r="1434" spans="1:8" ht="12.15" customHeight="1">
      <c r="A1434" s="6"/>
      <c r="B1434" s="6"/>
      <c r="C1434" s="6"/>
      <c r="D1434" s="932" t="s">
        <v>2846</v>
      </c>
      <c r="E1434" s="933"/>
      <c r="F1434" s="932"/>
      <c r="G1434" s="58">
        <v>2.2774000000000001</v>
      </c>
      <c r="H1434" s="35"/>
    </row>
    <row r="1435" spans="1:8">
      <c r="A1435" s="6" t="s">
        <v>310</v>
      </c>
      <c r="B1435" s="6"/>
      <c r="C1435" s="6" t="s">
        <v>907</v>
      </c>
      <c r="D1435" s="928" t="s">
        <v>5832</v>
      </c>
      <c r="E1435" s="929"/>
      <c r="F1435" s="6" t="s">
        <v>1940</v>
      </c>
      <c r="G1435" s="22">
        <v>15.7182</v>
      </c>
      <c r="H1435" s="22">
        <v>0</v>
      </c>
    </row>
    <row r="1436" spans="1:8" ht="12.15" customHeight="1">
      <c r="D1436" s="932" t="s">
        <v>2847</v>
      </c>
      <c r="E1436" s="933"/>
      <c r="F1436" s="933"/>
      <c r="G1436" s="58">
        <v>15.41</v>
      </c>
    </row>
    <row r="1437" spans="1:8" ht="12.15" customHeight="1">
      <c r="A1437" s="6"/>
      <c r="B1437" s="6"/>
      <c r="C1437" s="6"/>
      <c r="D1437" s="932" t="s">
        <v>2848</v>
      </c>
      <c r="E1437" s="933"/>
      <c r="F1437" s="932"/>
      <c r="G1437" s="58">
        <v>0.30819999999999997</v>
      </c>
      <c r="H1437" s="35"/>
    </row>
    <row r="1438" spans="1:8">
      <c r="A1438" s="6" t="s">
        <v>311</v>
      </c>
      <c r="B1438" s="6"/>
      <c r="C1438" s="6" t="s">
        <v>908</v>
      </c>
      <c r="D1438" s="928" t="s">
        <v>5838</v>
      </c>
      <c r="E1438" s="929"/>
      <c r="F1438" s="6" t="s">
        <v>1940</v>
      </c>
      <c r="G1438" s="22">
        <v>326.90030999999999</v>
      </c>
      <c r="H1438" s="22">
        <v>0</v>
      </c>
    </row>
    <row r="1439" spans="1:8" ht="12.15" customHeight="1">
      <c r="D1439" s="932" t="s">
        <v>2849</v>
      </c>
      <c r="E1439" s="933"/>
      <c r="F1439" s="933"/>
      <c r="G1439" s="58">
        <v>320.4905</v>
      </c>
    </row>
    <row r="1440" spans="1:8" ht="12.15" customHeight="1">
      <c r="A1440" s="6"/>
      <c r="B1440" s="6"/>
      <c r="C1440" s="6"/>
      <c r="D1440" s="932" t="s">
        <v>2850</v>
      </c>
      <c r="E1440" s="933"/>
      <c r="F1440" s="932"/>
      <c r="G1440" s="58">
        <v>6.4098100000000002</v>
      </c>
      <c r="H1440" s="35"/>
    </row>
    <row r="1441" spans="1:8">
      <c r="A1441" s="5" t="s">
        <v>312</v>
      </c>
      <c r="B1441" s="5"/>
      <c r="C1441" s="5" t="s">
        <v>909</v>
      </c>
      <c r="D1441" s="924" t="s">
        <v>1599</v>
      </c>
      <c r="E1441" s="925"/>
      <c r="F1441" s="5" t="s">
        <v>1940</v>
      </c>
      <c r="G1441" s="21">
        <v>541.35144000000003</v>
      </c>
      <c r="H1441" s="21">
        <v>0</v>
      </c>
    </row>
    <row r="1442" spans="1:8" ht="12.15" customHeight="1">
      <c r="D1442" s="926" t="s">
        <v>2413</v>
      </c>
      <c r="E1442" s="927"/>
      <c r="F1442" s="927"/>
      <c r="G1442" s="57">
        <v>0</v>
      </c>
    </row>
    <row r="1443" spans="1:8" ht="12.15" customHeight="1">
      <c r="A1443" s="5"/>
      <c r="B1443" s="5"/>
      <c r="C1443" s="5"/>
      <c r="D1443" s="926" t="s">
        <v>2554</v>
      </c>
      <c r="E1443" s="927"/>
      <c r="F1443" s="926"/>
      <c r="G1443" s="57">
        <v>0</v>
      </c>
      <c r="H1443" s="34"/>
    </row>
    <row r="1444" spans="1:8" ht="12.15" customHeight="1">
      <c r="A1444" s="5"/>
      <c r="B1444" s="5"/>
      <c r="C1444" s="5"/>
      <c r="D1444" s="926" t="s">
        <v>2811</v>
      </c>
      <c r="E1444" s="927"/>
      <c r="F1444" s="926"/>
      <c r="G1444" s="57">
        <v>21.43</v>
      </c>
      <c r="H1444" s="34"/>
    </row>
    <row r="1445" spans="1:8" ht="12.15" customHeight="1">
      <c r="A1445" s="5"/>
      <c r="B1445" s="5"/>
      <c r="C1445" s="5"/>
      <c r="D1445" s="926" t="s">
        <v>2556</v>
      </c>
      <c r="E1445" s="927"/>
      <c r="F1445" s="926"/>
      <c r="G1445" s="57">
        <v>0</v>
      </c>
      <c r="H1445" s="34"/>
    </row>
    <row r="1446" spans="1:8" ht="12.15" customHeight="1">
      <c r="A1446" s="5"/>
      <c r="B1446" s="5"/>
      <c r="C1446" s="5"/>
      <c r="D1446" s="926" t="s">
        <v>2812</v>
      </c>
      <c r="E1446" s="927"/>
      <c r="F1446" s="926"/>
      <c r="G1446" s="57">
        <v>6.3464400000000003</v>
      </c>
      <c r="H1446" s="34"/>
    </row>
    <row r="1447" spans="1:8" ht="12.15" customHeight="1">
      <c r="A1447" s="5"/>
      <c r="B1447" s="5"/>
      <c r="C1447" s="5"/>
      <c r="D1447" s="926" t="s">
        <v>2558</v>
      </c>
      <c r="E1447" s="927"/>
      <c r="F1447" s="926"/>
      <c r="G1447" s="57">
        <v>0</v>
      </c>
      <c r="H1447" s="34"/>
    </row>
    <row r="1448" spans="1:8" ht="12.15" customHeight="1">
      <c r="A1448" s="5"/>
      <c r="B1448" s="5"/>
      <c r="C1448" s="5"/>
      <c r="D1448" s="926" t="s">
        <v>2746</v>
      </c>
      <c r="E1448" s="927"/>
      <c r="F1448" s="926"/>
      <c r="G1448" s="57">
        <v>28.42</v>
      </c>
      <c r="H1448" s="34"/>
    </row>
    <row r="1449" spans="1:8" ht="12.15" customHeight="1">
      <c r="A1449" s="5"/>
      <c r="B1449" s="5"/>
      <c r="C1449" s="5"/>
      <c r="D1449" s="926" t="s">
        <v>2589</v>
      </c>
      <c r="E1449" s="927"/>
      <c r="F1449" s="926"/>
      <c r="G1449" s="57">
        <v>0</v>
      </c>
      <c r="H1449" s="34"/>
    </row>
    <row r="1450" spans="1:8" ht="12.15" customHeight="1">
      <c r="A1450" s="5"/>
      <c r="B1450" s="5"/>
      <c r="C1450" s="5"/>
      <c r="D1450" s="926" t="s">
        <v>2813</v>
      </c>
      <c r="E1450" s="927"/>
      <c r="F1450" s="926"/>
      <c r="G1450" s="57">
        <v>23.85</v>
      </c>
      <c r="H1450" s="34"/>
    </row>
    <row r="1451" spans="1:8" ht="12.15" customHeight="1">
      <c r="A1451" s="5"/>
      <c r="B1451" s="5"/>
      <c r="C1451" s="5"/>
      <c r="D1451" s="926" t="s">
        <v>2560</v>
      </c>
      <c r="E1451" s="927"/>
      <c r="F1451" s="926"/>
      <c r="G1451" s="57">
        <v>0</v>
      </c>
      <c r="H1451" s="34"/>
    </row>
    <row r="1452" spans="1:8" ht="12.15" customHeight="1">
      <c r="A1452" s="5"/>
      <c r="B1452" s="5"/>
      <c r="C1452" s="5"/>
      <c r="D1452" s="926" t="s">
        <v>2819</v>
      </c>
      <c r="E1452" s="927"/>
      <c r="F1452" s="926"/>
      <c r="G1452" s="57">
        <v>10.39625</v>
      </c>
      <c r="H1452" s="34"/>
    </row>
    <row r="1453" spans="1:8" ht="12.15" customHeight="1">
      <c r="A1453" s="5"/>
      <c r="B1453" s="5"/>
      <c r="C1453" s="5"/>
      <c r="D1453" s="926" t="s">
        <v>2552</v>
      </c>
      <c r="E1453" s="927"/>
      <c r="F1453" s="926"/>
      <c r="G1453" s="57">
        <v>0</v>
      </c>
      <c r="H1453" s="34"/>
    </row>
    <row r="1454" spans="1:8" ht="12.15" customHeight="1">
      <c r="A1454" s="5"/>
      <c r="B1454" s="5"/>
      <c r="C1454" s="5"/>
      <c r="D1454" s="926" t="s">
        <v>2810</v>
      </c>
      <c r="E1454" s="927"/>
      <c r="F1454" s="926"/>
      <c r="G1454" s="57">
        <v>16.306249999999999</v>
      </c>
      <c r="H1454" s="34"/>
    </row>
    <row r="1455" spans="1:8" ht="12.15" customHeight="1">
      <c r="A1455" s="5"/>
      <c r="B1455" s="5"/>
      <c r="C1455" s="5"/>
      <c r="D1455" s="926" t="s">
        <v>2403</v>
      </c>
      <c r="E1455" s="927"/>
      <c r="F1455" s="926"/>
      <c r="G1455" s="57">
        <v>0</v>
      </c>
      <c r="H1455" s="34"/>
    </row>
    <row r="1456" spans="1:8" ht="12.15" customHeight="1">
      <c r="A1456" s="5"/>
      <c r="B1456" s="5"/>
      <c r="C1456" s="5"/>
      <c r="D1456" s="926" t="s">
        <v>2572</v>
      </c>
      <c r="E1456" s="927"/>
      <c r="F1456" s="926"/>
      <c r="G1456" s="57">
        <v>0</v>
      </c>
      <c r="H1456" s="34"/>
    </row>
    <row r="1457" spans="1:8" ht="12.15" customHeight="1">
      <c r="A1457" s="5"/>
      <c r="B1457" s="5"/>
      <c r="C1457" s="5"/>
      <c r="D1457" s="926" t="s">
        <v>2747</v>
      </c>
      <c r="E1457" s="927"/>
      <c r="F1457" s="926"/>
      <c r="G1457" s="57">
        <v>29.8</v>
      </c>
      <c r="H1457" s="34"/>
    </row>
    <row r="1458" spans="1:8" ht="12.15" customHeight="1">
      <c r="A1458" s="5"/>
      <c r="B1458" s="5"/>
      <c r="C1458" s="5"/>
      <c r="D1458" s="926" t="s">
        <v>2574</v>
      </c>
      <c r="E1458" s="927"/>
      <c r="F1458" s="926"/>
      <c r="G1458" s="57">
        <v>0</v>
      </c>
      <c r="H1458" s="34"/>
    </row>
    <row r="1459" spans="1:8" ht="12.15" customHeight="1">
      <c r="A1459" s="5"/>
      <c r="B1459" s="5"/>
      <c r="C1459" s="5"/>
      <c r="D1459" s="926" t="s">
        <v>2748</v>
      </c>
      <c r="E1459" s="927"/>
      <c r="F1459" s="926"/>
      <c r="G1459" s="57">
        <v>2.17</v>
      </c>
      <c r="H1459" s="34"/>
    </row>
    <row r="1460" spans="1:8" ht="12.15" customHeight="1">
      <c r="A1460" s="5"/>
      <c r="B1460" s="5"/>
      <c r="C1460" s="5"/>
      <c r="D1460" s="926" t="s">
        <v>2591</v>
      </c>
      <c r="E1460" s="927"/>
      <c r="F1460" s="926"/>
      <c r="G1460" s="57">
        <v>0</v>
      </c>
      <c r="H1460" s="34"/>
    </row>
    <row r="1461" spans="1:8" ht="12.15" customHeight="1">
      <c r="A1461" s="5"/>
      <c r="B1461" s="5"/>
      <c r="C1461" s="5"/>
      <c r="D1461" s="926" t="s">
        <v>2749</v>
      </c>
      <c r="E1461" s="927"/>
      <c r="F1461" s="926"/>
      <c r="G1461" s="57">
        <v>15.49</v>
      </c>
      <c r="H1461" s="34"/>
    </row>
    <row r="1462" spans="1:8" ht="12.15" customHeight="1">
      <c r="A1462" s="5"/>
      <c r="B1462" s="5"/>
      <c r="C1462" s="5"/>
      <c r="D1462" s="926" t="s">
        <v>2593</v>
      </c>
      <c r="E1462" s="927"/>
      <c r="F1462" s="926"/>
      <c r="G1462" s="57">
        <v>0</v>
      </c>
      <c r="H1462" s="34"/>
    </row>
    <row r="1463" spans="1:8" ht="12.15" customHeight="1">
      <c r="A1463" s="5"/>
      <c r="B1463" s="5"/>
      <c r="C1463" s="5"/>
      <c r="D1463" s="926" t="s">
        <v>2750</v>
      </c>
      <c r="E1463" s="927"/>
      <c r="F1463" s="926"/>
      <c r="G1463" s="57">
        <v>18.100000000000001</v>
      </c>
      <c r="H1463" s="34"/>
    </row>
    <row r="1464" spans="1:8" ht="12.15" customHeight="1">
      <c r="A1464" s="5"/>
      <c r="B1464" s="5"/>
      <c r="C1464" s="5"/>
      <c r="D1464" s="926" t="s">
        <v>2576</v>
      </c>
      <c r="E1464" s="927"/>
      <c r="F1464" s="926"/>
      <c r="G1464" s="57">
        <v>0</v>
      </c>
      <c r="H1464" s="34"/>
    </row>
    <row r="1465" spans="1:8" ht="12.15" customHeight="1">
      <c r="A1465" s="5"/>
      <c r="B1465" s="5"/>
      <c r="C1465" s="5"/>
      <c r="D1465" s="926" t="s">
        <v>2830</v>
      </c>
      <c r="E1465" s="927"/>
      <c r="F1465" s="926"/>
      <c r="G1465" s="57">
        <v>17.542000000000002</v>
      </c>
      <c r="H1465" s="34"/>
    </row>
    <row r="1466" spans="1:8" ht="12.15" customHeight="1">
      <c r="A1466" s="5"/>
      <c r="B1466" s="5"/>
      <c r="C1466" s="5"/>
      <c r="D1466" s="926" t="s">
        <v>2568</v>
      </c>
      <c r="E1466" s="927"/>
      <c r="F1466" s="926"/>
      <c r="G1466" s="57">
        <v>0</v>
      </c>
      <c r="H1466" s="34"/>
    </row>
    <row r="1467" spans="1:8" ht="12.15" customHeight="1">
      <c r="A1467" s="5"/>
      <c r="B1467" s="5"/>
      <c r="C1467" s="5"/>
      <c r="D1467" s="926" t="s">
        <v>2825</v>
      </c>
      <c r="E1467" s="927"/>
      <c r="F1467" s="926"/>
      <c r="G1467" s="57">
        <v>43.7605</v>
      </c>
      <c r="H1467" s="34"/>
    </row>
    <row r="1468" spans="1:8" ht="12.15" customHeight="1">
      <c r="A1468" s="5"/>
      <c r="B1468" s="5"/>
      <c r="C1468" s="5"/>
      <c r="D1468" s="926" t="s">
        <v>2570</v>
      </c>
      <c r="E1468" s="927"/>
      <c r="F1468" s="926"/>
      <c r="G1468" s="57">
        <v>0</v>
      </c>
      <c r="H1468" s="34"/>
    </row>
    <row r="1469" spans="1:8" ht="12.15" customHeight="1">
      <c r="A1469" s="5"/>
      <c r="B1469" s="5"/>
      <c r="C1469" s="5"/>
      <c r="D1469" s="926" t="s">
        <v>2827</v>
      </c>
      <c r="E1469" s="927"/>
      <c r="F1469" s="926"/>
      <c r="G1469" s="57">
        <v>15.41</v>
      </c>
      <c r="H1469" s="34"/>
    </row>
    <row r="1470" spans="1:8" ht="12.15" customHeight="1">
      <c r="A1470" s="5"/>
      <c r="B1470" s="5"/>
      <c r="C1470" s="5"/>
      <c r="D1470" s="926" t="s">
        <v>2738</v>
      </c>
      <c r="E1470" s="927"/>
      <c r="F1470" s="926"/>
      <c r="G1470" s="57">
        <v>0</v>
      </c>
      <c r="H1470" s="34"/>
    </row>
    <row r="1471" spans="1:8" ht="12.15" customHeight="1">
      <c r="A1471" s="5"/>
      <c r="B1471" s="5"/>
      <c r="C1471" s="5"/>
      <c r="D1471" s="926" t="s">
        <v>2596</v>
      </c>
      <c r="E1471" s="927"/>
      <c r="F1471" s="926"/>
      <c r="G1471" s="57">
        <v>0</v>
      </c>
      <c r="H1471" s="34"/>
    </row>
    <row r="1472" spans="1:8" ht="12.15" customHeight="1">
      <c r="A1472" s="5"/>
      <c r="B1472" s="5"/>
      <c r="C1472" s="5"/>
      <c r="D1472" s="926" t="s">
        <v>2805</v>
      </c>
      <c r="E1472" s="927"/>
      <c r="F1472" s="926"/>
      <c r="G1472" s="57">
        <v>88.04</v>
      </c>
      <c r="H1472" s="34"/>
    </row>
    <row r="1473" spans="1:8" ht="12.15" customHeight="1">
      <c r="A1473" s="5"/>
      <c r="B1473" s="5"/>
      <c r="C1473" s="5"/>
      <c r="D1473" s="926" t="s">
        <v>2598</v>
      </c>
      <c r="E1473" s="927"/>
      <c r="F1473" s="926"/>
      <c r="G1473" s="57">
        <v>0</v>
      </c>
      <c r="H1473" s="34"/>
    </row>
    <row r="1474" spans="1:8" ht="12.15" customHeight="1">
      <c r="A1474" s="5"/>
      <c r="B1474" s="5"/>
      <c r="C1474" s="5"/>
      <c r="D1474" s="926" t="s">
        <v>2833</v>
      </c>
      <c r="E1474" s="927"/>
      <c r="F1474" s="926"/>
      <c r="G1474" s="57">
        <v>15.1</v>
      </c>
      <c r="H1474" s="34"/>
    </row>
    <row r="1475" spans="1:8" ht="12.15" customHeight="1">
      <c r="A1475" s="5"/>
      <c r="B1475" s="5"/>
      <c r="C1475" s="5"/>
      <c r="D1475" s="926" t="s">
        <v>2578</v>
      </c>
      <c r="E1475" s="927"/>
      <c r="F1475" s="926"/>
      <c r="G1475" s="57">
        <v>0</v>
      </c>
      <c r="H1475" s="34"/>
    </row>
    <row r="1476" spans="1:8" ht="12.15" customHeight="1">
      <c r="A1476" s="5"/>
      <c r="B1476" s="5"/>
      <c r="C1476" s="5"/>
      <c r="D1476" s="926" t="s">
        <v>2834</v>
      </c>
      <c r="E1476" s="927"/>
      <c r="F1476" s="926"/>
      <c r="G1476" s="57">
        <v>15.3</v>
      </c>
      <c r="H1476" s="34"/>
    </row>
    <row r="1477" spans="1:8" ht="12.15" customHeight="1">
      <c r="A1477" s="5"/>
      <c r="B1477" s="5"/>
      <c r="C1477" s="5"/>
      <c r="D1477" s="926" t="s">
        <v>2600</v>
      </c>
      <c r="E1477" s="927"/>
      <c r="F1477" s="926"/>
      <c r="G1477" s="57">
        <v>0</v>
      </c>
      <c r="H1477" s="34"/>
    </row>
    <row r="1478" spans="1:8" ht="12.15" customHeight="1">
      <c r="A1478" s="5"/>
      <c r="B1478" s="5"/>
      <c r="C1478" s="5"/>
      <c r="D1478" s="926" t="s">
        <v>2751</v>
      </c>
      <c r="E1478" s="927"/>
      <c r="F1478" s="926"/>
      <c r="G1478" s="57">
        <v>59.76</v>
      </c>
      <c r="H1478" s="34"/>
    </row>
    <row r="1479" spans="1:8" ht="12.15" customHeight="1">
      <c r="A1479" s="5"/>
      <c r="B1479" s="5"/>
      <c r="C1479" s="5"/>
      <c r="D1479" s="926" t="s">
        <v>2602</v>
      </c>
      <c r="E1479" s="927"/>
      <c r="F1479" s="926"/>
      <c r="G1479" s="57">
        <v>0</v>
      </c>
      <c r="H1479" s="34"/>
    </row>
    <row r="1480" spans="1:8" ht="12.15" customHeight="1">
      <c r="A1480" s="5"/>
      <c r="B1480" s="5"/>
      <c r="C1480" s="5"/>
      <c r="D1480" s="926" t="s">
        <v>2752</v>
      </c>
      <c r="E1480" s="927"/>
      <c r="F1480" s="926"/>
      <c r="G1480" s="57">
        <v>7</v>
      </c>
      <c r="H1480" s="34"/>
    </row>
    <row r="1481" spans="1:8" ht="12.15" customHeight="1">
      <c r="A1481" s="5"/>
      <c r="B1481" s="5"/>
      <c r="C1481" s="5"/>
      <c r="D1481" s="926" t="s">
        <v>2604</v>
      </c>
      <c r="E1481" s="927"/>
      <c r="F1481" s="926"/>
      <c r="G1481" s="57">
        <v>0</v>
      </c>
      <c r="H1481" s="34"/>
    </row>
    <row r="1482" spans="1:8" ht="12.15" customHeight="1">
      <c r="A1482" s="5"/>
      <c r="B1482" s="5"/>
      <c r="C1482" s="5"/>
      <c r="D1482" s="926" t="s">
        <v>2806</v>
      </c>
      <c r="E1482" s="927"/>
      <c r="F1482" s="926"/>
      <c r="G1482" s="57">
        <v>16.940000000000001</v>
      </c>
      <c r="H1482" s="34"/>
    </row>
    <row r="1483" spans="1:8" ht="12.15" customHeight="1">
      <c r="A1483" s="5"/>
      <c r="B1483" s="5"/>
      <c r="C1483" s="5"/>
      <c r="D1483" s="926" t="s">
        <v>2606</v>
      </c>
      <c r="E1483" s="927"/>
      <c r="F1483" s="926"/>
      <c r="G1483" s="57">
        <v>0</v>
      </c>
      <c r="H1483" s="34"/>
    </row>
    <row r="1484" spans="1:8" ht="12.15" customHeight="1">
      <c r="A1484" s="5"/>
      <c r="B1484" s="5"/>
      <c r="C1484" s="5"/>
      <c r="D1484" s="926" t="s">
        <v>2832</v>
      </c>
      <c r="E1484" s="927"/>
      <c r="F1484" s="926"/>
      <c r="G1484" s="57">
        <v>3.2</v>
      </c>
      <c r="H1484" s="34"/>
    </row>
    <row r="1485" spans="1:8" ht="12.15" customHeight="1">
      <c r="A1485" s="5"/>
      <c r="B1485" s="5"/>
      <c r="C1485" s="5"/>
      <c r="D1485" s="926" t="s">
        <v>2608</v>
      </c>
      <c r="E1485" s="927"/>
      <c r="F1485" s="926"/>
      <c r="G1485" s="57">
        <v>0</v>
      </c>
      <c r="H1485" s="34"/>
    </row>
    <row r="1486" spans="1:8" ht="12.15" customHeight="1">
      <c r="A1486" s="5"/>
      <c r="B1486" s="5"/>
      <c r="C1486" s="5"/>
      <c r="D1486" s="926" t="s">
        <v>2851</v>
      </c>
      <c r="E1486" s="927"/>
      <c r="F1486" s="926"/>
      <c r="G1486" s="57">
        <v>34</v>
      </c>
      <c r="H1486" s="34"/>
    </row>
    <row r="1487" spans="1:8" ht="12.15" customHeight="1">
      <c r="A1487" s="5"/>
      <c r="B1487" s="5"/>
      <c r="C1487" s="5"/>
      <c r="D1487" s="926" t="s">
        <v>2807</v>
      </c>
      <c r="E1487" s="927"/>
      <c r="F1487" s="926"/>
      <c r="G1487" s="57">
        <v>9.99</v>
      </c>
      <c r="H1487" s="34"/>
    </row>
    <row r="1488" spans="1:8" ht="12.15" customHeight="1">
      <c r="A1488" s="5"/>
      <c r="B1488" s="5"/>
      <c r="C1488" s="5"/>
      <c r="D1488" s="926" t="s">
        <v>2852</v>
      </c>
      <c r="E1488" s="927"/>
      <c r="F1488" s="926"/>
      <c r="G1488" s="57">
        <v>43</v>
      </c>
      <c r="H1488" s="34"/>
    </row>
    <row r="1489" spans="1:8">
      <c r="A1489" s="5" t="s">
        <v>313</v>
      </c>
      <c r="B1489" s="5"/>
      <c r="C1489" s="5" t="s">
        <v>910</v>
      </c>
      <c r="D1489" s="924" t="s">
        <v>1601</v>
      </c>
      <c r="E1489" s="925"/>
      <c r="F1489" s="5" t="s">
        <v>1940</v>
      </c>
      <c r="G1489" s="21">
        <v>246.3605</v>
      </c>
      <c r="H1489" s="21">
        <v>0</v>
      </c>
    </row>
    <row r="1490" spans="1:8" ht="12.15" customHeight="1">
      <c r="D1490" s="926" t="s">
        <v>2468</v>
      </c>
      <c r="E1490" s="927"/>
      <c r="F1490" s="927"/>
      <c r="G1490" s="57">
        <v>0</v>
      </c>
    </row>
    <row r="1491" spans="1:8" ht="12.15" customHeight="1">
      <c r="A1491" s="5"/>
      <c r="B1491" s="5"/>
      <c r="C1491" s="5"/>
      <c r="D1491" s="926" t="s">
        <v>2853</v>
      </c>
      <c r="E1491" s="927"/>
      <c r="F1491" s="926"/>
      <c r="G1491" s="57">
        <v>257.6105</v>
      </c>
      <c r="H1491" s="34"/>
    </row>
    <row r="1492" spans="1:8" ht="12.15" customHeight="1">
      <c r="A1492" s="5"/>
      <c r="B1492" s="5"/>
      <c r="C1492" s="5"/>
      <c r="D1492" s="926" t="s">
        <v>2854</v>
      </c>
      <c r="E1492" s="927"/>
      <c r="F1492" s="926"/>
      <c r="G1492" s="57">
        <v>25</v>
      </c>
      <c r="H1492" s="34"/>
    </row>
    <row r="1493" spans="1:8" ht="12.15" customHeight="1">
      <c r="A1493" s="5"/>
      <c r="B1493" s="5"/>
      <c r="C1493" s="5"/>
      <c r="D1493" s="926" t="s">
        <v>2855</v>
      </c>
      <c r="E1493" s="927"/>
      <c r="F1493" s="926"/>
      <c r="G1493" s="57">
        <v>-36.25</v>
      </c>
      <c r="H1493" s="34"/>
    </row>
    <row r="1494" spans="1:8">
      <c r="A1494" s="6" t="s">
        <v>314</v>
      </c>
      <c r="B1494" s="6"/>
      <c r="C1494" s="6" t="s">
        <v>911</v>
      </c>
      <c r="D1494" s="928" t="s">
        <v>1602</v>
      </c>
      <c r="E1494" s="929"/>
      <c r="F1494" s="6" t="s">
        <v>1940</v>
      </c>
      <c r="G1494" s="22">
        <v>251.28771</v>
      </c>
      <c r="H1494" s="22">
        <v>0</v>
      </c>
    </row>
    <row r="1495" spans="1:8" ht="12.15" customHeight="1">
      <c r="D1495" s="932" t="s">
        <v>2856</v>
      </c>
      <c r="E1495" s="933"/>
      <c r="F1495" s="933"/>
      <c r="G1495" s="58">
        <v>246.3605</v>
      </c>
    </row>
    <row r="1496" spans="1:8" ht="12.15" customHeight="1">
      <c r="A1496" s="6"/>
      <c r="B1496" s="6"/>
      <c r="C1496" s="6"/>
      <c r="D1496" s="932" t="s">
        <v>2857</v>
      </c>
      <c r="E1496" s="933"/>
      <c r="F1496" s="932"/>
      <c r="G1496" s="58">
        <v>4.9272099999999996</v>
      </c>
      <c r="H1496" s="35"/>
    </row>
    <row r="1497" spans="1:8">
      <c r="A1497" s="5" t="s">
        <v>315</v>
      </c>
      <c r="B1497" s="5"/>
      <c r="C1497" s="5" t="s">
        <v>912</v>
      </c>
      <c r="D1497" s="924" t="s">
        <v>1603</v>
      </c>
      <c r="E1497" s="925"/>
      <c r="F1497" s="5" t="s">
        <v>1940</v>
      </c>
      <c r="G1497" s="21">
        <v>242.7945</v>
      </c>
      <c r="H1497" s="21">
        <v>0</v>
      </c>
    </row>
    <row r="1498" spans="1:8" ht="12.15" customHeight="1">
      <c r="D1498" s="926" t="s">
        <v>2858</v>
      </c>
      <c r="E1498" s="927"/>
      <c r="F1498" s="927"/>
      <c r="G1498" s="57">
        <v>0</v>
      </c>
    </row>
    <row r="1499" spans="1:8" ht="12.15" customHeight="1">
      <c r="A1499" s="5"/>
      <c r="B1499" s="5"/>
      <c r="C1499" s="5"/>
      <c r="D1499" s="926" t="s">
        <v>2859</v>
      </c>
      <c r="E1499" s="927"/>
      <c r="F1499" s="926"/>
      <c r="G1499" s="57">
        <v>193.11699999999999</v>
      </c>
      <c r="H1499" s="34"/>
    </row>
    <row r="1500" spans="1:8" ht="12.15" customHeight="1">
      <c r="A1500" s="5"/>
      <c r="B1500" s="5"/>
      <c r="C1500" s="5"/>
      <c r="D1500" s="926" t="s">
        <v>2860</v>
      </c>
      <c r="E1500" s="927"/>
      <c r="F1500" s="926"/>
      <c r="G1500" s="57">
        <v>49.677500000000002</v>
      </c>
      <c r="H1500" s="34"/>
    </row>
    <row r="1501" spans="1:8">
      <c r="A1501" s="6" t="s">
        <v>316</v>
      </c>
      <c r="B1501" s="6"/>
      <c r="C1501" s="6" t="s">
        <v>904</v>
      </c>
      <c r="D1501" s="928" t="s">
        <v>1597</v>
      </c>
      <c r="E1501" s="929"/>
      <c r="F1501" s="6" t="s">
        <v>1941</v>
      </c>
      <c r="G1501" s="22">
        <v>29.832139999999999</v>
      </c>
      <c r="H1501" s="22">
        <v>0</v>
      </c>
    </row>
    <row r="1502" spans="1:8" ht="12.15" customHeight="1">
      <c r="D1502" s="932" t="s">
        <v>2858</v>
      </c>
      <c r="E1502" s="933"/>
      <c r="F1502" s="933"/>
      <c r="G1502" s="58">
        <v>0</v>
      </c>
    </row>
    <row r="1503" spans="1:8" ht="12.15" customHeight="1">
      <c r="A1503" s="6"/>
      <c r="B1503" s="6"/>
      <c r="C1503" s="6"/>
      <c r="D1503" s="932" t="s">
        <v>2861</v>
      </c>
      <c r="E1503" s="933"/>
      <c r="F1503" s="932"/>
      <c r="G1503" s="58">
        <v>19.697929999999999</v>
      </c>
      <c r="H1503" s="35"/>
    </row>
    <row r="1504" spans="1:8" ht="12.15" customHeight="1">
      <c r="A1504" s="6"/>
      <c r="B1504" s="6"/>
      <c r="C1504" s="6"/>
      <c r="D1504" s="932" t="s">
        <v>2862</v>
      </c>
      <c r="E1504" s="933"/>
      <c r="F1504" s="932"/>
      <c r="G1504" s="58">
        <v>10.134209999999999</v>
      </c>
      <c r="H1504" s="35"/>
    </row>
    <row r="1505" spans="1:8">
      <c r="A1505" s="5" t="s">
        <v>317</v>
      </c>
      <c r="B1505" s="5"/>
      <c r="C1505" s="5" t="s">
        <v>913</v>
      </c>
      <c r="D1505" s="924" t="s">
        <v>1604</v>
      </c>
      <c r="E1505" s="925"/>
      <c r="F1505" s="5" t="s">
        <v>1940</v>
      </c>
      <c r="G1505" s="21">
        <v>1475.1704999999999</v>
      </c>
      <c r="H1505" s="21">
        <v>0</v>
      </c>
    </row>
    <row r="1506" spans="1:8" ht="12.15" customHeight="1">
      <c r="D1506" s="926" t="s">
        <v>2863</v>
      </c>
      <c r="E1506" s="927"/>
      <c r="F1506" s="927"/>
      <c r="G1506" s="57">
        <v>0</v>
      </c>
    </row>
    <row r="1507" spans="1:8" ht="12.15" customHeight="1">
      <c r="A1507" s="5"/>
      <c r="B1507" s="5"/>
      <c r="C1507" s="5"/>
      <c r="D1507" s="926" t="s">
        <v>2864</v>
      </c>
      <c r="E1507" s="927"/>
      <c r="F1507" s="926"/>
      <c r="G1507" s="57">
        <v>273.7</v>
      </c>
      <c r="H1507" s="34"/>
    </row>
    <row r="1508" spans="1:8" ht="12.15" customHeight="1">
      <c r="A1508" s="5"/>
      <c r="B1508" s="5"/>
      <c r="C1508" s="5"/>
      <c r="D1508" s="926" t="s">
        <v>2865</v>
      </c>
      <c r="E1508" s="927"/>
      <c r="F1508" s="926"/>
      <c r="G1508" s="57">
        <v>0</v>
      </c>
      <c r="H1508" s="34"/>
    </row>
    <row r="1509" spans="1:8" ht="12.15" customHeight="1">
      <c r="A1509" s="5"/>
      <c r="B1509" s="5"/>
      <c r="C1509" s="5"/>
      <c r="D1509" s="926" t="s">
        <v>2866</v>
      </c>
      <c r="E1509" s="927"/>
      <c r="F1509" s="926"/>
      <c r="G1509" s="57">
        <v>34.377400000000002</v>
      </c>
      <c r="H1509" s="34"/>
    </row>
    <row r="1510" spans="1:8" ht="12.15" customHeight="1">
      <c r="A1510" s="5"/>
      <c r="B1510" s="5"/>
      <c r="C1510" s="5"/>
      <c r="D1510" s="926" t="s">
        <v>2867</v>
      </c>
      <c r="E1510" s="927"/>
      <c r="F1510" s="926"/>
      <c r="G1510" s="57">
        <v>60.538400000000003</v>
      </c>
      <c r="H1510" s="34"/>
    </row>
    <row r="1511" spans="1:8" ht="12.15" customHeight="1">
      <c r="A1511" s="5"/>
      <c r="B1511" s="5"/>
      <c r="C1511" s="5"/>
      <c r="D1511" s="926" t="s">
        <v>2868</v>
      </c>
      <c r="E1511" s="927"/>
      <c r="F1511" s="926"/>
      <c r="G1511" s="57">
        <v>3.2109999999999999</v>
      </c>
      <c r="H1511" s="34"/>
    </row>
    <row r="1512" spans="1:8" ht="12.15" customHeight="1">
      <c r="A1512" s="5"/>
      <c r="B1512" s="5"/>
      <c r="C1512" s="5"/>
      <c r="D1512" s="926" t="s">
        <v>2869</v>
      </c>
      <c r="E1512" s="927"/>
      <c r="F1512" s="926"/>
      <c r="G1512" s="57">
        <v>2.8736999999999999</v>
      </c>
      <c r="H1512" s="34"/>
    </row>
    <row r="1513" spans="1:8" ht="12.15" customHeight="1">
      <c r="A1513" s="5"/>
      <c r="B1513" s="5"/>
      <c r="C1513" s="5"/>
      <c r="D1513" s="926" t="s">
        <v>2870</v>
      </c>
      <c r="E1513" s="927"/>
      <c r="F1513" s="926"/>
      <c r="G1513" s="57">
        <v>12.37</v>
      </c>
      <c r="H1513" s="34"/>
    </row>
    <row r="1514" spans="1:8" ht="12.15" customHeight="1">
      <c r="A1514" s="5"/>
      <c r="B1514" s="5"/>
      <c r="C1514" s="5"/>
      <c r="D1514" s="926" t="s">
        <v>2871</v>
      </c>
      <c r="E1514" s="927"/>
      <c r="F1514" s="926"/>
      <c r="G1514" s="57">
        <v>668.2</v>
      </c>
      <c r="H1514" s="34"/>
    </row>
    <row r="1515" spans="1:8" ht="12.15" customHeight="1">
      <c r="A1515" s="5"/>
      <c r="B1515" s="5"/>
      <c r="C1515" s="5"/>
      <c r="D1515" s="926" t="s">
        <v>2872</v>
      </c>
      <c r="E1515" s="927"/>
      <c r="F1515" s="926"/>
      <c r="G1515" s="57">
        <v>388.6</v>
      </c>
      <c r="H1515" s="34"/>
    </row>
    <row r="1516" spans="1:8" ht="12.15" customHeight="1">
      <c r="A1516" s="5"/>
      <c r="B1516" s="5"/>
      <c r="C1516" s="5"/>
      <c r="D1516" s="926" t="s">
        <v>2873</v>
      </c>
      <c r="E1516" s="927"/>
      <c r="F1516" s="926"/>
      <c r="G1516" s="57">
        <v>31.3</v>
      </c>
      <c r="H1516" s="34"/>
    </row>
    <row r="1517" spans="1:8">
      <c r="A1517" s="6" t="s">
        <v>318</v>
      </c>
      <c r="B1517" s="6"/>
      <c r="C1517" s="6" t="s">
        <v>904</v>
      </c>
      <c r="D1517" s="928" t="s">
        <v>1597</v>
      </c>
      <c r="E1517" s="929"/>
      <c r="F1517" s="6" t="s">
        <v>1941</v>
      </c>
      <c r="G1517" s="22">
        <v>107.87560999999999</v>
      </c>
      <c r="H1517" s="22">
        <v>0</v>
      </c>
    </row>
    <row r="1518" spans="1:8" ht="12.15" customHeight="1">
      <c r="D1518" s="932" t="s">
        <v>2863</v>
      </c>
      <c r="E1518" s="933"/>
      <c r="F1518" s="933"/>
      <c r="G1518" s="58">
        <v>0</v>
      </c>
    </row>
    <row r="1519" spans="1:8" ht="12.15" customHeight="1">
      <c r="A1519" s="6"/>
      <c r="B1519" s="6"/>
      <c r="C1519" s="6"/>
      <c r="D1519" s="932" t="s">
        <v>2874</v>
      </c>
      <c r="E1519" s="933"/>
      <c r="F1519" s="932"/>
      <c r="G1519" s="58">
        <v>39.084359999999997</v>
      </c>
      <c r="H1519" s="35"/>
    </row>
    <row r="1520" spans="1:8" ht="12.15" customHeight="1">
      <c r="A1520" s="6"/>
      <c r="B1520" s="6"/>
      <c r="C1520" s="6"/>
      <c r="D1520" s="932" t="s">
        <v>2875</v>
      </c>
      <c r="E1520" s="933"/>
      <c r="F1520" s="932"/>
      <c r="G1520" s="58">
        <v>47.564639999999997</v>
      </c>
      <c r="H1520" s="35"/>
    </row>
    <row r="1521" spans="1:8" ht="12.15" customHeight="1">
      <c r="A1521" s="6"/>
      <c r="B1521" s="6"/>
      <c r="C1521" s="6"/>
      <c r="D1521" s="932" t="s">
        <v>2876</v>
      </c>
      <c r="E1521" s="933"/>
      <c r="F1521" s="932"/>
      <c r="G1521" s="58">
        <v>6.3852000000000002</v>
      </c>
      <c r="H1521" s="35"/>
    </row>
    <row r="1522" spans="1:8" ht="12.15" customHeight="1">
      <c r="A1522" s="6"/>
      <c r="B1522" s="6"/>
      <c r="C1522" s="6"/>
      <c r="D1522" s="932" t="s">
        <v>2865</v>
      </c>
      <c r="E1522" s="933"/>
      <c r="F1522" s="932"/>
      <c r="G1522" s="58">
        <v>0</v>
      </c>
      <c r="H1522" s="35"/>
    </row>
    <row r="1523" spans="1:8" ht="12.15" customHeight="1">
      <c r="A1523" s="6"/>
      <c r="B1523" s="6"/>
      <c r="C1523" s="6"/>
      <c r="D1523" s="932" t="s">
        <v>2877</v>
      </c>
      <c r="E1523" s="933"/>
      <c r="F1523" s="932"/>
      <c r="G1523" s="58">
        <v>3.5766200000000001</v>
      </c>
      <c r="H1523" s="35"/>
    </row>
    <row r="1524" spans="1:8" ht="12.15" customHeight="1">
      <c r="A1524" s="6"/>
      <c r="B1524" s="6"/>
      <c r="C1524" s="6"/>
      <c r="D1524" s="932" t="s">
        <v>2878</v>
      </c>
      <c r="E1524" s="933"/>
      <c r="F1524" s="932"/>
      <c r="G1524" s="58">
        <v>10.651730000000001</v>
      </c>
      <c r="H1524" s="35"/>
    </row>
    <row r="1525" spans="1:8" ht="12.15" customHeight="1">
      <c r="A1525" s="6"/>
      <c r="B1525" s="6"/>
      <c r="C1525" s="6"/>
      <c r="D1525" s="932" t="s">
        <v>2879</v>
      </c>
      <c r="E1525" s="933"/>
      <c r="F1525" s="932"/>
      <c r="G1525" s="58">
        <v>0.31114999999999998</v>
      </c>
      <c r="H1525" s="35"/>
    </row>
    <row r="1526" spans="1:8" ht="12.15" customHeight="1">
      <c r="A1526" s="6"/>
      <c r="B1526" s="6"/>
      <c r="C1526" s="6"/>
      <c r="D1526" s="932" t="s">
        <v>2880</v>
      </c>
      <c r="E1526" s="933"/>
      <c r="F1526" s="932"/>
      <c r="G1526" s="58">
        <v>0.30191000000000001</v>
      </c>
      <c r="H1526" s="35"/>
    </row>
    <row r="1527" spans="1:8">
      <c r="A1527" s="6" t="s">
        <v>319</v>
      </c>
      <c r="B1527" s="6"/>
      <c r="C1527" s="6" t="s">
        <v>914</v>
      </c>
      <c r="D1527" s="928" t="s">
        <v>1605</v>
      </c>
      <c r="E1527" s="929"/>
      <c r="F1527" s="6" t="s">
        <v>1940</v>
      </c>
      <c r="G1527" s="22">
        <v>12.648</v>
      </c>
      <c r="H1527" s="22">
        <v>0</v>
      </c>
    </row>
    <row r="1528" spans="1:8" ht="12.15" customHeight="1">
      <c r="D1528" s="932" t="s">
        <v>2881</v>
      </c>
      <c r="E1528" s="933"/>
      <c r="F1528" s="933"/>
      <c r="G1528" s="58">
        <v>12.4</v>
      </c>
    </row>
    <row r="1529" spans="1:8" ht="12.15" customHeight="1">
      <c r="A1529" s="6"/>
      <c r="B1529" s="6"/>
      <c r="C1529" s="6"/>
      <c r="D1529" s="932" t="s">
        <v>2882</v>
      </c>
      <c r="E1529" s="933"/>
      <c r="F1529" s="932"/>
      <c r="G1529" s="58">
        <v>0.248</v>
      </c>
      <c r="H1529" s="35"/>
    </row>
    <row r="1530" spans="1:8">
      <c r="A1530" s="6" t="s">
        <v>320</v>
      </c>
      <c r="B1530" s="6"/>
      <c r="C1530" s="6" t="s">
        <v>915</v>
      </c>
      <c r="D1530" s="928" t="s">
        <v>1606</v>
      </c>
      <c r="E1530" s="929"/>
      <c r="F1530" s="6" t="s">
        <v>1940</v>
      </c>
      <c r="G1530" s="22">
        <v>681.56399999999996</v>
      </c>
      <c r="H1530" s="22">
        <v>0</v>
      </c>
    </row>
    <row r="1531" spans="1:8" ht="12.15" customHeight="1">
      <c r="D1531" s="932" t="s">
        <v>2883</v>
      </c>
      <c r="E1531" s="933"/>
      <c r="F1531" s="933"/>
      <c r="G1531" s="58">
        <v>668.2</v>
      </c>
    </row>
    <row r="1532" spans="1:8" ht="12.15" customHeight="1">
      <c r="A1532" s="6"/>
      <c r="B1532" s="6"/>
      <c r="C1532" s="6"/>
      <c r="D1532" s="932" t="s">
        <v>2884</v>
      </c>
      <c r="E1532" s="933"/>
      <c r="F1532" s="932"/>
      <c r="G1532" s="58">
        <v>13.364000000000001</v>
      </c>
      <c r="H1532" s="35"/>
    </row>
    <row r="1533" spans="1:8">
      <c r="A1533" s="5" t="s">
        <v>321</v>
      </c>
      <c r="B1533" s="5"/>
      <c r="C1533" s="5" t="s">
        <v>916</v>
      </c>
      <c r="D1533" s="924" t="s">
        <v>1607</v>
      </c>
      <c r="E1533" s="925"/>
      <c r="F1533" s="5" t="s">
        <v>1945</v>
      </c>
      <c r="G1533" s="21">
        <v>21848.25</v>
      </c>
      <c r="H1533" s="21">
        <v>0</v>
      </c>
    </row>
    <row r="1534" spans="1:8">
      <c r="A1534" s="14"/>
      <c r="B1534" s="14"/>
      <c r="C1534" s="14" t="s">
        <v>917</v>
      </c>
      <c r="D1534" s="930" t="s">
        <v>1608</v>
      </c>
      <c r="E1534" s="931"/>
      <c r="F1534" s="14"/>
      <c r="G1534" s="30"/>
      <c r="H1534" s="30"/>
    </row>
    <row r="1535" spans="1:8">
      <c r="A1535" s="5" t="s">
        <v>322</v>
      </c>
      <c r="B1535" s="5"/>
      <c r="C1535" s="5" t="s">
        <v>918</v>
      </c>
      <c r="D1535" s="924" t="s">
        <v>1609</v>
      </c>
      <c r="E1535" s="925"/>
      <c r="F1535" s="5" t="s">
        <v>1940</v>
      </c>
      <c r="G1535" s="21">
        <v>37.546300000000002</v>
      </c>
      <c r="H1535" s="21">
        <v>0</v>
      </c>
    </row>
    <row r="1536" spans="1:8" ht="12.15" customHeight="1">
      <c r="D1536" s="926" t="s">
        <v>2885</v>
      </c>
      <c r="E1536" s="927"/>
      <c r="F1536" s="927"/>
      <c r="G1536" s="57">
        <v>0</v>
      </c>
    </row>
    <row r="1537" spans="1:8" ht="12.15" customHeight="1">
      <c r="A1537" s="5"/>
      <c r="B1537" s="5"/>
      <c r="C1537" s="5"/>
      <c r="D1537" s="926" t="s">
        <v>2886</v>
      </c>
      <c r="E1537" s="927"/>
      <c r="F1537" s="926"/>
      <c r="G1537" s="57">
        <v>17.563500000000001</v>
      </c>
      <c r="H1537" s="34"/>
    </row>
    <row r="1538" spans="1:8" ht="12.15" customHeight="1">
      <c r="A1538" s="5"/>
      <c r="B1538" s="5"/>
      <c r="C1538" s="5"/>
      <c r="D1538" s="926" t="s">
        <v>2887</v>
      </c>
      <c r="E1538" s="927"/>
      <c r="F1538" s="926"/>
      <c r="G1538" s="57">
        <v>19.982800000000001</v>
      </c>
      <c r="H1538" s="34"/>
    </row>
    <row r="1539" spans="1:8">
      <c r="A1539" s="6" t="s">
        <v>323</v>
      </c>
      <c r="B1539" s="6"/>
      <c r="C1539" s="6" t="s">
        <v>919</v>
      </c>
      <c r="D1539" s="928" t="s">
        <v>1610</v>
      </c>
      <c r="E1539" s="929"/>
      <c r="F1539" s="6" t="s">
        <v>1941</v>
      </c>
      <c r="G1539" s="22">
        <v>0.66759000000000002</v>
      </c>
      <c r="H1539" s="22">
        <v>0</v>
      </c>
    </row>
    <row r="1540" spans="1:8" ht="12.15" customHeight="1">
      <c r="D1540" s="932" t="s">
        <v>2888</v>
      </c>
      <c r="E1540" s="933"/>
      <c r="F1540" s="933"/>
      <c r="G1540" s="58">
        <v>0.43908999999999998</v>
      </c>
    </row>
    <row r="1541" spans="1:8" ht="12.15" customHeight="1">
      <c r="A1541" s="6"/>
      <c r="B1541" s="6"/>
      <c r="C1541" s="6"/>
      <c r="D1541" s="932" t="s">
        <v>2889</v>
      </c>
      <c r="E1541" s="933"/>
      <c r="F1541" s="932"/>
      <c r="G1541" s="58">
        <v>0.22850000000000001</v>
      </c>
      <c r="H1541" s="35"/>
    </row>
    <row r="1542" spans="1:8">
      <c r="A1542" s="5" t="s">
        <v>324</v>
      </c>
      <c r="B1542" s="5"/>
      <c r="C1542" s="5" t="s">
        <v>920</v>
      </c>
      <c r="D1542" s="924" t="s">
        <v>1611</v>
      </c>
      <c r="E1542" s="925"/>
      <c r="F1542" s="5" t="s">
        <v>1945</v>
      </c>
      <c r="G1542" s="21">
        <v>1711.3052</v>
      </c>
      <c r="H1542" s="21">
        <v>0</v>
      </c>
    </row>
    <row r="1543" spans="1:8">
      <c r="A1543" s="14"/>
      <c r="B1543" s="14"/>
      <c r="C1543" s="14" t="s">
        <v>921</v>
      </c>
      <c r="D1543" s="930" t="s">
        <v>1612</v>
      </c>
      <c r="E1543" s="931"/>
      <c r="F1543" s="14"/>
      <c r="G1543" s="30"/>
      <c r="H1543" s="30"/>
    </row>
    <row r="1544" spans="1:8">
      <c r="A1544" s="5" t="s">
        <v>325</v>
      </c>
      <c r="B1544" s="5"/>
      <c r="C1544" s="5" t="s">
        <v>922</v>
      </c>
      <c r="D1544" s="924" t="s">
        <v>1613</v>
      </c>
      <c r="E1544" s="925"/>
      <c r="F1544" s="5" t="s">
        <v>1943</v>
      </c>
      <c r="G1544" s="21">
        <v>2</v>
      </c>
      <c r="H1544" s="21">
        <v>0</v>
      </c>
    </row>
    <row r="1545" spans="1:8" ht="12.15" customHeight="1">
      <c r="D1545" s="926" t="s">
        <v>2890</v>
      </c>
      <c r="E1545" s="927"/>
      <c r="F1545" s="927"/>
      <c r="G1545" s="57">
        <v>2</v>
      </c>
    </row>
    <row r="1546" spans="1:8">
      <c r="A1546" s="5" t="s">
        <v>326</v>
      </c>
      <c r="B1546" s="5"/>
      <c r="C1546" s="5" t="s">
        <v>923</v>
      </c>
      <c r="D1546" s="924" t="s">
        <v>1614</v>
      </c>
      <c r="E1546" s="925"/>
      <c r="F1546" s="5" t="s">
        <v>1938</v>
      </c>
      <c r="G1546" s="21">
        <v>1</v>
      </c>
      <c r="H1546" s="21">
        <v>0</v>
      </c>
    </row>
    <row r="1547" spans="1:8">
      <c r="A1547" s="5" t="s">
        <v>327</v>
      </c>
      <c r="B1547" s="5"/>
      <c r="C1547" s="5" t="s">
        <v>924</v>
      </c>
      <c r="D1547" s="924" t="s">
        <v>1616</v>
      </c>
      <c r="E1547" s="925"/>
      <c r="F1547" s="5" t="s">
        <v>1938</v>
      </c>
      <c r="G1547" s="21">
        <v>1</v>
      </c>
      <c r="H1547" s="21">
        <v>0</v>
      </c>
    </row>
    <row r="1548" spans="1:8">
      <c r="A1548" s="5" t="s">
        <v>328</v>
      </c>
      <c r="B1548" s="5"/>
      <c r="C1548" s="5" t="s">
        <v>925</v>
      </c>
      <c r="D1548" s="924" t="s">
        <v>1618</v>
      </c>
      <c r="E1548" s="925"/>
      <c r="F1548" s="5" t="s">
        <v>1938</v>
      </c>
      <c r="G1548" s="21">
        <v>1</v>
      </c>
      <c r="H1548" s="21">
        <v>0</v>
      </c>
    </row>
    <row r="1549" spans="1:8">
      <c r="A1549" s="5" t="s">
        <v>329</v>
      </c>
      <c r="B1549" s="5"/>
      <c r="C1549" s="5" t="s">
        <v>926</v>
      </c>
      <c r="D1549" s="924" t="s">
        <v>1619</v>
      </c>
      <c r="E1549" s="925"/>
      <c r="F1549" s="5" t="s">
        <v>1939</v>
      </c>
      <c r="G1549" s="21">
        <v>11</v>
      </c>
      <c r="H1549" s="21">
        <v>0</v>
      </c>
    </row>
    <row r="1550" spans="1:8">
      <c r="A1550" s="5" t="s">
        <v>330</v>
      </c>
      <c r="B1550" s="5"/>
      <c r="C1550" s="5" t="s">
        <v>927</v>
      </c>
      <c r="D1550" s="924" t="s">
        <v>1620</v>
      </c>
      <c r="E1550" s="925"/>
      <c r="F1550" s="5" t="s">
        <v>1939</v>
      </c>
      <c r="G1550" s="21">
        <v>16</v>
      </c>
      <c r="H1550" s="21">
        <v>0</v>
      </c>
    </row>
    <row r="1551" spans="1:8">
      <c r="A1551" s="5" t="s">
        <v>331</v>
      </c>
      <c r="B1551" s="5"/>
      <c r="C1551" s="5" t="s">
        <v>928</v>
      </c>
      <c r="D1551" s="924" t="s">
        <v>1621</v>
      </c>
      <c r="E1551" s="925"/>
      <c r="F1551" s="5" t="s">
        <v>1945</v>
      </c>
      <c r="G1551" s="21">
        <v>2.5760000000000002E-2</v>
      </c>
      <c r="H1551" s="21">
        <v>0</v>
      </c>
    </row>
    <row r="1552" spans="1:8">
      <c r="A1552" s="14"/>
      <c r="B1552" s="14"/>
      <c r="C1552" s="14" t="s">
        <v>929</v>
      </c>
      <c r="D1552" s="930" t="s">
        <v>1622</v>
      </c>
      <c r="E1552" s="931"/>
      <c r="F1552" s="14"/>
      <c r="G1552" s="30"/>
      <c r="H1552" s="30"/>
    </row>
    <row r="1553" spans="1:8">
      <c r="A1553" s="5" t="s">
        <v>332</v>
      </c>
      <c r="B1553" s="5"/>
      <c r="C1553" s="5" t="s">
        <v>930</v>
      </c>
      <c r="D1553" s="924" t="s">
        <v>1623</v>
      </c>
      <c r="E1553" s="925"/>
      <c r="F1553" s="5" t="s">
        <v>1938</v>
      </c>
      <c r="G1553" s="21">
        <v>3</v>
      </c>
      <c r="H1553" s="21">
        <v>0</v>
      </c>
    </row>
    <row r="1554" spans="1:8">
      <c r="A1554" s="5" t="s">
        <v>333</v>
      </c>
      <c r="B1554" s="5"/>
      <c r="C1554" s="5" t="s">
        <v>931</v>
      </c>
      <c r="D1554" s="924" t="s">
        <v>1624</v>
      </c>
      <c r="E1554" s="925"/>
      <c r="F1554" s="5" t="s">
        <v>1938</v>
      </c>
      <c r="G1554" s="21">
        <v>11</v>
      </c>
      <c r="H1554" s="21">
        <v>0</v>
      </c>
    </row>
    <row r="1555" spans="1:8">
      <c r="A1555" s="5" t="s">
        <v>334</v>
      </c>
      <c r="B1555" s="5"/>
      <c r="C1555" s="5" t="s">
        <v>932</v>
      </c>
      <c r="D1555" s="924" t="s">
        <v>1625</v>
      </c>
      <c r="E1555" s="925"/>
      <c r="F1555" s="5" t="s">
        <v>1938</v>
      </c>
      <c r="G1555" s="21">
        <v>32</v>
      </c>
      <c r="H1555" s="21">
        <v>0</v>
      </c>
    </row>
    <row r="1556" spans="1:8">
      <c r="A1556" s="5" t="s">
        <v>335</v>
      </c>
      <c r="B1556" s="5"/>
      <c r="C1556" s="5" t="s">
        <v>933</v>
      </c>
      <c r="D1556" s="924" t="s">
        <v>1626</v>
      </c>
      <c r="E1556" s="925"/>
      <c r="F1556" s="5" t="s">
        <v>1938</v>
      </c>
      <c r="G1556" s="21">
        <v>11</v>
      </c>
      <c r="H1556" s="21">
        <v>0</v>
      </c>
    </row>
    <row r="1557" spans="1:8">
      <c r="A1557" s="5" t="s">
        <v>336</v>
      </c>
      <c r="B1557" s="5"/>
      <c r="C1557" s="5" t="s">
        <v>934</v>
      </c>
      <c r="D1557" s="924" t="s">
        <v>1627</v>
      </c>
      <c r="E1557" s="925"/>
      <c r="F1557" s="5" t="s">
        <v>1938</v>
      </c>
      <c r="G1557" s="21">
        <v>9</v>
      </c>
      <c r="H1557" s="21">
        <v>0</v>
      </c>
    </row>
    <row r="1558" spans="1:8">
      <c r="A1558" s="5" t="s">
        <v>337</v>
      </c>
      <c r="B1558" s="5"/>
      <c r="C1558" s="5" t="s">
        <v>935</v>
      </c>
      <c r="D1558" s="924" t="s">
        <v>1628</v>
      </c>
      <c r="E1558" s="925"/>
      <c r="F1558" s="5" t="s">
        <v>1938</v>
      </c>
      <c r="G1558" s="21">
        <v>8</v>
      </c>
      <c r="H1558" s="21">
        <v>0</v>
      </c>
    </row>
    <row r="1559" spans="1:8" ht="25.65" customHeight="1">
      <c r="C1559" s="54" t="s">
        <v>605</v>
      </c>
      <c r="D1559" s="917" t="s">
        <v>1629</v>
      </c>
      <c r="E1559" s="918"/>
      <c r="F1559" s="918"/>
      <c r="G1559" s="918"/>
    </row>
    <row r="1560" spans="1:8">
      <c r="A1560" s="5" t="s">
        <v>338</v>
      </c>
      <c r="B1560" s="5"/>
      <c r="C1560" s="5" t="s">
        <v>936</v>
      </c>
      <c r="D1560" s="924" t="s">
        <v>1630</v>
      </c>
      <c r="E1560" s="925"/>
      <c r="F1560" s="5" t="s">
        <v>1938</v>
      </c>
      <c r="G1560" s="21">
        <v>11</v>
      </c>
      <c r="H1560" s="21">
        <v>0</v>
      </c>
    </row>
    <row r="1561" spans="1:8" ht="25.65" customHeight="1">
      <c r="C1561" s="54" t="s">
        <v>605</v>
      </c>
      <c r="D1561" s="917" t="s">
        <v>1629</v>
      </c>
      <c r="E1561" s="918"/>
      <c r="F1561" s="918"/>
      <c r="G1561" s="918"/>
    </row>
    <row r="1562" spans="1:8">
      <c r="A1562" s="5" t="s">
        <v>339</v>
      </c>
      <c r="B1562" s="5"/>
      <c r="C1562" s="5" t="s">
        <v>937</v>
      </c>
      <c r="D1562" s="924" t="s">
        <v>1631</v>
      </c>
      <c r="E1562" s="925"/>
      <c r="F1562" s="5" t="s">
        <v>1938</v>
      </c>
      <c r="G1562" s="21">
        <v>4</v>
      </c>
      <c r="H1562" s="21">
        <v>0</v>
      </c>
    </row>
    <row r="1563" spans="1:8" ht="25.65" customHeight="1">
      <c r="C1563" s="54" t="s">
        <v>605</v>
      </c>
      <c r="D1563" s="917" t="s">
        <v>1629</v>
      </c>
      <c r="E1563" s="918"/>
      <c r="F1563" s="918"/>
      <c r="G1563" s="918"/>
    </row>
    <row r="1564" spans="1:8">
      <c r="A1564" s="5" t="s">
        <v>340</v>
      </c>
      <c r="B1564" s="5"/>
      <c r="C1564" s="5" t="s">
        <v>938</v>
      </c>
      <c r="D1564" s="924" t="s">
        <v>1632</v>
      </c>
      <c r="E1564" s="925"/>
      <c r="F1564" s="5" t="s">
        <v>1938</v>
      </c>
      <c r="G1564" s="21">
        <v>4</v>
      </c>
      <c r="H1564" s="21">
        <v>0</v>
      </c>
    </row>
    <row r="1565" spans="1:8" ht="25.65" customHeight="1">
      <c r="C1565" s="54" t="s">
        <v>605</v>
      </c>
      <c r="D1565" s="917" t="s">
        <v>1629</v>
      </c>
      <c r="E1565" s="918"/>
      <c r="F1565" s="918"/>
      <c r="G1565" s="918"/>
    </row>
    <row r="1566" spans="1:8">
      <c r="A1566" s="5" t="s">
        <v>341</v>
      </c>
      <c r="B1566" s="5"/>
      <c r="C1566" s="5" t="s">
        <v>939</v>
      </c>
      <c r="D1566" s="924" t="s">
        <v>1633</v>
      </c>
      <c r="E1566" s="925"/>
      <c r="F1566" s="5" t="s">
        <v>1938</v>
      </c>
      <c r="G1566" s="21">
        <v>4</v>
      </c>
      <c r="H1566" s="21">
        <v>0</v>
      </c>
    </row>
    <row r="1567" spans="1:8">
      <c r="A1567" s="5" t="s">
        <v>342</v>
      </c>
      <c r="B1567" s="5"/>
      <c r="C1567" s="5" t="s">
        <v>940</v>
      </c>
      <c r="D1567" s="924" t="s">
        <v>1634</v>
      </c>
      <c r="E1567" s="925"/>
      <c r="F1567" s="5" t="s">
        <v>1938</v>
      </c>
      <c r="G1567" s="21">
        <v>37</v>
      </c>
      <c r="H1567" s="21">
        <v>0</v>
      </c>
    </row>
    <row r="1568" spans="1:8">
      <c r="A1568" s="5" t="s">
        <v>343</v>
      </c>
      <c r="B1568" s="5"/>
      <c r="C1568" s="5" t="s">
        <v>941</v>
      </c>
      <c r="D1568" s="924" t="s">
        <v>1635</v>
      </c>
      <c r="E1568" s="925"/>
      <c r="F1568" s="5" t="s">
        <v>1938</v>
      </c>
      <c r="G1568" s="21">
        <v>1</v>
      </c>
      <c r="H1568" s="21">
        <v>0</v>
      </c>
    </row>
    <row r="1569" spans="1:8" ht="25.65" customHeight="1">
      <c r="C1569" s="54" t="s">
        <v>605</v>
      </c>
      <c r="D1569" s="917" t="s">
        <v>1629</v>
      </c>
      <c r="E1569" s="918"/>
      <c r="F1569" s="918"/>
      <c r="G1569" s="918"/>
    </row>
    <row r="1570" spans="1:8">
      <c r="A1570" s="5" t="s">
        <v>344</v>
      </c>
      <c r="B1570" s="5"/>
      <c r="C1570" s="5" t="s">
        <v>942</v>
      </c>
      <c r="D1570" s="924" t="s">
        <v>1636</v>
      </c>
      <c r="E1570" s="925"/>
      <c r="F1570" s="5" t="s">
        <v>1938</v>
      </c>
      <c r="G1570" s="21">
        <v>1</v>
      </c>
      <c r="H1570" s="21">
        <v>0</v>
      </c>
    </row>
    <row r="1571" spans="1:8" ht="25.65" customHeight="1">
      <c r="C1571" s="54" t="s">
        <v>605</v>
      </c>
      <c r="D1571" s="917" t="s">
        <v>1629</v>
      </c>
      <c r="E1571" s="918"/>
      <c r="F1571" s="918"/>
      <c r="G1571" s="918"/>
    </row>
    <row r="1572" spans="1:8">
      <c r="A1572" s="5" t="s">
        <v>345</v>
      </c>
      <c r="B1572" s="5"/>
      <c r="C1572" s="5" t="s">
        <v>943</v>
      </c>
      <c r="D1572" s="924" t="s">
        <v>1637</v>
      </c>
      <c r="E1572" s="925"/>
      <c r="F1572" s="5" t="s">
        <v>1938</v>
      </c>
      <c r="G1572" s="21">
        <v>1</v>
      </c>
      <c r="H1572" s="21">
        <v>0</v>
      </c>
    </row>
    <row r="1573" spans="1:8" ht="25.65" customHeight="1">
      <c r="C1573" s="54" t="s">
        <v>605</v>
      </c>
      <c r="D1573" s="917" t="s">
        <v>1629</v>
      </c>
      <c r="E1573" s="918"/>
      <c r="F1573" s="918"/>
      <c r="G1573" s="918"/>
    </row>
    <row r="1574" spans="1:8">
      <c r="A1574" s="5" t="s">
        <v>346</v>
      </c>
      <c r="B1574" s="5"/>
      <c r="C1574" s="5" t="s">
        <v>944</v>
      </c>
      <c r="D1574" s="924" t="s">
        <v>1638</v>
      </c>
      <c r="E1574" s="925"/>
      <c r="F1574" s="5" t="s">
        <v>1938</v>
      </c>
      <c r="G1574" s="21">
        <v>22</v>
      </c>
      <c r="H1574" s="21">
        <v>0</v>
      </c>
    </row>
    <row r="1575" spans="1:8" ht="25.65" customHeight="1">
      <c r="C1575" s="54" t="s">
        <v>605</v>
      </c>
      <c r="D1575" s="917" t="s">
        <v>1629</v>
      </c>
      <c r="E1575" s="918"/>
      <c r="F1575" s="918"/>
      <c r="G1575" s="918"/>
    </row>
    <row r="1576" spans="1:8">
      <c r="A1576" s="5" t="s">
        <v>347</v>
      </c>
      <c r="B1576" s="5"/>
      <c r="C1576" s="5" t="s">
        <v>945</v>
      </c>
      <c r="D1576" s="924" t="s">
        <v>1639</v>
      </c>
      <c r="E1576" s="925"/>
      <c r="F1576" s="5" t="s">
        <v>1938</v>
      </c>
      <c r="G1576" s="21">
        <v>2</v>
      </c>
      <c r="H1576" s="21">
        <v>0</v>
      </c>
    </row>
    <row r="1577" spans="1:8" ht="25.65" customHeight="1">
      <c r="C1577" s="54" t="s">
        <v>605</v>
      </c>
      <c r="D1577" s="917" t="s">
        <v>1629</v>
      </c>
      <c r="E1577" s="918"/>
      <c r="F1577" s="918"/>
      <c r="G1577" s="918"/>
    </row>
    <row r="1578" spans="1:8">
      <c r="A1578" s="5" t="s">
        <v>348</v>
      </c>
      <c r="B1578" s="5"/>
      <c r="C1578" s="5" t="s">
        <v>946</v>
      </c>
      <c r="D1578" s="924" t="s">
        <v>1640</v>
      </c>
      <c r="E1578" s="925"/>
      <c r="F1578" s="5" t="s">
        <v>1945</v>
      </c>
      <c r="G1578" s="21">
        <v>1823.2475999999999</v>
      </c>
      <c r="H1578" s="21">
        <v>0</v>
      </c>
    </row>
    <row r="1579" spans="1:8">
      <c r="A1579" s="14"/>
      <c r="B1579" s="14"/>
      <c r="C1579" s="14" t="s">
        <v>947</v>
      </c>
      <c r="D1579" s="930" t="s">
        <v>1641</v>
      </c>
      <c r="E1579" s="931"/>
      <c r="F1579" s="14"/>
      <c r="G1579" s="30"/>
      <c r="H1579" s="30"/>
    </row>
    <row r="1580" spans="1:8">
      <c r="A1580" s="5" t="s">
        <v>349</v>
      </c>
      <c r="B1580" s="5"/>
      <c r="C1580" s="5" t="s">
        <v>948</v>
      </c>
      <c r="D1580" s="924" t="s">
        <v>1642</v>
      </c>
      <c r="E1580" s="925"/>
      <c r="F1580" s="5" t="s">
        <v>1939</v>
      </c>
      <c r="G1580" s="21">
        <v>10</v>
      </c>
      <c r="H1580" s="21">
        <v>0</v>
      </c>
    </row>
    <row r="1581" spans="1:8" ht="12.15" customHeight="1">
      <c r="D1581" s="926" t="s">
        <v>2891</v>
      </c>
      <c r="E1581" s="927"/>
      <c r="F1581" s="927"/>
      <c r="G1581" s="57">
        <v>10</v>
      </c>
    </row>
    <row r="1582" spans="1:8">
      <c r="A1582" s="5" t="s">
        <v>350</v>
      </c>
      <c r="B1582" s="5"/>
      <c r="C1582" s="5" t="s">
        <v>949</v>
      </c>
      <c r="D1582" s="924" t="s">
        <v>1643</v>
      </c>
      <c r="E1582" s="925"/>
      <c r="F1582" s="5" t="s">
        <v>1939</v>
      </c>
      <c r="G1582" s="21">
        <v>10</v>
      </c>
      <c r="H1582" s="21">
        <v>0</v>
      </c>
    </row>
    <row r="1583" spans="1:8" ht="12.15" customHeight="1">
      <c r="D1583" s="926" t="s">
        <v>2892</v>
      </c>
      <c r="E1583" s="927"/>
      <c r="F1583" s="927"/>
      <c r="G1583" s="57">
        <v>10</v>
      </c>
    </row>
    <row r="1584" spans="1:8">
      <c r="A1584" s="5" t="s">
        <v>351</v>
      </c>
      <c r="B1584" s="5"/>
      <c r="C1584" s="5" t="s">
        <v>950</v>
      </c>
      <c r="D1584" s="924" t="s">
        <v>1644</v>
      </c>
      <c r="E1584" s="925"/>
      <c r="F1584" s="5" t="s">
        <v>1945</v>
      </c>
      <c r="G1584" s="21">
        <v>35.93</v>
      </c>
      <c r="H1584" s="21">
        <v>0</v>
      </c>
    </row>
    <row r="1585" spans="1:8">
      <c r="A1585" s="14"/>
      <c r="B1585" s="14"/>
      <c r="C1585" s="14" t="s">
        <v>951</v>
      </c>
      <c r="D1585" s="930" t="s">
        <v>1645</v>
      </c>
      <c r="E1585" s="931"/>
      <c r="F1585" s="14"/>
      <c r="G1585" s="30"/>
      <c r="H1585" s="30"/>
    </row>
    <row r="1586" spans="1:8">
      <c r="A1586" s="5" t="s">
        <v>352</v>
      </c>
      <c r="B1586" s="5"/>
      <c r="C1586" s="5" t="s">
        <v>952</v>
      </c>
      <c r="D1586" s="924" t="s">
        <v>1646</v>
      </c>
      <c r="E1586" s="925"/>
      <c r="F1586" s="5" t="s">
        <v>1943</v>
      </c>
      <c r="G1586" s="21">
        <v>2</v>
      </c>
      <c r="H1586" s="21">
        <v>0</v>
      </c>
    </row>
    <row r="1587" spans="1:8" ht="12.15" customHeight="1">
      <c r="D1587" s="926" t="s">
        <v>2893</v>
      </c>
      <c r="E1587" s="927"/>
      <c r="F1587" s="927"/>
      <c r="G1587" s="57">
        <v>1</v>
      </c>
    </row>
    <row r="1588" spans="1:8" ht="12.15" customHeight="1">
      <c r="A1588" s="5"/>
      <c r="B1588" s="5"/>
      <c r="C1588" s="5"/>
      <c r="D1588" s="926" t="s">
        <v>2894</v>
      </c>
      <c r="E1588" s="927"/>
      <c r="F1588" s="926"/>
      <c r="G1588" s="57">
        <v>1</v>
      </c>
      <c r="H1588" s="34"/>
    </row>
    <row r="1589" spans="1:8">
      <c r="A1589" s="5" t="s">
        <v>353</v>
      </c>
      <c r="B1589" s="5"/>
      <c r="C1589" s="5" t="s">
        <v>953</v>
      </c>
      <c r="D1589" s="924" t="s">
        <v>1647</v>
      </c>
      <c r="E1589" s="925"/>
      <c r="F1589" s="5" t="s">
        <v>1943</v>
      </c>
      <c r="G1589" s="21">
        <v>2</v>
      </c>
      <c r="H1589" s="21">
        <v>0</v>
      </c>
    </row>
    <row r="1590" spans="1:8" ht="12.15" customHeight="1">
      <c r="D1590" s="926" t="s">
        <v>2895</v>
      </c>
      <c r="E1590" s="927"/>
      <c r="F1590" s="927"/>
      <c r="G1590" s="57">
        <v>0</v>
      </c>
    </row>
    <row r="1591" spans="1:8" ht="12.15" customHeight="1">
      <c r="A1591" s="5"/>
      <c r="B1591" s="5"/>
      <c r="C1591" s="5"/>
      <c r="D1591" s="926" t="s">
        <v>2893</v>
      </c>
      <c r="E1591" s="927"/>
      <c r="F1591" s="926"/>
      <c r="G1591" s="57">
        <v>1</v>
      </c>
      <c r="H1591" s="34"/>
    </row>
    <row r="1592" spans="1:8" ht="12.15" customHeight="1">
      <c r="A1592" s="5"/>
      <c r="B1592" s="5"/>
      <c r="C1592" s="5"/>
      <c r="D1592" s="926" t="s">
        <v>2894</v>
      </c>
      <c r="E1592" s="927"/>
      <c r="F1592" s="926"/>
      <c r="G1592" s="57">
        <v>1</v>
      </c>
      <c r="H1592" s="34"/>
    </row>
    <row r="1593" spans="1:8">
      <c r="A1593" s="5" t="s">
        <v>354</v>
      </c>
      <c r="B1593" s="5"/>
      <c r="C1593" s="5" t="s">
        <v>954</v>
      </c>
      <c r="D1593" s="924" t="s">
        <v>1648</v>
      </c>
      <c r="E1593" s="925"/>
      <c r="F1593" s="5" t="s">
        <v>1945</v>
      </c>
      <c r="G1593" s="21">
        <v>6.04</v>
      </c>
      <c r="H1593" s="21">
        <v>0</v>
      </c>
    </row>
    <row r="1594" spans="1:8">
      <c r="A1594" s="14"/>
      <c r="B1594" s="14"/>
      <c r="C1594" s="14" t="s">
        <v>955</v>
      </c>
      <c r="D1594" s="930" t="s">
        <v>1649</v>
      </c>
      <c r="E1594" s="931"/>
      <c r="F1594" s="14"/>
      <c r="G1594" s="30"/>
      <c r="H1594" s="30"/>
    </row>
    <row r="1595" spans="1:8">
      <c r="A1595" s="5" t="s">
        <v>355</v>
      </c>
      <c r="B1595" s="5"/>
      <c r="C1595" s="5" t="s">
        <v>956</v>
      </c>
      <c r="D1595" s="924" t="s">
        <v>1650</v>
      </c>
      <c r="E1595" s="925"/>
      <c r="F1595" s="5" t="s">
        <v>1940</v>
      </c>
      <c r="G1595" s="21">
        <v>96.427499999999995</v>
      </c>
      <c r="H1595" s="21">
        <v>0</v>
      </c>
    </row>
    <row r="1596" spans="1:8" ht="12.15" customHeight="1">
      <c r="D1596" s="926" t="s">
        <v>2896</v>
      </c>
      <c r="E1596" s="927"/>
      <c r="F1596" s="927"/>
      <c r="G1596" s="57">
        <v>96.427499999999995</v>
      </c>
    </row>
    <row r="1597" spans="1:8">
      <c r="A1597" s="5" t="s">
        <v>356</v>
      </c>
      <c r="B1597" s="5"/>
      <c r="C1597" s="5" t="s">
        <v>957</v>
      </c>
      <c r="D1597" s="924" t="s">
        <v>1651</v>
      </c>
      <c r="E1597" s="925"/>
      <c r="F1597" s="5" t="s">
        <v>1945</v>
      </c>
      <c r="G1597" s="21">
        <v>477.31610000000001</v>
      </c>
      <c r="H1597" s="21">
        <v>0</v>
      </c>
    </row>
    <row r="1598" spans="1:8">
      <c r="A1598" s="14"/>
      <c r="B1598" s="14"/>
      <c r="C1598" s="14" t="s">
        <v>958</v>
      </c>
      <c r="D1598" s="930" t="s">
        <v>1652</v>
      </c>
      <c r="E1598" s="931"/>
      <c r="F1598" s="14"/>
      <c r="G1598" s="30"/>
      <c r="H1598" s="30"/>
    </row>
    <row r="1599" spans="1:8">
      <c r="A1599" s="5" t="s">
        <v>357</v>
      </c>
      <c r="B1599" s="5"/>
      <c r="C1599" s="5" t="s">
        <v>959</v>
      </c>
      <c r="D1599" s="924" t="s">
        <v>1653</v>
      </c>
      <c r="E1599" s="925"/>
      <c r="F1599" s="5" t="s">
        <v>1939</v>
      </c>
      <c r="G1599" s="21">
        <v>47.4</v>
      </c>
      <c r="H1599" s="21">
        <v>0</v>
      </c>
    </row>
    <row r="1600" spans="1:8" ht="12.15" customHeight="1">
      <c r="D1600" s="926" t="s">
        <v>2897</v>
      </c>
      <c r="E1600" s="927"/>
      <c r="F1600" s="927"/>
      <c r="G1600" s="57">
        <v>47.4</v>
      </c>
    </row>
    <row r="1601" spans="1:8">
      <c r="A1601" s="5" t="s">
        <v>358</v>
      </c>
      <c r="B1601" s="5"/>
      <c r="C1601" s="5" t="s">
        <v>960</v>
      </c>
      <c r="D1601" s="924" t="s">
        <v>1655</v>
      </c>
      <c r="E1601" s="925"/>
      <c r="F1601" s="5" t="s">
        <v>1939</v>
      </c>
      <c r="G1601" s="21">
        <v>10.6</v>
      </c>
      <c r="H1601" s="21">
        <v>0</v>
      </c>
    </row>
    <row r="1602" spans="1:8" ht="12.15" customHeight="1">
      <c r="D1602" s="926" t="s">
        <v>2898</v>
      </c>
      <c r="E1602" s="927"/>
      <c r="F1602" s="927"/>
      <c r="G1602" s="57">
        <v>10.6</v>
      </c>
    </row>
    <row r="1603" spans="1:8">
      <c r="A1603" s="5" t="s">
        <v>359</v>
      </c>
      <c r="B1603" s="5"/>
      <c r="C1603" s="5" t="s">
        <v>961</v>
      </c>
      <c r="D1603" s="924" t="s">
        <v>1656</v>
      </c>
      <c r="E1603" s="925"/>
      <c r="F1603" s="5" t="s">
        <v>1939</v>
      </c>
      <c r="G1603" s="21">
        <v>11</v>
      </c>
      <c r="H1603" s="21">
        <v>0</v>
      </c>
    </row>
    <row r="1604" spans="1:8">
      <c r="A1604" s="5" t="s">
        <v>360</v>
      </c>
      <c r="B1604" s="5"/>
      <c r="C1604" s="5" t="s">
        <v>962</v>
      </c>
      <c r="D1604" s="924" t="s">
        <v>1657</v>
      </c>
      <c r="E1604" s="925"/>
      <c r="F1604" s="5" t="s">
        <v>1939</v>
      </c>
      <c r="G1604" s="21">
        <v>3.1</v>
      </c>
      <c r="H1604" s="21">
        <v>0</v>
      </c>
    </row>
    <row r="1605" spans="1:8">
      <c r="A1605" s="5" t="s">
        <v>361</v>
      </c>
      <c r="B1605" s="5"/>
      <c r="C1605" s="5" t="s">
        <v>963</v>
      </c>
      <c r="D1605" s="924" t="s">
        <v>1658</v>
      </c>
      <c r="E1605" s="925"/>
      <c r="F1605" s="5" t="s">
        <v>1939</v>
      </c>
      <c r="G1605" s="21">
        <v>3.15</v>
      </c>
      <c r="H1605" s="21">
        <v>0</v>
      </c>
    </row>
    <row r="1606" spans="1:8">
      <c r="A1606" s="5" t="s">
        <v>362</v>
      </c>
      <c r="B1606" s="5"/>
      <c r="C1606" s="5" t="s">
        <v>964</v>
      </c>
      <c r="D1606" s="924" t="s">
        <v>1659</v>
      </c>
      <c r="E1606" s="925"/>
      <c r="F1606" s="5" t="s">
        <v>1939</v>
      </c>
      <c r="G1606" s="21">
        <v>11.6</v>
      </c>
      <c r="H1606" s="21">
        <v>0</v>
      </c>
    </row>
    <row r="1607" spans="1:8">
      <c r="A1607" s="5" t="s">
        <v>363</v>
      </c>
      <c r="B1607" s="5"/>
      <c r="C1607" s="5" t="s">
        <v>965</v>
      </c>
      <c r="D1607" s="924" t="s">
        <v>1660</v>
      </c>
      <c r="E1607" s="925"/>
      <c r="F1607" s="5" t="s">
        <v>1939</v>
      </c>
      <c r="G1607" s="21">
        <v>11.6</v>
      </c>
      <c r="H1607" s="21">
        <v>0</v>
      </c>
    </row>
    <row r="1608" spans="1:8">
      <c r="A1608" s="5" t="s">
        <v>364</v>
      </c>
      <c r="B1608" s="5"/>
      <c r="C1608" s="5" t="s">
        <v>966</v>
      </c>
      <c r="D1608" s="924" t="s">
        <v>1661</v>
      </c>
      <c r="E1608" s="925"/>
      <c r="F1608" s="5" t="s">
        <v>1939</v>
      </c>
      <c r="G1608" s="21">
        <v>4.8</v>
      </c>
      <c r="H1608" s="21">
        <v>0</v>
      </c>
    </row>
    <row r="1609" spans="1:8">
      <c r="A1609" s="5" t="s">
        <v>365</v>
      </c>
      <c r="B1609" s="5"/>
      <c r="C1609" s="5" t="s">
        <v>967</v>
      </c>
      <c r="D1609" s="924" t="s">
        <v>1662</v>
      </c>
      <c r="E1609" s="925"/>
      <c r="F1609" s="5" t="s">
        <v>1939</v>
      </c>
      <c r="G1609" s="21">
        <v>236.4</v>
      </c>
      <c r="H1609" s="21">
        <v>0</v>
      </c>
    </row>
    <row r="1610" spans="1:8" ht="12.15" customHeight="1">
      <c r="D1610" s="926" t="s">
        <v>2899</v>
      </c>
      <c r="E1610" s="927"/>
      <c r="F1610" s="927"/>
      <c r="G1610" s="57">
        <v>236.4</v>
      </c>
    </row>
    <row r="1611" spans="1:8">
      <c r="A1611" s="5" t="s">
        <v>366</v>
      </c>
      <c r="B1611" s="5"/>
      <c r="C1611" s="5" t="s">
        <v>968</v>
      </c>
      <c r="D1611" s="924" t="s">
        <v>1663</v>
      </c>
      <c r="E1611" s="925"/>
      <c r="F1611" s="5" t="s">
        <v>1939</v>
      </c>
      <c r="G1611" s="21">
        <v>108.4</v>
      </c>
      <c r="H1611" s="21">
        <v>0</v>
      </c>
    </row>
    <row r="1612" spans="1:8" ht="12.15" customHeight="1">
      <c r="D1612" s="926" t="s">
        <v>2900</v>
      </c>
      <c r="E1612" s="927"/>
      <c r="F1612" s="927"/>
      <c r="G1612" s="57">
        <v>108.4</v>
      </c>
    </row>
    <row r="1613" spans="1:8">
      <c r="A1613" s="5" t="s">
        <v>367</v>
      </c>
      <c r="B1613" s="5"/>
      <c r="C1613" s="5" t="s">
        <v>969</v>
      </c>
      <c r="D1613" s="924" t="s">
        <v>1664</v>
      </c>
      <c r="E1613" s="925"/>
      <c r="F1613" s="5" t="s">
        <v>1939</v>
      </c>
      <c r="G1613" s="21">
        <v>6.5</v>
      </c>
      <c r="H1613" s="21">
        <v>0</v>
      </c>
    </row>
    <row r="1614" spans="1:8">
      <c r="A1614" s="5" t="s">
        <v>368</v>
      </c>
      <c r="B1614" s="5"/>
      <c r="C1614" s="5" t="s">
        <v>970</v>
      </c>
      <c r="D1614" s="924" t="s">
        <v>1665</v>
      </c>
      <c r="E1614" s="925"/>
      <c r="F1614" s="5" t="s">
        <v>1939</v>
      </c>
      <c r="G1614" s="21">
        <v>6.2</v>
      </c>
      <c r="H1614" s="21">
        <v>0</v>
      </c>
    </row>
    <row r="1615" spans="1:8">
      <c r="A1615" s="5" t="s">
        <v>369</v>
      </c>
      <c r="B1615" s="5"/>
      <c r="C1615" s="5" t="s">
        <v>971</v>
      </c>
      <c r="D1615" s="924" t="s">
        <v>1666</v>
      </c>
      <c r="E1615" s="925"/>
      <c r="F1615" s="5" t="s">
        <v>1939</v>
      </c>
      <c r="G1615" s="21">
        <v>5.5</v>
      </c>
      <c r="H1615" s="21">
        <v>0</v>
      </c>
    </row>
    <row r="1616" spans="1:8">
      <c r="A1616" s="5" t="s">
        <v>370</v>
      </c>
      <c r="B1616" s="5"/>
      <c r="C1616" s="5" t="s">
        <v>972</v>
      </c>
      <c r="D1616" s="924" t="s">
        <v>1667</v>
      </c>
      <c r="E1616" s="925"/>
      <c r="F1616" s="5" t="s">
        <v>1939</v>
      </c>
      <c r="G1616" s="21">
        <v>6.5</v>
      </c>
      <c r="H1616" s="21">
        <v>0</v>
      </c>
    </row>
    <row r="1617" spans="1:8">
      <c r="A1617" s="5" t="s">
        <v>371</v>
      </c>
      <c r="B1617" s="5"/>
      <c r="C1617" s="5" t="s">
        <v>973</v>
      </c>
      <c r="D1617" s="924" t="s">
        <v>1668</v>
      </c>
      <c r="E1617" s="925"/>
      <c r="F1617" s="5" t="s">
        <v>1939</v>
      </c>
      <c r="G1617" s="21">
        <v>8.5</v>
      </c>
      <c r="H1617" s="21">
        <v>0</v>
      </c>
    </row>
    <row r="1618" spans="1:8">
      <c r="A1618" s="5" t="s">
        <v>372</v>
      </c>
      <c r="B1618" s="5"/>
      <c r="C1618" s="5" t="s">
        <v>974</v>
      </c>
      <c r="D1618" s="924" t="s">
        <v>1669</v>
      </c>
      <c r="E1618" s="925"/>
      <c r="F1618" s="5" t="s">
        <v>1943</v>
      </c>
      <c r="G1618" s="21">
        <v>1</v>
      </c>
      <c r="H1618" s="21">
        <v>0</v>
      </c>
    </row>
    <row r="1619" spans="1:8">
      <c r="A1619" s="5" t="s">
        <v>373</v>
      </c>
      <c r="B1619" s="5"/>
      <c r="C1619" s="5" t="s">
        <v>975</v>
      </c>
      <c r="D1619" s="924" t="s">
        <v>1670</v>
      </c>
      <c r="E1619" s="925"/>
      <c r="F1619" s="5" t="s">
        <v>1939</v>
      </c>
      <c r="G1619" s="21">
        <v>135</v>
      </c>
      <c r="H1619" s="21">
        <v>0</v>
      </c>
    </row>
    <row r="1620" spans="1:8" ht="12.15" customHeight="1">
      <c r="D1620" s="926" t="s">
        <v>2901</v>
      </c>
      <c r="E1620" s="927"/>
      <c r="F1620" s="927"/>
      <c r="G1620" s="57">
        <v>135</v>
      </c>
    </row>
    <row r="1621" spans="1:8">
      <c r="A1621" s="5" t="s">
        <v>374</v>
      </c>
      <c r="B1621" s="5"/>
      <c r="C1621" s="5" t="s">
        <v>976</v>
      </c>
      <c r="D1621" s="924" t="s">
        <v>1671</v>
      </c>
      <c r="E1621" s="925"/>
      <c r="F1621" s="5" t="s">
        <v>1943</v>
      </c>
      <c r="G1621" s="21">
        <v>9</v>
      </c>
      <c r="H1621" s="21">
        <v>0</v>
      </c>
    </row>
    <row r="1622" spans="1:8">
      <c r="A1622" s="5" t="s">
        <v>375</v>
      </c>
      <c r="B1622" s="5"/>
      <c r="C1622" s="5" t="s">
        <v>977</v>
      </c>
      <c r="D1622" s="924" t="s">
        <v>1672</v>
      </c>
      <c r="E1622" s="925"/>
      <c r="F1622" s="5" t="s">
        <v>1939</v>
      </c>
      <c r="G1622" s="21">
        <v>10</v>
      </c>
      <c r="H1622" s="21">
        <v>0</v>
      </c>
    </row>
    <row r="1623" spans="1:8">
      <c r="A1623" s="5" t="s">
        <v>376</v>
      </c>
      <c r="B1623" s="5"/>
      <c r="C1623" s="5" t="s">
        <v>978</v>
      </c>
      <c r="D1623" s="924" t="s">
        <v>1673</v>
      </c>
      <c r="E1623" s="925"/>
      <c r="F1623" s="5" t="s">
        <v>1939</v>
      </c>
      <c r="G1623" s="21">
        <v>18</v>
      </c>
      <c r="H1623" s="21">
        <v>0</v>
      </c>
    </row>
    <row r="1624" spans="1:8" ht="12.15" customHeight="1">
      <c r="D1624" s="926" t="s">
        <v>2902</v>
      </c>
      <c r="E1624" s="927"/>
      <c r="F1624" s="927"/>
      <c r="G1624" s="57">
        <v>18</v>
      </c>
    </row>
    <row r="1625" spans="1:8">
      <c r="A1625" s="5" t="s">
        <v>377</v>
      </c>
      <c r="B1625" s="5"/>
      <c r="C1625" s="5" t="s">
        <v>979</v>
      </c>
      <c r="D1625" s="924" t="s">
        <v>1674</v>
      </c>
      <c r="E1625" s="925"/>
      <c r="F1625" s="5" t="s">
        <v>1945</v>
      </c>
      <c r="G1625" s="21">
        <v>3290.1619999999998</v>
      </c>
      <c r="H1625" s="21">
        <v>0</v>
      </c>
    </row>
    <row r="1626" spans="1:8">
      <c r="A1626" s="14"/>
      <c r="B1626" s="14"/>
      <c r="C1626" s="14" t="s">
        <v>980</v>
      </c>
      <c r="D1626" s="930" t="s">
        <v>1675</v>
      </c>
      <c r="E1626" s="931"/>
      <c r="F1626" s="14"/>
      <c r="G1626" s="30"/>
      <c r="H1626" s="30"/>
    </row>
    <row r="1627" spans="1:8">
      <c r="A1627" s="5" t="s">
        <v>378</v>
      </c>
      <c r="B1627" s="5"/>
      <c r="C1627" s="5" t="s">
        <v>981</v>
      </c>
      <c r="D1627" s="924" t="s">
        <v>1676</v>
      </c>
      <c r="E1627" s="925"/>
      <c r="F1627" s="5" t="s">
        <v>1940</v>
      </c>
      <c r="G1627" s="21">
        <v>279.28701000000001</v>
      </c>
      <c r="H1627" s="21">
        <v>0</v>
      </c>
    </row>
    <row r="1628" spans="1:8" ht="12.15" customHeight="1">
      <c r="D1628" s="926" t="s">
        <v>2903</v>
      </c>
      <c r="E1628" s="927"/>
      <c r="F1628" s="927"/>
      <c r="G1628" s="57">
        <v>279.28701000000001</v>
      </c>
    </row>
    <row r="1629" spans="1:8" ht="12.9" customHeight="1">
      <c r="C1629" s="54" t="s">
        <v>605</v>
      </c>
      <c r="D1629" s="917" t="s">
        <v>1677</v>
      </c>
      <c r="E1629" s="918"/>
      <c r="F1629" s="918"/>
      <c r="G1629" s="918"/>
    </row>
    <row r="1630" spans="1:8">
      <c r="A1630" s="14"/>
      <c r="B1630" s="14"/>
      <c r="C1630" s="14" t="s">
        <v>982</v>
      </c>
      <c r="D1630" s="930" t="s">
        <v>1678</v>
      </c>
      <c r="E1630" s="931"/>
      <c r="F1630" s="14"/>
      <c r="G1630" s="30"/>
      <c r="H1630" s="30"/>
    </row>
    <row r="1631" spans="1:8">
      <c r="A1631" s="5" t="s">
        <v>379</v>
      </c>
      <c r="B1631" s="5"/>
      <c r="C1631" s="5" t="s">
        <v>983</v>
      </c>
      <c r="D1631" s="924" t="s">
        <v>1679</v>
      </c>
      <c r="E1631" s="925"/>
      <c r="F1631" s="5" t="s">
        <v>1940</v>
      </c>
      <c r="G1631" s="21">
        <v>263.62243999999998</v>
      </c>
      <c r="H1631" s="21">
        <v>0</v>
      </c>
    </row>
    <row r="1632" spans="1:8" ht="12.15" customHeight="1">
      <c r="D1632" s="926" t="s">
        <v>2154</v>
      </c>
      <c r="E1632" s="927"/>
      <c r="F1632" s="927"/>
      <c r="G1632" s="57">
        <v>0</v>
      </c>
    </row>
    <row r="1633" spans="1:8" ht="12.15" customHeight="1">
      <c r="A1633" s="5"/>
      <c r="B1633" s="5"/>
      <c r="C1633" s="5"/>
      <c r="D1633" s="926" t="s">
        <v>2904</v>
      </c>
      <c r="E1633" s="927"/>
      <c r="F1633" s="926"/>
      <c r="G1633" s="57">
        <v>29.757000000000001</v>
      </c>
      <c r="H1633" s="34"/>
    </row>
    <row r="1634" spans="1:8" ht="12.15" customHeight="1">
      <c r="A1634" s="5"/>
      <c r="B1634" s="5"/>
      <c r="C1634" s="5"/>
      <c r="D1634" s="926" t="s">
        <v>2905</v>
      </c>
      <c r="E1634" s="927"/>
      <c r="F1634" s="926"/>
      <c r="G1634" s="57">
        <v>14.894399999999999</v>
      </c>
      <c r="H1634" s="34"/>
    </row>
    <row r="1635" spans="1:8" ht="12.15" customHeight="1">
      <c r="A1635" s="5"/>
      <c r="B1635" s="5"/>
      <c r="C1635" s="5"/>
      <c r="D1635" s="926" t="s">
        <v>2906</v>
      </c>
      <c r="E1635" s="927"/>
      <c r="F1635" s="926"/>
      <c r="G1635" s="57">
        <v>254.18704</v>
      </c>
      <c r="H1635" s="34"/>
    </row>
    <row r="1636" spans="1:8" ht="12.15" customHeight="1">
      <c r="A1636" s="5"/>
      <c r="B1636" s="5"/>
      <c r="C1636" s="5"/>
      <c r="D1636" s="926" t="s">
        <v>2907</v>
      </c>
      <c r="E1636" s="927"/>
      <c r="F1636" s="926"/>
      <c r="G1636" s="57">
        <v>-95.215999999999994</v>
      </c>
      <c r="H1636" s="34"/>
    </row>
    <row r="1637" spans="1:8" ht="12.15" customHeight="1">
      <c r="A1637" s="5"/>
      <c r="B1637" s="5"/>
      <c r="C1637" s="5"/>
      <c r="D1637" s="926" t="s">
        <v>2908</v>
      </c>
      <c r="E1637" s="927"/>
      <c r="F1637" s="926"/>
      <c r="G1637" s="57">
        <v>60</v>
      </c>
      <c r="H1637" s="34"/>
    </row>
    <row r="1638" spans="1:8">
      <c r="A1638" s="5" t="s">
        <v>380</v>
      </c>
      <c r="B1638" s="5"/>
      <c r="C1638" s="5" t="s">
        <v>984</v>
      </c>
      <c r="D1638" s="924" t="s">
        <v>1680</v>
      </c>
      <c r="E1638" s="925"/>
      <c r="F1638" s="5" t="s">
        <v>1943</v>
      </c>
      <c r="G1638" s="21">
        <v>4</v>
      </c>
      <c r="H1638" s="21">
        <v>0</v>
      </c>
    </row>
    <row r="1639" spans="1:8" ht="12.15" customHeight="1">
      <c r="D1639" s="926" t="s">
        <v>2909</v>
      </c>
      <c r="E1639" s="927"/>
      <c r="F1639" s="927"/>
      <c r="G1639" s="57">
        <v>0</v>
      </c>
    </row>
    <row r="1640" spans="1:8" ht="12.15" customHeight="1">
      <c r="A1640" s="5"/>
      <c r="B1640" s="5"/>
      <c r="C1640" s="5"/>
      <c r="D1640" s="926" t="s">
        <v>2910</v>
      </c>
      <c r="E1640" s="927"/>
      <c r="F1640" s="926"/>
      <c r="G1640" s="57">
        <v>4</v>
      </c>
      <c r="H1640" s="34"/>
    </row>
    <row r="1641" spans="1:8">
      <c r="A1641" s="6" t="s">
        <v>381</v>
      </c>
      <c r="B1641" s="6"/>
      <c r="C1641" s="6" t="s">
        <v>985</v>
      </c>
      <c r="D1641" s="928" t="s">
        <v>1681</v>
      </c>
      <c r="E1641" s="929"/>
      <c r="F1641" s="6" t="s">
        <v>1939</v>
      </c>
      <c r="G1641" s="22">
        <v>4.3</v>
      </c>
      <c r="H1641" s="22">
        <v>0</v>
      </c>
    </row>
    <row r="1642" spans="1:8" ht="12.15" customHeight="1">
      <c r="D1642" s="932" t="s">
        <v>2911</v>
      </c>
      <c r="E1642" s="933"/>
      <c r="F1642" s="933"/>
      <c r="G1642" s="58">
        <v>4.3</v>
      </c>
    </row>
    <row r="1643" spans="1:8" ht="77.099999999999994" customHeight="1">
      <c r="C1643" s="54" t="s">
        <v>605</v>
      </c>
      <c r="D1643" s="917" t="s">
        <v>1682</v>
      </c>
      <c r="E1643" s="918"/>
      <c r="F1643" s="918"/>
      <c r="G1643" s="918"/>
    </row>
    <row r="1644" spans="1:8">
      <c r="A1644" s="6" t="s">
        <v>382</v>
      </c>
      <c r="B1644" s="6"/>
      <c r="C1644" s="6" t="s">
        <v>986</v>
      </c>
      <c r="D1644" s="928" t="s">
        <v>1683</v>
      </c>
      <c r="E1644" s="929"/>
      <c r="F1644" s="6" t="s">
        <v>1939</v>
      </c>
      <c r="G1644" s="22">
        <v>1</v>
      </c>
      <c r="H1644" s="22">
        <v>0</v>
      </c>
    </row>
    <row r="1645" spans="1:8" ht="12.15" customHeight="1">
      <c r="D1645" s="932" t="s">
        <v>2912</v>
      </c>
      <c r="E1645" s="933"/>
      <c r="F1645" s="933"/>
      <c r="G1645" s="58">
        <v>1</v>
      </c>
    </row>
    <row r="1646" spans="1:8" ht="77.099999999999994" customHeight="1">
      <c r="C1646" s="54" t="s">
        <v>605</v>
      </c>
      <c r="D1646" s="917" t="s">
        <v>1682</v>
      </c>
      <c r="E1646" s="918"/>
      <c r="F1646" s="918"/>
      <c r="G1646" s="918"/>
    </row>
    <row r="1647" spans="1:8">
      <c r="A1647" s="5" t="s">
        <v>383</v>
      </c>
      <c r="B1647" s="5"/>
      <c r="C1647" s="5" t="s">
        <v>987</v>
      </c>
      <c r="D1647" s="924" t="s">
        <v>1684</v>
      </c>
      <c r="E1647" s="925"/>
      <c r="F1647" s="5" t="s">
        <v>1943</v>
      </c>
      <c r="G1647" s="21">
        <v>3</v>
      </c>
      <c r="H1647" s="21">
        <v>0</v>
      </c>
    </row>
    <row r="1648" spans="1:8" ht="12.15" customHeight="1">
      <c r="D1648" s="926" t="s">
        <v>2909</v>
      </c>
      <c r="E1648" s="927"/>
      <c r="F1648" s="927"/>
      <c r="G1648" s="57">
        <v>0</v>
      </c>
    </row>
    <row r="1649" spans="1:8" ht="12.15" customHeight="1">
      <c r="A1649" s="5"/>
      <c r="B1649" s="5"/>
      <c r="C1649" s="5"/>
      <c r="D1649" s="926" t="s">
        <v>2913</v>
      </c>
      <c r="E1649" s="927"/>
      <c r="F1649" s="926"/>
      <c r="G1649" s="57">
        <v>3</v>
      </c>
      <c r="H1649" s="34"/>
    </row>
    <row r="1650" spans="1:8">
      <c r="A1650" s="6" t="s">
        <v>384</v>
      </c>
      <c r="B1650" s="6"/>
      <c r="C1650" s="6" t="s">
        <v>985</v>
      </c>
      <c r="D1650" s="928" t="s">
        <v>1681</v>
      </c>
      <c r="E1650" s="929"/>
      <c r="F1650" s="6" t="s">
        <v>1939</v>
      </c>
      <c r="G1650" s="22">
        <v>5.9</v>
      </c>
      <c r="H1650" s="22">
        <v>0</v>
      </c>
    </row>
    <row r="1651" spans="1:8" ht="12.15" customHeight="1">
      <c r="D1651" s="932" t="s">
        <v>2914</v>
      </c>
      <c r="E1651" s="933"/>
      <c r="F1651" s="933"/>
      <c r="G1651" s="58">
        <v>5.9</v>
      </c>
    </row>
    <row r="1652" spans="1:8" ht="77.099999999999994" customHeight="1">
      <c r="C1652" s="54" t="s">
        <v>605</v>
      </c>
      <c r="D1652" s="917" t="s">
        <v>1682</v>
      </c>
      <c r="E1652" s="918"/>
      <c r="F1652" s="918"/>
      <c r="G1652" s="918"/>
    </row>
    <row r="1653" spans="1:8">
      <c r="A1653" s="5" t="s">
        <v>385</v>
      </c>
      <c r="B1653" s="5"/>
      <c r="C1653" s="5" t="s">
        <v>988</v>
      </c>
      <c r="D1653" s="924" t="s">
        <v>1685</v>
      </c>
      <c r="E1653" s="925"/>
      <c r="F1653" s="5" t="s">
        <v>1943</v>
      </c>
      <c r="G1653" s="21">
        <v>2</v>
      </c>
      <c r="H1653" s="21">
        <v>0</v>
      </c>
    </row>
    <row r="1654" spans="1:8" ht="12.15" customHeight="1">
      <c r="D1654" s="926" t="s">
        <v>2909</v>
      </c>
      <c r="E1654" s="927"/>
      <c r="F1654" s="927"/>
      <c r="G1654" s="57">
        <v>0</v>
      </c>
    </row>
    <row r="1655" spans="1:8" ht="12.15" customHeight="1">
      <c r="A1655" s="5"/>
      <c r="B1655" s="5"/>
      <c r="C1655" s="5"/>
      <c r="D1655" s="926" t="s">
        <v>2915</v>
      </c>
      <c r="E1655" s="927"/>
      <c r="F1655" s="926"/>
      <c r="G1655" s="57">
        <v>2</v>
      </c>
      <c r="H1655" s="34"/>
    </row>
    <row r="1656" spans="1:8">
      <c r="A1656" s="6" t="s">
        <v>386</v>
      </c>
      <c r="B1656" s="6"/>
      <c r="C1656" s="6" t="s">
        <v>989</v>
      </c>
      <c r="D1656" s="928" t="s">
        <v>1686</v>
      </c>
      <c r="E1656" s="929"/>
      <c r="F1656" s="6" t="s">
        <v>1939</v>
      </c>
      <c r="G1656" s="22">
        <v>3</v>
      </c>
      <c r="H1656" s="22">
        <v>0</v>
      </c>
    </row>
    <row r="1657" spans="1:8" ht="12.15" customHeight="1">
      <c r="D1657" s="932" t="s">
        <v>2916</v>
      </c>
      <c r="E1657" s="933"/>
      <c r="F1657" s="933"/>
      <c r="G1657" s="58">
        <v>3</v>
      </c>
    </row>
    <row r="1658" spans="1:8" ht="77.099999999999994" customHeight="1">
      <c r="C1658" s="54" t="s">
        <v>605</v>
      </c>
      <c r="D1658" s="917" t="s">
        <v>1682</v>
      </c>
      <c r="E1658" s="918"/>
      <c r="F1658" s="918"/>
      <c r="G1658" s="918"/>
    </row>
    <row r="1659" spans="1:8">
      <c r="A1659" s="5" t="s">
        <v>387</v>
      </c>
      <c r="B1659" s="5"/>
      <c r="C1659" s="5" t="s">
        <v>990</v>
      </c>
      <c r="D1659" s="924" t="s">
        <v>1687</v>
      </c>
      <c r="E1659" s="925"/>
      <c r="F1659" s="5" t="s">
        <v>1943</v>
      </c>
      <c r="G1659" s="21">
        <v>2</v>
      </c>
      <c r="H1659" s="21">
        <v>0</v>
      </c>
    </row>
    <row r="1660" spans="1:8">
      <c r="A1660" s="5" t="s">
        <v>388</v>
      </c>
      <c r="B1660" s="5"/>
      <c r="C1660" s="5" t="s">
        <v>991</v>
      </c>
      <c r="D1660" s="924" t="s">
        <v>1688</v>
      </c>
      <c r="E1660" s="925"/>
      <c r="F1660" s="5" t="s">
        <v>1943</v>
      </c>
      <c r="G1660" s="21">
        <v>1</v>
      </c>
      <c r="H1660" s="21">
        <v>0</v>
      </c>
    </row>
    <row r="1661" spans="1:8">
      <c r="A1661" s="5" t="s">
        <v>389</v>
      </c>
      <c r="B1661" s="5"/>
      <c r="C1661" s="5" t="s">
        <v>992</v>
      </c>
      <c r="D1661" s="924" t="s">
        <v>1689</v>
      </c>
      <c r="E1661" s="925"/>
      <c r="F1661" s="5" t="s">
        <v>1943</v>
      </c>
      <c r="G1661" s="21">
        <v>10</v>
      </c>
      <c r="H1661" s="21">
        <v>0</v>
      </c>
    </row>
    <row r="1662" spans="1:8">
      <c r="A1662" s="5" t="s">
        <v>390</v>
      </c>
      <c r="B1662" s="5"/>
      <c r="C1662" s="5" t="s">
        <v>993</v>
      </c>
      <c r="D1662" s="924" t="s">
        <v>1690</v>
      </c>
      <c r="E1662" s="925"/>
      <c r="F1662" s="5" t="s">
        <v>1943</v>
      </c>
      <c r="G1662" s="21">
        <v>2</v>
      </c>
      <c r="H1662" s="21">
        <v>0</v>
      </c>
    </row>
    <row r="1663" spans="1:8">
      <c r="A1663" s="5" t="s">
        <v>391</v>
      </c>
      <c r="B1663" s="5"/>
      <c r="C1663" s="5" t="s">
        <v>994</v>
      </c>
      <c r="D1663" s="924" t="s">
        <v>1691</v>
      </c>
      <c r="E1663" s="925"/>
      <c r="F1663" s="5" t="s">
        <v>1943</v>
      </c>
      <c r="G1663" s="21">
        <v>12</v>
      </c>
      <c r="H1663" s="21">
        <v>0</v>
      </c>
    </row>
    <row r="1664" spans="1:8">
      <c r="A1664" s="5" t="s">
        <v>392</v>
      </c>
      <c r="B1664" s="5"/>
      <c r="C1664" s="5" t="s">
        <v>995</v>
      </c>
      <c r="D1664" s="924" t="s">
        <v>1692</v>
      </c>
      <c r="E1664" s="925"/>
      <c r="F1664" s="5" t="s">
        <v>1943</v>
      </c>
      <c r="G1664" s="21">
        <v>1</v>
      </c>
      <c r="H1664" s="21">
        <v>0</v>
      </c>
    </row>
    <row r="1665" spans="1:8">
      <c r="A1665" s="5" t="s">
        <v>393</v>
      </c>
      <c r="B1665" s="5"/>
      <c r="C1665" s="5" t="s">
        <v>996</v>
      </c>
      <c r="D1665" s="924" t="s">
        <v>1693</v>
      </c>
      <c r="E1665" s="925"/>
      <c r="F1665" s="5" t="s">
        <v>1943</v>
      </c>
      <c r="G1665" s="21">
        <v>1</v>
      </c>
      <c r="H1665" s="21">
        <v>0</v>
      </c>
    </row>
    <row r="1666" spans="1:8">
      <c r="A1666" s="5" t="s">
        <v>394</v>
      </c>
      <c r="B1666" s="5"/>
      <c r="C1666" s="5" t="s">
        <v>997</v>
      </c>
      <c r="D1666" s="924" t="s">
        <v>1694</v>
      </c>
      <c r="E1666" s="925"/>
      <c r="F1666" s="5" t="s">
        <v>1943</v>
      </c>
      <c r="G1666" s="21">
        <v>1</v>
      </c>
      <c r="H1666" s="21">
        <v>0</v>
      </c>
    </row>
    <row r="1667" spans="1:8">
      <c r="A1667" s="5" t="s">
        <v>395</v>
      </c>
      <c r="B1667" s="5"/>
      <c r="C1667" s="5" t="s">
        <v>998</v>
      </c>
      <c r="D1667" s="924" t="s">
        <v>1695</v>
      </c>
      <c r="E1667" s="925"/>
      <c r="F1667" s="5" t="s">
        <v>1943</v>
      </c>
      <c r="G1667" s="21">
        <v>1</v>
      </c>
      <c r="H1667" s="21">
        <v>0</v>
      </c>
    </row>
    <row r="1668" spans="1:8">
      <c r="A1668" s="5" t="s">
        <v>396</v>
      </c>
      <c r="B1668" s="5"/>
      <c r="C1668" s="5" t="s">
        <v>999</v>
      </c>
      <c r="D1668" s="924" t="s">
        <v>1696</v>
      </c>
      <c r="E1668" s="925"/>
      <c r="F1668" s="5" t="s">
        <v>1943</v>
      </c>
      <c r="G1668" s="21">
        <v>1</v>
      </c>
      <c r="H1668" s="21">
        <v>0</v>
      </c>
    </row>
    <row r="1669" spans="1:8">
      <c r="A1669" s="5" t="s">
        <v>397</v>
      </c>
      <c r="B1669" s="5"/>
      <c r="C1669" s="5" t="s">
        <v>1000</v>
      </c>
      <c r="D1669" s="924" t="s">
        <v>1697</v>
      </c>
      <c r="E1669" s="925"/>
      <c r="F1669" s="5" t="s">
        <v>1943</v>
      </c>
      <c r="G1669" s="21">
        <v>7</v>
      </c>
      <c r="H1669" s="21">
        <v>0</v>
      </c>
    </row>
    <row r="1670" spans="1:8">
      <c r="A1670" s="5" t="s">
        <v>398</v>
      </c>
      <c r="B1670" s="5"/>
      <c r="C1670" s="5" t="s">
        <v>1001</v>
      </c>
      <c r="D1670" s="924" t="s">
        <v>1698</v>
      </c>
      <c r="E1670" s="925"/>
      <c r="F1670" s="5" t="s">
        <v>1943</v>
      </c>
      <c r="G1670" s="21">
        <v>1</v>
      </c>
      <c r="H1670" s="21">
        <v>0</v>
      </c>
    </row>
    <row r="1671" spans="1:8">
      <c r="A1671" s="5" t="s">
        <v>399</v>
      </c>
      <c r="B1671" s="5"/>
      <c r="C1671" s="5" t="s">
        <v>1002</v>
      </c>
      <c r="D1671" s="924" t="s">
        <v>1699</v>
      </c>
      <c r="E1671" s="925"/>
      <c r="F1671" s="5" t="s">
        <v>1943</v>
      </c>
      <c r="G1671" s="21">
        <v>2</v>
      </c>
      <c r="H1671" s="21">
        <v>0</v>
      </c>
    </row>
    <row r="1672" spans="1:8">
      <c r="A1672" s="5" t="s">
        <v>400</v>
      </c>
      <c r="B1672" s="5"/>
      <c r="C1672" s="5" t="s">
        <v>1003</v>
      </c>
      <c r="D1672" s="924" t="s">
        <v>1700</v>
      </c>
      <c r="E1672" s="925"/>
      <c r="F1672" s="5" t="s">
        <v>1943</v>
      </c>
      <c r="G1672" s="21">
        <v>1</v>
      </c>
      <c r="H1672" s="21">
        <v>0</v>
      </c>
    </row>
    <row r="1673" spans="1:8">
      <c r="A1673" s="5" t="s">
        <v>401</v>
      </c>
      <c r="B1673" s="5"/>
      <c r="C1673" s="5" t="s">
        <v>1004</v>
      </c>
      <c r="D1673" s="924" t="s">
        <v>1701</v>
      </c>
      <c r="E1673" s="925"/>
      <c r="F1673" s="5" t="s">
        <v>1943</v>
      </c>
      <c r="G1673" s="21">
        <v>1</v>
      </c>
      <c r="H1673" s="21">
        <v>0</v>
      </c>
    </row>
    <row r="1674" spans="1:8">
      <c r="A1674" s="5" t="s">
        <v>402</v>
      </c>
      <c r="B1674" s="5"/>
      <c r="C1674" s="5" t="s">
        <v>1005</v>
      </c>
      <c r="D1674" s="924" t="s">
        <v>1702</v>
      </c>
      <c r="E1674" s="925"/>
      <c r="F1674" s="5" t="s">
        <v>1943</v>
      </c>
      <c r="G1674" s="21">
        <v>1</v>
      </c>
      <c r="H1674" s="21">
        <v>0</v>
      </c>
    </row>
    <row r="1675" spans="1:8">
      <c r="A1675" s="5" t="s">
        <v>403</v>
      </c>
      <c r="B1675" s="5"/>
      <c r="C1675" s="5" t="s">
        <v>1006</v>
      </c>
      <c r="D1675" s="924" t="s">
        <v>1703</v>
      </c>
      <c r="E1675" s="925"/>
      <c r="F1675" s="5" t="s">
        <v>1939</v>
      </c>
      <c r="G1675" s="21">
        <v>8.1950000000000003</v>
      </c>
      <c r="H1675" s="21">
        <v>0</v>
      </c>
    </row>
    <row r="1676" spans="1:8" ht="12.15" customHeight="1">
      <c r="D1676" s="926" t="s">
        <v>2917</v>
      </c>
      <c r="E1676" s="927"/>
      <c r="F1676" s="927"/>
      <c r="G1676" s="57">
        <v>8.1950000000000003</v>
      </c>
    </row>
    <row r="1677" spans="1:8">
      <c r="A1677" s="5" t="s">
        <v>404</v>
      </c>
      <c r="B1677" s="5"/>
      <c r="C1677" s="5" t="s">
        <v>1007</v>
      </c>
      <c r="D1677" s="924" t="s">
        <v>1704</v>
      </c>
      <c r="E1677" s="925"/>
      <c r="F1677" s="5" t="s">
        <v>1945</v>
      </c>
      <c r="G1677" s="21">
        <v>5340.6936999999998</v>
      </c>
      <c r="H1677" s="21">
        <v>0</v>
      </c>
    </row>
    <row r="1678" spans="1:8">
      <c r="A1678" s="14"/>
      <c r="B1678" s="14"/>
      <c r="C1678" s="14" t="s">
        <v>1008</v>
      </c>
      <c r="D1678" s="930" t="s">
        <v>1705</v>
      </c>
      <c r="E1678" s="931"/>
      <c r="F1678" s="14"/>
      <c r="G1678" s="30"/>
      <c r="H1678" s="30"/>
    </row>
    <row r="1679" spans="1:8">
      <c r="A1679" s="5" t="s">
        <v>405</v>
      </c>
      <c r="B1679" s="5"/>
      <c r="C1679" s="5" t="s">
        <v>1009</v>
      </c>
      <c r="D1679" s="924" t="s">
        <v>1706</v>
      </c>
      <c r="E1679" s="925"/>
      <c r="F1679" s="5" t="s">
        <v>1940</v>
      </c>
      <c r="G1679" s="21">
        <v>276.73</v>
      </c>
      <c r="H1679" s="21">
        <v>0</v>
      </c>
    </row>
    <row r="1680" spans="1:8" ht="12.15" customHeight="1">
      <c r="D1680" s="926" t="s">
        <v>2918</v>
      </c>
      <c r="E1680" s="927"/>
      <c r="F1680" s="927"/>
      <c r="G1680" s="57">
        <v>0</v>
      </c>
    </row>
    <row r="1681" spans="1:8" ht="12.15" customHeight="1">
      <c r="A1681" s="5"/>
      <c r="B1681" s="5"/>
      <c r="C1681" s="5"/>
      <c r="D1681" s="926" t="s">
        <v>2821</v>
      </c>
      <c r="E1681" s="927"/>
      <c r="F1681" s="926"/>
      <c r="G1681" s="57">
        <v>276.73</v>
      </c>
      <c r="H1681" s="34"/>
    </row>
    <row r="1682" spans="1:8">
      <c r="A1682" s="5" t="s">
        <v>406</v>
      </c>
      <c r="B1682" s="5"/>
      <c r="C1682" s="5" t="s">
        <v>1010</v>
      </c>
      <c r="D1682" s="924" t="s">
        <v>1708</v>
      </c>
      <c r="E1682" s="925"/>
      <c r="F1682" s="5" t="s">
        <v>1940</v>
      </c>
      <c r="G1682" s="21">
        <v>104.861</v>
      </c>
      <c r="H1682" s="21">
        <v>0</v>
      </c>
    </row>
    <row r="1683" spans="1:8" ht="12.15" customHeight="1">
      <c r="D1683" s="926" t="s">
        <v>2526</v>
      </c>
      <c r="E1683" s="927"/>
      <c r="F1683" s="927"/>
      <c r="G1683" s="57">
        <v>0</v>
      </c>
    </row>
    <row r="1684" spans="1:8" ht="12.15" customHeight="1">
      <c r="A1684" s="5"/>
      <c r="B1684" s="5"/>
      <c r="C1684" s="5"/>
      <c r="D1684" s="926" t="s">
        <v>2919</v>
      </c>
      <c r="E1684" s="927"/>
      <c r="F1684" s="926"/>
      <c r="G1684" s="57">
        <v>52.953000000000003</v>
      </c>
      <c r="H1684" s="34"/>
    </row>
    <row r="1685" spans="1:8" ht="12.15" customHeight="1">
      <c r="A1685" s="5"/>
      <c r="B1685" s="5"/>
      <c r="C1685" s="5"/>
      <c r="D1685" s="926" t="s">
        <v>2920</v>
      </c>
      <c r="E1685" s="927"/>
      <c r="F1685" s="926"/>
      <c r="G1685" s="57">
        <v>51.908000000000001</v>
      </c>
      <c r="H1685" s="34"/>
    </row>
    <row r="1686" spans="1:8">
      <c r="A1686" s="5" t="s">
        <v>407</v>
      </c>
      <c r="B1686" s="5"/>
      <c r="C1686" s="5" t="s">
        <v>1011</v>
      </c>
      <c r="D1686" s="924" t="s">
        <v>1709</v>
      </c>
      <c r="E1686" s="925"/>
      <c r="F1686" s="5" t="s">
        <v>1940</v>
      </c>
      <c r="G1686" s="21">
        <v>72.936999999999998</v>
      </c>
      <c r="H1686" s="21">
        <v>0</v>
      </c>
    </row>
    <row r="1687" spans="1:8" ht="12.15" customHeight="1">
      <c r="D1687" s="926" t="s">
        <v>2918</v>
      </c>
      <c r="E1687" s="927"/>
      <c r="F1687" s="927"/>
      <c r="G1687" s="57">
        <v>0</v>
      </c>
    </row>
    <row r="1688" spans="1:8" ht="12.15" customHeight="1">
      <c r="A1688" s="5"/>
      <c r="B1688" s="5"/>
      <c r="C1688" s="5"/>
      <c r="D1688" s="926" t="s">
        <v>2921</v>
      </c>
      <c r="E1688" s="927"/>
      <c r="F1688" s="926"/>
      <c r="G1688" s="57">
        <v>28.367000000000001</v>
      </c>
      <c r="H1688" s="34"/>
    </row>
    <row r="1689" spans="1:8" ht="12.15" customHeight="1">
      <c r="A1689" s="5"/>
      <c r="B1689" s="5"/>
      <c r="C1689" s="5"/>
      <c r="D1689" s="926" t="s">
        <v>2922</v>
      </c>
      <c r="E1689" s="927"/>
      <c r="F1689" s="926"/>
      <c r="G1689" s="57">
        <v>24.97</v>
      </c>
      <c r="H1689" s="34"/>
    </row>
    <row r="1690" spans="1:8" ht="12.15" customHeight="1">
      <c r="A1690" s="5"/>
      <c r="B1690" s="5"/>
      <c r="C1690" s="5"/>
      <c r="D1690" s="926" t="s">
        <v>2405</v>
      </c>
      <c r="E1690" s="927"/>
      <c r="F1690" s="926"/>
      <c r="G1690" s="57">
        <v>0</v>
      </c>
      <c r="H1690" s="34"/>
    </row>
    <row r="1691" spans="1:8" ht="12.15" customHeight="1">
      <c r="A1691" s="5"/>
      <c r="B1691" s="5"/>
      <c r="C1691" s="5"/>
      <c r="D1691" s="926" t="s">
        <v>2923</v>
      </c>
      <c r="E1691" s="927"/>
      <c r="F1691" s="926"/>
      <c r="G1691" s="57">
        <v>19.600000000000001</v>
      </c>
      <c r="H1691" s="34"/>
    </row>
    <row r="1692" spans="1:8">
      <c r="A1692" s="5" t="s">
        <v>408</v>
      </c>
      <c r="B1692" s="5"/>
      <c r="C1692" s="5" t="s">
        <v>1012</v>
      </c>
      <c r="D1692" s="924" t="s">
        <v>1710</v>
      </c>
      <c r="E1692" s="925"/>
      <c r="F1692" s="5" t="s">
        <v>1940</v>
      </c>
      <c r="G1692" s="21">
        <v>391.447</v>
      </c>
      <c r="H1692" s="21">
        <v>0</v>
      </c>
    </row>
    <row r="1693" spans="1:8" ht="12.15" customHeight="1">
      <c r="D1693" s="926" t="s">
        <v>2918</v>
      </c>
      <c r="E1693" s="927"/>
      <c r="F1693" s="927"/>
      <c r="G1693" s="57">
        <v>0</v>
      </c>
    </row>
    <row r="1694" spans="1:8" ht="12.15" customHeight="1">
      <c r="A1694" s="5"/>
      <c r="B1694" s="5"/>
      <c r="C1694" s="5"/>
      <c r="D1694" s="926" t="s">
        <v>2924</v>
      </c>
      <c r="E1694" s="927"/>
      <c r="F1694" s="926"/>
      <c r="G1694" s="57">
        <v>183.053</v>
      </c>
      <c r="H1694" s="34"/>
    </row>
    <row r="1695" spans="1:8" ht="12.15" customHeight="1">
      <c r="A1695" s="5"/>
      <c r="B1695" s="5"/>
      <c r="C1695" s="5"/>
      <c r="D1695" s="926" t="s">
        <v>2526</v>
      </c>
      <c r="E1695" s="927"/>
      <c r="F1695" s="926"/>
      <c r="G1695" s="57">
        <v>0</v>
      </c>
      <c r="H1695" s="34"/>
    </row>
    <row r="1696" spans="1:8" ht="12.15" customHeight="1">
      <c r="A1696" s="5"/>
      <c r="B1696" s="5"/>
      <c r="C1696" s="5"/>
      <c r="D1696" s="926" t="s">
        <v>2925</v>
      </c>
      <c r="E1696" s="927"/>
      <c r="F1696" s="926"/>
      <c r="G1696" s="57">
        <v>74.653999999999996</v>
      </c>
      <c r="H1696" s="34"/>
    </row>
    <row r="1697" spans="1:8" ht="12.15" customHeight="1">
      <c r="A1697" s="5"/>
      <c r="B1697" s="5"/>
      <c r="C1697" s="5"/>
      <c r="D1697" s="926" t="s">
        <v>2738</v>
      </c>
      <c r="E1697" s="927"/>
      <c r="F1697" s="926"/>
      <c r="G1697" s="57">
        <v>0</v>
      </c>
      <c r="H1697" s="34"/>
    </row>
    <row r="1698" spans="1:8" ht="12.15" customHeight="1">
      <c r="A1698" s="5"/>
      <c r="B1698" s="5"/>
      <c r="C1698" s="5"/>
      <c r="D1698" s="926" t="s">
        <v>2926</v>
      </c>
      <c r="E1698" s="927"/>
      <c r="F1698" s="926"/>
      <c r="G1698" s="57">
        <v>98.87</v>
      </c>
      <c r="H1698" s="34"/>
    </row>
    <row r="1699" spans="1:8" ht="12.15" customHeight="1">
      <c r="A1699" s="5"/>
      <c r="B1699" s="5"/>
      <c r="C1699" s="5"/>
      <c r="D1699" s="926" t="s">
        <v>2927</v>
      </c>
      <c r="E1699" s="927"/>
      <c r="F1699" s="926"/>
      <c r="G1699" s="57">
        <v>34.869999999999997</v>
      </c>
      <c r="H1699" s="34"/>
    </row>
    <row r="1700" spans="1:8">
      <c r="A1700" s="5" t="s">
        <v>409</v>
      </c>
      <c r="B1700" s="5"/>
      <c r="C1700" s="5" t="s">
        <v>1013</v>
      </c>
      <c r="D1700" s="924" t="s">
        <v>1711</v>
      </c>
      <c r="E1700" s="925"/>
      <c r="F1700" s="5" t="s">
        <v>1943</v>
      </c>
      <c r="G1700" s="21">
        <v>1</v>
      </c>
      <c r="H1700" s="21">
        <v>0</v>
      </c>
    </row>
    <row r="1701" spans="1:8">
      <c r="A1701" s="5" t="s">
        <v>410</v>
      </c>
      <c r="B1701" s="5"/>
      <c r="C1701" s="5" t="s">
        <v>1014</v>
      </c>
      <c r="D1701" s="924" t="s">
        <v>1712</v>
      </c>
      <c r="E1701" s="925"/>
      <c r="F1701" s="5" t="s">
        <v>1943</v>
      </c>
      <c r="G1701" s="21">
        <v>1</v>
      </c>
      <c r="H1701" s="21">
        <v>0</v>
      </c>
    </row>
    <row r="1702" spans="1:8">
      <c r="A1702" s="5" t="s">
        <v>411</v>
      </c>
      <c r="B1702" s="5"/>
      <c r="C1702" s="5" t="s">
        <v>1015</v>
      </c>
      <c r="D1702" s="924" t="s">
        <v>1713</v>
      </c>
      <c r="E1702" s="925"/>
      <c r="F1702" s="5" t="s">
        <v>1943</v>
      </c>
      <c r="G1702" s="21">
        <v>1</v>
      </c>
      <c r="H1702" s="21">
        <v>0</v>
      </c>
    </row>
    <row r="1703" spans="1:8">
      <c r="A1703" s="5" t="s">
        <v>412</v>
      </c>
      <c r="B1703" s="5"/>
      <c r="C1703" s="5" t="s">
        <v>1016</v>
      </c>
      <c r="D1703" s="924" t="s">
        <v>1714</v>
      </c>
      <c r="E1703" s="925"/>
      <c r="F1703" s="5" t="s">
        <v>1943</v>
      </c>
      <c r="G1703" s="21">
        <v>1</v>
      </c>
      <c r="H1703" s="21">
        <v>0</v>
      </c>
    </row>
    <row r="1704" spans="1:8">
      <c r="A1704" s="5" t="s">
        <v>413</v>
      </c>
      <c r="B1704" s="5"/>
      <c r="C1704" s="5" t="s">
        <v>1017</v>
      </c>
      <c r="D1704" s="924" t="s">
        <v>1715</v>
      </c>
      <c r="E1704" s="925"/>
      <c r="F1704" s="5" t="s">
        <v>1943</v>
      </c>
      <c r="G1704" s="21">
        <v>35</v>
      </c>
      <c r="H1704" s="21">
        <v>0</v>
      </c>
    </row>
    <row r="1705" spans="1:8">
      <c r="A1705" s="5" t="s">
        <v>414</v>
      </c>
      <c r="B1705" s="5"/>
      <c r="C1705" s="5" t="s">
        <v>1018</v>
      </c>
      <c r="D1705" s="924" t="s">
        <v>1716</v>
      </c>
      <c r="E1705" s="925"/>
      <c r="F1705" s="5" t="s">
        <v>1944</v>
      </c>
      <c r="G1705" s="21">
        <v>198.19</v>
      </c>
      <c r="H1705" s="21">
        <v>0</v>
      </c>
    </row>
    <row r="1706" spans="1:8" ht="12.15" customHeight="1">
      <c r="D1706" s="926" t="s">
        <v>2928</v>
      </c>
      <c r="E1706" s="927"/>
      <c r="F1706" s="927"/>
      <c r="G1706" s="57">
        <v>198.19</v>
      </c>
    </row>
    <row r="1707" spans="1:8">
      <c r="A1707" s="5" t="s">
        <v>415</v>
      </c>
      <c r="B1707" s="5"/>
      <c r="C1707" s="5" t="s">
        <v>1019</v>
      </c>
      <c r="D1707" s="924" t="s">
        <v>1717</v>
      </c>
      <c r="E1707" s="925"/>
      <c r="F1707" s="5" t="s">
        <v>1944</v>
      </c>
      <c r="G1707" s="21">
        <v>52.45</v>
      </c>
      <c r="H1707" s="21">
        <v>0</v>
      </c>
    </row>
    <row r="1708" spans="1:8">
      <c r="A1708" s="5" t="s">
        <v>416</v>
      </c>
      <c r="B1708" s="5"/>
      <c r="C1708" s="5" t="s">
        <v>1020</v>
      </c>
      <c r="D1708" s="924" t="s">
        <v>1718</v>
      </c>
      <c r="E1708" s="925"/>
      <c r="F1708" s="5" t="s">
        <v>1939</v>
      </c>
      <c r="G1708" s="21">
        <v>11.3</v>
      </c>
      <c r="H1708" s="21">
        <v>0</v>
      </c>
    </row>
    <row r="1709" spans="1:8">
      <c r="A1709" s="5" t="s">
        <v>417</v>
      </c>
      <c r="B1709" s="5"/>
      <c r="C1709" s="5" t="s">
        <v>1021</v>
      </c>
      <c r="D1709" s="924" t="s">
        <v>1719</v>
      </c>
      <c r="E1709" s="925"/>
      <c r="F1709" s="5" t="s">
        <v>1939</v>
      </c>
      <c r="G1709" s="21">
        <v>10.199999999999999</v>
      </c>
      <c r="H1709" s="21">
        <v>0</v>
      </c>
    </row>
    <row r="1710" spans="1:8">
      <c r="A1710" s="5" t="s">
        <v>418</v>
      </c>
      <c r="B1710" s="5"/>
      <c r="C1710" s="5" t="s">
        <v>1022</v>
      </c>
      <c r="D1710" s="924" t="s">
        <v>1720</v>
      </c>
      <c r="E1710" s="925"/>
      <c r="F1710" s="5" t="s">
        <v>1939</v>
      </c>
      <c r="G1710" s="21">
        <v>31.25</v>
      </c>
      <c r="H1710" s="21">
        <v>0</v>
      </c>
    </row>
    <row r="1711" spans="1:8">
      <c r="A1711" s="5" t="s">
        <v>419</v>
      </c>
      <c r="B1711" s="5"/>
      <c r="C1711" s="5" t="s">
        <v>1023</v>
      </c>
      <c r="D1711" s="924" t="s">
        <v>1721</v>
      </c>
      <c r="E1711" s="925"/>
      <c r="F1711" s="5" t="s">
        <v>1939</v>
      </c>
      <c r="G1711" s="21">
        <v>24.2</v>
      </c>
      <c r="H1711" s="21">
        <v>0</v>
      </c>
    </row>
    <row r="1712" spans="1:8">
      <c r="A1712" s="5" t="s">
        <v>420</v>
      </c>
      <c r="B1712" s="5"/>
      <c r="C1712" s="5" t="s">
        <v>1024</v>
      </c>
      <c r="D1712" s="924" t="s">
        <v>1722</v>
      </c>
      <c r="E1712" s="925"/>
      <c r="F1712" s="5" t="s">
        <v>1944</v>
      </c>
      <c r="G1712" s="21">
        <v>633.6</v>
      </c>
      <c r="H1712" s="21">
        <v>0</v>
      </c>
    </row>
    <row r="1713" spans="1:8">
      <c r="A1713" s="5" t="s">
        <v>421</v>
      </c>
      <c r="B1713" s="5"/>
      <c r="C1713" s="5" t="s">
        <v>1025</v>
      </c>
      <c r="D1713" s="924" t="s">
        <v>1723</v>
      </c>
      <c r="E1713" s="925"/>
      <c r="F1713" s="5" t="s">
        <v>1944</v>
      </c>
      <c r="G1713" s="21">
        <v>94.1</v>
      </c>
      <c r="H1713" s="21">
        <v>0</v>
      </c>
    </row>
    <row r="1714" spans="1:8">
      <c r="A1714" s="5" t="s">
        <v>422</v>
      </c>
      <c r="B1714" s="5"/>
      <c r="C1714" s="5" t="s">
        <v>1026</v>
      </c>
      <c r="D1714" s="924" t="s">
        <v>1724</v>
      </c>
      <c r="E1714" s="925"/>
      <c r="F1714" s="5" t="s">
        <v>1944</v>
      </c>
      <c r="G1714" s="21">
        <v>107.8</v>
      </c>
      <c r="H1714" s="21">
        <v>0</v>
      </c>
    </row>
    <row r="1715" spans="1:8">
      <c r="A1715" s="5" t="s">
        <v>423</v>
      </c>
      <c r="B1715" s="5"/>
      <c r="C1715" s="5" t="s">
        <v>1027</v>
      </c>
      <c r="D1715" s="924" t="s">
        <v>1725</v>
      </c>
      <c r="E1715" s="925"/>
      <c r="F1715" s="5" t="s">
        <v>1944</v>
      </c>
      <c r="G1715" s="21">
        <v>66.3</v>
      </c>
      <c r="H1715" s="21">
        <v>0</v>
      </c>
    </row>
    <row r="1716" spans="1:8">
      <c r="A1716" s="5" t="s">
        <v>424</v>
      </c>
      <c r="B1716" s="5"/>
      <c r="C1716" s="5" t="s">
        <v>1028</v>
      </c>
      <c r="D1716" s="924" t="s">
        <v>1726</v>
      </c>
      <c r="E1716" s="925"/>
      <c r="F1716" s="5" t="s">
        <v>1944</v>
      </c>
      <c r="G1716" s="21">
        <v>209</v>
      </c>
      <c r="H1716" s="21">
        <v>0</v>
      </c>
    </row>
    <row r="1717" spans="1:8">
      <c r="A1717" s="5" t="s">
        <v>425</v>
      </c>
      <c r="B1717" s="5"/>
      <c r="C1717" s="5" t="s">
        <v>1029</v>
      </c>
      <c r="D1717" s="924" t="s">
        <v>1727</v>
      </c>
      <c r="E1717" s="925"/>
      <c r="F1717" s="5" t="s">
        <v>1944</v>
      </c>
      <c r="G1717" s="21">
        <v>69.099999999999994</v>
      </c>
      <c r="H1717" s="21">
        <v>0</v>
      </c>
    </row>
    <row r="1718" spans="1:8">
      <c r="A1718" s="5" t="s">
        <v>426</v>
      </c>
      <c r="B1718" s="5"/>
      <c r="C1718" s="5" t="s">
        <v>1030</v>
      </c>
      <c r="D1718" s="924" t="s">
        <v>1728</v>
      </c>
      <c r="E1718" s="925"/>
      <c r="F1718" s="5" t="s">
        <v>1939</v>
      </c>
      <c r="G1718" s="21">
        <v>9.5</v>
      </c>
      <c r="H1718" s="21">
        <v>0</v>
      </c>
    </row>
    <row r="1719" spans="1:8">
      <c r="A1719" s="5" t="s">
        <v>427</v>
      </c>
      <c r="B1719" s="5"/>
      <c r="C1719" s="5" t="s">
        <v>1031</v>
      </c>
      <c r="D1719" s="924" t="s">
        <v>1729</v>
      </c>
      <c r="E1719" s="925"/>
      <c r="F1719" s="5" t="s">
        <v>1939</v>
      </c>
      <c r="G1719" s="21">
        <v>4.5</v>
      </c>
      <c r="H1719" s="21">
        <v>0</v>
      </c>
    </row>
    <row r="1720" spans="1:8">
      <c r="A1720" s="5" t="s">
        <v>428</v>
      </c>
      <c r="B1720" s="5"/>
      <c r="C1720" s="5" t="s">
        <v>1032</v>
      </c>
      <c r="D1720" s="924" t="s">
        <v>1730</v>
      </c>
      <c r="E1720" s="925"/>
      <c r="F1720" s="5" t="s">
        <v>1938</v>
      </c>
      <c r="G1720" s="21">
        <v>1</v>
      </c>
      <c r="H1720" s="21">
        <v>0</v>
      </c>
    </row>
    <row r="1721" spans="1:8">
      <c r="A1721" s="5" t="s">
        <v>429</v>
      </c>
      <c r="B1721" s="5"/>
      <c r="C1721" s="5" t="s">
        <v>1033</v>
      </c>
      <c r="D1721" s="924" t="s">
        <v>1731</v>
      </c>
      <c r="E1721" s="925"/>
      <c r="F1721" s="5" t="s">
        <v>1939</v>
      </c>
      <c r="G1721" s="21">
        <v>135.69999999999999</v>
      </c>
      <c r="H1721" s="21">
        <v>0</v>
      </c>
    </row>
    <row r="1722" spans="1:8">
      <c r="A1722" s="5" t="s">
        <v>430</v>
      </c>
      <c r="B1722" s="5"/>
      <c r="C1722" s="5" t="s">
        <v>1034</v>
      </c>
      <c r="D1722" s="924" t="s">
        <v>1732</v>
      </c>
      <c r="E1722" s="925"/>
      <c r="F1722" s="5" t="s">
        <v>1938</v>
      </c>
      <c r="G1722" s="21">
        <v>1</v>
      </c>
      <c r="H1722" s="21">
        <v>0</v>
      </c>
    </row>
    <row r="1723" spans="1:8">
      <c r="A1723" s="5" t="s">
        <v>431</v>
      </c>
      <c r="B1723" s="5"/>
      <c r="C1723" s="5" t="s">
        <v>1035</v>
      </c>
      <c r="D1723" s="924" t="s">
        <v>1733</v>
      </c>
      <c r="E1723" s="925"/>
      <c r="F1723" s="5" t="s">
        <v>1938</v>
      </c>
      <c r="G1723" s="21">
        <v>1</v>
      </c>
      <c r="H1723" s="21">
        <v>0</v>
      </c>
    </row>
    <row r="1724" spans="1:8">
      <c r="A1724" s="5" t="s">
        <v>432</v>
      </c>
      <c r="B1724" s="5"/>
      <c r="C1724" s="5" t="s">
        <v>1036</v>
      </c>
      <c r="D1724" s="924" t="s">
        <v>1734</v>
      </c>
      <c r="E1724" s="925"/>
      <c r="F1724" s="5" t="s">
        <v>1938</v>
      </c>
      <c r="G1724" s="21">
        <v>1</v>
      </c>
      <c r="H1724" s="21">
        <v>0</v>
      </c>
    </row>
    <row r="1725" spans="1:8">
      <c r="A1725" s="5" t="s">
        <v>433</v>
      </c>
      <c r="B1725" s="5"/>
      <c r="C1725" s="5" t="s">
        <v>1037</v>
      </c>
      <c r="D1725" s="924" t="s">
        <v>1735</v>
      </c>
      <c r="E1725" s="925"/>
      <c r="F1725" s="5" t="s">
        <v>1938</v>
      </c>
      <c r="G1725" s="21">
        <v>1</v>
      </c>
      <c r="H1725" s="21">
        <v>0</v>
      </c>
    </row>
    <row r="1726" spans="1:8">
      <c r="A1726" s="5" t="s">
        <v>434</v>
      </c>
      <c r="B1726" s="5"/>
      <c r="C1726" s="5" t="s">
        <v>1038</v>
      </c>
      <c r="D1726" s="924" t="s">
        <v>1736</v>
      </c>
      <c r="E1726" s="925"/>
      <c r="F1726" s="5" t="s">
        <v>1938</v>
      </c>
      <c r="G1726" s="21">
        <v>2</v>
      </c>
      <c r="H1726" s="21">
        <v>0</v>
      </c>
    </row>
    <row r="1727" spans="1:8">
      <c r="A1727" s="5" t="s">
        <v>435</v>
      </c>
      <c r="B1727" s="5"/>
      <c r="C1727" s="5" t="s">
        <v>1039</v>
      </c>
      <c r="D1727" s="924" t="s">
        <v>1737</v>
      </c>
      <c r="E1727" s="925"/>
      <c r="F1727" s="5" t="s">
        <v>1938</v>
      </c>
      <c r="G1727" s="21">
        <v>1</v>
      </c>
      <c r="H1727" s="21">
        <v>0</v>
      </c>
    </row>
    <row r="1728" spans="1:8">
      <c r="A1728" s="5" t="s">
        <v>436</v>
      </c>
      <c r="B1728" s="5"/>
      <c r="C1728" s="5" t="s">
        <v>1040</v>
      </c>
      <c r="D1728" s="924" t="s">
        <v>1738</v>
      </c>
      <c r="E1728" s="925"/>
      <c r="F1728" s="5" t="s">
        <v>1944</v>
      </c>
      <c r="G1728" s="21">
        <v>12.5</v>
      </c>
      <c r="H1728" s="21">
        <v>0</v>
      </c>
    </row>
    <row r="1729" spans="1:8">
      <c r="A1729" s="5" t="s">
        <v>437</v>
      </c>
      <c r="B1729" s="5"/>
      <c r="C1729" s="5" t="s">
        <v>1041</v>
      </c>
      <c r="D1729" s="924" t="s">
        <v>1739</v>
      </c>
      <c r="E1729" s="925"/>
      <c r="F1729" s="5" t="s">
        <v>1944</v>
      </c>
      <c r="G1729" s="21">
        <v>28.2</v>
      </c>
      <c r="H1729" s="21">
        <v>0</v>
      </c>
    </row>
    <row r="1730" spans="1:8">
      <c r="A1730" s="5" t="s">
        <v>438</v>
      </c>
      <c r="B1730" s="5"/>
      <c r="C1730" s="5" t="s">
        <v>1042</v>
      </c>
      <c r="D1730" s="924" t="s">
        <v>1740</v>
      </c>
      <c r="E1730" s="925"/>
      <c r="F1730" s="5" t="s">
        <v>1944</v>
      </c>
      <c r="G1730" s="21">
        <v>11.3</v>
      </c>
      <c r="H1730" s="21">
        <v>0</v>
      </c>
    </row>
    <row r="1731" spans="1:8">
      <c r="A1731" s="5" t="s">
        <v>439</v>
      </c>
      <c r="B1731" s="5"/>
      <c r="C1731" s="5" t="s">
        <v>1043</v>
      </c>
      <c r="D1731" s="924" t="s">
        <v>1741</v>
      </c>
      <c r="E1731" s="925"/>
      <c r="F1731" s="5" t="s">
        <v>1943</v>
      </c>
      <c r="G1731" s="21">
        <v>1</v>
      </c>
      <c r="H1731" s="21">
        <v>0</v>
      </c>
    </row>
    <row r="1732" spans="1:8">
      <c r="A1732" s="5" t="s">
        <v>440</v>
      </c>
      <c r="B1732" s="5"/>
      <c r="C1732" s="5" t="s">
        <v>1044</v>
      </c>
      <c r="D1732" s="924" t="s">
        <v>1742</v>
      </c>
      <c r="E1732" s="925"/>
      <c r="F1732" s="5" t="s">
        <v>1943</v>
      </c>
      <c r="G1732" s="21">
        <v>1</v>
      </c>
      <c r="H1732" s="21">
        <v>0</v>
      </c>
    </row>
    <row r="1733" spans="1:8">
      <c r="A1733" s="5" t="s">
        <v>441</v>
      </c>
      <c r="B1733" s="5"/>
      <c r="C1733" s="5" t="s">
        <v>1045</v>
      </c>
      <c r="D1733" s="924" t="s">
        <v>1743</v>
      </c>
      <c r="E1733" s="925"/>
      <c r="F1733" s="5" t="s">
        <v>1938</v>
      </c>
      <c r="G1733" s="21">
        <v>1</v>
      </c>
      <c r="H1733" s="21">
        <v>0</v>
      </c>
    </row>
    <row r="1734" spans="1:8" ht="108" customHeight="1">
      <c r="C1734" s="54" t="s">
        <v>605</v>
      </c>
      <c r="D1734" s="917" t="s">
        <v>1744</v>
      </c>
      <c r="E1734" s="918"/>
      <c r="F1734" s="918"/>
      <c r="G1734" s="918"/>
    </row>
    <row r="1735" spans="1:8">
      <c r="A1735" s="5" t="s">
        <v>442</v>
      </c>
      <c r="B1735" s="5"/>
      <c r="C1735" s="5" t="s">
        <v>1046</v>
      </c>
      <c r="D1735" s="924" t="s">
        <v>1745</v>
      </c>
      <c r="E1735" s="925"/>
      <c r="F1735" s="5" t="s">
        <v>1943</v>
      </c>
      <c r="G1735" s="21">
        <v>1</v>
      </c>
      <c r="H1735" s="21">
        <v>0</v>
      </c>
    </row>
    <row r="1736" spans="1:8">
      <c r="A1736" s="5" t="s">
        <v>443</v>
      </c>
      <c r="B1736" s="5"/>
      <c r="C1736" s="5" t="s">
        <v>1047</v>
      </c>
      <c r="D1736" s="924" t="s">
        <v>1746</v>
      </c>
      <c r="E1736" s="925"/>
      <c r="F1736" s="5" t="s">
        <v>1943</v>
      </c>
      <c r="G1736" s="21">
        <v>1</v>
      </c>
      <c r="H1736" s="21">
        <v>0</v>
      </c>
    </row>
    <row r="1737" spans="1:8">
      <c r="A1737" s="5" t="s">
        <v>444</v>
      </c>
      <c r="B1737" s="5"/>
      <c r="C1737" s="5" t="s">
        <v>1048</v>
      </c>
      <c r="D1737" s="924" t="s">
        <v>1747</v>
      </c>
      <c r="E1737" s="925"/>
      <c r="F1737" s="5" t="s">
        <v>1943</v>
      </c>
      <c r="G1737" s="21">
        <v>1</v>
      </c>
      <c r="H1737" s="21">
        <v>0</v>
      </c>
    </row>
    <row r="1738" spans="1:8">
      <c r="A1738" s="5" t="s">
        <v>445</v>
      </c>
      <c r="B1738" s="5"/>
      <c r="C1738" s="5" t="s">
        <v>1049</v>
      </c>
      <c r="D1738" s="924" t="s">
        <v>1748</v>
      </c>
      <c r="E1738" s="925"/>
      <c r="F1738" s="5" t="s">
        <v>1943</v>
      </c>
      <c r="G1738" s="21">
        <v>1</v>
      </c>
      <c r="H1738" s="21">
        <v>0</v>
      </c>
    </row>
    <row r="1739" spans="1:8">
      <c r="A1739" s="5" t="s">
        <v>446</v>
      </c>
      <c r="B1739" s="5"/>
      <c r="C1739" s="5" t="s">
        <v>1050</v>
      </c>
      <c r="D1739" s="924" t="s">
        <v>1749</v>
      </c>
      <c r="E1739" s="925"/>
      <c r="F1739" s="5" t="s">
        <v>1943</v>
      </c>
      <c r="G1739" s="21">
        <v>1</v>
      </c>
      <c r="H1739" s="21">
        <v>0</v>
      </c>
    </row>
    <row r="1740" spans="1:8">
      <c r="A1740" s="5" t="s">
        <v>447</v>
      </c>
      <c r="B1740" s="5"/>
      <c r="C1740" s="5" t="s">
        <v>1051</v>
      </c>
      <c r="D1740" s="924" t="s">
        <v>1750</v>
      </c>
      <c r="E1740" s="925"/>
      <c r="F1740" s="5" t="s">
        <v>1943</v>
      </c>
      <c r="G1740" s="21">
        <v>1</v>
      </c>
      <c r="H1740" s="21">
        <v>0</v>
      </c>
    </row>
    <row r="1741" spans="1:8">
      <c r="A1741" s="5" t="s">
        <v>448</v>
      </c>
      <c r="B1741" s="5"/>
      <c r="C1741" s="5" t="s">
        <v>1052</v>
      </c>
      <c r="D1741" s="924" t="s">
        <v>1751</v>
      </c>
      <c r="E1741" s="925"/>
      <c r="F1741" s="5" t="s">
        <v>1943</v>
      </c>
      <c r="G1741" s="21">
        <v>1</v>
      </c>
      <c r="H1741" s="21">
        <v>0</v>
      </c>
    </row>
    <row r="1742" spans="1:8">
      <c r="A1742" s="5" t="s">
        <v>449</v>
      </c>
      <c r="B1742" s="5"/>
      <c r="C1742" s="5" t="s">
        <v>1053</v>
      </c>
      <c r="D1742" s="924" t="s">
        <v>1752</v>
      </c>
      <c r="E1742" s="925"/>
      <c r="F1742" s="5" t="s">
        <v>1943</v>
      </c>
      <c r="G1742" s="21">
        <v>1</v>
      </c>
      <c r="H1742" s="21">
        <v>0</v>
      </c>
    </row>
    <row r="1743" spans="1:8">
      <c r="A1743" s="5" t="s">
        <v>450</v>
      </c>
      <c r="B1743" s="5"/>
      <c r="C1743" s="5" t="s">
        <v>1054</v>
      </c>
      <c r="D1743" s="924" t="s">
        <v>1753</v>
      </c>
      <c r="E1743" s="925"/>
      <c r="F1743" s="5" t="s">
        <v>1943</v>
      </c>
      <c r="G1743" s="21">
        <v>1</v>
      </c>
      <c r="H1743" s="21">
        <v>0</v>
      </c>
    </row>
    <row r="1744" spans="1:8">
      <c r="A1744" s="5" t="s">
        <v>451</v>
      </c>
      <c r="B1744" s="5"/>
      <c r="C1744" s="5" t="s">
        <v>1055</v>
      </c>
      <c r="D1744" s="924" t="s">
        <v>1754</v>
      </c>
      <c r="E1744" s="925"/>
      <c r="F1744" s="5" t="s">
        <v>1939</v>
      </c>
      <c r="G1744" s="21">
        <v>25.9</v>
      </c>
      <c r="H1744" s="21">
        <v>0</v>
      </c>
    </row>
    <row r="1745" spans="1:8">
      <c r="A1745" s="5" t="s">
        <v>452</v>
      </c>
      <c r="B1745" s="5"/>
      <c r="C1745" s="5" t="s">
        <v>1056</v>
      </c>
      <c r="D1745" s="924" t="s">
        <v>1755</v>
      </c>
      <c r="E1745" s="925"/>
      <c r="F1745" s="5" t="s">
        <v>1939</v>
      </c>
      <c r="G1745" s="21">
        <v>8</v>
      </c>
      <c r="H1745" s="21">
        <v>0</v>
      </c>
    </row>
    <row r="1746" spans="1:8">
      <c r="A1746" s="5" t="s">
        <v>453</v>
      </c>
      <c r="B1746" s="5"/>
      <c r="C1746" s="5" t="s">
        <v>1057</v>
      </c>
      <c r="D1746" s="924" t="s">
        <v>1756</v>
      </c>
      <c r="E1746" s="925"/>
      <c r="F1746" s="5" t="s">
        <v>1943</v>
      </c>
      <c r="G1746" s="21">
        <v>3</v>
      </c>
      <c r="H1746" s="21">
        <v>0</v>
      </c>
    </row>
    <row r="1747" spans="1:8">
      <c r="A1747" s="5" t="s">
        <v>454</v>
      </c>
      <c r="B1747" s="5"/>
      <c r="C1747" s="5" t="s">
        <v>1058</v>
      </c>
      <c r="D1747" s="924" t="s">
        <v>1757</v>
      </c>
      <c r="E1747" s="925"/>
      <c r="F1747" s="5" t="s">
        <v>1944</v>
      </c>
      <c r="G1747" s="21">
        <v>328.5</v>
      </c>
      <c r="H1747" s="21">
        <v>0</v>
      </c>
    </row>
    <row r="1748" spans="1:8">
      <c r="A1748" s="5" t="s">
        <v>455</v>
      </c>
      <c r="B1748" s="5"/>
      <c r="C1748" s="5" t="s">
        <v>1059</v>
      </c>
      <c r="D1748" s="924" t="s">
        <v>1758</v>
      </c>
      <c r="E1748" s="925"/>
      <c r="F1748" s="5" t="s">
        <v>1943</v>
      </c>
      <c r="G1748" s="21">
        <v>2</v>
      </c>
      <c r="H1748" s="21">
        <v>0</v>
      </c>
    </row>
    <row r="1749" spans="1:8">
      <c r="A1749" s="5" t="s">
        <v>456</v>
      </c>
      <c r="B1749" s="5"/>
      <c r="C1749" s="5" t="s">
        <v>1060</v>
      </c>
      <c r="D1749" s="924" t="s">
        <v>1759</v>
      </c>
      <c r="E1749" s="925"/>
      <c r="F1749" s="5" t="s">
        <v>1943</v>
      </c>
      <c r="G1749" s="21">
        <v>3</v>
      </c>
      <c r="H1749" s="21">
        <v>0</v>
      </c>
    </row>
    <row r="1750" spans="1:8">
      <c r="A1750" s="5" t="s">
        <v>457</v>
      </c>
      <c r="B1750" s="5"/>
      <c r="C1750" s="5" t="s">
        <v>1061</v>
      </c>
      <c r="D1750" s="924" t="s">
        <v>1760</v>
      </c>
      <c r="E1750" s="925"/>
      <c r="F1750" s="5" t="s">
        <v>1943</v>
      </c>
      <c r="G1750" s="21">
        <v>2</v>
      </c>
      <c r="H1750" s="21">
        <v>0</v>
      </c>
    </row>
    <row r="1751" spans="1:8">
      <c r="A1751" s="5" t="s">
        <v>458</v>
      </c>
      <c r="B1751" s="5"/>
      <c r="C1751" s="5" t="s">
        <v>1062</v>
      </c>
      <c r="D1751" s="924" t="s">
        <v>1761</v>
      </c>
      <c r="E1751" s="925"/>
      <c r="F1751" s="5" t="s">
        <v>1943</v>
      </c>
      <c r="G1751" s="21">
        <v>1</v>
      </c>
      <c r="H1751" s="21">
        <v>0</v>
      </c>
    </row>
    <row r="1752" spans="1:8">
      <c r="A1752" s="5" t="s">
        <v>459</v>
      </c>
      <c r="B1752" s="5"/>
      <c r="C1752" s="5" t="s">
        <v>1063</v>
      </c>
      <c r="D1752" s="924" t="s">
        <v>1762</v>
      </c>
      <c r="E1752" s="925"/>
      <c r="F1752" s="5" t="s">
        <v>1944</v>
      </c>
      <c r="G1752" s="21">
        <v>38.4</v>
      </c>
      <c r="H1752" s="21">
        <v>0</v>
      </c>
    </row>
    <row r="1753" spans="1:8">
      <c r="A1753" s="5" t="s">
        <v>460</v>
      </c>
      <c r="B1753" s="5"/>
      <c r="C1753" s="5" t="s">
        <v>1064</v>
      </c>
      <c r="D1753" s="924" t="s">
        <v>1763</v>
      </c>
      <c r="E1753" s="925"/>
      <c r="F1753" s="5" t="s">
        <v>1943</v>
      </c>
      <c r="G1753" s="21">
        <v>2</v>
      </c>
      <c r="H1753" s="21">
        <v>0</v>
      </c>
    </row>
    <row r="1754" spans="1:8">
      <c r="A1754" s="5" t="s">
        <v>461</v>
      </c>
      <c r="B1754" s="5"/>
      <c r="C1754" s="5" t="s">
        <v>1065</v>
      </c>
      <c r="D1754" s="924" t="s">
        <v>1764</v>
      </c>
      <c r="E1754" s="925"/>
      <c r="F1754" s="5" t="s">
        <v>1944</v>
      </c>
      <c r="G1754" s="21">
        <v>1389.2</v>
      </c>
      <c r="H1754" s="21">
        <v>0</v>
      </c>
    </row>
    <row r="1755" spans="1:8">
      <c r="A1755" s="5" t="s">
        <v>462</v>
      </c>
      <c r="B1755" s="5"/>
      <c r="C1755" s="5" t="s">
        <v>1066</v>
      </c>
      <c r="D1755" s="924" t="s">
        <v>1765</v>
      </c>
      <c r="E1755" s="925"/>
      <c r="F1755" s="5" t="s">
        <v>1943</v>
      </c>
      <c r="G1755" s="21">
        <v>1</v>
      </c>
      <c r="H1755" s="21">
        <v>0</v>
      </c>
    </row>
    <row r="1756" spans="1:8">
      <c r="A1756" s="5" t="s">
        <v>463</v>
      </c>
      <c r="B1756" s="5"/>
      <c r="C1756" s="5" t="s">
        <v>1067</v>
      </c>
      <c r="D1756" s="924" t="s">
        <v>1767</v>
      </c>
      <c r="E1756" s="925"/>
      <c r="F1756" s="5" t="s">
        <v>1944</v>
      </c>
      <c r="G1756" s="21">
        <v>362.48</v>
      </c>
      <c r="H1756" s="21">
        <v>0</v>
      </c>
    </row>
    <row r="1757" spans="1:8" ht="12.15" customHeight="1">
      <c r="D1757" s="926" t="s">
        <v>2929</v>
      </c>
      <c r="E1757" s="927"/>
      <c r="F1757" s="927"/>
      <c r="G1757" s="57">
        <v>362.48</v>
      </c>
    </row>
    <row r="1758" spans="1:8" ht="12.9" customHeight="1">
      <c r="C1758" s="54" t="s">
        <v>605</v>
      </c>
      <c r="D1758" s="917" t="s">
        <v>1768</v>
      </c>
      <c r="E1758" s="918"/>
      <c r="F1758" s="918"/>
      <c r="G1758" s="918"/>
    </row>
    <row r="1759" spans="1:8">
      <c r="A1759" s="5" t="s">
        <v>464</v>
      </c>
      <c r="B1759" s="5"/>
      <c r="C1759" s="5" t="s">
        <v>1068</v>
      </c>
      <c r="D1759" s="924" t="s">
        <v>1769</v>
      </c>
      <c r="E1759" s="925"/>
      <c r="F1759" s="5" t="s">
        <v>1944</v>
      </c>
      <c r="G1759" s="21">
        <v>44.197949999999999</v>
      </c>
      <c r="H1759" s="21">
        <v>0</v>
      </c>
    </row>
    <row r="1760" spans="1:8" ht="12.15" customHeight="1">
      <c r="D1760" s="926" t="s">
        <v>2930</v>
      </c>
      <c r="E1760" s="927"/>
      <c r="F1760" s="927"/>
      <c r="G1760" s="57">
        <v>44.197949999999999</v>
      </c>
    </row>
    <row r="1761" spans="1:8" ht="12.9" customHeight="1">
      <c r="C1761" s="54" t="s">
        <v>605</v>
      </c>
      <c r="D1761" s="917" t="s">
        <v>1768</v>
      </c>
      <c r="E1761" s="918"/>
      <c r="F1761" s="918"/>
      <c r="G1761" s="918"/>
    </row>
    <row r="1762" spans="1:8">
      <c r="A1762" s="5" t="s">
        <v>465</v>
      </c>
      <c r="B1762" s="5"/>
      <c r="C1762" s="5" t="s">
        <v>1069</v>
      </c>
      <c r="D1762" s="924" t="s">
        <v>1770</v>
      </c>
      <c r="E1762" s="925"/>
      <c r="F1762" s="5" t="s">
        <v>1940</v>
      </c>
      <c r="G1762" s="21">
        <v>30</v>
      </c>
      <c r="H1762" s="21">
        <v>0</v>
      </c>
    </row>
    <row r="1763" spans="1:8" ht="12.9" customHeight="1">
      <c r="C1763" s="54" t="s">
        <v>605</v>
      </c>
      <c r="D1763" s="917" t="s">
        <v>1768</v>
      </c>
      <c r="E1763" s="918"/>
      <c r="F1763" s="918"/>
      <c r="G1763" s="918"/>
    </row>
    <row r="1764" spans="1:8">
      <c r="A1764" s="5" t="s">
        <v>466</v>
      </c>
      <c r="B1764" s="5"/>
      <c r="C1764" s="5" t="s">
        <v>1070</v>
      </c>
      <c r="D1764" s="924" t="s">
        <v>1771</v>
      </c>
      <c r="E1764" s="925"/>
      <c r="F1764" s="5" t="s">
        <v>1940</v>
      </c>
      <c r="G1764" s="21">
        <v>297.58749999999998</v>
      </c>
      <c r="H1764" s="21">
        <v>0</v>
      </c>
    </row>
    <row r="1765" spans="1:8" ht="12.15" customHeight="1">
      <c r="D1765" s="926" t="s">
        <v>2931</v>
      </c>
      <c r="E1765" s="927"/>
      <c r="F1765" s="927"/>
      <c r="G1765" s="57">
        <v>297.58749999999998</v>
      </c>
    </row>
    <row r="1766" spans="1:8" ht="25.65" customHeight="1">
      <c r="C1766" s="54" t="s">
        <v>605</v>
      </c>
      <c r="D1766" s="917" t="s">
        <v>5866</v>
      </c>
      <c r="E1766" s="918"/>
      <c r="F1766" s="918"/>
      <c r="G1766" s="918"/>
    </row>
    <row r="1767" spans="1:8">
      <c r="A1767" s="5" t="s">
        <v>467</v>
      </c>
      <c r="B1767" s="5"/>
      <c r="C1767" s="5" t="s">
        <v>1071</v>
      </c>
      <c r="D1767" s="924" t="s">
        <v>1772</v>
      </c>
      <c r="E1767" s="925"/>
      <c r="F1767" s="5" t="s">
        <v>1939</v>
      </c>
      <c r="G1767" s="21">
        <v>87.68</v>
      </c>
      <c r="H1767" s="21">
        <v>0</v>
      </c>
    </row>
    <row r="1768" spans="1:8" ht="12.15" customHeight="1">
      <c r="D1768" s="926" t="s">
        <v>2932</v>
      </c>
      <c r="E1768" s="927"/>
      <c r="F1768" s="927"/>
      <c r="G1768" s="57">
        <v>87.68</v>
      </c>
    </row>
    <row r="1769" spans="1:8">
      <c r="A1769" s="5" t="s">
        <v>468</v>
      </c>
      <c r="B1769" s="5"/>
      <c r="C1769" s="5" t="s">
        <v>1072</v>
      </c>
      <c r="D1769" s="924" t="s">
        <v>1774</v>
      </c>
      <c r="E1769" s="925"/>
      <c r="F1769" s="5" t="s">
        <v>1940</v>
      </c>
      <c r="G1769" s="21">
        <v>82.695999999999998</v>
      </c>
      <c r="H1769" s="21">
        <v>0</v>
      </c>
    </row>
    <row r="1770" spans="1:8" ht="12.15" customHeight="1">
      <c r="D1770" s="926" t="s">
        <v>2933</v>
      </c>
      <c r="E1770" s="927"/>
      <c r="F1770" s="927"/>
      <c r="G1770" s="57">
        <v>82.695999999999998</v>
      </c>
    </row>
    <row r="1771" spans="1:8" ht="25.65" customHeight="1">
      <c r="C1771" s="54" t="s">
        <v>605</v>
      </c>
      <c r="D1771" s="917" t="s">
        <v>1775</v>
      </c>
      <c r="E1771" s="918"/>
      <c r="F1771" s="918"/>
      <c r="G1771" s="918"/>
    </row>
    <row r="1772" spans="1:8">
      <c r="A1772" s="5" t="s">
        <v>469</v>
      </c>
      <c r="B1772" s="5"/>
      <c r="C1772" s="5" t="s">
        <v>1073</v>
      </c>
      <c r="D1772" s="924" t="s">
        <v>1776</v>
      </c>
      <c r="E1772" s="925"/>
      <c r="F1772" s="5" t="s">
        <v>1940</v>
      </c>
      <c r="G1772" s="21">
        <v>32.43</v>
      </c>
      <c r="H1772" s="21">
        <v>0</v>
      </c>
    </row>
    <row r="1773" spans="1:8" ht="12.15" customHeight="1">
      <c r="D1773" s="926" t="s">
        <v>2934</v>
      </c>
      <c r="E1773" s="927"/>
      <c r="F1773" s="927"/>
      <c r="G1773" s="57">
        <v>32.43</v>
      </c>
    </row>
    <row r="1774" spans="1:8" ht="25.65" customHeight="1">
      <c r="C1774" s="54" t="s">
        <v>605</v>
      </c>
      <c r="D1774" s="917" t="s">
        <v>1777</v>
      </c>
      <c r="E1774" s="918"/>
      <c r="F1774" s="918"/>
      <c r="G1774" s="918"/>
    </row>
    <row r="1775" spans="1:8">
      <c r="A1775" s="5" t="s">
        <v>470</v>
      </c>
      <c r="B1775" s="5"/>
      <c r="C1775" s="5" t="s">
        <v>1074</v>
      </c>
      <c r="D1775" s="924" t="s">
        <v>1778</v>
      </c>
      <c r="E1775" s="925"/>
      <c r="F1775" s="5" t="s">
        <v>1940</v>
      </c>
      <c r="G1775" s="21">
        <v>22.08</v>
      </c>
      <c r="H1775" s="21">
        <v>0</v>
      </c>
    </row>
    <row r="1776" spans="1:8" ht="12.15" customHeight="1">
      <c r="D1776" s="926" t="s">
        <v>2935</v>
      </c>
      <c r="E1776" s="927"/>
      <c r="F1776" s="927"/>
      <c r="G1776" s="57">
        <v>22.08</v>
      </c>
    </row>
    <row r="1777" spans="1:8" ht="25.65" customHeight="1">
      <c r="C1777" s="54" t="s">
        <v>605</v>
      </c>
      <c r="D1777" s="917" t="s">
        <v>1777</v>
      </c>
      <c r="E1777" s="918"/>
      <c r="F1777" s="918"/>
      <c r="G1777" s="918"/>
    </row>
    <row r="1778" spans="1:8">
      <c r="A1778" s="5" t="s">
        <v>471</v>
      </c>
      <c r="B1778" s="5"/>
      <c r="C1778" s="5" t="s">
        <v>1075</v>
      </c>
      <c r="D1778" s="924" t="s">
        <v>1780</v>
      </c>
      <c r="E1778" s="925"/>
      <c r="F1778" s="5" t="s">
        <v>1943</v>
      </c>
      <c r="G1778" s="21">
        <v>1</v>
      </c>
      <c r="H1778" s="21">
        <v>0</v>
      </c>
    </row>
    <row r="1779" spans="1:8">
      <c r="A1779" s="5" t="s">
        <v>472</v>
      </c>
      <c r="B1779" s="5"/>
      <c r="C1779" s="5" t="s">
        <v>1076</v>
      </c>
      <c r="D1779" s="924" t="s">
        <v>1781</v>
      </c>
      <c r="E1779" s="925"/>
      <c r="F1779" s="5" t="s">
        <v>1939</v>
      </c>
      <c r="G1779" s="21">
        <v>85.265000000000001</v>
      </c>
      <c r="H1779" s="21">
        <v>0</v>
      </c>
    </row>
    <row r="1780" spans="1:8" ht="12.15" customHeight="1">
      <c r="D1780" s="926" t="s">
        <v>2936</v>
      </c>
      <c r="E1780" s="927"/>
      <c r="F1780" s="927"/>
      <c r="G1780" s="57">
        <v>85.265000000000001</v>
      </c>
    </row>
    <row r="1781" spans="1:8">
      <c r="A1781" s="80" t="s">
        <v>473</v>
      </c>
      <c r="B1781" s="80"/>
      <c r="C1781" s="80" t="s">
        <v>1077</v>
      </c>
      <c r="D1781" s="934" t="s">
        <v>1782</v>
      </c>
      <c r="E1781" s="935"/>
      <c r="F1781" s="80" t="s">
        <v>1945</v>
      </c>
      <c r="G1781" s="82">
        <v>45495.8079</v>
      </c>
      <c r="H1781" s="81">
        <v>0</v>
      </c>
    </row>
    <row r="1782" spans="1:8">
      <c r="A1782" s="14"/>
      <c r="B1782" s="14"/>
      <c r="C1782" s="14" t="s">
        <v>1078</v>
      </c>
      <c r="D1782" s="930" t="s">
        <v>1783</v>
      </c>
      <c r="E1782" s="931"/>
      <c r="F1782" s="14"/>
      <c r="G1782" s="30"/>
      <c r="H1782" s="30"/>
    </row>
    <row r="1783" spans="1:8">
      <c r="A1783" s="5" t="s">
        <v>474</v>
      </c>
      <c r="B1783" s="5"/>
      <c r="C1783" s="5" t="s">
        <v>1079</v>
      </c>
      <c r="D1783" s="924" t="s">
        <v>1784</v>
      </c>
      <c r="E1783" s="925"/>
      <c r="F1783" s="5" t="s">
        <v>1943</v>
      </c>
      <c r="G1783" s="21">
        <v>1</v>
      </c>
      <c r="H1783" s="21">
        <v>0</v>
      </c>
    </row>
    <row r="1784" spans="1:8">
      <c r="A1784" s="5" t="s">
        <v>475</v>
      </c>
      <c r="B1784" s="5"/>
      <c r="C1784" s="5" t="s">
        <v>1080</v>
      </c>
      <c r="D1784" s="924" t="s">
        <v>1785</v>
      </c>
      <c r="E1784" s="925"/>
      <c r="F1784" s="5" t="s">
        <v>1943</v>
      </c>
      <c r="G1784" s="21">
        <v>1</v>
      </c>
      <c r="H1784" s="21">
        <v>0</v>
      </c>
    </row>
    <row r="1785" spans="1:8">
      <c r="A1785" s="5" t="s">
        <v>476</v>
      </c>
      <c r="B1785" s="5"/>
      <c r="C1785" s="5" t="s">
        <v>1081</v>
      </c>
      <c r="D1785" s="924" t="s">
        <v>1786</v>
      </c>
      <c r="E1785" s="925"/>
      <c r="F1785" s="5" t="s">
        <v>1943</v>
      </c>
      <c r="G1785" s="21">
        <v>1</v>
      </c>
      <c r="H1785" s="21">
        <v>0</v>
      </c>
    </row>
    <row r="1786" spans="1:8">
      <c r="A1786" s="5" t="s">
        <v>477</v>
      </c>
      <c r="B1786" s="5"/>
      <c r="C1786" s="5" t="s">
        <v>1082</v>
      </c>
      <c r="D1786" s="924" t="s">
        <v>1787</v>
      </c>
      <c r="E1786" s="925"/>
      <c r="F1786" s="5" t="s">
        <v>1943</v>
      </c>
      <c r="G1786" s="21">
        <v>2</v>
      </c>
      <c r="H1786" s="21">
        <v>0</v>
      </c>
    </row>
    <row r="1787" spans="1:8">
      <c r="A1787" s="5" t="s">
        <v>478</v>
      </c>
      <c r="B1787" s="5"/>
      <c r="C1787" s="5" t="s">
        <v>1083</v>
      </c>
      <c r="D1787" s="924" t="s">
        <v>1788</v>
      </c>
      <c r="E1787" s="925"/>
      <c r="F1787" s="5" t="s">
        <v>1943</v>
      </c>
      <c r="G1787" s="21">
        <v>1</v>
      </c>
      <c r="H1787" s="21">
        <v>0</v>
      </c>
    </row>
    <row r="1788" spans="1:8">
      <c r="A1788" s="5" t="s">
        <v>479</v>
      </c>
      <c r="B1788" s="5"/>
      <c r="C1788" s="5" t="s">
        <v>1084</v>
      </c>
      <c r="D1788" s="924" t="s">
        <v>1789</v>
      </c>
      <c r="E1788" s="925"/>
      <c r="F1788" s="5" t="s">
        <v>1943</v>
      </c>
      <c r="G1788" s="21">
        <v>1</v>
      </c>
      <c r="H1788" s="21">
        <v>0</v>
      </c>
    </row>
    <row r="1789" spans="1:8">
      <c r="A1789" s="5" t="s">
        <v>480</v>
      </c>
      <c r="B1789" s="5"/>
      <c r="C1789" s="5" t="s">
        <v>1085</v>
      </c>
      <c r="D1789" s="924" t="s">
        <v>1790</v>
      </c>
      <c r="E1789" s="925"/>
      <c r="F1789" s="5" t="s">
        <v>1943</v>
      </c>
      <c r="G1789" s="21">
        <v>1</v>
      </c>
      <c r="H1789" s="21">
        <v>0</v>
      </c>
    </row>
    <row r="1790" spans="1:8">
      <c r="A1790" s="5" t="s">
        <v>481</v>
      </c>
      <c r="B1790" s="5"/>
      <c r="C1790" s="5" t="s">
        <v>1086</v>
      </c>
      <c r="D1790" s="924" t="s">
        <v>1791</v>
      </c>
      <c r="E1790" s="925"/>
      <c r="F1790" s="5" t="s">
        <v>1943</v>
      </c>
      <c r="G1790" s="21">
        <v>2</v>
      </c>
      <c r="H1790" s="21">
        <v>0</v>
      </c>
    </row>
    <row r="1791" spans="1:8">
      <c r="A1791" s="5" t="s">
        <v>482</v>
      </c>
      <c r="B1791" s="5"/>
      <c r="C1791" s="5" t="s">
        <v>1087</v>
      </c>
      <c r="D1791" s="924" t="s">
        <v>1792</v>
      </c>
      <c r="E1791" s="925"/>
      <c r="F1791" s="5" t="s">
        <v>1943</v>
      </c>
      <c r="G1791" s="21">
        <v>1</v>
      </c>
      <c r="H1791" s="21">
        <v>0</v>
      </c>
    </row>
    <row r="1792" spans="1:8">
      <c r="A1792" s="5" t="s">
        <v>483</v>
      </c>
      <c r="B1792" s="5"/>
      <c r="C1792" s="5" t="s">
        <v>1088</v>
      </c>
      <c r="D1792" s="924" t="s">
        <v>1793</v>
      </c>
      <c r="E1792" s="925"/>
      <c r="F1792" s="5" t="s">
        <v>1943</v>
      </c>
      <c r="G1792" s="21">
        <v>1</v>
      </c>
      <c r="H1792" s="21">
        <v>0</v>
      </c>
    </row>
    <row r="1793" spans="1:8">
      <c r="A1793" s="5" t="s">
        <v>484</v>
      </c>
      <c r="B1793" s="5"/>
      <c r="C1793" s="5" t="s">
        <v>1089</v>
      </c>
      <c r="D1793" s="924" t="s">
        <v>1794</v>
      </c>
      <c r="E1793" s="925"/>
      <c r="F1793" s="5" t="s">
        <v>1943</v>
      </c>
      <c r="G1793" s="21">
        <v>1</v>
      </c>
      <c r="H1793" s="21">
        <v>0</v>
      </c>
    </row>
    <row r="1794" spans="1:8">
      <c r="A1794" s="5" t="s">
        <v>485</v>
      </c>
      <c r="B1794" s="5"/>
      <c r="C1794" s="5" t="s">
        <v>1090</v>
      </c>
      <c r="D1794" s="924" t="s">
        <v>1795</v>
      </c>
      <c r="E1794" s="925"/>
      <c r="F1794" s="5" t="s">
        <v>1943</v>
      </c>
      <c r="G1794" s="21">
        <v>1</v>
      </c>
      <c r="H1794" s="21">
        <v>0</v>
      </c>
    </row>
    <row r="1795" spans="1:8">
      <c r="A1795" s="5" t="s">
        <v>486</v>
      </c>
      <c r="B1795" s="5"/>
      <c r="C1795" s="5" t="s">
        <v>1091</v>
      </c>
      <c r="D1795" s="924" t="s">
        <v>1796</v>
      </c>
      <c r="E1795" s="925"/>
      <c r="F1795" s="5" t="s">
        <v>1943</v>
      </c>
      <c r="G1795" s="21">
        <v>1</v>
      </c>
      <c r="H1795" s="21">
        <v>0</v>
      </c>
    </row>
    <row r="1796" spans="1:8">
      <c r="A1796" s="5" t="s">
        <v>487</v>
      </c>
      <c r="B1796" s="5"/>
      <c r="C1796" s="5" t="s">
        <v>1092</v>
      </c>
      <c r="D1796" s="924" t="s">
        <v>1797</v>
      </c>
      <c r="E1796" s="925"/>
      <c r="F1796" s="5" t="s">
        <v>1943</v>
      </c>
      <c r="G1796" s="21">
        <v>1</v>
      </c>
      <c r="H1796" s="21">
        <v>0</v>
      </c>
    </row>
    <row r="1797" spans="1:8">
      <c r="A1797" s="5" t="s">
        <v>488</v>
      </c>
      <c r="B1797" s="5"/>
      <c r="C1797" s="5" t="s">
        <v>1093</v>
      </c>
      <c r="D1797" s="924" t="s">
        <v>1798</v>
      </c>
      <c r="E1797" s="925"/>
      <c r="F1797" s="5" t="s">
        <v>1943</v>
      </c>
      <c r="G1797" s="21">
        <v>1</v>
      </c>
      <c r="H1797" s="21">
        <v>0</v>
      </c>
    </row>
    <row r="1798" spans="1:8">
      <c r="A1798" s="5" t="s">
        <v>489</v>
      </c>
      <c r="B1798" s="5"/>
      <c r="C1798" s="5" t="s">
        <v>1094</v>
      </c>
      <c r="D1798" s="924" t="s">
        <v>1799</v>
      </c>
      <c r="E1798" s="925"/>
      <c r="F1798" s="5" t="s">
        <v>1943</v>
      </c>
      <c r="G1798" s="21">
        <v>1</v>
      </c>
      <c r="H1798" s="21">
        <v>0</v>
      </c>
    </row>
    <row r="1799" spans="1:8">
      <c r="A1799" s="5" t="s">
        <v>490</v>
      </c>
      <c r="B1799" s="5"/>
      <c r="C1799" s="5" t="s">
        <v>1095</v>
      </c>
      <c r="D1799" s="924" t="s">
        <v>1800</v>
      </c>
      <c r="E1799" s="925"/>
      <c r="F1799" s="5" t="s">
        <v>1943</v>
      </c>
      <c r="G1799" s="21">
        <v>1</v>
      </c>
      <c r="H1799" s="21">
        <v>0</v>
      </c>
    </row>
    <row r="1800" spans="1:8">
      <c r="A1800" s="5" t="s">
        <v>491</v>
      </c>
      <c r="B1800" s="5"/>
      <c r="C1800" s="5" t="s">
        <v>1096</v>
      </c>
      <c r="D1800" s="924" t="s">
        <v>1801</v>
      </c>
      <c r="E1800" s="925"/>
      <c r="F1800" s="5" t="s">
        <v>1943</v>
      </c>
      <c r="G1800" s="21">
        <v>1</v>
      </c>
      <c r="H1800" s="21">
        <v>0</v>
      </c>
    </row>
    <row r="1801" spans="1:8">
      <c r="A1801" s="5" t="s">
        <v>492</v>
      </c>
      <c r="B1801" s="5"/>
      <c r="C1801" s="5" t="s">
        <v>1097</v>
      </c>
      <c r="D1801" s="924" t="s">
        <v>1802</v>
      </c>
      <c r="E1801" s="925"/>
      <c r="F1801" s="5" t="s">
        <v>1943</v>
      </c>
      <c r="G1801" s="21">
        <v>1</v>
      </c>
      <c r="H1801" s="21">
        <v>0</v>
      </c>
    </row>
    <row r="1802" spans="1:8">
      <c r="A1802" s="5" t="s">
        <v>493</v>
      </c>
      <c r="B1802" s="5"/>
      <c r="C1802" s="5" t="s">
        <v>1098</v>
      </c>
      <c r="D1802" s="924" t="s">
        <v>1803</v>
      </c>
      <c r="E1802" s="925"/>
      <c r="F1802" s="5" t="s">
        <v>1943</v>
      </c>
      <c r="G1802" s="21">
        <v>2</v>
      </c>
      <c r="H1802" s="21">
        <v>0</v>
      </c>
    </row>
    <row r="1803" spans="1:8">
      <c r="A1803" s="5" t="s">
        <v>494</v>
      </c>
      <c r="B1803" s="5"/>
      <c r="C1803" s="5" t="s">
        <v>1099</v>
      </c>
      <c r="D1803" s="924" t="s">
        <v>1804</v>
      </c>
      <c r="E1803" s="925"/>
      <c r="F1803" s="5" t="s">
        <v>1943</v>
      </c>
      <c r="G1803" s="21">
        <v>2</v>
      </c>
      <c r="H1803" s="21">
        <v>0</v>
      </c>
    </row>
    <row r="1804" spans="1:8">
      <c r="A1804" s="5" t="s">
        <v>495</v>
      </c>
      <c r="B1804" s="5"/>
      <c r="C1804" s="5" t="s">
        <v>1100</v>
      </c>
      <c r="D1804" s="924" t="s">
        <v>1805</v>
      </c>
      <c r="E1804" s="925"/>
      <c r="F1804" s="5" t="s">
        <v>1943</v>
      </c>
      <c r="G1804" s="21">
        <v>2</v>
      </c>
      <c r="H1804" s="21">
        <v>0</v>
      </c>
    </row>
    <row r="1805" spans="1:8">
      <c r="A1805" s="5" t="s">
        <v>496</v>
      </c>
      <c r="B1805" s="5"/>
      <c r="C1805" s="5" t="s">
        <v>1101</v>
      </c>
      <c r="D1805" s="924" t="s">
        <v>1806</v>
      </c>
      <c r="E1805" s="925"/>
      <c r="F1805" s="5" t="s">
        <v>1943</v>
      </c>
      <c r="G1805" s="21">
        <v>1</v>
      </c>
      <c r="H1805" s="21">
        <v>0</v>
      </c>
    </row>
    <row r="1806" spans="1:8">
      <c r="A1806" s="5" t="s">
        <v>497</v>
      </c>
      <c r="B1806" s="5"/>
      <c r="C1806" s="5" t="s">
        <v>1102</v>
      </c>
      <c r="D1806" s="924" t="s">
        <v>1807</v>
      </c>
      <c r="E1806" s="925"/>
      <c r="F1806" s="5" t="s">
        <v>1943</v>
      </c>
      <c r="G1806" s="21">
        <v>3</v>
      </c>
      <c r="H1806" s="21">
        <v>0</v>
      </c>
    </row>
    <row r="1807" spans="1:8">
      <c r="A1807" s="5" t="s">
        <v>498</v>
      </c>
      <c r="B1807" s="5"/>
      <c r="C1807" s="5" t="s">
        <v>1103</v>
      </c>
      <c r="D1807" s="924" t="s">
        <v>1808</v>
      </c>
      <c r="E1807" s="925"/>
      <c r="F1807" s="5" t="s">
        <v>1943</v>
      </c>
      <c r="G1807" s="21">
        <v>1</v>
      </c>
      <c r="H1807" s="21">
        <v>0</v>
      </c>
    </row>
    <row r="1808" spans="1:8">
      <c r="A1808" s="5" t="s">
        <v>499</v>
      </c>
      <c r="B1808" s="5"/>
      <c r="C1808" s="5" t="s">
        <v>1104</v>
      </c>
      <c r="D1808" s="924" t="s">
        <v>1809</v>
      </c>
      <c r="E1808" s="925"/>
      <c r="F1808" s="5" t="s">
        <v>1943</v>
      </c>
      <c r="G1808" s="21">
        <v>2</v>
      </c>
      <c r="H1808" s="21">
        <v>0</v>
      </c>
    </row>
    <row r="1809" spans="1:8">
      <c r="A1809" s="5" t="s">
        <v>500</v>
      </c>
      <c r="B1809" s="5"/>
      <c r="C1809" s="5" t="s">
        <v>1105</v>
      </c>
      <c r="D1809" s="924" t="s">
        <v>1810</v>
      </c>
      <c r="E1809" s="925"/>
      <c r="F1809" s="5" t="s">
        <v>1943</v>
      </c>
      <c r="G1809" s="21">
        <v>1</v>
      </c>
      <c r="H1809" s="21">
        <v>0</v>
      </c>
    </row>
    <row r="1810" spans="1:8">
      <c r="A1810" s="5" t="s">
        <v>501</v>
      </c>
      <c r="B1810" s="5"/>
      <c r="C1810" s="5" t="s">
        <v>1106</v>
      </c>
      <c r="D1810" s="924" t="s">
        <v>1811</v>
      </c>
      <c r="E1810" s="925"/>
      <c r="F1810" s="5" t="s">
        <v>1943</v>
      </c>
      <c r="G1810" s="21">
        <v>1</v>
      </c>
      <c r="H1810" s="21">
        <v>0</v>
      </c>
    </row>
    <row r="1811" spans="1:8">
      <c r="A1811" s="5" t="s">
        <v>502</v>
      </c>
      <c r="B1811" s="5"/>
      <c r="C1811" s="5" t="s">
        <v>1107</v>
      </c>
      <c r="D1811" s="924" t="s">
        <v>1812</v>
      </c>
      <c r="E1811" s="925"/>
      <c r="F1811" s="5" t="s">
        <v>1943</v>
      </c>
      <c r="G1811" s="21">
        <v>1</v>
      </c>
      <c r="H1811" s="21">
        <v>0</v>
      </c>
    </row>
    <row r="1812" spans="1:8">
      <c r="A1812" s="5" t="s">
        <v>503</v>
      </c>
      <c r="B1812" s="5"/>
      <c r="C1812" s="5" t="s">
        <v>1108</v>
      </c>
      <c r="D1812" s="924" t="s">
        <v>1813</v>
      </c>
      <c r="E1812" s="925"/>
      <c r="F1812" s="5" t="s">
        <v>1943</v>
      </c>
      <c r="G1812" s="21">
        <v>1</v>
      </c>
      <c r="H1812" s="21">
        <v>0</v>
      </c>
    </row>
    <row r="1813" spans="1:8">
      <c r="A1813" s="5" t="s">
        <v>504</v>
      </c>
      <c r="B1813" s="5"/>
      <c r="C1813" s="5" t="s">
        <v>1109</v>
      </c>
      <c r="D1813" s="924" t="s">
        <v>1814</v>
      </c>
      <c r="E1813" s="925"/>
      <c r="F1813" s="5" t="s">
        <v>1943</v>
      </c>
      <c r="G1813" s="21">
        <v>1</v>
      </c>
      <c r="H1813" s="21">
        <v>0</v>
      </c>
    </row>
    <row r="1814" spans="1:8">
      <c r="A1814" s="5" t="s">
        <v>505</v>
      </c>
      <c r="B1814" s="5"/>
      <c r="C1814" s="5" t="s">
        <v>1110</v>
      </c>
      <c r="D1814" s="924" t="s">
        <v>1815</v>
      </c>
      <c r="E1814" s="925"/>
      <c r="F1814" s="5" t="s">
        <v>1943</v>
      </c>
      <c r="G1814" s="21">
        <v>1</v>
      </c>
      <c r="H1814" s="21">
        <v>0</v>
      </c>
    </row>
    <row r="1815" spans="1:8">
      <c r="A1815" s="5" t="s">
        <v>506</v>
      </c>
      <c r="B1815" s="5"/>
      <c r="C1815" s="5" t="s">
        <v>1111</v>
      </c>
      <c r="D1815" s="924" t="s">
        <v>1816</v>
      </c>
      <c r="E1815" s="925"/>
      <c r="F1815" s="5" t="s">
        <v>1943</v>
      </c>
      <c r="G1815" s="21">
        <v>1</v>
      </c>
      <c r="H1815" s="21">
        <v>0</v>
      </c>
    </row>
    <row r="1816" spans="1:8">
      <c r="A1816" s="5" t="s">
        <v>507</v>
      </c>
      <c r="B1816" s="5"/>
      <c r="C1816" s="5" t="s">
        <v>1112</v>
      </c>
      <c r="D1816" s="924" t="s">
        <v>1817</v>
      </c>
      <c r="E1816" s="925"/>
      <c r="F1816" s="5" t="s">
        <v>1943</v>
      </c>
      <c r="G1816" s="21">
        <v>1</v>
      </c>
      <c r="H1816" s="21">
        <v>0</v>
      </c>
    </row>
    <row r="1817" spans="1:8">
      <c r="A1817" s="5" t="s">
        <v>508</v>
      </c>
      <c r="B1817" s="5"/>
      <c r="C1817" s="5" t="s">
        <v>1113</v>
      </c>
      <c r="D1817" s="924" t="s">
        <v>1818</v>
      </c>
      <c r="E1817" s="925"/>
      <c r="F1817" s="5" t="s">
        <v>1943</v>
      </c>
      <c r="G1817" s="21">
        <v>1</v>
      </c>
      <c r="H1817" s="21">
        <v>0</v>
      </c>
    </row>
    <row r="1818" spans="1:8">
      <c r="A1818" s="5" t="s">
        <v>509</v>
      </c>
      <c r="B1818" s="5"/>
      <c r="C1818" s="5" t="s">
        <v>1114</v>
      </c>
      <c r="D1818" s="924" t="s">
        <v>1819</v>
      </c>
      <c r="E1818" s="925"/>
      <c r="F1818" s="5" t="s">
        <v>1943</v>
      </c>
      <c r="G1818" s="21">
        <v>1</v>
      </c>
      <c r="H1818" s="21">
        <v>0</v>
      </c>
    </row>
    <row r="1819" spans="1:8">
      <c r="A1819" s="5" t="s">
        <v>510</v>
      </c>
      <c r="B1819" s="5"/>
      <c r="C1819" s="5" t="s">
        <v>1115</v>
      </c>
      <c r="D1819" s="924" t="s">
        <v>1820</v>
      </c>
      <c r="E1819" s="925"/>
      <c r="F1819" s="5" t="s">
        <v>1943</v>
      </c>
      <c r="G1819" s="21">
        <v>1</v>
      </c>
      <c r="H1819" s="21">
        <v>0</v>
      </c>
    </row>
    <row r="1820" spans="1:8">
      <c r="A1820" s="5" t="s">
        <v>511</v>
      </c>
      <c r="B1820" s="5"/>
      <c r="C1820" s="5" t="s">
        <v>1116</v>
      </c>
      <c r="D1820" s="924" t="s">
        <v>1821</v>
      </c>
      <c r="E1820" s="925"/>
      <c r="F1820" s="5" t="s">
        <v>1943</v>
      </c>
      <c r="G1820" s="21">
        <v>1</v>
      </c>
      <c r="H1820" s="21">
        <v>0</v>
      </c>
    </row>
    <row r="1821" spans="1:8">
      <c r="A1821" s="5" t="s">
        <v>512</v>
      </c>
      <c r="B1821" s="5"/>
      <c r="C1821" s="5" t="s">
        <v>1117</v>
      </c>
      <c r="D1821" s="924" t="s">
        <v>1822</v>
      </c>
      <c r="E1821" s="925"/>
      <c r="F1821" s="5" t="s">
        <v>1943</v>
      </c>
      <c r="G1821" s="21">
        <v>1</v>
      </c>
      <c r="H1821" s="21">
        <v>0</v>
      </c>
    </row>
    <row r="1822" spans="1:8">
      <c r="A1822" s="5" t="s">
        <v>513</v>
      </c>
      <c r="B1822" s="5"/>
      <c r="C1822" s="5" t="s">
        <v>1118</v>
      </c>
      <c r="D1822" s="924" t="s">
        <v>1823</v>
      </c>
      <c r="E1822" s="925"/>
      <c r="F1822" s="5" t="s">
        <v>1943</v>
      </c>
      <c r="G1822" s="21">
        <v>1</v>
      </c>
      <c r="H1822" s="21">
        <v>0</v>
      </c>
    </row>
    <row r="1823" spans="1:8">
      <c r="A1823" s="5" t="s">
        <v>514</v>
      </c>
      <c r="B1823" s="5"/>
      <c r="C1823" s="5" t="s">
        <v>1119</v>
      </c>
      <c r="D1823" s="924" t="s">
        <v>1824</v>
      </c>
      <c r="E1823" s="925"/>
      <c r="F1823" s="5" t="s">
        <v>1943</v>
      </c>
      <c r="G1823" s="21">
        <v>1</v>
      </c>
      <c r="H1823" s="21">
        <v>0</v>
      </c>
    </row>
    <row r="1824" spans="1:8">
      <c r="A1824" s="5" t="s">
        <v>515</v>
      </c>
      <c r="B1824" s="5"/>
      <c r="C1824" s="5" t="s">
        <v>1120</v>
      </c>
      <c r="D1824" s="924" t="s">
        <v>1825</v>
      </c>
      <c r="E1824" s="925"/>
      <c r="F1824" s="5" t="s">
        <v>1943</v>
      </c>
      <c r="G1824" s="21">
        <v>1</v>
      </c>
      <c r="H1824" s="21">
        <v>0</v>
      </c>
    </row>
    <row r="1825" spans="1:8">
      <c r="A1825" s="5" t="s">
        <v>516</v>
      </c>
      <c r="B1825" s="5"/>
      <c r="C1825" s="5" t="s">
        <v>1121</v>
      </c>
      <c r="D1825" s="924" t="s">
        <v>1826</v>
      </c>
      <c r="E1825" s="925"/>
      <c r="F1825" s="5" t="s">
        <v>1943</v>
      </c>
      <c r="G1825" s="21">
        <v>1</v>
      </c>
      <c r="H1825" s="21">
        <v>0</v>
      </c>
    </row>
    <row r="1826" spans="1:8">
      <c r="A1826" s="5" t="s">
        <v>517</v>
      </c>
      <c r="B1826" s="5"/>
      <c r="C1826" s="5" t="s">
        <v>1122</v>
      </c>
      <c r="D1826" s="924" t="s">
        <v>1827</v>
      </c>
      <c r="E1826" s="925"/>
      <c r="F1826" s="5" t="s">
        <v>1943</v>
      </c>
      <c r="G1826" s="21">
        <v>2</v>
      </c>
      <c r="H1826" s="21">
        <v>0</v>
      </c>
    </row>
    <row r="1827" spans="1:8">
      <c r="A1827" s="5" t="s">
        <v>518</v>
      </c>
      <c r="B1827" s="5"/>
      <c r="C1827" s="5" t="s">
        <v>1123</v>
      </c>
      <c r="D1827" s="924" t="s">
        <v>1828</v>
      </c>
      <c r="E1827" s="925"/>
      <c r="F1827" s="5" t="s">
        <v>1943</v>
      </c>
      <c r="G1827" s="21">
        <v>2</v>
      </c>
      <c r="H1827" s="21">
        <v>0</v>
      </c>
    </row>
    <row r="1828" spans="1:8">
      <c r="A1828" s="5" t="s">
        <v>519</v>
      </c>
      <c r="B1828" s="5"/>
      <c r="C1828" s="5" t="s">
        <v>1124</v>
      </c>
      <c r="D1828" s="924" t="s">
        <v>1829</v>
      </c>
      <c r="E1828" s="925"/>
      <c r="F1828" s="5" t="s">
        <v>1943</v>
      </c>
      <c r="G1828" s="21">
        <v>2</v>
      </c>
      <c r="H1828" s="21">
        <v>0</v>
      </c>
    </row>
    <row r="1829" spans="1:8">
      <c r="A1829" s="5" t="s">
        <v>520</v>
      </c>
      <c r="B1829" s="5"/>
      <c r="C1829" s="5" t="s">
        <v>1125</v>
      </c>
      <c r="D1829" s="924" t="s">
        <v>1830</v>
      </c>
      <c r="E1829" s="925"/>
      <c r="F1829" s="5" t="s">
        <v>1943</v>
      </c>
      <c r="G1829" s="21">
        <v>1</v>
      </c>
      <c r="H1829" s="21">
        <v>0</v>
      </c>
    </row>
    <row r="1830" spans="1:8">
      <c r="A1830" s="5" t="s">
        <v>521</v>
      </c>
      <c r="B1830" s="5"/>
      <c r="C1830" s="5" t="s">
        <v>1126</v>
      </c>
      <c r="D1830" s="924" t="s">
        <v>1831</v>
      </c>
      <c r="E1830" s="925"/>
      <c r="F1830" s="5" t="s">
        <v>1943</v>
      </c>
      <c r="G1830" s="21">
        <v>1</v>
      </c>
      <c r="H1830" s="21">
        <v>0</v>
      </c>
    </row>
    <row r="1831" spans="1:8">
      <c r="A1831" s="5" t="s">
        <v>522</v>
      </c>
      <c r="B1831" s="5"/>
      <c r="C1831" s="5" t="s">
        <v>1127</v>
      </c>
      <c r="D1831" s="924" t="s">
        <v>1832</v>
      </c>
      <c r="E1831" s="925"/>
      <c r="F1831" s="5" t="s">
        <v>1943</v>
      </c>
      <c r="G1831" s="21">
        <v>1</v>
      </c>
      <c r="H1831" s="21">
        <v>0</v>
      </c>
    </row>
    <row r="1832" spans="1:8">
      <c r="A1832" s="5" t="s">
        <v>523</v>
      </c>
      <c r="B1832" s="5"/>
      <c r="C1832" s="5" t="s">
        <v>1128</v>
      </c>
      <c r="D1832" s="924" t="s">
        <v>1833</v>
      </c>
      <c r="E1832" s="925"/>
      <c r="F1832" s="5" t="s">
        <v>1943</v>
      </c>
      <c r="G1832" s="21">
        <v>1</v>
      </c>
      <c r="H1832" s="21">
        <v>0</v>
      </c>
    </row>
    <row r="1833" spans="1:8">
      <c r="A1833" s="5" t="s">
        <v>524</v>
      </c>
      <c r="B1833" s="5"/>
      <c r="C1833" s="5" t="s">
        <v>1129</v>
      </c>
      <c r="D1833" s="924" t="s">
        <v>1834</v>
      </c>
      <c r="E1833" s="925"/>
      <c r="F1833" s="5" t="s">
        <v>1943</v>
      </c>
      <c r="G1833" s="21">
        <v>1</v>
      </c>
      <c r="H1833" s="21">
        <v>0</v>
      </c>
    </row>
    <row r="1834" spans="1:8">
      <c r="A1834" s="5" t="s">
        <v>525</v>
      </c>
      <c r="B1834" s="5"/>
      <c r="C1834" s="5" t="s">
        <v>1130</v>
      </c>
      <c r="D1834" s="924" t="s">
        <v>1835</v>
      </c>
      <c r="E1834" s="925"/>
      <c r="F1834" s="5" t="s">
        <v>1943</v>
      </c>
      <c r="G1834" s="21">
        <v>1</v>
      </c>
      <c r="H1834" s="21">
        <v>0</v>
      </c>
    </row>
    <row r="1835" spans="1:8">
      <c r="A1835" s="5" t="s">
        <v>526</v>
      </c>
      <c r="B1835" s="5"/>
      <c r="C1835" s="5" t="s">
        <v>1131</v>
      </c>
      <c r="D1835" s="924" t="s">
        <v>1836</v>
      </c>
      <c r="E1835" s="925"/>
      <c r="F1835" s="5" t="s">
        <v>1943</v>
      </c>
      <c r="G1835" s="21">
        <v>1</v>
      </c>
      <c r="H1835" s="21">
        <v>0</v>
      </c>
    </row>
    <row r="1836" spans="1:8">
      <c r="A1836" s="5" t="s">
        <v>527</v>
      </c>
      <c r="B1836" s="5"/>
      <c r="C1836" s="5" t="s">
        <v>1132</v>
      </c>
      <c r="D1836" s="924" t="s">
        <v>1837</v>
      </c>
      <c r="E1836" s="925"/>
      <c r="F1836" s="5" t="s">
        <v>1943</v>
      </c>
      <c r="G1836" s="21">
        <v>1</v>
      </c>
      <c r="H1836" s="21">
        <v>0</v>
      </c>
    </row>
    <row r="1837" spans="1:8">
      <c r="A1837" s="5" t="s">
        <v>528</v>
      </c>
      <c r="B1837" s="5"/>
      <c r="C1837" s="5" t="s">
        <v>1133</v>
      </c>
      <c r="D1837" s="924" t="s">
        <v>1838</v>
      </c>
      <c r="E1837" s="925"/>
      <c r="F1837" s="5" t="s">
        <v>1943</v>
      </c>
      <c r="G1837" s="21">
        <v>1</v>
      </c>
      <c r="H1837" s="21">
        <v>0</v>
      </c>
    </row>
    <row r="1838" spans="1:8">
      <c r="A1838" s="5" t="s">
        <v>529</v>
      </c>
      <c r="B1838" s="5"/>
      <c r="C1838" s="5" t="s">
        <v>1007</v>
      </c>
      <c r="D1838" s="924" t="s">
        <v>1704</v>
      </c>
      <c r="E1838" s="925"/>
      <c r="F1838" s="5" t="s">
        <v>1945</v>
      </c>
      <c r="G1838" s="21">
        <v>10603.64</v>
      </c>
      <c r="H1838" s="21">
        <v>0</v>
      </c>
    </row>
    <row r="1839" spans="1:8">
      <c r="A1839" s="14"/>
      <c r="B1839" s="14"/>
      <c r="C1839" s="14" t="s">
        <v>1134</v>
      </c>
      <c r="D1839" s="930" t="s">
        <v>1839</v>
      </c>
      <c r="E1839" s="931"/>
      <c r="F1839" s="14"/>
      <c r="G1839" s="30"/>
      <c r="H1839" s="30"/>
    </row>
    <row r="1840" spans="1:8">
      <c r="A1840" s="5" t="s">
        <v>530</v>
      </c>
      <c r="B1840" s="5"/>
      <c r="C1840" s="5" t="s">
        <v>1135</v>
      </c>
      <c r="D1840" s="924" t="s">
        <v>1840</v>
      </c>
      <c r="E1840" s="925"/>
      <c r="F1840" s="5" t="s">
        <v>1943</v>
      </c>
      <c r="G1840" s="21">
        <v>4</v>
      </c>
      <c r="H1840" s="21">
        <v>0</v>
      </c>
    </row>
    <row r="1841" spans="1:8">
      <c r="A1841" s="5" t="s">
        <v>531</v>
      </c>
      <c r="B1841" s="5"/>
      <c r="C1841" s="5" t="s">
        <v>1136</v>
      </c>
      <c r="D1841" s="924" t="s">
        <v>1841</v>
      </c>
      <c r="E1841" s="925"/>
      <c r="F1841" s="5" t="s">
        <v>1943</v>
      </c>
      <c r="G1841" s="21">
        <v>3</v>
      </c>
      <c r="H1841" s="21">
        <v>0</v>
      </c>
    </row>
    <row r="1842" spans="1:8">
      <c r="A1842" s="5" t="s">
        <v>532</v>
      </c>
      <c r="B1842" s="5"/>
      <c r="C1842" s="5" t="s">
        <v>1137</v>
      </c>
      <c r="D1842" s="924" t="s">
        <v>1842</v>
      </c>
      <c r="E1842" s="925"/>
      <c r="F1842" s="5" t="s">
        <v>1943</v>
      </c>
      <c r="G1842" s="21">
        <v>1</v>
      </c>
      <c r="H1842" s="21">
        <v>0</v>
      </c>
    </row>
    <row r="1843" spans="1:8">
      <c r="A1843" s="5" t="s">
        <v>533</v>
      </c>
      <c r="B1843" s="5"/>
      <c r="C1843" s="5" t="s">
        <v>1138</v>
      </c>
      <c r="D1843" s="924" t="s">
        <v>1843</v>
      </c>
      <c r="E1843" s="925"/>
      <c r="F1843" s="5" t="s">
        <v>1943</v>
      </c>
      <c r="G1843" s="21">
        <v>2</v>
      </c>
      <c r="H1843" s="21">
        <v>0</v>
      </c>
    </row>
    <row r="1844" spans="1:8">
      <c r="A1844" s="5" t="s">
        <v>534</v>
      </c>
      <c r="B1844" s="5"/>
      <c r="C1844" s="5" t="s">
        <v>1139</v>
      </c>
      <c r="D1844" s="924" t="s">
        <v>1844</v>
      </c>
      <c r="E1844" s="925"/>
      <c r="F1844" s="5" t="s">
        <v>1943</v>
      </c>
      <c r="G1844" s="21">
        <v>1</v>
      </c>
      <c r="H1844" s="21">
        <v>0</v>
      </c>
    </row>
    <row r="1845" spans="1:8">
      <c r="A1845" s="5" t="s">
        <v>535</v>
      </c>
      <c r="B1845" s="5"/>
      <c r="C1845" s="5" t="s">
        <v>1140</v>
      </c>
      <c r="D1845" s="924" t="s">
        <v>1845</v>
      </c>
      <c r="E1845" s="925"/>
      <c r="F1845" s="5" t="s">
        <v>1943</v>
      </c>
      <c r="G1845" s="21">
        <v>1</v>
      </c>
      <c r="H1845" s="21">
        <v>0</v>
      </c>
    </row>
    <row r="1846" spans="1:8">
      <c r="A1846" s="5" t="s">
        <v>536</v>
      </c>
      <c r="B1846" s="5"/>
      <c r="C1846" s="5" t="s">
        <v>1141</v>
      </c>
      <c r="D1846" s="924" t="s">
        <v>1846</v>
      </c>
      <c r="E1846" s="925"/>
      <c r="F1846" s="5" t="s">
        <v>1943</v>
      </c>
      <c r="G1846" s="21">
        <v>1</v>
      </c>
      <c r="H1846" s="21">
        <v>0</v>
      </c>
    </row>
    <row r="1847" spans="1:8">
      <c r="A1847" s="5" t="s">
        <v>537</v>
      </c>
      <c r="B1847" s="5"/>
      <c r="C1847" s="5" t="s">
        <v>1142</v>
      </c>
      <c r="D1847" s="924" t="s">
        <v>1847</v>
      </c>
      <c r="E1847" s="925"/>
      <c r="F1847" s="5" t="s">
        <v>1943</v>
      </c>
      <c r="G1847" s="21">
        <v>1</v>
      </c>
      <c r="H1847" s="21">
        <v>0</v>
      </c>
    </row>
    <row r="1848" spans="1:8">
      <c r="A1848" s="5" t="s">
        <v>538</v>
      </c>
      <c r="B1848" s="5"/>
      <c r="C1848" s="5" t="s">
        <v>1143</v>
      </c>
      <c r="D1848" s="924" t="s">
        <v>1848</v>
      </c>
      <c r="E1848" s="925"/>
      <c r="F1848" s="5" t="s">
        <v>1943</v>
      </c>
      <c r="G1848" s="21">
        <v>1</v>
      </c>
      <c r="H1848" s="21">
        <v>0</v>
      </c>
    </row>
    <row r="1849" spans="1:8">
      <c r="A1849" s="5" t="s">
        <v>539</v>
      </c>
      <c r="B1849" s="5"/>
      <c r="C1849" s="5" t="s">
        <v>1144</v>
      </c>
      <c r="D1849" s="924" t="s">
        <v>1849</v>
      </c>
      <c r="E1849" s="925"/>
      <c r="F1849" s="5" t="s">
        <v>1943</v>
      </c>
      <c r="G1849" s="21">
        <v>1</v>
      </c>
      <c r="H1849" s="21">
        <v>0</v>
      </c>
    </row>
    <row r="1850" spans="1:8">
      <c r="A1850" s="5" t="s">
        <v>540</v>
      </c>
      <c r="B1850" s="5"/>
      <c r="C1850" s="5" t="s">
        <v>1145</v>
      </c>
      <c r="D1850" s="924" t="s">
        <v>1850</v>
      </c>
      <c r="E1850" s="925"/>
      <c r="F1850" s="5" t="s">
        <v>1943</v>
      </c>
      <c r="G1850" s="21">
        <v>1</v>
      </c>
      <c r="H1850" s="21">
        <v>0</v>
      </c>
    </row>
    <row r="1851" spans="1:8">
      <c r="A1851" s="5" t="s">
        <v>541</v>
      </c>
      <c r="B1851" s="5"/>
      <c r="C1851" s="5" t="s">
        <v>1146</v>
      </c>
      <c r="D1851" s="924" t="s">
        <v>1851</v>
      </c>
      <c r="E1851" s="925"/>
      <c r="F1851" s="5" t="s">
        <v>1943</v>
      </c>
      <c r="G1851" s="21">
        <v>1</v>
      </c>
      <c r="H1851" s="21">
        <v>0</v>
      </c>
    </row>
    <row r="1852" spans="1:8">
      <c r="A1852" s="5" t="s">
        <v>542</v>
      </c>
      <c r="B1852" s="5"/>
      <c r="C1852" s="5" t="s">
        <v>1147</v>
      </c>
      <c r="D1852" s="924" t="s">
        <v>1852</v>
      </c>
      <c r="E1852" s="925"/>
      <c r="F1852" s="5" t="s">
        <v>1943</v>
      </c>
      <c r="G1852" s="21">
        <v>1</v>
      </c>
      <c r="H1852" s="21">
        <v>0</v>
      </c>
    </row>
    <row r="1853" spans="1:8">
      <c r="A1853" s="5" t="s">
        <v>543</v>
      </c>
      <c r="B1853" s="5"/>
      <c r="C1853" s="5" t="s">
        <v>1148</v>
      </c>
      <c r="D1853" s="924" t="s">
        <v>1853</v>
      </c>
      <c r="E1853" s="925"/>
      <c r="F1853" s="5" t="s">
        <v>1943</v>
      </c>
      <c r="G1853" s="21">
        <v>1</v>
      </c>
      <c r="H1853" s="21">
        <v>0</v>
      </c>
    </row>
    <row r="1854" spans="1:8">
      <c r="A1854" s="5" t="s">
        <v>544</v>
      </c>
      <c r="B1854" s="5"/>
      <c r="C1854" s="5" t="s">
        <v>1149</v>
      </c>
      <c r="D1854" s="924" t="s">
        <v>1854</v>
      </c>
      <c r="E1854" s="925"/>
      <c r="F1854" s="5" t="s">
        <v>1943</v>
      </c>
      <c r="G1854" s="21">
        <v>1</v>
      </c>
      <c r="H1854" s="21">
        <v>0</v>
      </c>
    </row>
    <row r="1855" spans="1:8">
      <c r="A1855" s="5" t="s">
        <v>545</v>
      </c>
      <c r="B1855" s="5"/>
      <c r="C1855" s="5" t="s">
        <v>1150</v>
      </c>
      <c r="D1855" s="924" t="s">
        <v>1855</v>
      </c>
      <c r="E1855" s="925"/>
      <c r="F1855" s="5" t="s">
        <v>1943</v>
      </c>
      <c r="G1855" s="21">
        <v>1</v>
      </c>
      <c r="H1855" s="21">
        <v>0</v>
      </c>
    </row>
    <row r="1856" spans="1:8">
      <c r="A1856" s="5" t="s">
        <v>546</v>
      </c>
      <c r="B1856" s="5"/>
      <c r="C1856" s="5" t="s">
        <v>1151</v>
      </c>
      <c r="D1856" s="924" t="s">
        <v>1856</v>
      </c>
      <c r="E1856" s="925"/>
      <c r="F1856" s="5" t="s">
        <v>1943</v>
      </c>
      <c r="G1856" s="21">
        <v>1</v>
      </c>
      <c r="H1856" s="21">
        <v>0</v>
      </c>
    </row>
    <row r="1857" spans="1:8">
      <c r="A1857" s="5" t="s">
        <v>547</v>
      </c>
      <c r="B1857" s="5"/>
      <c r="C1857" s="5" t="s">
        <v>1152</v>
      </c>
      <c r="D1857" s="924" t="s">
        <v>1857</v>
      </c>
      <c r="E1857" s="925"/>
      <c r="F1857" s="5" t="s">
        <v>1943</v>
      </c>
      <c r="G1857" s="21">
        <v>1</v>
      </c>
      <c r="H1857" s="21">
        <v>0</v>
      </c>
    </row>
    <row r="1858" spans="1:8">
      <c r="A1858" s="5" t="s">
        <v>548</v>
      </c>
      <c r="B1858" s="5"/>
      <c r="C1858" s="5" t="s">
        <v>1153</v>
      </c>
      <c r="D1858" s="924" t="s">
        <v>1858</v>
      </c>
      <c r="E1858" s="925"/>
      <c r="F1858" s="5" t="s">
        <v>1943</v>
      </c>
      <c r="G1858" s="21">
        <v>1</v>
      </c>
      <c r="H1858" s="21">
        <v>0</v>
      </c>
    </row>
    <row r="1859" spans="1:8">
      <c r="A1859" s="5" t="s">
        <v>549</v>
      </c>
      <c r="B1859" s="5"/>
      <c r="C1859" s="5" t="s">
        <v>1154</v>
      </c>
      <c r="D1859" s="924" t="s">
        <v>1859</v>
      </c>
      <c r="E1859" s="925"/>
      <c r="F1859" s="5" t="s">
        <v>1943</v>
      </c>
      <c r="G1859" s="21">
        <v>2</v>
      </c>
      <c r="H1859" s="21">
        <v>0</v>
      </c>
    </row>
    <row r="1860" spans="1:8">
      <c r="A1860" s="5" t="s">
        <v>550</v>
      </c>
      <c r="B1860" s="5"/>
      <c r="C1860" s="5" t="s">
        <v>1155</v>
      </c>
      <c r="D1860" s="924" t="s">
        <v>1860</v>
      </c>
      <c r="E1860" s="925"/>
      <c r="F1860" s="5" t="s">
        <v>1943</v>
      </c>
      <c r="G1860" s="21">
        <v>1</v>
      </c>
      <c r="H1860" s="21">
        <v>0</v>
      </c>
    </row>
    <row r="1861" spans="1:8">
      <c r="A1861" s="5" t="s">
        <v>551</v>
      </c>
      <c r="B1861" s="5"/>
      <c r="C1861" s="5" t="s">
        <v>1156</v>
      </c>
      <c r="D1861" s="924" t="s">
        <v>1861</v>
      </c>
      <c r="E1861" s="925"/>
      <c r="F1861" s="5" t="s">
        <v>1943</v>
      </c>
      <c r="G1861" s="21">
        <v>1</v>
      </c>
      <c r="H1861" s="21">
        <v>0</v>
      </c>
    </row>
    <row r="1862" spans="1:8">
      <c r="A1862" s="5" t="s">
        <v>552</v>
      </c>
      <c r="B1862" s="5"/>
      <c r="C1862" s="5" t="s">
        <v>1157</v>
      </c>
      <c r="D1862" s="924" t="s">
        <v>1862</v>
      </c>
      <c r="E1862" s="925"/>
      <c r="F1862" s="5" t="s">
        <v>1943</v>
      </c>
      <c r="G1862" s="21">
        <v>1</v>
      </c>
      <c r="H1862" s="21">
        <v>0</v>
      </c>
    </row>
    <row r="1863" spans="1:8">
      <c r="A1863" s="5" t="s">
        <v>553</v>
      </c>
      <c r="B1863" s="5"/>
      <c r="C1863" s="5" t="s">
        <v>1158</v>
      </c>
      <c r="D1863" s="924" t="s">
        <v>1863</v>
      </c>
      <c r="E1863" s="925"/>
      <c r="F1863" s="5" t="s">
        <v>1943</v>
      </c>
      <c r="G1863" s="21">
        <v>1</v>
      </c>
      <c r="H1863" s="21">
        <v>0</v>
      </c>
    </row>
    <row r="1864" spans="1:8">
      <c r="A1864" s="5" t="s">
        <v>554</v>
      </c>
      <c r="B1864" s="5"/>
      <c r="C1864" s="5" t="s">
        <v>1159</v>
      </c>
      <c r="D1864" s="924" t="s">
        <v>1864</v>
      </c>
      <c r="E1864" s="925"/>
      <c r="F1864" s="5" t="s">
        <v>1943</v>
      </c>
      <c r="G1864" s="21">
        <v>1</v>
      </c>
      <c r="H1864" s="21">
        <v>0</v>
      </c>
    </row>
    <row r="1865" spans="1:8">
      <c r="A1865" s="5" t="s">
        <v>555</v>
      </c>
      <c r="B1865" s="5"/>
      <c r="C1865" s="5" t="s">
        <v>1160</v>
      </c>
      <c r="D1865" s="924" t="s">
        <v>1865</v>
      </c>
      <c r="E1865" s="925"/>
      <c r="F1865" s="5" t="s">
        <v>1943</v>
      </c>
      <c r="G1865" s="21">
        <v>1</v>
      </c>
      <c r="H1865" s="21">
        <v>0</v>
      </c>
    </row>
    <row r="1866" spans="1:8">
      <c r="A1866" s="5" t="s">
        <v>556</v>
      </c>
      <c r="B1866" s="5"/>
      <c r="C1866" s="5" t="s">
        <v>1161</v>
      </c>
      <c r="D1866" s="924" t="s">
        <v>1866</v>
      </c>
      <c r="E1866" s="925"/>
      <c r="F1866" s="5" t="s">
        <v>1943</v>
      </c>
      <c r="G1866" s="21">
        <v>1</v>
      </c>
      <c r="H1866" s="21">
        <v>0</v>
      </c>
    </row>
    <row r="1867" spans="1:8">
      <c r="A1867" s="5" t="s">
        <v>557</v>
      </c>
      <c r="B1867" s="5"/>
      <c r="C1867" s="5" t="s">
        <v>1162</v>
      </c>
      <c r="D1867" s="924" t="s">
        <v>1867</v>
      </c>
      <c r="E1867" s="925"/>
      <c r="F1867" s="5" t="s">
        <v>1943</v>
      </c>
      <c r="G1867" s="21">
        <v>1</v>
      </c>
      <c r="H1867" s="21">
        <v>0</v>
      </c>
    </row>
    <row r="1868" spans="1:8">
      <c r="A1868" s="5" t="s">
        <v>558</v>
      </c>
      <c r="B1868" s="5"/>
      <c r="C1868" s="5" t="s">
        <v>1163</v>
      </c>
      <c r="D1868" s="924" t="s">
        <v>1868</v>
      </c>
      <c r="E1868" s="925"/>
      <c r="F1868" s="5" t="s">
        <v>1943</v>
      </c>
      <c r="G1868" s="21">
        <v>1</v>
      </c>
      <c r="H1868" s="21">
        <v>0</v>
      </c>
    </row>
    <row r="1869" spans="1:8">
      <c r="A1869" s="5" t="s">
        <v>559</v>
      </c>
      <c r="B1869" s="5"/>
      <c r="C1869" s="5" t="s">
        <v>1164</v>
      </c>
      <c r="D1869" s="924" t="s">
        <v>1869</v>
      </c>
      <c r="E1869" s="925"/>
      <c r="F1869" s="5" t="s">
        <v>1943</v>
      </c>
      <c r="G1869" s="21">
        <v>1</v>
      </c>
      <c r="H1869" s="21">
        <v>0</v>
      </c>
    </row>
    <row r="1870" spans="1:8">
      <c r="A1870" s="5" t="s">
        <v>560</v>
      </c>
      <c r="B1870" s="5"/>
      <c r="C1870" s="5" t="s">
        <v>1165</v>
      </c>
      <c r="D1870" s="924" t="s">
        <v>1870</v>
      </c>
      <c r="E1870" s="925"/>
      <c r="F1870" s="5" t="s">
        <v>1943</v>
      </c>
      <c r="G1870" s="21">
        <v>2</v>
      </c>
      <c r="H1870" s="21">
        <v>0</v>
      </c>
    </row>
    <row r="1871" spans="1:8">
      <c r="A1871" s="5" t="s">
        <v>561</v>
      </c>
      <c r="B1871" s="5"/>
      <c r="C1871" s="5" t="s">
        <v>1166</v>
      </c>
      <c r="D1871" s="924" t="s">
        <v>1871</v>
      </c>
      <c r="E1871" s="925"/>
      <c r="F1871" s="5" t="s">
        <v>1943</v>
      </c>
      <c r="G1871" s="21">
        <v>5</v>
      </c>
      <c r="H1871" s="21">
        <v>0</v>
      </c>
    </row>
    <row r="1872" spans="1:8">
      <c r="A1872" s="5" t="s">
        <v>562</v>
      </c>
      <c r="B1872" s="5"/>
      <c r="C1872" s="5" t="s">
        <v>1167</v>
      </c>
      <c r="D1872" s="924" t="s">
        <v>1872</v>
      </c>
      <c r="E1872" s="925"/>
      <c r="F1872" s="5" t="s">
        <v>1943</v>
      </c>
      <c r="G1872" s="21">
        <v>3</v>
      </c>
      <c r="H1872" s="21">
        <v>0</v>
      </c>
    </row>
    <row r="1873" spans="1:8">
      <c r="A1873" s="5" t="s">
        <v>563</v>
      </c>
      <c r="B1873" s="5"/>
      <c r="C1873" s="5" t="s">
        <v>1077</v>
      </c>
      <c r="D1873" s="924" t="s">
        <v>1782</v>
      </c>
      <c r="E1873" s="925"/>
      <c r="F1873" s="5" t="s">
        <v>1945</v>
      </c>
      <c r="G1873" s="21">
        <v>45038.65</v>
      </c>
      <c r="H1873" s="21">
        <v>0</v>
      </c>
    </row>
    <row r="1874" spans="1:8">
      <c r="A1874" s="14"/>
      <c r="B1874" s="14"/>
      <c r="C1874" s="14" t="s">
        <v>1168</v>
      </c>
      <c r="D1874" s="930" t="s">
        <v>1873</v>
      </c>
      <c r="E1874" s="931"/>
      <c r="F1874" s="14"/>
      <c r="G1874" s="30"/>
      <c r="H1874" s="30"/>
    </row>
    <row r="1875" spans="1:8">
      <c r="A1875" s="5" t="s">
        <v>564</v>
      </c>
      <c r="B1875" s="5"/>
      <c r="C1875" s="5" t="s">
        <v>1169</v>
      </c>
      <c r="D1875" s="924" t="s">
        <v>1874</v>
      </c>
      <c r="E1875" s="925"/>
      <c r="F1875" s="5" t="s">
        <v>1940</v>
      </c>
      <c r="G1875" s="21">
        <v>566.35450000000003</v>
      </c>
      <c r="H1875" s="21">
        <v>0</v>
      </c>
    </row>
    <row r="1876" spans="1:8">
      <c r="A1876" s="5" t="s">
        <v>565</v>
      </c>
      <c r="B1876" s="5"/>
      <c r="C1876" s="5" t="s">
        <v>1170</v>
      </c>
      <c r="D1876" s="924" t="s">
        <v>1875</v>
      </c>
      <c r="E1876" s="925"/>
      <c r="F1876" s="5" t="s">
        <v>1940</v>
      </c>
      <c r="G1876" s="21">
        <v>566.17822999999999</v>
      </c>
      <c r="H1876" s="21">
        <v>0</v>
      </c>
    </row>
    <row r="1877" spans="1:8" ht="12.15" customHeight="1">
      <c r="D1877" s="926" t="s">
        <v>2625</v>
      </c>
      <c r="E1877" s="927"/>
      <c r="F1877" s="927"/>
      <c r="G1877" s="57">
        <v>0</v>
      </c>
    </row>
    <row r="1878" spans="1:8" ht="12.15" customHeight="1">
      <c r="A1878" s="5"/>
      <c r="B1878" s="5"/>
      <c r="C1878" s="5"/>
      <c r="D1878" s="926" t="s">
        <v>2588</v>
      </c>
      <c r="E1878" s="927"/>
      <c r="F1878" s="926"/>
      <c r="G1878" s="57">
        <v>0</v>
      </c>
      <c r="H1878" s="34"/>
    </row>
    <row r="1879" spans="1:8" ht="12.15" customHeight="1">
      <c r="A1879" s="5"/>
      <c r="B1879" s="5"/>
      <c r="C1879" s="5"/>
      <c r="D1879" s="926" t="s">
        <v>2737</v>
      </c>
      <c r="E1879" s="927"/>
      <c r="F1879" s="926"/>
      <c r="G1879" s="57">
        <v>181.18</v>
      </c>
      <c r="H1879" s="34"/>
    </row>
    <row r="1880" spans="1:8" ht="12.15" customHeight="1">
      <c r="A1880" s="5"/>
      <c r="B1880" s="5"/>
      <c r="C1880" s="5"/>
      <c r="D1880" s="926" t="s">
        <v>2552</v>
      </c>
      <c r="E1880" s="927"/>
      <c r="F1880" s="926"/>
      <c r="G1880" s="57">
        <v>0</v>
      </c>
      <c r="H1880" s="34"/>
    </row>
    <row r="1881" spans="1:8" ht="12.15" customHeight="1">
      <c r="A1881" s="5"/>
      <c r="B1881" s="5"/>
      <c r="C1881" s="5"/>
      <c r="D1881" s="926" t="s">
        <v>2810</v>
      </c>
      <c r="E1881" s="927"/>
      <c r="F1881" s="926"/>
      <c r="G1881" s="57">
        <v>16.306249999999999</v>
      </c>
      <c r="H1881" s="34"/>
    </row>
    <row r="1882" spans="1:8" ht="12.15" customHeight="1">
      <c r="A1882" s="5"/>
      <c r="B1882" s="5"/>
      <c r="C1882" s="5"/>
      <c r="D1882" s="926" t="s">
        <v>2554</v>
      </c>
      <c r="E1882" s="927"/>
      <c r="F1882" s="926"/>
      <c r="G1882" s="57">
        <v>0</v>
      </c>
      <c r="H1882" s="34"/>
    </row>
    <row r="1883" spans="1:8" ht="12.15" customHeight="1">
      <c r="A1883" s="5"/>
      <c r="B1883" s="5"/>
      <c r="C1883" s="5"/>
      <c r="D1883" s="926" t="s">
        <v>2811</v>
      </c>
      <c r="E1883" s="927"/>
      <c r="F1883" s="926"/>
      <c r="G1883" s="57">
        <v>21.43</v>
      </c>
      <c r="H1883" s="34"/>
    </row>
    <row r="1884" spans="1:8" ht="12.15" customHeight="1">
      <c r="A1884" s="5"/>
      <c r="B1884" s="5"/>
      <c r="C1884" s="5"/>
      <c r="D1884" s="926" t="s">
        <v>2558</v>
      </c>
      <c r="E1884" s="927"/>
      <c r="F1884" s="926"/>
      <c r="G1884" s="57">
        <v>0</v>
      </c>
      <c r="H1884" s="34"/>
    </row>
    <row r="1885" spans="1:8" ht="12.15" customHeight="1">
      <c r="A1885" s="5"/>
      <c r="B1885" s="5"/>
      <c r="C1885" s="5"/>
      <c r="D1885" s="926" t="s">
        <v>2746</v>
      </c>
      <c r="E1885" s="927"/>
      <c r="F1885" s="926"/>
      <c r="G1885" s="57">
        <v>28.42</v>
      </c>
      <c r="H1885" s="34"/>
    </row>
    <row r="1886" spans="1:8" ht="12.15" customHeight="1">
      <c r="A1886" s="5"/>
      <c r="B1886" s="5"/>
      <c r="C1886" s="5"/>
      <c r="D1886" s="926" t="s">
        <v>2560</v>
      </c>
      <c r="E1886" s="927"/>
      <c r="F1886" s="926"/>
      <c r="G1886" s="57">
        <v>0</v>
      </c>
      <c r="H1886" s="34"/>
    </row>
    <row r="1887" spans="1:8" ht="12.15" customHeight="1">
      <c r="A1887" s="5"/>
      <c r="B1887" s="5"/>
      <c r="C1887" s="5"/>
      <c r="D1887" s="926" t="s">
        <v>2819</v>
      </c>
      <c r="E1887" s="927"/>
      <c r="F1887" s="926"/>
      <c r="G1887" s="57">
        <v>10.39625</v>
      </c>
      <c r="H1887" s="34"/>
    </row>
    <row r="1888" spans="1:8" ht="12.15" customHeight="1">
      <c r="A1888" s="5"/>
      <c r="B1888" s="5"/>
      <c r="C1888" s="5"/>
      <c r="D1888" s="926" t="s">
        <v>2403</v>
      </c>
      <c r="E1888" s="927"/>
      <c r="F1888" s="926"/>
      <c r="G1888" s="57">
        <v>0</v>
      </c>
      <c r="H1888" s="34"/>
    </row>
    <row r="1889" spans="1:8" ht="12.15" customHeight="1">
      <c r="A1889" s="5"/>
      <c r="B1889" s="5"/>
      <c r="C1889" s="5"/>
      <c r="D1889" s="926" t="s">
        <v>2572</v>
      </c>
      <c r="E1889" s="927"/>
      <c r="F1889" s="926"/>
      <c r="G1889" s="57">
        <v>0</v>
      </c>
      <c r="H1889" s="34"/>
    </row>
    <row r="1890" spans="1:8" ht="12.15" customHeight="1">
      <c r="A1890" s="5"/>
      <c r="B1890" s="5"/>
      <c r="C1890" s="5"/>
      <c r="D1890" s="926" t="s">
        <v>2574</v>
      </c>
      <c r="E1890" s="927"/>
      <c r="F1890" s="926"/>
      <c r="G1890" s="57">
        <v>0</v>
      </c>
      <c r="H1890" s="34"/>
    </row>
    <row r="1891" spans="1:8" ht="12.15" customHeight="1">
      <c r="A1891" s="5"/>
      <c r="B1891" s="5"/>
      <c r="C1891" s="5"/>
      <c r="D1891" s="926" t="s">
        <v>2748</v>
      </c>
      <c r="E1891" s="927"/>
      <c r="F1891" s="926"/>
      <c r="G1891" s="57">
        <v>2.17</v>
      </c>
      <c r="H1891" s="34"/>
    </row>
    <row r="1892" spans="1:8" ht="12.15" customHeight="1">
      <c r="A1892" s="5"/>
      <c r="B1892" s="5"/>
      <c r="C1892" s="5"/>
      <c r="D1892" s="926" t="s">
        <v>2591</v>
      </c>
      <c r="E1892" s="927"/>
      <c r="F1892" s="926"/>
      <c r="G1892" s="57">
        <v>0</v>
      </c>
      <c r="H1892" s="34"/>
    </row>
    <row r="1893" spans="1:8" ht="12.15" customHeight="1">
      <c r="A1893" s="5"/>
      <c r="B1893" s="5"/>
      <c r="C1893" s="5"/>
      <c r="D1893" s="926" t="s">
        <v>2749</v>
      </c>
      <c r="E1893" s="927"/>
      <c r="F1893" s="926"/>
      <c r="G1893" s="57">
        <v>15.49</v>
      </c>
      <c r="H1893" s="34"/>
    </row>
    <row r="1894" spans="1:8" ht="12.15" customHeight="1">
      <c r="A1894" s="5"/>
      <c r="B1894" s="5"/>
      <c r="C1894" s="5"/>
      <c r="D1894" s="926" t="s">
        <v>2593</v>
      </c>
      <c r="E1894" s="927"/>
      <c r="F1894" s="926"/>
      <c r="G1894" s="57">
        <v>0</v>
      </c>
      <c r="H1894" s="34"/>
    </row>
    <row r="1895" spans="1:8" ht="12.15" customHeight="1">
      <c r="A1895" s="5"/>
      <c r="B1895" s="5"/>
      <c r="C1895" s="5"/>
      <c r="D1895" s="926" t="s">
        <v>2750</v>
      </c>
      <c r="E1895" s="927"/>
      <c r="F1895" s="926"/>
      <c r="G1895" s="57">
        <v>18.100000000000001</v>
      </c>
      <c r="H1895" s="34"/>
    </row>
    <row r="1896" spans="1:8" ht="12.15" customHeight="1">
      <c r="A1896" s="5"/>
      <c r="B1896" s="5"/>
      <c r="C1896" s="5"/>
      <c r="D1896" s="926" t="s">
        <v>2576</v>
      </c>
      <c r="E1896" s="927"/>
      <c r="F1896" s="926"/>
      <c r="G1896" s="57">
        <v>0</v>
      </c>
      <c r="H1896" s="34"/>
    </row>
    <row r="1897" spans="1:8" ht="12.15" customHeight="1">
      <c r="A1897" s="5"/>
      <c r="B1897" s="5"/>
      <c r="C1897" s="5"/>
      <c r="D1897" s="926" t="s">
        <v>2830</v>
      </c>
      <c r="E1897" s="927"/>
      <c r="F1897" s="926"/>
      <c r="G1897" s="57">
        <v>17.542000000000002</v>
      </c>
      <c r="H1897" s="34"/>
    </row>
    <row r="1898" spans="1:8" ht="12.15" customHeight="1">
      <c r="A1898" s="5"/>
      <c r="B1898" s="5"/>
      <c r="C1898" s="5"/>
      <c r="D1898" s="926" t="s">
        <v>2738</v>
      </c>
      <c r="E1898" s="927"/>
      <c r="F1898" s="926"/>
      <c r="G1898" s="57">
        <v>0</v>
      </c>
      <c r="H1898" s="34"/>
    </row>
    <row r="1899" spans="1:8" ht="12.15" customHeight="1">
      <c r="A1899" s="5"/>
      <c r="B1899" s="5"/>
      <c r="C1899" s="5"/>
      <c r="D1899" s="926" t="s">
        <v>2596</v>
      </c>
      <c r="E1899" s="927"/>
      <c r="F1899" s="926"/>
      <c r="G1899" s="57">
        <v>0</v>
      </c>
      <c r="H1899" s="34"/>
    </row>
    <row r="1900" spans="1:8" ht="12.15" customHeight="1">
      <c r="A1900" s="5"/>
      <c r="B1900" s="5"/>
      <c r="C1900" s="5"/>
      <c r="D1900" s="926" t="s">
        <v>2805</v>
      </c>
      <c r="E1900" s="927"/>
      <c r="F1900" s="926"/>
      <c r="G1900" s="57">
        <v>88.04</v>
      </c>
      <c r="H1900" s="34"/>
    </row>
    <row r="1901" spans="1:8" ht="12.15" customHeight="1">
      <c r="A1901" s="5"/>
      <c r="B1901" s="5"/>
      <c r="C1901" s="5"/>
      <c r="D1901" s="926" t="s">
        <v>2598</v>
      </c>
      <c r="E1901" s="927"/>
      <c r="F1901" s="926"/>
      <c r="G1901" s="57">
        <v>0</v>
      </c>
      <c r="H1901" s="34"/>
    </row>
    <row r="1902" spans="1:8" ht="12.15" customHeight="1">
      <c r="A1902" s="5"/>
      <c r="B1902" s="5"/>
      <c r="C1902" s="5"/>
      <c r="D1902" s="926" t="s">
        <v>2833</v>
      </c>
      <c r="E1902" s="927"/>
      <c r="F1902" s="926"/>
      <c r="G1902" s="57">
        <v>15.1</v>
      </c>
      <c r="H1902" s="34"/>
    </row>
    <row r="1903" spans="1:8" ht="12.15" customHeight="1">
      <c r="A1903" s="5"/>
      <c r="B1903" s="5"/>
      <c r="C1903" s="5"/>
      <c r="D1903" s="926" t="s">
        <v>2578</v>
      </c>
      <c r="E1903" s="927"/>
      <c r="F1903" s="926"/>
      <c r="G1903" s="57">
        <v>0</v>
      </c>
      <c r="H1903" s="34"/>
    </row>
    <row r="1904" spans="1:8" ht="12.15" customHeight="1">
      <c r="A1904" s="5"/>
      <c r="B1904" s="5"/>
      <c r="C1904" s="5"/>
      <c r="D1904" s="926" t="s">
        <v>2834</v>
      </c>
      <c r="E1904" s="927"/>
      <c r="F1904" s="926"/>
      <c r="G1904" s="57">
        <v>15.3</v>
      </c>
      <c r="H1904" s="34"/>
    </row>
    <row r="1905" spans="1:8" ht="12.15" customHeight="1">
      <c r="A1905" s="5"/>
      <c r="B1905" s="5"/>
      <c r="C1905" s="5"/>
      <c r="D1905" s="926" t="s">
        <v>2600</v>
      </c>
      <c r="E1905" s="927"/>
      <c r="F1905" s="926"/>
      <c r="G1905" s="57">
        <v>0</v>
      </c>
      <c r="H1905" s="34"/>
    </row>
    <row r="1906" spans="1:8" ht="12.15" customHeight="1">
      <c r="A1906" s="5"/>
      <c r="B1906" s="5"/>
      <c r="C1906" s="5"/>
      <c r="D1906" s="926" t="s">
        <v>2751</v>
      </c>
      <c r="E1906" s="927"/>
      <c r="F1906" s="926"/>
      <c r="G1906" s="57">
        <v>59.76</v>
      </c>
      <c r="H1906" s="34"/>
    </row>
    <row r="1907" spans="1:8" ht="12.15" customHeight="1">
      <c r="A1907" s="5"/>
      <c r="B1907" s="5"/>
      <c r="C1907" s="5"/>
      <c r="D1907" s="926" t="s">
        <v>2602</v>
      </c>
      <c r="E1907" s="927"/>
      <c r="F1907" s="926"/>
      <c r="G1907" s="57">
        <v>0</v>
      </c>
      <c r="H1907" s="34"/>
    </row>
    <row r="1908" spans="1:8" ht="12.15" customHeight="1">
      <c r="A1908" s="5"/>
      <c r="B1908" s="5"/>
      <c r="C1908" s="5"/>
      <c r="D1908" s="926" t="s">
        <v>2752</v>
      </c>
      <c r="E1908" s="927"/>
      <c r="F1908" s="926"/>
      <c r="G1908" s="57">
        <v>7</v>
      </c>
      <c r="H1908" s="34"/>
    </row>
    <row r="1909" spans="1:8" ht="12.15" customHeight="1">
      <c r="A1909" s="5"/>
      <c r="B1909" s="5"/>
      <c r="C1909" s="5"/>
      <c r="D1909" s="926" t="s">
        <v>2580</v>
      </c>
      <c r="E1909" s="927"/>
      <c r="F1909" s="926"/>
      <c r="G1909" s="57">
        <v>0</v>
      </c>
      <c r="H1909" s="34"/>
    </row>
    <row r="1910" spans="1:8" ht="12.15" customHeight="1">
      <c r="A1910" s="5"/>
      <c r="B1910" s="5"/>
      <c r="C1910" s="5"/>
      <c r="D1910" s="926" t="s">
        <v>2739</v>
      </c>
      <c r="E1910" s="927"/>
      <c r="F1910" s="926"/>
      <c r="G1910" s="57">
        <v>37.22</v>
      </c>
      <c r="H1910" s="34"/>
    </row>
    <row r="1911" spans="1:8" ht="12.15" customHeight="1">
      <c r="A1911" s="5"/>
      <c r="B1911" s="5"/>
      <c r="C1911" s="5"/>
      <c r="D1911" s="926" t="s">
        <v>2582</v>
      </c>
      <c r="E1911" s="927"/>
      <c r="F1911" s="926"/>
      <c r="G1911" s="57">
        <v>0</v>
      </c>
      <c r="H1911" s="34"/>
    </row>
    <row r="1912" spans="1:8" ht="12.15" customHeight="1">
      <c r="A1912" s="5"/>
      <c r="B1912" s="5"/>
      <c r="C1912" s="5"/>
      <c r="D1912" s="926" t="s">
        <v>2740</v>
      </c>
      <c r="E1912" s="927"/>
      <c r="F1912" s="926"/>
      <c r="G1912" s="57">
        <v>2.1</v>
      </c>
      <c r="H1912" s="34"/>
    </row>
    <row r="1913" spans="1:8" ht="12.15" customHeight="1">
      <c r="A1913" s="5"/>
      <c r="B1913" s="5"/>
      <c r="C1913" s="5"/>
      <c r="D1913" s="926" t="s">
        <v>2747</v>
      </c>
      <c r="E1913" s="927"/>
      <c r="F1913" s="926"/>
      <c r="G1913" s="57">
        <v>29.8</v>
      </c>
      <c r="H1913" s="34"/>
    </row>
    <row r="1914" spans="1:8" ht="12.15" customHeight="1">
      <c r="A1914" s="5"/>
      <c r="B1914" s="5"/>
      <c r="C1914" s="5"/>
      <c r="D1914" s="926" t="s">
        <v>2937</v>
      </c>
      <c r="E1914" s="927"/>
      <c r="F1914" s="926"/>
      <c r="G1914" s="57">
        <v>0.82372999999999996</v>
      </c>
      <c r="H1914" s="34"/>
    </row>
    <row r="1915" spans="1:8">
      <c r="A1915" s="6" t="s">
        <v>566</v>
      </c>
      <c r="B1915" s="6"/>
      <c r="C1915" s="6" t="s">
        <v>1171</v>
      </c>
      <c r="D1915" s="928" t="s">
        <v>1876</v>
      </c>
      <c r="E1915" s="929"/>
      <c r="F1915" s="6" t="s">
        <v>1940</v>
      </c>
      <c r="G1915" s="22">
        <v>196.28399999999999</v>
      </c>
      <c r="H1915" s="22">
        <v>0</v>
      </c>
    </row>
    <row r="1916" spans="1:8" ht="12.15" customHeight="1">
      <c r="D1916" s="932" t="s">
        <v>2938</v>
      </c>
      <c r="E1916" s="933"/>
      <c r="F1916" s="933"/>
      <c r="G1916" s="58">
        <v>0</v>
      </c>
    </row>
    <row r="1917" spans="1:8" ht="12.15" customHeight="1">
      <c r="A1917" s="6"/>
      <c r="B1917" s="6"/>
      <c r="C1917" s="6"/>
      <c r="D1917" s="932" t="s">
        <v>2939</v>
      </c>
      <c r="E1917" s="933"/>
      <c r="F1917" s="932"/>
      <c r="G1917" s="58">
        <v>162.27199999999999</v>
      </c>
      <c r="H1917" s="35"/>
    </row>
    <row r="1918" spans="1:8" ht="12.15" customHeight="1">
      <c r="A1918" s="6"/>
      <c r="B1918" s="6"/>
      <c r="C1918" s="6"/>
      <c r="D1918" s="932" t="s">
        <v>2940</v>
      </c>
      <c r="E1918" s="933"/>
      <c r="F1918" s="932"/>
      <c r="G1918" s="58">
        <v>34.012</v>
      </c>
      <c r="H1918" s="35"/>
    </row>
    <row r="1919" spans="1:8">
      <c r="A1919" s="6" t="s">
        <v>567</v>
      </c>
      <c r="B1919" s="6"/>
      <c r="C1919" s="6" t="s">
        <v>1172</v>
      </c>
      <c r="D1919" s="928" t="s">
        <v>1877</v>
      </c>
      <c r="E1919" s="929"/>
      <c r="F1919" s="6" t="s">
        <v>1940</v>
      </c>
      <c r="G1919" s="22">
        <v>336.31810000000002</v>
      </c>
      <c r="H1919" s="22">
        <v>0</v>
      </c>
    </row>
    <row r="1920" spans="1:8" ht="12.15" customHeight="1">
      <c r="D1920" s="932" t="s">
        <v>2938</v>
      </c>
      <c r="E1920" s="933"/>
      <c r="F1920" s="933"/>
      <c r="G1920" s="58">
        <v>0</v>
      </c>
    </row>
    <row r="1921" spans="1:8" ht="12.15" customHeight="1">
      <c r="A1921" s="6"/>
      <c r="B1921" s="6"/>
      <c r="C1921" s="6"/>
      <c r="D1921" s="932" t="s">
        <v>2941</v>
      </c>
      <c r="E1921" s="933"/>
      <c r="F1921" s="932"/>
      <c r="G1921" s="58">
        <v>201.80600000000001</v>
      </c>
      <c r="H1921" s="35"/>
    </row>
    <row r="1922" spans="1:8" ht="12.15" customHeight="1">
      <c r="A1922" s="6"/>
      <c r="B1922" s="6"/>
      <c r="C1922" s="6"/>
      <c r="D1922" s="932" t="s">
        <v>2942</v>
      </c>
      <c r="E1922" s="933"/>
      <c r="F1922" s="932"/>
      <c r="G1922" s="58">
        <v>69.486999999999995</v>
      </c>
      <c r="H1922" s="35"/>
    </row>
    <row r="1923" spans="1:8" ht="12.15" customHeight="1">
      <c r="A1923" s="6"/>
      <c r="B1923" s="6"/>
      <c r="C1923" s="6"/>
      <c r="D1923" s="932" t="s">
        <v>2943</v>
      </c>
      <c r="E1923" s="933"/>
      <c r="F1923" s="932"/>
      <c r="G1923" s="58">
        <v>64.448999999999998</v>
      </c>
      <c r="H1923" s="35"/>
    </row>
    <row r="1924" spans="1:8" ht="12.15" customHeight="1">
      <c r="A1924" s="6"/>
      <c r="B1924" s="6"/>
      <c r="C1924" s="6"/>
      <c r="D1924" s="932" t="s">
        <v>2944</v>
      </c>
      <c r="E1924" s="933"/>
      <c r="F1924" s="932"/>
      <c r="G1924" s="58">
        <v>0.57609999999999995</v>
      </c>
      <c r="H1924" s="35"/>
    </row>
    <row r="1925" spans="1:8">
      <c r="A1925" s="6" t="s">
        <v>568</v>
      </c>
      <c r="B1925" s="6"/>
      <c r="C1925" s="6" t="s">
        <v>1173</v>
      </c>
      <c r="D1925" s="928" t="s">
        <v>1878</v>
      </c>
      <c r="E1925" s="929"/>
      <c r="F1925" s="6" t="s">
        <v>1940</v>
      </c>
      <c r="G1925" s="22">
        <v>23.221</v>
      </c>
      <c r="H1925" s="22">
        <v>0</v>
      </c>
    </row>
    <row r="1926" spans="1:8" ht="12.15" customHeight="1">
      <c r="D1926" s="932" t="s">
        <v>2938</v>
      </c>
      <c r="E1926" s="933"/>
      <c r="F1926" s="933"/>
      <c r="G1926" s="58">
        <v>0</v>
      </c>
    </row>
    <row r="1927" spans="1:8" ht="12.15" customHeight="1">
      <c r="A1927" s="6"/>
      <c r="B1927" s="6"/>
      <c r="C1927" s="6"/>
      <c r="D1927" s="932" t="s">
        <v>2945</v>
      </c>
      <c r="E1927" s="933"/>
      <c r="F1927" s="932"/>
      <c r="G1927" s="58">
        <v>23.221</v>
      </c>
      <c r="H1927" s="35"/>
    </row>
    <row r="1928" spans="1:8">
      <c r="A1928" s="6" t="s">
        <v>569</v>
      </c>
      <c r="B1928" s="6"/>
      <c r="C1928" s="6" t="s">
        <v>1174</v>
      </c>
      <c r="D1928" s="928" t="s">
        <v>1879</v>
      </c>
      <c r="E1928" s="929"/>
      <c r="F1928" s="6" t="s">
        <v>1940</v>
      </c>
      <c r="G1928" s="22">
        <v>43.78</v>
      </c>
      <c r="H1928" s="22">
        <v>0</v>
      </c>
    </row>
    <row r="1929" spans="1:8" ht="12.15" customHeight="1">
      <c r="D1929" s="932" t="s">
        <v>2938</v>
      </c>
      <c r="E1929" s="933"/>
      <c r="F1929" s="933"/>
      <c r="G1929" s="58">
        <v>0</v>
      </c>
    </row>
    <row r="1930" spans="1:8" ht="12.15" customHeight="1">
      <c r="A1930" s="6"/>
      <c r="B1930" s="6"/>
      <c r="C1930" s="6"/>
      <c r="D1930" s="932" t="s">
        <v>2946</v>
      </c>
      <c r="E1930" s="933"/>
      <c r="F1930" s="932"/>
      <c r="G1930" s="58">
        <v>11</v>
      </c>
      <c r="H1930" s="35"/>
    </row>
    <row r="1931" spans="1:8" ht="12.15" customHeight="1">
      <c r="A1931" s="6"/>
      <c r="B1931" s="6"/>
      <c r="C1931" s="6"/>
      <c r="D1931" s="932" t="s">
        <v>2947</v>
      </c>
      <c r="E1931" s="933"/>
      <c r="F1931" s="932"/>
      <c r="G1931" s="58">
        <v>32.78</v>
      </c>
      <c r="H1931" s="35"/>
    </row>
    <row r="1932" spans="1:8">
      <c r="A1932" s="5" t="s">
        <v>570</v>
      </c>
      <c r="B1932" s="5"/>
      <c r="C1932" s="5" t="s">
        <v>1175</v>
      </c>
      <c r="D1932" s="924" t="s">
        <v>1880</v>
      </c>
      <c r="E1932" s="925"/>
      <c r="F1932" s="5" t="s">
        <v>1939</v>
      </c>
      <c r="G1932" s="21">
        <v>133.43700000000001</v>
      </c>
      <c r="H1932" s="21">
        <v>0</v>
      </c>
    </row>
    <row r="1933" spans="1:8" ht="12.15" customHeight="1">
      <c r="D1933" s="926" t="s">
        <v>2738</v>
      </c>
      <c r="E1933" s="927"/>
      <c r="F1933" s="927"/>
      <c r="G1933" s="57">
        <v>0</v>
      </c>
    </row>
    <row r="1934" spans="1:8" ht="12.15" customHeight="1">
      <c r="A1934" s="5"/>
      <c r="B1934" s="5"/>
      <c r="C1934" s="5"/>
      <c r="D1934" s="926" t="s">
        <v>2948</v>
      </c>
      <c r="E1934" s="927"/>
      <c r="F1934" s="926"/>
      <c r="G1934" s="57">
        <v>52.91</v>
      </c>
      <c r="H1934" s="34"/>
    </row>
    <row r="1935" spans="1:8" ht="12.15" customHeight="1">
      <c r="A1935" s="5"/>
      <c r="B1935" s="5"/>
      <c r="C1935" s="5"/>
      <c r="D1935" s="926" t="s">
        <v>2949</v>
      </c>
      <c r="E1935" s="927"/>
      <c r="F1935" s="926"/>
      <c r="G1935" s="57">
        <v>-15.435</v>
      </c>
      <c r="H1935" s="34"/>
    </row>
    <row r="1936" spans="1:8" ht="12.15" customHeight="1">
      <c r="A1936" s="5"/>
      <c r="B1936" s="5"/>
      <c r="C1936" s="5"/>
      <c r="D1936" s="926" t="s">
        <v>2950</v>
      </c>
      <c r="E1936" s="927"/>
      <c r="F1936" s="926"/>
      <c r="G1936" s="57">
        <v>18.289000000000001</v>
      </c>
      <c r="H1936" s="34"/>
    </row>
    <row r="1937" spans="1:8" ht="12.15" customHeight="1">
      <c r="A1937" s="5"/>
      <c r="B1937" s="5"/>
      <c r="C1937" s="5"/>
      <c r="D1937" s="926" t="s">
        <v>2951</v>
      </c>
      <c r="E1937" s="927"/>
      <c r="F1937" s="926"/>
      <c r="G1937" s="57">
        <v>-4.9000000000000004</v>
      </c>
      <c r="H1937" s="34"/>
    </row>
    <row r="1938" spans="1:8" ht="12.15" customHeight="1">
      <c r="A1938" s="5"/>
      <c r="B1938" s="5"/>
      <c r="C1938" s="5"/>
      <c r="D1938" s="926" t="s">
        <v>2952</v>
      </c>
      <c r="E1938" s="927"/>
      <c r="F1938" s="926"/>
      <c r="G1938" s="57">
        <v>6.0279999999999996</v>
      </c>
      <c r="H1938" s="34"/>
    </row>
    <row r="1939" spans="1:8" ht="12.15" customHeight="1">
      <c r="A1939" s="5"/>
      <c r="B1939" s="5"/>
      <c r="C1939" s="5"/>
      <c r="D1939" s="926" t="s">
        <v>2953</v>
      </c>
      <c r="E1939" s="927"/>
      <c r="F1939" s="926"/>
      <c r="G1939" s="57">
        <v>6.3520000000000003</v>
      </c>
      <c r="H1939" s="34"/>
    </row>
    <row r="1940" spans="1:8" ht="12.15" customHeight="1">
      <c r="A1940" s="5"/>
      <c r="B1940" s="5"/>
      <c r="C1940" s="5"/>
      <c r="D1940" s="926" t="s">
        <v>2526</v>
      </c>
      <c r="E1940" s="927"/>
      <c r="F1940" s="926"/>
      <c r="G1940" s="57">
        <v>0</v>
      </c>
      <c r="H1940" s="34"/>
    </row>
    <row r="1941" spans="1:8" ht="12.15" customHeight="1">
      <c r="A1941" s="5"/>
      <c r="B1941" s="5"/>
      <c r="C1941" s="5"/>
      <c r="D1941" s="926" t="s">
        <v>2954</v>
      </c>
      <c r="E1941" s="927"/>
      <c r="F1941" s="926"/>
      <c r="G1941" s="57">
        <v>7.84</v>
      </c>
      <c r="H1941" s="34"/>
    </row>
    <row r="1942" spans="1:8" ht="12.15" customHeight="1">
      <c r="A1942" s="5"/>
      <c r="B1942" s="5"/>
      <c r="C1942" s="5"/>
      <c r="D1942" s="926" t="s">
        <v>2955</v>
      </c>
      <c r="E1942" s="927"/>
      <c r="F1942" s="926"/>
      <c r="G1942" s="57">
        <v>9.3740000000000006</v>
      </c>
      <c r="H1942" s="34"/>
    </row>
    <row r="1943" spans="1:8" ht="12.15" customHeight="1">
      <c r="A1943" s="5"/>
      <c r="B1943" s="5"/>
      <c r="C1943" s="5"/>
      <c r="D1943" s="926" t="s">
        <v>2956</v>
      </c>
      <c r="E1943" s="927"/>
      <c r="F1943" s="926"/>
      <c r="G1943" s="57">
        <v>1.4</v>
      </c>
      <c r="H1943" s="34"/>
    </row>
    <row r="1944" spans="1:8" ht="12.15" customHeight="1">
      <c r="A1944" s="5"/>
      <c r="B1944" s="5"/>
      <c r="C1944" s="5"/>
      <c r="D1944" s="926" t="s">
        <v>2918</v>
      </c>
      <c r="E1944" s="927"/>
      <c r="F1944" s="926"/>
      <c r="G1944" s="57">
        <v>0</v>
      </c>
      <c r="H1944" s="34"/>
    </row>
    <row r="1945" spans="1:8" ht="12.15" customHeight="1">
      <c r="A1945" s="5"/>
      <c r="B1945" s="5"/>
      <c r="C1945" s="5"/>
      <c r="D1945" s="926" t="s">
        <v>2957</v>
      </c>
      <c r="E1945" s="927"/>
      <c r="F1945" s="926"/>
      <c r="G1945" s="57">
        <v>3.41</v>
      </c>
      <c r="H1945" s="34"/>
    </row>
    <row r="1946" spans="1:8" ht="12.15" customHeight="1">
      <c r="A1946" s="5"/>
      <c r="B1946" s="5"/>
      <c r="C1946" s="5"/>
      <c r="D1946" s="926" t="s">
        <v>2958</v>
      </c>
      <c r="E1946" s="927"/>
      <c r="F1946" s="926"/>
      <c r="G1946" s="57">
        <v>5.9349999999999996</v>
      </c>
      <c r="H1946" s="34"/>
    </row>
    <row r="1947" spans="1:8" ht="12.15" customHeight="1">
      <c r="A1947" s="5"/>
      <c r="B1947" s="5"/>
      <c r="C1947" s="5"/>
      <c r="D1947" s="926" t="s">
        <v>2959</v>
      </c>
      <c r="E1947" s="927"/>
      <c r="F1947" s="926"/>
      <c r="G1947" s="57">
        <v>1.5329999999999999</v>
      </c>
      <c r="H1947" s="34"/>
    </row>
    <row r="1948" spans="1:8" ht="12.15" customHeight="1">
      <c r="A1948" s="5"/>
      <c r="B1948" s="5"/>
      <c r="C1948" s="5"/>
      <c r="D1948" s="926" t="s">
        <v>2960</v>
      </c>
      <c r="E1948" s="927"/>
      <c r="F1948" s="926"/>
      <c r="G1948" s="57">
        <v>2.6749999999999998</v>
      </c>
      <c r="H1948" s="34"/>
    </row>
    <row r="1949" spans="1:8" ht="12.15" customHeight="1">
      <c r="A1949" s="5"/>
      <c r="B1949" s="5"/>
      <c r="C1949" s="5"/>
      <c r="D1949" s="926" t="s">
        <v>2961</v>
      </c>
      <c r="E1949" s="927"/>
      <c r="F1949" s="926"/>
      <c r="G1949" s="57">
        <v>2.4</v>
      </c>
      <c r="H1949" s="34"/>
    </row>
    <row r="1950" spans="1:8" ht="12.15" customHeight="1">
      <c r="A1950" s="5"/>
      <c r="B1950" s="5"/>
      <c r="C1950" s="5"/>
      <c r="D1950" s="926" t="s">
        <v>2962</v>
      </c>
      <c r="E1950" s="927"/>
      <c r="F1950" s="926"/>
      <c r="G1950" s="57">
        <v>2.61</v>
      </c>
      <c r="H1950" s="34"/>
    </row>
    <row r="1951" spans="1:8" ht="12.15" customHeight="1">
      <c r="A1951" s="5"/>
      <c r="B1951" s="5"/>
      <c r="C1951" s="5"/>
      <c r="D1951" s="926" t="s">
        <v>2963</v>
      </c>
      <c r="E1951" s="927"/>
      <c r="F1951" s="926"/>
      <c r="G1951" s="57">
        <v>9.1989999999999998</v>
      </c>
      <c r="H1951" s="34"/>
    </row>
    <row r="1952" spans="1:8" ht="12.15" customHeight="1">
      <c r="A1952" s="5"/>
      <c r="B1952" s="5"/>
      <c r="C1952" s="5"/>
      <c r="D1952" s="926" t="s">
        <v>2964</v>
      </c>
      <c r="E1952" s="927"/>
      <c r="F1952" s="926"/>
      <c r="G1952" s="57">
        <v>2.1139999999999999</v>
      </c>
      <c r="H1952" s="34"/>
    </row>
    <row r="1953" spans="1:8" ht="12.15" customHeight="1">
      <c r="A1953" s="5"/>
      <c r="B1953" s="5"/>
      <c r="C1953" s="5"/>
      <c r="D1953" s="926" t="s">
        <v>2965</v>
      </c>
      <c r="E1953" s="927"/>
      <c r="F1953" s="926"/>
      <c r="G1953" s="57">
        <v>11.5</v>
      </c>
      <c r="H1953" s="34"/>
    </row>
    <row r="1954" spans="1:8" ht="12.15" customHeight="1">
      <c r="A1954" s="5"/>
      <c r="B1954" s="5"/>
      <c r="C1954" s="5"/>
      <c r="D1954" s="926" t="s">
        <v>2966</v>
      </c>
      <c r="E1954" s="927"/>
      <c r="F1954" s="926"/>
      <c r="G1954" s="57">
        <v>10.202999999999999</v>
      </c>
      <c r="H1954" s="34"/>
    </row>
    <row r="1955" spans="1:8">
      <c r="A1955" s="6" t="s">
        <v>571</v>
      </c>
      <c r="B1955" s="6"/>
      <c r="C1955" s="6" t="s">
        <v>1176</v>
      </c>
      <c r="D1955" s="928" t="s">
        <v>1881</v>
      </c>
      <c r="E1955" s="929"/>
      <c r="F1955" s="6" t="s">
        <v>1939</v>
      </c>
      <c r="G1955" s="22">
        <v>146.7807</v>
      </c>
      <c r="H1955" s="22">
        <v>0</v>
      </c>
    </row>
    <row r="1956" spans="1:8" ht="12.15" customHeight="1">
      <c r="D1956" s="932" t="s">
        <v>2967</v>
      </c>
      <c r="E1956" s="933"/>
      <c r="F1956" s="933"/>
      <c r="G1956" s="58">
        <v>133.43700000000001</v>
      </c>
    </row>
    <row r="1957" spans="1:8" ht="12.15" customHeight="1">
      <c r="A1957" s="6"/>
      <c r="B1957" s="6"/>
      <c r="C1957" s="6"/>
      <c r="D1957" s="932" t="s">
        <v>2968</v>
      </c>
      <c r="E1957" s="933"/>
      <c r="F1957" s="932"/>
      <c r="G1957" s="58">
        <v>13.3437</v>
      </c>
      <c r="H1957" s="35"/>
    </row>
    <row r="1958" spans="1:8">
      <c r="A1958" s="5" t="s">
        <v>572</v>
      </c>
      <c r="B1958" s="5"/>
      <c r="C1958" s="5" t="s">
        <v>1177</v>
      </c>
      <c r="D1958" s="924" t="s">
        <v>1882</v>
      </c>
      <c r="E1958" s="925"/>
      <c r="F1958" s="5" t="s">
        <v>1945</v>
      </c>
      <c r="G1958" s="21">
        <v>8991.6964000000007</v>
      </c>
      <c r="H1958" s="21">
        <v>0</v>
      </c>
    </row>
    <row r="1959" spans="1:8">
      <c r="A1959" s="14"/>
      <c r="B1959" s="14"/>
      <c r="C1959" s="14" t="s">
        <v>1178</v>
      </c>
      <c r="D1959" s="930" t="s">
        <v>1883</v>
      </c>
      <c r="E1959" s="931"/>
      <c r="F1959" s="14"/>
      <c r="G1959" s="30"/>
      <c r="H1959" s="30"/>
    </row>
    <row r="1960" spans="1:8">
      <c r="A1960" s="5" t="s">
        <v>573</v>
      </c>
      <c r="B1960" s="5"/>
      <c r="C1960" s="5" t="s">
        <v>1179</v>
      </c>
      <c r="D1960" s="924" t="s">
        <v>1884</v>
      </c>
      <c r="E1960" s="925"/>
      <c r="F1960" s="5" t="s">
        <v>1940</v>
      </c>
      <c r="G1960" s="21">
        <v>633.50049999999999</v>
      </c>
      <c r="H1960" s="21">
        <v>0</v>
      </c>
    </row>
    <row r="1961" spans="1:8" ht="12.15" customHeight="1">
      <c r="D1961" s="926" t="s">
        <v>2969</v>
      </c>
      <c r="E1961" s="927"/>
      <c r="F1961" s="927"/>
      <c r="G1961" s="57">
        <v>633.50049999999999</v>
      </c>
    </row>
    <row r="1962" spans="1:8" ht="12.9" customHeight="1">
      <c r="C1962" s="54" t="s">
        <v>605</v>
      </c>
      <c r="D1962" s="917" t="s">
        <v>1885</v>
      </c>
      <c r="E1962" s="918"/>
      <c r="F1962" s="918"/>
      <c r="G1962" s="918"/>
    </row>
    <row r="1963" spans="1:8">
      <c r="A1963" s="5" t="s">
        <v>574</v>
      </c>
      <c r="B1963" s="5"/>
      <c r="C1963" s="5" t="s">
        <v>1180</v>
      </c>
      <c r="D1963" s="924" t="s">
        <v>1886</v>
      </c>
      <c r="E1963" s="925"/>
      <c r="F1963" s="5" t="s">
        <v>1940</v>
      </c>
      <c r="G1963" s="21">
        <v>633.50049999999999</v>
      </c>
      <c r="H1963" s="21">
        <v>0</v>
      </c>
    </row>
    <row r="1964" spans="1:8" ht="12.15" customHeight="1">
      <c r="D1964" s="926" t="s">
        <v>2969</v>
      </c>
      <c r="E1964" s="927"/>
      <c r="F1964" s="927"/>
      <c r="G1964" s="57">
        <v>633.50049999999999</v>
      </c>
    </row>
    <row r="1965" spans="1:8">
      <c r="A1965" s="5" t="s">
        <v>575</v>
      </c>
      <c r="B1965" s="5"/>
      <c r="C1965" s="5" t="s">
        <v>1181</v>
      </c>
      <c r="D1965" s="924" t="s">
        <v>1887</v>
      </c>
      <c r="E1965" s="925"/>
      <c r="F1965" s="5" t="s">
        <v>1939</v>
      </c>
      <c r="G1965" s="21">
        <v>256.30900000000003</v>
      </c>
      <c r="H1965" s="21">
        <v>0</v>
      </c>
    </row>
    <row r="1966" spans="1:8" ht="12.15" customHeight="1">
      <c r="D1966" s="926" t="s">
        <v>2413</v>
      </c>
      <c r="E1966" s="927"/>
      <c r="F1966" s="927"/>
      <c r="G1966" s="57">
        <v>0</v>
      </c>
    </row>
    <row r="1967" spans="1:8" ht="12.15" customHeight="1">
      <c r="A1967" s="5"/>
      <c r="B1967" s="5"/>
      <c r="C1967" s="5"/>
      <c r="D1967" s="926" t="s">
        <v>2589</v>
      </c>
      <c r="E1967" s="927"/>
      <c r="F1967" s="926"/>
      <c r="G1967" s="57">
        <v>0</v>
      </c>
      <c r="H1967" s="34"/>
    </row>
    <row r="1968" spans="1:8" ht="12.15" customHeight="1">
      <c r="A1968" s="5"/>
      <c r="B1968" s="5"/>
      <c r="C1968" s="5"/>
      <c r="D1968" s="926" t="s">
        <v>2970</v>
      </c>
      <c r="E1968" s="927"/>
      <c r="F1968" s="926"/>
      <c r="G1968" s="57">
        <v>21.672999999999998</v>
      </c>
      <c r="H1968" s="34"/>
    </row>
    <row r="1969" spans="1:8" ht="12.15" customHeight="1">
      <c r="A1969" s="5"/>
      <c r="B1969" s="5"/>
      <c r="C1969" s="5"/>
      <c r="D1969" s="926" t="s">
        <v>2562</v>
      </c>
      <c r="E1969" s="927"/>
      <c r="F1969" s="926"/>
      <c r="G1969" s="57">
        <v>0</v>
      </c>
      <c r="H1969" s="34"/>
    </row>
    <row r="1970" spans="1:8" ht="12.15" customHeight="1">
      <c r="A1970" s="5"/>
      <c r="B1970" s="5"/>
      <c r="C1970" s="5"/>
      <c r="D1970" s="926" t="s">
        <v>2971</v>
      </c>
      <c r="E1970" s="927"/>
      <c r="F1970" s="926"/>
      <c r="G1970" s="57">
        <v>8.6769999999999996</v>
      </c>
      <c r="H1970" s="34"/>
    </row>
    <row r="1971" spans="1:8" ht="12.15" customHeight="1">
      <c r="A1971" s="5"/>
      <c r="B1971" s="5"/>
      <c r="C1971" s="5"/>
      <c r="D1971" s="926" t="s">
        <v>2564</v>
      </c>
      <c r="E1971" s="927"/>
      <c r="F1971" s="926"/>
      <c r="G1971" s="57">
        <v>0</v>
      </c>
      <c r="H1971" s="34"/>
    </row>
    <row r="1972" spans="1:8" ht="12.15" customHeight="1">
      <c r="A1972" s="5"/>
      <c r="B1972" s="5"/>
      <c r="C1972" s="5"/>
      <c r="D1972" s="926" t="s">
        <v>2972</v>
      </c>
      <c r="E1972" s="927"/>
      <c r="F1972" s="926"/>
      <c r="G1972" s="57">
        <v>46.643000000000001</v>
      </c>
      <c r="H1972" s="34"/>
    </row>
    <row r="1973" spans="1:8" ht="12.15" customHeight="1">
      <c r="A1973" s="5"/>
      <c r="B1973" s="5"/>
      <c r="C1973" s="5"/>
      <c r="D1973" s="926" t="s">
        <v>2403</v>
      </c>
      <c r="E1973" s="927"/>
      <c r="F1973" s="926"/>
      <c r="G1973" s="57">
        <v>0</v>
      </c>
      <c r="H1973" s="34"/>
    </row>
    <row r="1974" spans="1:8" ht="12.15" customHeight="1">
      <c r="A1974" s="5"/>
      <c r="B1974" s="5"/>
      <c r="C1974" s="5"/>
      <c r="D1974" s="926" t="s">
        <v>2566</v>
      </c>
      <c r="E1974" s="927"/>
      <c r="F1974" s="926"/>
      <c r="G1974" s="57">
        <v>0</v>
      </c>
      <c r="H1974" s="34"/>
    </row>
    <row r="1975" spans="1:8" ht="12.15" customHeight="1">
      <c r="A1975" s="5"/>
      <c r="B1975" s="5"/>
      <c r="C1975" s="5"/>
      <c r="D1975" s="926" t="s">
        <v>2973</v>
      </c>
      <c r="E1975" s="927"/>
      <c r="F1975" s="926"/>
      <c r="G1975" s="57">
        <v>24.95</v>
      </c>
      <c r="H1975" s="34"/>
    </row>
    <row r="1976" spans="1:8" ht="12.15" customHeight="1">
      <c r="A1976" s="5"/>
      <c r="B1976" s="5"/>
      <c r="C1976" s="5"/>
      <c r="D1976" s="926" t="s">
        <v>2568</v>
      </c>
      <c r="E1976" s="927"/>
      <c r="F1976" s="926"/>
      <c r="G1976" s="57">
        <v>0</v>
      </c>
      <c r="H1976" s="34"/>
    </row>
    <row r="1977" spans="1:8" ht="12.15" customHeight="1">
      <c r="A1977" s="5"/>
      <c r="B1977" s="5"/>
      <c r="C1977" s="5"/>
      <c r="D1977" s="926" t="s">
        <v>2974</v>
      </c>
      <c r="E1977" s="927"/>
      <c r="F1977" s="926"/>
      <c r="G1977" s="57">
        <v>42.393999999999998</v>
      </c>
      <c r="H1977" s="34"/>
    </row>
    <row r="1978" spans="1:8" ht="12.15" customHeight="1">
      <c r="A1978" s="5"/>
      <c r="B1978" s="5"/>
      <c r="C1978" s="5"/>
      <c r="D1978" s="926" t="s">
        <v>2570</v>
      </c>
      <c r="E1978" s="927"/>
      <c r="F1978" s="926"/>
      <c r="G1978" s="57">
        <v>0</v>
      </c>
      <c r="H1978" s="34"/>
    </row>
    <row r="1979" spans="1:8" ht="12.15" customHeight="1">
      <c r="A1979" s="5"/>
      <c r="B1979" s="5"/>
      <c r="C1979" s="5"/>
      <c r="D1979" s="926" t="s">
        <v>2975</v>
      </c>
      <c r="E1979" s="927"/>
      <c r="F1979" s="926"/>
      <c r="G1979" s="57">
        <v>15.72</v>
      </c>
      <c r="H1979" s="34"/>
    </row>
    <row r="1980" spans="1:8" ht="12.15" customHeight="1">
      <c r="A1980" s="5"/>
      <c r="B1980" s="5"/>
      <c r="C1980" s="5"/>
      <c r="D1980" s="926" t="s">
        <v>2976</v>
      </c>
      <c r="E1980" s="927"/>
      <c r="F1980" s="926"/>
      <c r="G1980" s="57">
        <v>0</v>
      </c>
      <c r="H1980" s="34"/>
    </row>
    <row r="1981" spans="1:8" ht="12.15" customHeight="1">
      <c r="A1981" s="5"/>
      <c r="B1981" s="5"/>
      <c r="C1981" s="5"/>
      <c r="D1981" s="926" t="s">
        <v>2977</v>
      </c>
      <c r="E1981" s="927"/>
      <c r="F1981" s="926"/>
      <c r="G1981" s="57">
        <v>0</v>
      </c>
      <c r="H1981" s="34"/>
    </row>
    <row r="1982" spans="1:8" ht="12.15" customHeight="1">
      <c r="A1982" s="5"/>
      <c r="B1982" s="5"/>
      <c r="C1982" s="5"/>
      <c r="D1982" s="926" t="s">
        <v>2978</v>
      </c>
      <c r="E1982" s="927"/>
      <c r="F1982" s="926"/>
      <c r="G1982" s="57">
        <v>26.45</v>
      </c>
      <c r="H1982" s="34"/>
    </row>
    <row r="1983" spans="1:8" ht="12.15" customHeight="1">
      <c r="A1983" s="5"/>
      <c r="B1983" s="5"/>
      <c r="C1983" s="5"/>
      <c r="D1983" s="926" t="s">
        <v>2979</v>
      </c>
      <c r="E1983" s="927"/>
      <c r="F1983" s="926"/>
      <c r="G1983" s="57">
        <v>25.024999999999999</v>
      </c>
      <c r="H1983" s="34"/>
    </row>
    <row r="1984" spans="1:8" ht="12.15" customHeight="1">
      <c r="A1984" s="5"/>
      <c r="B1984" s="5"/>
      <c r="C1984" s="5"/>
      <c r="D1984" s="926" t="s">
        <v>2980</v>
      </c>
      <c r="E1984" s="927"/>
      <c r="F1984" s="926"/>
      <c r="G1984" s="57">
        <v>0</v>
      </c>
      <c r="H1984" s="34"/>
    </row>
    <row r="1985" spans="1:8" ht="12.15" customHeight="1">
      <c r="A1985" s="5"/>
      <c r="B1985" s="5"/>
      <c r="C1985" s="5"/>
      <c r="D1985" s="926" t="s">
        <v>2981</v>
      </c>
      <c r="E1985" s="927"/>
      <c r="F1985" s="926"/>
      <c r="G1985" s="57">
        <v>44.777000000000001</v>
      </c>
      <c r="H1985" s="34"/>
    </row>
    <row r="1986" spans="1:8">
      <c r="A1986" s="5" t="s">
        <v>576</v>
      </c>
      <c r="B1986" s="5"/>
      <c r="C1986" s="5" t="s">
        <v>1182</v>
      </c>
      <c r="D1986" s="924" t="s">
        <v>1889</v>
      </c>
      <c r="E1986" s="925"/>
      <c r="F1986" s="5" t="s">
        <v>1940</v>
      </c>
      <c r="G1986" s="21">
        <v>633.50049999999999</v>
      </c>
      <c r="H1986" s="21">
        <v>0</v>
      </c>
    </row>
    <row r="1987" spans="1:8" ht="12.15" customHeight="1">
      <c r="D1987" s="926" t="s">
        <v>2413</v>
      </c>
      <c r="E1987" s="927"/>
      <c r="F1987" s="927"/>
      <c r="G1987" s="57">
        <v>0</v>
      </c>
    </row>
    <row r="1988" spans="1:8" ht="12.15" customHeight="1">
      <c r="A1988" s="5"/>
      <c r="B1988" s="5"/>
      <c r="C1988" s="5"/>
      <c r="D1988" s="926" t="s">
        <v>2589</v>
      </c>
      <c r="E1988" s="927"/>
      <c r="F1988" s="926"/>
      <c r="G1988" s="57">
        <v>0</v>
      </c>
      <c r="H1988" s="34"/>
    </row>
    <row r="1989" spans="1:8" ht="12.15" customHeight="1">
      <c r="A1989" s="5"/>
      <c r="B1989" s="5"/>
      <c r="C1989" s="5"/>
      <c r="D1989" s="926" t="s">
        <v>2813</v>
      </c>
      <c r="E1989" s="927"/>
      <c r="F1989" s="926"/>
      <c r="G1989" s="57">
        <v>23.85</v>
      </c>
      <c r="H1989" s="34"/>
    </row>
    <row r="1990" spans="1:8" ht="12.15" customHeight="1">
      <c r="A1990" s="5"/>
      <c r="B1990" s="5"/>
      <c r="C1990" s="5"/>
      <c r="D1990" s="926" t="s">
        <v>2562</v>
      </c>
      <c r="E1990" s="927"/>
      <c r="F1990" s="926"/>
      <c r="G1990" s="57">
        <v>0</v>
      </c>
      <c r="H1990" s="34"/>
    </row>
    <row r="1991" spans="1:8" ht="12.15" customHeight="1">
      <c r="A1991" s="5"/>
      <c r="B1991" s="5"/>
      <c r="C1991" s="5"/>
      <c r="D1991" s="926" t="s">
        <v>2982</v>
      </c>
      <c r="E1991" s="927"/>
      <c r="F1991" s="926"/>
      <c r="G1991" s="57">
        <v>44.37</v>
      </c>
      <c r="H1991" s="34"/>
    </row>
    <row r="1992" spans="1:8" ht="12.15" customHeight="1">
      <c r="A1992" s="5"/>
      <c r="B1992" s="5"/>
      <c r="C1992" s="5"/>
      <c r="D1992" s="926" t="s">
        <v>2564</v>
      </c>
      <c r="E1992" s="927"/>
      <c r="F1992" s="926"/>
      <c r="G1992" s="57">
        <v>0</v>
      </c>
      <c r="H1992" s="34"/>
    </row>
    <row r="1993" spans="1:8" ht="12.15" customHeight="1">
      <c r="A1993" s="5"/>
      <c r="B1993" s="5"/>
      <c r="C1993" s="5"/>
      <c r="D1993" s="926" t="s">
        <v>2821</v>
      </c>
      <c r="E1993" s="927"/>
      <c r="F1993" s="926"/>
      <c r="G1993" s="57">
        <v>276.73</v>
      </c>
      <c r="H1993" s="34"/>
    </row>
    <row r="1994" spans="1:8" ht="12.15" customHeight="1">
      <c r="A1994" s="5"/>
      <c r="B1994" s="5"/>
      <c r="C1994" s="5"/>
      <c r="D1994" s="926" t="s">
        <v>2403</v>
      </c>
      <c r="E1994" s="927"/>
      <c r="F1994" s="926"/>
      <c r="G1994" s="57">
        <v>0</v>
      </c>
      <c r="H1994" s="34"/>
    </row>
    <row r="1995" spans="1:8" ht="12.15" customHeight="1">
      <c r="A1995" s="5"/>
      <c r="B1995" s="5"/>
      <c r="C1995" s="5"/>
      <c r="D1995" s="926" t="s">
        <v>2566</v>
      </c>
      <c r="E1995" s="927"/>
      <c r="F1995" s="926"/>
      <c r="G1995" s="57">
        <v>0</v>
      </c>
      <c r="H1995" s="34"/>
    </row>
    <row r="1996" spans="1:8" ht="12.15" customHeight="1">
      <c r="A1996" s="5"/>
      <c r="B1996" s="5"/>
      <c r="C1996" s="5"/>
      <c r="D1996" s="926" t="s">
        <v>2824</v>
      </c>
      <c r="E1996" s="927"/>
      <c r="F1996" s="926"/>
      <c r="G1996" s="57">
        <v>113.87</v>
      </c>
      <c r="H1996" s="34"/>
    </row>
    <row r="1997" spans="1:8" ht="12.15" customHeight="1">
      <c r="A1997" s="5"/>
      <c r="B1997" s="5"/>
      <c r="C1997" s="5"/>
      <c r="D1997" s="926" t="s">
        <v>2568</v>
      </c>
      <c r="E1997" s="927"/>
      <c r="F1997" s="926"/>
      <c r="G1997" s="57">
        <v>0</v>
      </c>
      <c r="H1997" s="34"/>
    </row>
    <row r="1998" spans="1:8" ht="12.15" customHeight="1">
      <c r="A1998" s="5"/>
      <c r="B1998" s="5"/>
      <c r="C1998" s="5"/>
      <c r="D1998" s="926" t="s">
        <v>2825</v>
      </c>
      <c r="E1998" s="927"/>
      <c r="F1998" s="926"/>
      <c r="G1998" s="57">
        <v>43.7605</v>
      </c>
      <c r="H1998" s="34"/>
    </row>
    <row r="1999" spans="1:8" ht="12.15" customHeight="1">
      <c r="A1999" s="5"/>
      <c r="B1999" s="5"/>
      <c r="C1999" s="5"/>
      <c r="D1999" s="926" t="s">
        <v>2570</v>
      </c>
      <c r="E1999" s="927"/>
      <c r="F1999" s="926"/>
      <c r="G1999" s="57">
        <v>0</v>
      </c>
      <c r="H1999" s="34"/>
    </row>
    <row r="2000" spans="1:8" ht="12.15" customHeight="1">
      <c r="A2000" s="5"/>
      <c r="B2000" s="5"/>
      <c r="C2000" s="5"/>
      <c r="D2000" s="926" t="s">
        <v>2827</v>
      </c>
      <c r="E2000" s="927"/>
      <c r="F2000" s="926"/>
      <c r="G2000" s="57">
        <v>15.41</v>
      </c>
      <c r="H2000" s="34"/>
    </row>
    <row r="2001" spans="1:8" ht="12.15" customHeight="1">
      <c r="A2001" s="5"/>
      <c r="B2001" s="5"/>
      <c r="C2001" s="5"/>
      <c r="D2001" s="926" t="s">
        <v>2976</v>
      </c>
      <c r="E2001" s="927"/>
      <c r="F2001" s="926"/>
      <c r="G2001" s="57">
        <v>0</v>
      </c>
      <c r="H2001" s="34"/>
    </row>
    <row r="2002" spans="1:8" ht="12.15" customHeight="1">
      <c r="A2002" s="5"/>
      <c r="B2002" s="5"/>
      <c r="C2002" s="5"/>
      <c r="D2002" s="926" t="s">
        <v>2604</v>
      </c>
      <c r="E2002" s="927"/>
      <c r="F2002" s="926"/>
      <c r="G2002" s="57">
        <v>0</v>
      </c>
      <c r="H2002" s="34"/>
    </row>
    <row r="2003" spans="1:8" ht="12.15" customHeight="1">
      <c r="A2003" s="5"/>
      <c r="B2003" s="5"/>
      <c r="C2003" s="5"/>
      <c r="D2003" s="926" t="s">
        <v>2806</v>
      </c>
      <c r="E2003" s="927"/>
      <c r="F2003" s="926"/>
      <c r="G2003" s="57">
        <v>16.940000000000001</v>
      </c>
      <c r="H2003" s="34"/>
    </row>
    <row r="2004" spans="1:8" ht="12.15" customHeight="1">
      <c r="A2004" s="5"/>
      <c r="B2004" s="5"/>
      <c r="C2004" s="5"/>
      <c r="D2004" s="926" t="s">
        <v>2606</v>
      </c>
      <c r="E2004" s="927"/>
      <c r="F2004" s="926"/>
      <c r="G2004" s="57">
        <v>0</v>
      </c>
      <c r="H2004" s="34"/>
    </row>
    <row r="2005" spans="1:8" ht="12.15" customHeight="1">
      <c r="A2005" s="5"/>
      <c r="B2005" s="5"/>
      <c r="C2005" s="5"/>
      <c r="D2005" s="926" t="s">
        <v>2832</v>
      </c>
      <c r="E2005" s="927"/>
      <c r="F2005" s="926"/>
      <c r="G2005" s="57">
        <v>3.2</v>
      </c>
      <c r="H2005" s="34"/>
    </row>
    <row r="2006" spans="1:8" ht="12.15" customHeight="1">
      <c r="A2006" s="5"/>
      <c r="B2006" s="5"/>
      <c r="C2006" s="5"/>
      <c r="D2006" s="926" t="s">
        <v>2983</v>
      </c>
      <c r="E2006" s="927"/>
      <c r="F2006" s="926"/>
      <c r="G2006" s="57">
        <v>19.059999999999999</v>
      </c>
      <c r="H2006" s="34"/>
    </row>
    <row r="2007" spans="1:8" ht="12.15" customHeight="1">
      <c r="A2007" s="5"/>
      <c r="B2007" s="5"/>
      <c r="C2007" s="5"/>
      <c r="D2007" s="926" t="s">
        <v>2984</v>
      </c>
      <c r="E2007" s="927"/>
      <c r="F2007" s="926"/>
      <c r="G2007" s="57">
        <v>52.37</v>
      </c>
      <c r="H2007" s="34"/>
    </row>
    <row r="2008" spans="1:8" ht="12.15" customHeight="1">
      <c r="A2008" s="5"/>
      <c r="B2008" s="5"/>
      <c r="C2008" s="5"/>
      <c r="D2008" s="926" t="s">
        <v>2985</v>
      </c>
      <c r="E2008" s="927"/>
      <c r="F2008" s="926"/>
      <c r="G2008" s="57">
        <v>23.94</v>
      </c>
      <c r="H2008" s="34"/>
    </row>
    <row r="2009" spans="1:8">
      <c r="A2009" s="6" t="s">
        <v>577</v>
      </c>
      <c r="B2009" s="6"/>
      <c r="C2009" s="6" t="s">
        <v>1183</v>
      </c>
      <c r="D2009" s="928" t="s">
        <v>1890</v>
      </c>
      <c r="E2009" s="929"/>
      <c r="F2009" s="6" t="s">
        <v>1940</v>
      </c>
      <c r="G2009" s="22">
        <v>696.85055</v>
      </c>
      <c r="H2009" s="22">
        <v>0</v>
      </c>
    </row>
    <row r="2010" spans="1:8" ht="12.15" customHeight="1">
      <c r="D2010" s="932" t="s">
        <v>2986</v>
      </c>
      <c r="E2010" s="933"/>
      <c r="F2010" s="933"/>
      <c r="G2010" s="58">
        <v>633.50049999999999</v>
      </c>
    </row>
    <row r="2011" spans="1:8" ht="12.15" customHeight="1">
      <c r="A2011" s="6"/>
      <c r="B2011" s="6"/>
      <c r="C2011" s="6"/>
      <c r="D2011" s="932" t="s">
        <v>2987</v>
      </c>
      <c r="E2011" s="933"/>
      <c r="F2011" s="932"/>
      <c r="G2011" s="58">
        <v>63.350050000000003</v>
      </c>
      <c r="H2011" s="35"/>
    </row>
    <row r="2012" spans="1:8">
      <c r="A2012" s="5" t="s">
        <v>578</v>
      </c>
      <c r="B2012" s="5"/>
      <c r="C2012" s="5" t="s">
        <v>1184</v>
      </c>
      <c r="D2012" s="924" t="s">
        <v>1891</v>
      </c>
      <c r="E2012" s="925"/>
      <c r="F2012" s="5" t="s">
        <v>1945</v>
      </c>
      <c r="G2012" s="21">
        <v>9151.1162999999997</v>
      </c>
      <c r="H2012" s="21">
        <v>0</v>
      </c>
    </row>
    <row r="2013" spans="1:8">
      <c r="A2013" s="14"/>
      <c r="B2013" s="14"/>
      <c r="C2013" s="14" t="s">
        <v>1185</v>
      </c>
      <c r="D2013" s="930" t="s">
        <v>1892</v>
      </c>
      <c r="E2013" s="931"/>
      <c r="F2013" s="14"/>
      <c r="G2013" s="30"/>
      <c r="H2013" s="30"/>
    </row>
    <row r="2014" spans="1:8">
      <c r="A2014" s="5" t="s">
        <v>579</v>
      </c>
      <c r="B2014" s="5"/>
      <c r="C2014" s="5" t="s">
        <v>1186</v>
      </c>
      <c r="D2014" s="924" t="s">
        <v>1893</v>
      </c>
      <c r="E2014" s="925"/>
      <c r="F2014" s="5" t="s">
        <v>1940</v>
      </c>
      <c r="G2014" s="21">
        <v>14.5</v>
      </c>
      <c r="H2014" s="21">
        <v>0</v>
      </c>
    </row>
    <row r="2015" spans="1:8" ht="12.15" customHeight="1">
      <c r="D2015" s="926" t="s">
        <v>2988</v>
      </c>
      <c r="E2015" s="927"/>
      <c r="F2015" s="927"/>
      <c r="G2015" s="57">
        <v>14.5</v>
      </c>
    </row>
    <row r="2016" spans="1:8">
      <c r="A2016" s="5" t="s">
        <v>580</v>
      </c>
      <c r="B2016" s="5"/>
      <c r="C2016" s="5" t="s">
        <v>1187</v>
      </c>
      <c r="D2016" s="924" t="s">
        <v>1894</v>
      </c>
      <c r="E2016" s="925"/>
      <c r="F2016" s="5" t="s">
        <v>1945</v>
      </c>
      <c r="G2016" s="21">
        <v>6.6850000000000007E-2</v>
      </c>
      <c r="H2016" s="21">
        <v>0</v>
      </c>
    </row>
    <row r="2017" spans="1:8">
      <c r="A2017" s="14"/>
      <c r="B2017" s="14"/>
      <c r="C2017" s="14" t="s">
        <v>1188</v>
      </c>
      <c r="D2017" s="930" t="s">
        <v>1895</v>
      </c>
      <c r="E2017" s="931"/>
      <c r="F2017" s="14"/>
      <c r="G2017" s="30"/>
      <c r="H2017" s="30"/>
    </row>
    <row r="2018" spans="1:8">
      <c r="A2018" s="5" t="s">
        <v>581</v>
      </c>
      <c r="B2018" s="5"/>
      <c r="C2018" s="5" t="s">
        <v>1189</v>
      </c>
      <c r="D2018" s="924" t="s">
        <v>1896</v>
      </c>
      <c r="E2018" s="925"/>
      <c r="F2018" s="5" t="s">
        <v>1940</v>
      </c>
      <c r="G2018" s="21">
        <v>952.90800000000002</v>
      </c>
      <c r="H2018" s="21">
        <v>0</v>
      </c>
    </row>
    <row r="2019" spans="1:8" ht="12.15" customHeight="1">
      <c r="D2019" s="926" t="s">
        <v>2989</v>
      </c>
      <c r="E2019" s="927"/>
      <c r="F2019" s="927"/>
      <c r="G2019" s="57">
        <v>0</v>
      </c>
    </row>
    <row r="2020" spans="1:8" ht="12.15" customHeight="1">
      <c r="A2020" s="5"/>
      <c r="B2020" s="5"/>
      <c r="C2020" s="5"/>
      <c r="D2020" s="926" t="s">
        <v>2152</v>
      </c>
      <c r="E2020" s="927"/>
      <c r="F2020" s="926"/>
      <c r="G2020" s="57">
        <v>0</v>
      </c>
      <c r="H2020" s="34"/>
    </row>
    <row r="2021" spans="1:8" ht="12.15" customHeight="1">
      <c r="A2021" s="5"/>
      <c r="B2021" s="5"/>
      <c r="C2021" s="5"/>
      <c r="D2021" s="926" t="s">
        <v>2990</v>
      </c>
      <c r="E2021" s="927"/>
      <c r="F2021" s="926"/>
      <c r="G2021" s="57">
        <v>5.516</v>
      </c>
      <c r="H2021" s="34"/>
    </row>
    <row r="2022" spans="1:8" ht="12.15" customHeight="1">
      <c r="A2022" s="5"/>
      <c r="B2022" s="5"/>
      <c r="C2022" s="5"/>
      <c r="D2022" s="926" t="s">
        <v>2991</v>
      </c>
      <c r="E2022" s="927"/>
      <c r="F2022" s="926"/>
      <c r="G2022" s="57">
        <v>26.667000000000002</v>
      </c>
      <c r="H2022" s="34"/>
    </row>
    <row r="2023" spans="1:8" ht="12.15" customHeight="1">
      <c r="A2023" s="5"/>
      <c r="B2023" s="5"/>
      <c r="C2023" s="5"/>
      <c r="D2023" s="926" t="s">
        <v>2992</v>
      </c>
      <c r="E2023" s="927"/>
      <c r="F2023" s="926"/>
      <c r="G2023" s="57">
        <v>14.071</v>
      </c>
      <c r="H2023" s="34"/>
    </row>
    <row r="2024" spans="1:8" ht="12.15" customHeight="1">
      <c r="A2024" s="5"/>
      <c r="B2024" s="5"/>
      <c r="C2024" s="5"/>
      <c r="D2024" s="926" t="s">
        <v>2993</v>
      </c>
      <c r="E2024" s="927"/>
      <c r="F2024" s="926"/>
      <c r="G2024" s="57">
        <v>5.1360000000000001</v>
      </c>
      <c r="H2024" s="34"/>
    </row>
    <row r="2025" spans="1:8" ht="12.15" customHeight="1">
      <c r="A2025" s="5"/>
      <c r="B2025" s="5"/>
      <c r="C2025" s="5"/>
      <c r="D2025" s="926" t="s">
        <v>2994</v>
      </c>
      <c r="E2025" s="927"/>
      <c r="F2025" s="926"/>
      <c r="G2025" s="57">
        <v>26.376000000000001</v>
      </c>
      <c r="H2025" s="34"/>
    </row>
    <row r="2026" spans="1:8" ht="12.15" customHeight="1">
      <c r="A2026" s="5"/>
      <c r="B2026" s="5"/>
      <c r="C2026" s="5"/>
      <c r="D2026" s="926" t="s">
        <v>2995</v>
      </c>
      <c r="E2026" s="927"/>
      <c r="F2026" s="926"/>
      <c r="G2026" s="57">
        <v>13.771000000000001</v>
      </c>
      <c r="H2026" s="34"/>
    </row>
    <row r="2027" spans="1:8" ht="12.15" customHeight="1">
      <c r="A2027" s="5"/>
      <c r="B2027" s="5"/>
      <c r="C2027" s="5"/>
      <c r="D2027" s="926" t="s">
        <v>2996</v>
      </c>
      <c r="E2027" s="927"/>
      <c r="F2027" s="926"/>
      <c r="G2027" s="57">
        <v>2.9039999999999999</v>
      </c>
      <c r="H2027" s="34"/>
    </row>
    <row r="2028" spans="1:8" ht="12.15" customHeight="1">
      <c r="A2028" s="5"/>
      <c r="B2028" s="5"/>
      <c r="C2028" s="5"/>
      <c r="D2028" s="926" t="s">
        <v>2997</v>
      </c>
      <c r="E2028" s="927"/>
      <c r="F2028" s="926"/>
      <c r="G2028" s="57">
        <v>0</v>
      </c>
      <c r="H2028" s="34"/>
    </row>
    <row r="2029" spans="1:8" ht="12.15" customHeight="1">
      <c r="A2029" s="5"/>
      <c r="B2029" s="5"/>
      <c r="C2029" s="5"/>
      <c r="D2029" s="926" t="s">
        <v>2150</v>
      </c>
      <c r="E2029" s="927"/>
      <c r="F2029" s="926"/>
      <c r="G2029" s="57">
        <v>0</v>
      </c>
      <c r="H2029" s="34"/>
    </row>
    <row r="2030" spans="1:8" ht="12.15" customHeight="1">
      <c r="A2030" s="5"/>
      <c r="B2030" s="5"/>
      <c r="C2030" s="5"/>
      <c r="D2030" s="926" t="s">
        <v>2998</v>
      </c>
      <c r="E2030" s="927"/>
      <c r="F2030" s="926"/>
      <c r="G2030" s="57">
        <v>24.568999999999999</v>
      </c>
      <c r="H2030" s="34"/>
    </row>
    <row r="2031" spans="1:8" ht="12.15" customHeight="1">
      <c r="A2031" s="5"/>
      <c r="B2031" s="5"/>
      <c r="C2031" s="5"/>
      <c r="D2031" s="926" t="s">
        <v>2999</v>
      </c>
      <c r="E2031" s="927"/>
      <c r="F2031" s="926"/>
      <c r="G2031" s="57">
        <v>3.8</v>
      </c>
      <c r="H2031" s="34"/>
    </row>
    <row r="2032" spans="1:8" ht="12.15" customHeight="1">
      <c r="A2032" s="5"/>
      <c r="B2032" s="5"/>
      <c r="C2032" s="5"/>
      <c r="D2032" s="926" t="s">
        <v>3000</v>
      </c>
      <c r="E2032" s="927"/>
      <c r="F2032" s="926"/>
      <c r="G2032" s="57">
        <v>28.770499999999998</v>
      </c>
      <c r="H2032" s="34"/>
    </row>
    <row r="2033" spans="1:8" ht="12.15" customHeight="1">
      <c r="A2033" s="5"/>
      <c r="B2033" s="5"/>
      <c r="C2033" s="5"/>
      <c r="D2033" s="926" t="s">
        <v>3001</v>
      </c>
      <c r="E2033" s="927"/>
      <c r="F2033" s="926"/>
      <c r="G2033" s="57">
        <v>33.131</v>
      </c>
      <c r="H2033" s="34"/>
    </row>
    <row r="2034" spans="1:8" ht="12.15" customHeight="1">
      <c r="A2034" s="5"/>
      <c r="B2034" s="5"/>
      <c r="C2034" s="5"/>
      <c r="D2034" s="926" t="s">
        <v>3002</v>
      </c>
      <c r="E2034" s="927"/>
      <c r="F2034" s="926"/>
      <c r="G2034" s="57">
        <v>16.300999999999998</v>
      </c>
      <c r="H2034" s="34"/>
    </row>
    <row r="2035" spans="1:8" ht="12.15" customHeight="1">
      <c r="A2035" s="5"/>
      <c r="B2035" s="5"/>
      <c r="C2035" s="5"/>
      <c r="D2035" s="926" t="s">
        <v>3003</v>
      </c>
      <c r="E2035" s="927"/>
      <c r="F2035" s="926"/>
      <c r="G2035" s="57">
        <v>11.167999999999999</v>
      </c>
      <c r="H2035" s="34"/>
    </row>
    <row r="2036" spans="1:8" ht="12.15" customHeight="1">
      <c r="A2036" s="5"/>
      <c r="B2036" s="5"/>
      <c r="C2036" s="5"/>
      <c r="D2036" s="926" t="s">
        <v>3004</v>
      </c>
      <c r="E2036" s="927"/>
      <c r="F2036" s="926"/>
      <c r="G2036" s="57">
        <v>15.911</v>
      </c>
      <c r="H2036" s="34"/>
    </row>
    <row r="2037" spans="1:8" ht="12.15" customHeight="1">
      <c r="A2037" s="5"/>
      <c r="B2037" s="5"/>
      <c r="C2037" s="5"/>
      <c r="D2037" s="926" t="s">
        <v>3005</v>
      </c>
      <c r="E2037" s="927"/>
      <c r="F2037" s="926"/>
      <c r="G2037" s="57">
        <v>13.624000000000001</v>
      </c>
      <c r="H2037" s="34"/>
    </row>
    <row r="2038" spans="1:8" ht="12.15" customHeight="1">
      <c r="A2038" s="5"/>
      <c r="B2038" s="5"/>
      <c r="C2038" s="5"/>
      <c r="D2038" s="926" t="s">
        <v>3006</v>
      </c>
      <c r="E2038" s="927"/>
      <c r="F2038" s="926"/>
      <c r="G2038" s="57">
        <v>13.423999999999999</v>
      </c>
      <c r="H2038" s="34"/>
    </row>
    <row r="2039" spans="1:8" ht="12.15" customHeight="1">
      <c r="A2039" s="5"/>
      <c r="B2039" s="5"/>
      <c r="C2039" s="5"/>
      <c r="D2039" s="926" t="s">
        <v>3007</v>
      </c>
      <c r="E2039" s="927"/>
      <c r="F2039" s="926"/>
      <c r="G2039" s="57">
        <v>32.337499999999999</v>
      </c>
      <c r="H2039" s="34"/>
    </row>
    <row r="2040" spans="1:8" ht="12.15" customHeight="1">
      <c r="A2040" s="5"/>
      <c r="B2040" s="5"/>
      <c r="C2040" s="5"/>
      <c r="D2040" s="926" t="s">
        <v>3008</v>
      </c>
      <c r="E2040" s="927"/>
      <c r="F2040" s="926"/>
      <c r="G2040" s="57">
        <v>22.827000000000002</v>
      </c>
      <c r="H2040" s="34"/>
    </row>
    <row r="2041" spans="1:8" ht="12.15" customHeight="1">
      <c r="A2041" s="5"/>
      <c r="B2041" s="5"/>
      <c r="C2041" s="5"/>
      <c r="D2041" s="926" t="s">
        <v>3009</v>
      </c>
      <c r="E2041" s="927"/>
      <c r="F2041" s="926"/>
      <c r="G2041" s="57">
        <v>22.9375</v>
      </c>
      <c r="H2041" s="34"/>
    </row>
    <row r="2042" spans="1:8" ht="12.15" customHeight="1">
      <c r="A2042" s="5"/>
      <c r="B2042" s="5"/>
      <c r="C2042" s="5"/>
      <c r="D2042" s="926" t="s">
        <v>3010</v>
      </c>
      <c r="E2042" s="927"/>
      <c r="F2042" s="926"/>
      <c r="G2042" s="57">
        <v>19.283000000000001</v>
      </c>
      <c r="H2042" s="34"/>
    </row>
    <row r="2043" spans="1:8" ht="12.15" customHeight="1">
      <c r="A2043" s="5"/>
      <c r="B2043" s="5"/>
      <c r="C2043" s="5"/>
      <c r="D2043" s="926" t="s">
        <v>3011</v>
      </c>
      <c r="E2043" s="927"/>
      <c r="F2043" s="926"/>
      <c r="G2043" s="57">
        <v>9.8469999999999995</v>
      </c>
      <c r="H2043" s="34"/>
    </row>
    <row r="2044" spans="1:8" ht="12.15" customHeight="1">
      <c r="A2044" s="5"/>
      <c r="B2044" s="5"/>
      <c r="C2044" s="5"/>
      <c r="D2044" s="926" t="s">
        <v>3012</v>
      </c>
      <c r="E2044" s="927"/>
      <c r="F2044" s="926"/>
      <c r="G2044" s="57">
        <v>9.3840000000000003</v>
      </c>
      <c r="H2044" s="34"/>
    </row>
    <row r="2045" spans="1:8" ht="12.15" customHeight="1">
      <c r="A2045" s="5"/>
      <c r="B2045" s="5"/>
      <c r="C2045" s="5"/>
      <c r="D2045" s="926" t="s">
        <v>3013</v>
      </c>
      <c r="E2045" s="927"/>
      <c r="F2045" s="926"/>
      <c r="G2045" s="57">
        <v>9.0239999999999991</v>
      </c>
      <c r="H2045" s="34"/>
    </row>
    <row r="2046" spans="1:8" ht="12.15" customHeight="1">
      <c r="A2046" s="5"/>
      <c r="B2046" s="5"/>
      <c r="C2046" s="5"/>
      <c r="D2046" s="926" t="s">
        <v>2152</v>
      </c>
      <c r="E2046" s="927"/>
      <c r="F2046" s="926"/>
      <c r="G2046" s="57">
        <v>0</v>
      </c>
      <c r="H2046" s="34"/>
    </row>
    <row r="2047" spans="1:8" ht="12.15" customHeight="1">
      <c r="A2047" s="5"/>
      <c r="B2047" s="5"/>
      <c r="C2047" s="5"/>
      <c r="D2047" s="926" t="s">
        <v>3014</v>
      </c>
      <c r="E2047" s="927"/>
      <c r="F2047" s="926"/>
      <c r="G2047" s="57">
        <v>46.677</v>
      </c>
      <c r="H2047" s="34"/>
    </row>
    <row r="2048" spans="1:8" ht="12.15" customHeight="1">
      <c r="A2048" s="5"/>
      <c r="B2048" s="5"/>
      <c r="C2048" s="5"/>
      <c r="D2048" s="926" t="s">
        <v>3015</v>
      </c>
      <c r="E2048" s="927"/>
      <c r="F2048" s="926"/>
      <c r="G2048" s="57">
        <v>26.413</v>
      </c>
      <c r="H2048" s="34"/>
    </row>
    <row r="2049" spans="1:8" ht="12.15" customHeight="1">
      <c r="A2049" s="5"/>
      <c r="B2049" s="5"/>
      <c r="C2049" s="5"/>
      <c r="D2049" s="926" t="s">
        <v>3016</v>
      </c>
      <c r="E2049" s="927"/>
      <c r="F2049" s="926"/>
      <c r="G2049" s="57">
        <v>9.8010000000000002</v>
      </c>
      <c r="H2049" s="34"/>
    </row>
    <row r="2050" spans="1:8" ht="12.15" customHeight="1">
      <c r="A2050" s="5"/>
      <c r="B2050" s="5"/>
      <c r="C2050" s="5"/>
      <c r="D2050" s="926" t="s">
        <v>3017</v>
      </c>
      <c r="E2050" s="927"/>
      <c r="F2050" s="926"/>
      <c r="G2050" s="57">
        <v>9.4109999999999996</v>
      </c>
      <c r="H2050" s="34"/>
    </row>
    <row r="2051" spans="1:8" ht="12.15" customHeight="1">
      <c r="A2051" s="5"/>
      <c r="B2051" s="5"/>
      <c r="C2051" s="5"/>
      <c r="D2051" s="926" t="s">
        <v>3018</v>
      </c>
      <c r="E2051" s="927"/>
      <c r="F2051" s="926"/>
      <c r="G2051" s="57">
        <v>17.651</v>
      </c>
      <c r="H2051" s="34"/>
    </row>
    <row r="2052" spans="1:8" ht="12.15" customHeight="1">
      <c r="A2052" s="5"/>
      <c r="B2052" s="5"/>
      <c r="C2052" s="5"/>
      <c r="D2052" s="926" t="s">
        <v>3019</v>
      </c>
      <c r="E2052" s="927"/>
      <c r="F2052" s="926"/>
      <c r="G2052" s="57">
        <v>17.132999999999999</v>
      </c>
      <c r="H2052" s="34"/>
    </row>
    <row r="2053" spans="1:8" ht="12.15" customHeight="1">
      <c r="A2053" s="5"/>
      <c r="B2053" s="5"/>
      <c r="C2053" s="5"/>
      <c r="D2053" s="926" t="s">
        <v>3020</v>
      </c>
      <c r="E2053" s="927"/>
      <c r="F2053" s="926"/>
      <c r="G2053" s="57">
        <v>9.8010000000000002</v>
      </c>
      <c r="H2053" s="34"/>
    </row>
    <row r="2054" spans="1:8" ht="12.15" customHeight="1">
      <c r="A2054" s="5"/>
      <c r="B2054" s="5"/>
      <c r="C2054" s="5"/>
      <c r="D2054" s="926" t="s">
        <v>3021</v>
      </c>
      <c r="E2054" s="927"/>
      <c r="F2054" s="926"/>
      <c r="G2054" s="57">
        <v>61.716000000000001</v>
      </c>
      <c r="H2054" s="34"/>
    </row>
    <row r="2055" spans="1:8" ht="12.15" customHeight="1">
      <c r="A2055" s="5"/>
      <c r="B2055" s="5"/>
      <c r="C2055" s="5"/>
      <c r="D2055" s="926" t="s">
        <v>3022</v>
      </c>
      <c r="E2055" s="927"/>
      <c r="F2055" s="926"/>
      <c r="G2055" s="57">
        <v>9.218</v>
      </c>
      <c r="H2055" s="34"/>
    </row>
    <row r="2056" spans="1:8" ht="12.15" customHeight="1">
      <c r="A2056" s="5"/>
      <c r="B2056" s="5"/>
      <c r="C2056" s="5"/>
      <c r="D2056" s="926" t="s">
        <v>2154</v>
      </c>
      <c r="E2056" s="927"/>
      <c r="F2056" s="926"/>
      <c r="G2056" s="57">
        <v>0</v>
      </c>
      <c r="H2056" s="34"/>
    </row>
    <row r="2057" spans="1:8" ht="12.15" customHeight="1">
      <c r="A2057" s="5"/>
      <c r="B2057" s="5"/>
      <c r="C2057" s="5"/>
      <c r="D2057" s="926" t="s">
        <v>3023</v>
      </c>
      <c r="E2057" s="927"/>
      <c r="F2057" s="926"/>
      <c r="G2057" s="57">
        <v>62.100999999999999</v>
      </c>
      <c r="H2057" s="34"/>
    </row>
    <row r="2058" spans="1:8" ht="12.15" customHeight="1">
      <c r="A2058" s="5"/>
      <c r="B2058" s="5"/>
      <c r="C2058" s="5"/>
      <c r="D2058" s="926" t="s">
        <v>3024</v>
      </c>
      <c r="E2058" s="927"/>
      <c r="F2058" s="926"/>
      <c r="G2058" s="57">
        <v>118.19799999999999</v>
      </c>
      <c r="H2058" s="34"/>
    </row>
    <row r="2059" spans="1:8" ht="12.15" customHeight="1">
      <c r="A2059" s="5"/>
      <c r="B2059" s="5"/>
      <c r="C2059" s="5"/>
      <c r="D2059" s="926" t="s">
        <v>3025</v>
      </c>
      <c r="E2059" s="927"/>
      <c r="F2059" s="926"/>
      <c r="G2059" s="57">
        <v>-16.734000000000002</v>
      </c>
      <c r="H2059" s="34"/>
    </row>
    <row r="2060" spans="1:8" ht="12.15" customHeight="1">
      <c r="A2060" s="5"/>
      <c r="B2060" s="5"/>
      <c r="C2060" s="5"/>
      <c r="D2060" s="926" t="s">
        <v>3026</v>
      </c>
      <c r="E2060" s="927"/>
      <c r="F2060" s="926"/>
      <c r="G2060" s="57">
        <v>11.750999999999999</v>
      </c>
      <c r="H2060" s="34"/>
    </row>
    <row r="2061" spans="1:8" ht="12.15" customHeight="1">
      <c r="A2061" s="5"/>
      <c r="B2061" s="5"/>
      <c r="C2061" s="5"/>
      <c r="D2061" s="926" t="s">
        <v>3027</v>
      </c>
      <c r="E2061" s="927"/>
      <c r="F2061" s="926"/>
      <c r="G2061" s="57">
        <v>11.026</v>
      </c>
      <c r="H2061" s="34"/>
    </row>
    <row r="2062" spans="1:8" ht="12.15" customHeight="1">
      <c r="A2062" s="5"/>
      <c r="B2062" s="5"/>
      <c r="C2062" s="5"/>
      <c r="D2062" s="926" t="s">
        <v>3028</v>
      </c>
      <c r="E2062" s="927"/>
      <c r="F2062" s="926"/>
      <c r="G2062" s="57">
        <v>9.6080000000000005</v>
      </c>
      <c r="H2062" s="34"/>
    </row>
    <row r="2063" spans="1:8" ht="12.15" customHeight="1">
      <c r="A2063" s="5"/>
      <c r="B2063" s="5"/>
      <c r="C2063" s="5"/>
      <c r="D2063" s="926" t="s">
        <v>3029</v>
      </c>
      <c r="E2063" s="927"/>
      <c r="F2063" s="926"/>
      <c r="G2063" s="57">
        <v>18.4815</v>
      </c>
      <c r="H2063" s="34"/>
    </row>
    <row r="2064" spans="1:8" ht="12.15" customHeight="1">
      <c r="A2064" s="5"/>
      <c r="B2064" s="5"/>
      <c r="C2064" s="5"/>
      <c r="D2064" s="926" t="s">
        <v>3030</v>
      </c>
      <c r="E2064" s="927"/>
      <c r="F2064" s="926"/>
      <c r="G2064" s="57">
        <v>0</v>
      </c>
      <c r="H2064" s="34"/>
    </row>
    <row r="2065" spans="1:8" ht="12.15" customHeight="1">
      <c r="A2065" s="5"/>
      <c r="B2065" s="5"/>
      <c r="C2065" s="5"/>
      <c r="D2065" s="926" t="s">
        <v>2154</v>
      </c>
      <c r="E2065" s="927"/>
      <c r="F2065" s="926"/>
      <c r="G2065" s="57">
        <v>0</v>
      </c>
      <c r="H2065" s="34"/>
    </row>
    <row r="2066" spans="1:8" ht="12.15" customHeight="1">
      <c r="A2066" s="5"/>
      <c r="B2066" s="5"/>
      <c r="C2066" s="5"/>
      <c r="D2066" s="926" t="s">
        <v>3031</v>
      </c>
      <c r="E2066" s="927"/>
      <c r="F2066" s="926"/>
      <c r="G2066" s="57">
        <v>23.029</v>
      </c>
      <c r="H2066" s="34"/>
    </row>
    <row r="2067" spans="1:8" ht="12.15" customHeight="1">
      <c r="A2067" s="5"/>
      <c r="B2067" s="5"/>
      <c r="C2067" s="5"/>
      <c r="D2067" s="926" t="s">
        <v>3032</v>
      </c>
      <c r="E2067" s="927"/>
      <c r="F2067" s="926"/>
      <c r="G2067" s="57">
        <v>19.484000000000002</v>
      </c>
      <c r="H2067" s="34"/>
    </row>
    <row r="2068" spans="1:8" ht="12.15" customHeight="1">
      <c r="A2068" s="5"/>
      <c r="B2068" s="5"/>
      <c r="C2068" s="5"/>
      <c r="D2068" s="926" t="s">
        <v>3033</v>
      </c>
      <c r="E2068" s="927"/>
      <c r="F2068" s="926"/>
      <c r="G2068" s="57">
        <v>11.554</v>
      </c>
      <c r="H2068" s="34"/>
    </row>
    <row r="2069" spans="1:8" ht="12.15" customHeight="1">
      <c r="A2069" s="5"/>
      <c r="B2069" s="5"/>
      <c r="C2069" s="5"/>
      <c r="D2069" s="926" t="s">
        <v>3034</v>
      </c>
      <c r="E2069" s="927"/>
      <c r="F2069" s="926"/>
      <c r="G2069" s="57">
        <v>21.614999999999998</v>
      </c>
      <c r="H2069" s="34"/>
    </row>
    <row r="2070" spans="1:8" ht="12.15" customHeight="1">
      <c r="A2070" s="5"/>
      <c r="B2070" s="5"/>
      <c r="C2070" s="5"/>
      <c r="D2070" s="926" t="s">
        <v>3035</v>
      </c>
      <c r="E2070" s="927"/>
      <c r="F2070" s="926"/>
      <c r="G2070" s="57">
        <v>10.581</v>
      </c>
      <c r="H2070" s="34"/>
    </row>
    <row r="2071" spans="1:8" ht="12.15" customHeight="1">
      <c r="A2071" s="5"/>
      <c r="B2071" s="5"/>
      <c r="C2071" s="5"/>
      <c r="D2071" s="926" t="s">
        <v>3036</v>
      </c>
      <c r="E2071" s="927"/>
      <c r="F2071" s="926"/>
      <c r="G2071" s="57">
        <v>15.781000000000001</v>
      </c>
      <c r="H2071" s="34"/>
    </row>
    <row r="2072" spans="1:8" ht="12.15" customHeight="1">
      <c r="A2072" s="5"/>
      <c r="B2072" s="5"/>
      <c r="C2072" s="5"/>
      <c r="D2072" s="926" t="s">
        <v>3037</v>
      </c>
      <c r="E2072" s="927"/>
      <c r="F2072" s="926"/>
      <c r="G2072" s="57">
        <v>10.778</v>
      </c>
      <c r="H2072" s="34"/>
    </row>
    <row r="2073" spans="1:8" ht="12.15" customHeight="1">
      <c r="A2073" s="5"/>
      <c r="B2073" s="5"/>
      <c r="C2073" s="5"/>
      <c r="D2073" s="926" t="s">
        <v>3038</v>
      </c>
      <c r="E2073" s="927"/>
      <c r="F2073" s="926"/>
      <c r="G2073" s="57">
        <v>15.727</v>
      </c>
      <c r="H2073" s="34"/>
    </row>
    <row r="2074" spans="1:8" ht="12.15" customHeight="1">
      <c r="A2074" s="5"/>
      <c r="B2074" s="5"/>
      <c r="C2074" s="5"/>
      <c r="D2074" s="926" t="s">
        <v>3039</v>
      </c>
      <c r="E2074" s="927"/>
      <c r="F2074" s="926"/>
      <c r="G2074" s="57">
        <v>21.327000000000002</v>
      </c>
      <c r="H2074" s="34"/>
    </row>
    <row r="2075" spans="1:8">
      <c r="A2075" s="6" t="s">
        <v>582</v>
      </c>
      <c r="B2075" s="6"/>
      <c r="C2075" s="6" t="s">
        <v>1190</v>
      </c>
      <c r="D2075" s="928" t="s">
        <v>1897</v>
      </c>
      <c r="E2075" s="929"/>
      <c r="F2075" s="6" t="s">
        <v>1940</v>
      </c>
      <c r="G2075" s="22">
        <v>103.88509999999999</v>
      </c>
      <c r="H2075" s="22">
        <v>0</v>
      </c>
    </row>
    <row r="2076" spans="1:8" ht="12.15" customHeight="1">
      <c r="D2076" s="932" t="s">
        <v>3040</v>
      </c>
      <c r="E2076" s="933"/>
      <c r="F2076" s="933"/>
      <c r="G2076" s="58">
        <v>94.441000000000003</v>
      </c>
    </row>
    <row r="2077" spans="1:8" ht="12.15" customHeight="1">
      <c r="A2077" s="6"/>
      <c r="B2077" s="6"/>
      <c r="C2077" s="6"/>
      <c r="D2077" s="932" t="s">
        <v>3041</v>
      </c>
      <c r="E2077" s="933"/>
      <c r="F2077" s="932"/>
      <c r="G2077" s="58">
        <v>9.4441000000000006</v>
      </c>
      <c r="H2077" s="35"/>
    </row>
    <row r="2078" spans="1:8">
      <c r="A2078" s="6" t="s">
        <v>583</v>
      </c>
      <c r="B2078" s="6"/>
      <c r="C2078" s="6" t="s">
        <v>1176</v>
      </c>
      <c r="D2078" s="928" t="s">
        <v>1898</v>
      </c>
      <c r="E2078" s="929"/>
      <c r="F2078" s="6" t="s">
        <v>1940</v>
      </c>
      <c r="G2078" s="22">
        <v>832.06529999999998</v>
      </c>
      <c r="H2078" s="22">
        <v>0</v>
      </c>
    </row>
    <row r="2079" spans="1:8" ht="12.15" customHeight="1">
      <c r="D2079" s="932" t="s">
        <v>3042</v>
      </c>
      <c r="E2079" s="933"/>
      <c r="F2079" s="933"/>
      <c r="G2079" s="58">
        <v>756.423</v>
      </c>
    </row>
    <row r="2080" spans="1:8" ht="12.15" customHeight="1">
      <c r="A2080" s="6"/>
      <c r="B2080" s="6"/>
      <c r="C2080" s="6"/>
      <c r="D2080" s="932" t="s">
        <v>3043</v>
      </c>
      <c r="E2080" s="933"/>
      <c r="F2080" s="932"/>
      <c r="G2080" s="58">
        <v>75.642300000000006</v>
      </c>
      <c r="H2080" s="35"/>
    </row>
    <row r="2081" spans="1:8">
      <c r="A2081" s="6" t="s">
        <v>584</v>
      </c>
      <c r="B2081" s="6"/>
      <c r="C2081" s="6" t="s">
        <v>1191</v>
      </c>
      <c r="D2081" s="928" t="s">
        <v>1899</v>
      </c>
      <c r="E2081" s="929"/>
      <c r="F2081" s="6" t="s">
        <v>1940</v>
      </c>
      <c r="G2081" s="22">
        <v>112.2484</v>
      </c>
      <c r="H2081" s="22">
        <v>0</v>
      </c>
    </row>
    <row r="2082" spans="1:8" ht="12.15" customHeight="1">
      <c r="D2082" s="932" t="s">
        <v>3044</v>
      </c>
      <c r="E2082" s="933"/>
      <c r="F2082" s="933"/>
      <c r="G2082" s="58">
        <v>102.044</v>
      </c>
    </row>
    <row r="2083" spans="1:8" ht="12.15" customHeight="1">
      <c r="A2083" s="6"/>
      <c r="B2083" s="6"/>
      <c r="C2083" s="6"/>
      <c r="D2083" s="932" t="s">
        <v>3045</v>
      </c>
      <c r="E2083" s="933"/>
      <c r="F2083" s="932"/>
      <c r="G2083" s="58">
        <v>10.2044</v>
      </c>
      <c r="H2083" s="35"/>
    </row>
    <row r="2084" spans="1:8">
      <c r="A2084" s="5" t="s">
        <v>585</v>
      </c>
      <c r="B2084" s="5"/>
      <c r="C2084" s="5" t="s">
        <v>1192</v>
      </c>
      <c r="D2084" s="924" t="s">
        <v>1900</v>
      </c>
      <c r="E2084" s="925"/>
      <c r="F2084" s="5" t="s">
        <v>1940</v>
      </c>
      <c r="G2084" s="21">
        <v>960.85799999999995</v>
      </c>
      <c r="H2084" s="21">
        <v>0</v>
      </c>
    </row>
    <row r="2085" spans="1:8" ht="12.15" customHeight="1">
      <c r="D2085" s="926" t="s">
        <v>3046</v>
      </c>
      <c r="E2085" s="927"/>
      <c r="F2085" s="927"/>
      <c r="G2085" s="57">
        <v>952.90800000000002</v>
      </c>
    </row>
    <row r="2086" spans="1:8" ht="12.15" customHeight="1">
      <c r="A2086" s="5"/>
      <c r="B2086" s="5"/>
      <c r="C2086" s="5"/>
      <c r="D2086" s="926" t="s">
        <v>3047</v>
      </c>
      <c r="E2086" s="927"/>
      <c r="F2086" s="926"/>
      <c r="G2086" s="57">
        <v>7.95</v>
      </c>
      <c r="H2086" s="34"/>
    </row>
    <row r="2087" spans="1:8">
      <c r="A2087" s="5" t="s">
        <v>586</v>
      </c>
      <c r="B2087" s="5"/>
      <c r="C2087" s="5" t="s">
        <v>1193</v>
      </c>
      <c r="D2087" s="924" t="s">
        <v>1901</v>
      </c>
      <c r="E2087" s="925"/>
      <c r="F2087" s="5" t="s">
        <v>1940</v>
      </c>
      <c r="G2087" s="21">
        <v>49.200499999999998</v>
      </c>
      <c r="H2087" s="21">
        <v>0</v>
      </c>
    </row>
    <row r="2088" spans="1:8" ht="12.15" customHeight="1">
      <c r="D2088" s="926" t="s">
        <v>3048</v>
      </c>
      <c r="E2088" s="927"/>
      <c r="F2088" s="927"/>
      <c r="G2088" s="57">
        <v>0</v>
      </c>
    </row>
    <row r="2089" spans="1:8" ht="12.15" customHeight="1">
      <c r="A2089" s="5"/>
      <c r="B2089" s="5"/>
      <c r="C2089" s="5"/>
      <c r="D2089" s="926" t="s">
        <v>2150</v>
      </c>
      <c r="E2089" s="927"/>
      <c r="F2089" s="926"/>
      <c r="G2089" s="57">
        <v>0</v>
      </c>
      <c r="H2089" s="34"/>
    </row>
    <row r="2090" spans="1:8" ht="12.15" customHeight="1">
      <c r="A2090" s="5"/>
      <c r="B2090" s="5"/>
      <c r="C2090" s="5"/>
      <c r="D2090" s="926" t="s">
        <v>2999</v>
      </c>
      <c r="E2090" s="927"/>
      <c r="F2090" s="926"/>
      <c r="G2090" s="57">
        <v>3.8</v>
      </c>
      <c r="H2090" s="34"/>
    </row>
    <row r="2091" spans="1:8" ht="12.15" customHeight="1">
      <c r="A2091" s="5"/>
      <c r="B2091" s="5"/>
      <c r="C2091" s="5"/>
      <c r="D2091" s="926" t="s">
        <v>3049</v>
      </c>
      <c r="E2091" s="927"/>
      <c r="F2091" s="926"/>
      <c r="G2091" s="57">
        <v>3.8</v>
      </c>
      <c r="H2091" s="34"/>
    </row>
    <row r="2092" spans="1:8" ht="12.15" customHeight="1">
      <c r="A2092" s="5"/>
      <c r="B2092" s="5"/>
      <c r="C2092" s="5"/>
      <c r="D2092" s="926" t="s">
        <v>3050</v>
      </c>
      <c r="E2092" s="927"/>
      <c r="F2092" s="926"/>
      <c r="G2092" s="57">
        <v>5.2</v>
      </c>
      <c r="H2092" s="34"/>
    </row>
    <row r="2093" spans="1:8" ht="12.15" customHeight="1">
      <c r="A2093" s="5"/>
      <c r="B2093" s="5"/>
      <c r="C2093" s="5"/>
      <c r="D2093" s="926" t="s">
        <v>2152</v>
      </c>
      <c r="E2093" s="927"/>
      <c r="F2093" s="926"/>
      <c r="G2093" s="57">
        <v>0</v>
      </c>
      <c r="H2093" s="34"/>
    </row>
    <row r="2094" spans="1:8" ht="12.15" customHeight="1">
      <c r="A2094" s="5"/>
      <c r="B2094" s="5"/>
      <c r="C2094" s="5"/>
      <c r="D2094" s="926" t="s">
        <v>3051</v>
      </c>
      <c r="E2094" s="927"/>
      <c r="F2094" s="926"/>
      <c r="G2094" s="57">
        <v>8.8650000000000002</v>
      </c>
      <c r="H2094" s="34"/>
    </row>
    <row r="2095" spans="1:8" ht="12.15" customHeight="1">
      <c r="A2095" s="5"/>
      <c r="B2095" s="5"/>
      <c r="C2095" s="5"/>
      <c r="D2095" s="926" t="s">
        <v>3052</v>
      </c>
      <c r="E2095" s="927"/>
      <c r="F2095" s="926"/>
      <c r="G2095" s="57">
        <v>9.0540000000000003</v>
      </c>
      <c r="H2095" s="34"/>
    </row>
    <row r="2096" spans="1:8" ht="12.15" customHeight="1">
      <c r="A2096" s="5"/>
      <c r="B2096" s="5"/>
      <c r="C2096" s="5"/>
      <c r="D2096" s="926" t="s">
        <v>2154</v>
      </c>
      <c r="E2096" s="927"/>
      <c r="F2096" s="926"/>
      <c r="G2096" s="57">
        <v>0</v>
      </c>
      <c r="H2096" s="34"/>
    </row>
    <row r="2097" spans="1:8" ht="12.15" customHeight="1">
      <c r="A2097" s="5"/>
      <c r="B2097" s="5"/>
      <c r="C2097" s="5"/>
      <c r="D2097" s="926" t="s">
        <v>3029</v>
      </c>
      <c r="E2097" s="927"/>
      <c r="F2097" s="926"/>
      <c r="G2097" s="57">
        <v>18.4815</v>
      </c>
      <c r="H2097" s="34"/>
    </row>
    <row r="2098" spans="1:8">
      <c r="A2098" s="6" t="s">
        <v>587</v>
      </c>
      <c r="B2098" s="6"/>
      <c r="C2098" s="6" t="s">
        <v>1194</v>
      </c>
      <c r="D2098" s="928" t="s">
        <v>1902</v>
      </c>
      <c r="E2098" s="929"/>
      <c r="F2098" s="6" t="s">
        <v>1944</v>
      </c>
      <c r="G2098" s="22">
        <v>147.60149999999999</v>
      </c>
      <c r="H2098" s="22">
        <v>0</v>
      </c>
    </row>
    <row r="2099" spans="1:8" ht="12.15" customHeight="1">
      <c r="D2099" s="932" t="s">
        <v>3053</v>
      </c>
      <c r="E2099" s="933"/>
      <c r="F2099" s="933"/>
      <c r="G2099" s="58">
        <v>147.60149999999999</v>
      </c>
    </row>
    <row r="2100" spans="1:8" ht="64.2" customHeight="1">
      <c r="C2100" s="54" t="s">
        <v>605</v>
      </c>
      <c r="D2100" s="917" t="s">
        <v>1903</v>
      </c>
      <c r="E2100" s="918"/>
      <c r="F2100" s="918"/>
      <c r="G2100" s="918"/>
    </row>
    <row r="2101" spans="1:8">
      <c r="A2101" s="5" t="s">
        <v>588</v>
      </c>
      <c r="B2101" s="5"/>
      <c r="C2101" s="5" t="s">
        <v>1195</v>
      </c>
      <c r="D2101" s="924" t="s">
        <v>1904</v>
      </c>
      <c r="E2101" s="925"/>
      <c r="F2101" s="5" t="s">
        <v>1940</v>
      </c>
      <c r="G2101" s="21">
        <v>7.95</v>
      </c>
      <c r="H2101" s="21">
        <v>0</v>
      </c>
    </row>
    <row r="2102" spans="1:8" ht="12.15" customHeight="1">
      <c r="D2102" s="926" t="s">
        <v>3054</v>
      </c>
      <c r="E2102" s="927"/>
      <c r="F2102" s="927"/>
      <c r="G2102" s="57">
        <v>7.95</v>
      </c>
    </row>
    <row r="2103" spans="1:8">
      <c r="A2103" s="6" t="s">
        <v>589</v>
      </c>
      <c r="B2103" s="6"/>
      <c r="C2103" s="6" t="s">
        <v>1172</v>
      </c>
      <c r="D2103" s="928" t="s">
        <v>1905</v>
      </c>
      <c r="E2103" s="929"/>
      <c r="F2103" s="6" t="s">
        <v>1940</v>
      </c>
      <c r="G2103" s="22">
        <v>8.7449999999999992</v>
      </c>
      <c r="H2103" s="22">
        <v>0</v>
      </c>
    </row>
    <row r="2104" spans="1:8" ht="12.15" customHeight="1">
      <c r="D2104" s="932" t="s">
        <v>3055</v>
      </c>
      <c r="E2104" s="933"/>
      <c r="F2104" s="933"/>
      <c r="G2104" s="58">
        <v>7.95</v>
      </c>
    </row>
    <row r="2105" spans="1:8" ht="12.15" customHeight="1">
      <c r="A2105" s="6"/>
      <c r="B2105" s="6"/>
      <c r="C2105" s="6"/>
      <c r="D2105" s="932" t="s">
        <v>3056</v>
      </c>
      <c r="E2105" s="933"/>
      <c r="F2105" s="932"/>
      <c r="G2105" s="58">
        <v>0.79500000000000004</v>
      </c>
      <c r="H2105" s="35"/>
    </row>
    <row r="2106" spans="1:8">
      <c r="A2106" s="5" t="s">
        <v>590</v>
      </c>
      <c r="B2106" s="5"/>
      <c r="C2106" s="5" t="s">
        <v>1196</v>
      </c>
      <c r="D2106" s="924" t="s">
        <v>1906</v>
      </c>
      <c r="E2106" s="925"/>
      <c r="F2106" s="5" t="s">
        <v>1945</v>
      </c>
      <c r="G2106" s="21">
        <v>15819.2844</v>
      </c>
      <c r="H2106" s="21">
        <v>0</v>
      </c>
    </row>
    <row r="2107" spans="1:8">
      <c r="A2107" s="14"/>
      <c r="B2107" s="14"/>
      <c r="C2107" s="14" t="s">
        <v>1197</v>
      </c>
      <c r="D2107" s="930" t="s">
        <v>1907</v>
      </c>
      <c r="E2107" s="931"/>
      <c r="F2107" s="14"/>
      <c r="G2107" s="30"/>
      <c r="H2107" s="30"/>
    </row>
    <row r="2108" spans="1:8">
      <c r="A2108" s="5" t="s">
        <v>591</v>
      </c>
      <c r="B2108" s="5"/>
      <c r="C2108" s="5" t="s">
        <v>1198</v>
      </c>
      <c r="D2108" s="924" t="s">
        <v>1908</v>
      </c>
      <c r="E2108" s="925"/>
      <c r="F2108" s="5" t="s">
        <v>1940</v>
      </c>
      <c r="G2108" s="21">
        <v>128.005</v>
      </c>
      <c r="H2108" s="21">
        <v>0</v>
      </c>
    </row>
    <row r="2109" spans="1:8" ht="12.15" customHeight="1">
      <c r="D2109" s="926" t="s">
        <v>3057</v>
      </c>
      <c r="E2109" s="927"/>
      <c r="F2109" s="927"/>
      <c r="G2109" s="57">
        <v>0</v>
      </c>
    </row>
    <row r="2110" spans="1:8" ht="12.15" customHeight="1">
      <c r="A2110" s="5"/>
      <c r="B2110" s="5"/>
      <c r="C2110" s="5"/>
      <c r="D2110" s="926" t="s">
        <v>3058</v>
      </c>
      <c r="E2110" s="927"/>
      <c r="F2110" s="926"/>
      <c r="G2110" s="57">
        <v>119.93</v>
      </c>
      <c r="H2110" s="34"/>
    </row>
    <row r="2111" spans="1:8" ht="12.15" customHeight="1">
      <c r="A2111" s="5"/>
      <c r="B2111" s="5"/>
      <c r="C2111" s="5"/>
      <c r="D2111" s="926" t="s">
        <v>3059</v>
      </c>
      <c r="E2111" s="927"/>
      <c r="F2111" s="926"/>
      <c r="G2111" s="57">
        <v>8.0749999999999993</v>
      </c>
      <c r="H2111" s="34"/>
    </row>
    <row r="2112" spans="1:8">
      <c r="A2112" s="5" t="s">
        <v>592</v>
      </c>
      <c r="B2112" s="5"/>
      <c r="C2112" s="5" t="s">
        <v>1199</v>
      </c>
      <c r="D2112" s="924" t="s">
        <v>1910</v>
      </c>
      <c r="E2112" s="925"/>
      <c r="F2112" s="5" t="s">
        <v>1945</v>
      </c>
      <c r="G2112" s="21">
        <v>5094.5990000000002</v>
      </c>
      <c r="H2112" s="21">
        <v>0</v>
      </c>
    </row>
    <row r="2113" spans="1:8">
      <c r="A2113" s="14"/>
      <c r="B2113" s="14"/>
      <c r="C2113" s="14" t="s">
        <v>1200</v>
      </c>
      <c r="D2113" s="930" t="s">
        <v>1911</v>
      </c>
      <c r="E2113" s="931"/>
      <c r="F2113" s="14"/>
      <c r="G2113" s="30"/>
      <c r="H2113" s="30"/>
    </row>
    <row r="2114" spans="1:8">
      <c r="A2114" s="5" t="s">
        <v>593</v>
      </c>
      <c r="B2114" s="5"/>
      <c r="C2114" s="5" t="s">
        <v>1201</v>
      </c>
      <c r="D2114" s="924" t="s">
        <v>1912</v>
      </c>
      <c r="E2114" s="925"/>
      <c r="F2114" s="5" t="s">
        <v>1940</v>
      </c>
      <c r="G2114" s="21">
        <v>20</v>
      </c>
      <c r="H2114" s="21">
        <v>0</v>
      </c>
    </row>
    <row r="2115" spans="1:8" ht="12.15" customHeight="1">
      <c r="D2115" s="926" t="s">
        <v>3060</v>
      </c>
      <c r="E2115" s="927"/>
      <c r="F2115" s="927"/>
      <c r="G2115" s="57">
        <v>20</v>
      </c>
    </row>
    <row r="2116" spans="1:8">
      <c r="A2116" s="14"/>
      <c r="B2116" s="14"/>
      <c r="C2116" s="14" t="s">
        <v>1202</v>
      </c>
      <c r="D2116" s="930" t="s">
        <v>1913</v>
      </c>
      <c r="E2116" s="931"/>
      <c r="F2116" s="14"/>
      <c r="G2116" s="30"/>
      <c r="H2116" s="30"/>
    </row>
    <row r="2117" spans="1:8">
      <c r="A2117" s="5" t="s">
        <v>594</v>
      </c>
      <c r="B2117" s="5"/>
      <c r="C2117" s="5" t="s">
        <v>1203</v>
      </c>
      <c r="D2117" s="924" t="s">
        <v>1914</v>
      </c>
      <c r="E2117" s="925"/>
      <c r="F2117" s="5" t="s">
        <v>1940</v>
      </c>
      <c r="G2117" s="21">
        <v>3856.3883700000001</v>
      </c>
      <c r="H2117" s="21">
        <v>0</v>
      </c>
    </row>
    <row r="2118" spans="1:8" ht="12.15" customHeight="1">
      <c r="D2118" s="926" t="s">
        <v>2478</v>
      </c>
      <c r="E2118" s="927"/>
      <c r="F2118" s="927"/>
      <c r="G2118" s="57">
        <v>0</v>
      </c>
    </row>
    <row r="2119" spans="1:8" ht="12.15" customHeight="1">
      <c r="A2119" s="5"/>
      <c r="B2119" s="5"/>
      <c r="C2119" s="5"/>
      <c r="D2119" s="926" t="s">
        <v>2479</v>
      </c>
      <c r="E2119" s="927"/>
      <c r="F2119" s="926"/>
      <c r="G2119" s="57">
        <v>2679.53935</v>
      </c>
      <c r="H2119" s="34"/>
    </row>
    <row r="2120" spans="1:8" ht="12.15" customHeight="1">
      <c r="A2120" s="5"/>
      <c r="B2120" s="5"/>
      <c r="C2120" s="5"/>
      <c r="D2120" s="926" t="s">
        <v>3061</v>
      </c>
      <c r="E2120" s="927"/>
      <c r="F2120" s="926"/>
      <c r="G2120" s="57">
        <v>143.7784</v>
      </c>
      <c r="H2120" s="34"/>
    </row>
    <row r="2121" spans="1:8" ht="12.15" customHeight="1">
      <c r="A2121" s="5"/>
      <c r="B2121" s="5"/>
      <c r="C2121" s="5"/>
      <c r="D2121" s="926" t="s">
        <v>2112</v>
      </c>
      <c r="E2121" s="927"/>
      <c r="F2121" s="926"/>
      <c r="G2121" s="57">
        <v>0</v>
      </c>
      <c r="H2121" s="34"/>
    </row>
    <row r="2122" spans="1:8" ht="12.15" customHeight="1">
      <c r="A2122" s="5"/>
      <c r="B2122" s="5"/>
      <c r="C2122" s="5"/>
      <c r="D2122" s="926" t="s">
        <v>2481</v>
      </c>
      <c r="E2122" s="927"/>
      <c r="F2122" s="926"/>
      <c r="G2122" s="57">
        <v>86.94</v>
      </c>
      <c r="H2122" s="34"/>
    </row>
    <row r="2123" spans="1:8" ht="12.15" customHeight="1">
      <c r="A2123" s="5"/>
      <c r="B2123" s="5"/>
      <c r="C2123" s="5"/>
      <c r="D2123" s="926" t="s">
        <v>2482</v>
      </c>
      <c r="E2123" s="927"/>
      <c r="F2123" s="926"/>
      <c r="G2123" s="57">
        <v>41.744999999999997</v>
      </c>
      <c r="H2123" s="34"/>
    </row>
    <row r="2124" spans="1:8" ht="12.15" customHeight="1">
      <c r="A2124" s="5"/>
      <c r="B2124" s="5"/>
      <c r="C2124" s="5"/>
      <c r="D2124" s="926" t="s">
        <v>3062</v>
      </c>
      <c r="E2124" s="927"/>
      <c r="F2124" s="926"/>
      <c r="G2124" s="57">
        <v>85.56</v>
      </c>
      <c r="H2124" s="34"/>
    </row>
    <row r="2125" spans="1:8" ht="12.15" customHeight="1">
      <c r="A2125" s="5"/>
      <c r="B2125" s="5"/>
      <c r="C2125" s="5"/>
      <c r="D2125" s="926" t="s">
        <v>2484</v>
      </c>
      <c r="E2125" s="927"/>
      <c r="F2125" s="926"/>
      <c r="G2125" s="57">
        <v>10.35</v>
      </c>
      <c r="H2125" s="34"/>
    </row>
    <row r="2126" spans="1:8" ht="12.15" customHeight="1">
      <c r="A2126" s="5"/>
      <c r="B2126" s="5"/>
      <c r="C2126" s="5"/>
      <c r="D2126" s="926" t="s">
        <v>2485</v>
      </c>
      <c r="E2126" s="927"/>
      <c r="F2126" s="926"/>
      <c r="G2126" s="57">
        <v>27.0549</v>
      </c>
      <c r="H2126" s="34"/>
    </row>
    <row r="2127" spans="1:8" ht="12.15" customHeight="1">
      <c r="A2127" s="5"/>
      <c r="B2127" s="5"/>
      <c r="C2127" s="5"/>
      <c r="D2127" s="926" t="s">
        <v>2512</v>
      </c>
      <c r="E2127" s="927"/>
      <c r="F2127" s="926"/>
      <c r="G2127" s="57">
        <v>17.25</v>
      </c>
      <c r="H2127" s="34"/>
    </row>
    <row r="2128" spans="1:8" ht="12.15" customHeight="1">
      <c r="A2128" s="5"/>
      <c r="B2128" s="5"/>
      <c r="C2128" s="5"/>
      <c r="D2128" s="926" t="s">
        <v>2515</v>
      </c>
      <c r="E2128" s="927"/>
      <c r="F2128" s="926"/>
      <c r="G2128" s="57">
        <v>51.794849999999997</v>
      </c>
      <c r="H2128" s="34"/>
    </row>
    <row r="2129" spans="1:8" ht="12.15" customHeight="1">
      <c r="A2129" s="5"/>
      <c r="B2129" s="5"/>
      <c r="C2129" s="5"/>
      <c r="D2129" s="926" t="s">
        <v>3063</v>
      </c>
      <c r="E2129" s="927"/>
      <c r="F2129" s="926"/>
      <c r="G2129" s="57">
        <v>21.46</v>
      </c>
      <c r="H2129" s="34"/>
    </row>
    <row r="2130" spans="1:8" ht="12.15" customHeight="1">
      <c r="A2130" s="5"/>
      <c r="B2130" s="5"/>
      <c r="C2130" s="5"/>
      <c r="D2130" s="926" t="s">
        <v>3064</v>
      </c>
      <c r="E2130" s="927"/>
      <c r="F2130" s="926"/>
      <c r="G2130" s="57">
        <v>12.50985</v>
      </c>
      <c r="H2130" s="34"/>
    </row>
    <row r="2131" spans="1:8" ht="12.15" customHeight="1">
      <c r="A2131" s="5"/>
      <c r="B2131" s="5"/>
      <c r="C2131" s="5"/>
      <c r="D2131" s="926" t="s">
        <v>2167</v>
      </c>
      <c r="E2131" s="927"/>
      <c r="F2131" s="926"/>
      <c r="G2131" s="57">
        <v>0</v>
      </c>
      <c r="H2131" s="34"/>
    </row>
    <row r="2132" spans="1:8" ht="12.15" customHeight="1">
      <c r="A2132" s="5"/>
      <c r="B2132" s="5"/>
      <c r="C2132" s="5"/>
      <c r="D2132" s="926" t="s">
        <v>3065</v>
      </c>
      <c r="E2132" s="927"/>
      <c r="F2132" s="926"/>
      <c r="G2132" s="57">
        <v>9.3000000000000007</v>
      </c>
      <c r="H2132" s="34"/>
    </row>
    <row r="2133" spans="1:8" ht="12.15" customHeight="1">
      <c r="A2133" s="5"/>
      <c r="B2133" s="5"/>
      <c r="C2133" s="5"/>
      <c r="D2133" s="926" t="s">
        <v>3066</v>
      </c>
      <c r="E2133" s="927"/>
      <c r="F2133" s="926"/>
      <c r="G2133" s="57">
        <v>24.291599999999999</v>
      </c>
      <c r="H2133" s="34"/>
    </row>
    <row r="2134" spans="1:8" ht="12.15" customHeight="1">
      <c r="A2134" s="5"/>
      <c r="B2134" s="5"/>
      <c r="C2134" s="5"/>
      <c r="D2134" s="926" t="s">
        <v>3067</v>
      </c>
      <c r="E2134" s="927"/>
      <c r="F2134" s="926"/>
      <c r="G2134" s="57">
        <v>71.021000000000001</v>
      </c>
      <c r="H2134" s="34"/>
    </row>
    <row r="2135" spans="1:8" ht="12.15" customHeight="1">
      <c r="A2135" s="5"/>
      <c r="B2135" s="5"/>
      <c r="C2135" s="5"/>
      <c r="D2135" s="926" t="s">
        <v>2490</v>
      </c>
      <c r="E2135" s="927"/>
      <c r="F2135" s="926"/>
      <c r="G2135" s="57">
        <v>54.591000000000001</v>
      </c>
      <c r="H2135" s="34"/>
    </row>
    <row r="2136" spans="1:8" ht="12.15" customHeight="1">
      <c r="A2136" s="5"/>
      <c r="B2136" s="5"/>
      <c r="C2136" s="5"/>
      <c r="D2136" s="926" t="s">
        <v>2491</v>
      </c>
      <c r="E2136" s="927"/>
      <c r="F2136" s="926"/>
      <c r="G2136" s="57">
        <v>26.0245</v>
      </c>
      <c r="H2136" s="34"/>
    </row>
    <row r="2137" spans="1:8" ht="12.15" customHeight="1">
      <c r="A2137" s="5"/>
      <c r="B2137" s="5"/>
      <c r="C2137" s="5"/>
      <c r="D2137" s="926" t="s">
        <v>2492</v>
      </c>
      <c r="E2137" s="927"/>
      <c r="F2137" s="926"/>
      <c r="G2137" s="57">
        <v>10.23</v>
      </c>
      <c r="H2137" s="34"/>
    </row>
    <row r="2138" spans="1:8" ht="12.15" customHeight="1">
      <c r="A2138" s="5"/>
      <c r="B2138" s="5"/>
      <c r="C2138" s="5"/>
      <c r="D2138" s="926" t="s">
        <v>3068</v>
      </c>
      <c r="E2138" s="927"/>
      <c r="F2138" s="926"/>
      <c r="G2138" s="57">
        <v>19.43</v>
      </c>
      <c r="H2138" s="34"/>
    </row>
    <row r="2139" spans="1:8" ht="12.15" customHeight="1">
      <c r="A2139" s="5"/>
      <c r="B2139" s="5"/>
      <c r="C2139" s="5"/>
      <c r="D2139" s="926" t="s">
        <v>2494</v>
      </c>
      <c r="E2139" s="927"/>
      <c r="F2139" s="926"/>
      <c r="G2139" s="57">
        <v>1.55</v>
      </c>
      <c r="H2139" s="34"/>
    </row>
    <row r="2140" spans="1:8" ht="12.15" customHeight="1">
      <c r="A2140" s="5"/>
      <c r="B2140" s="5"/>
      <c r="C2140" s="5"/>
      <c r="D2140" s="926" t="s">
        <v>2495</v>
      </c>
      <c r="E2140" s="927"/>
      <c r="F2140" s="926"/>
      <c r="G2140" s="57">
        <v>46.546500000000002</v>
      </c>
      <c r="H2140" s="34"/>
    </row>
    <row r="2141" spans="1:8" ht="12.15" customHeight="1">
      <c r="A2141" s="5"/>
      <c r="B2141" s="5"/>
      <c r="C2141" s="5"/>
      <c r="D2141" s="926" t="s">
        <v>2496</v>
      </c>
      <c r="E2141" s="927"/>
      <c r="F2141" s="926"/>
      <c r="G2141" s="57">
        <v>6.5025000000000004</v>
      </c>
      <c r="H2141" s="34"/>
    </row>
    <row r="2142" spans="1:8" ht="12.15" customHeight="1">
      <c r="A2142" s="5"/>
      <c r="B2142" s="5"/>
      <c r="C2142" s="5"/>
      <c r="D2142" s="926" t="s">
        <v>2497</v>
      </c>
      <c r="E2142" s="927"/>
      <c r="F2142" s="926"/>
      <c r="G2142" s="57">
        <v>21.794</v>
      </c>
      <c r="H2142" s="34"/>
    </row>
    <row r="2143" spans="1:8" ht="12.15" customHeight="1">
      <c r="A2143" s="5"/>
      <c r="B2143" s="5"/>
      <c r="C2143" s="5"/>
      <c r="D2143" s="926" t="s">
        <v>2498</v>
      </c>
      <c r="E2143" s="927"/>
      <c r="F2143" s="926"/>
      <c r="G2143" s="57">
        <v>0.17</v>
      </c>
      <c r="H2143" s="34"/>
    </row>
    <row r="2144" spans="1:8" ht="12.15" customHeight="1">
      <c r="A2144" s="5"/>
      <c r="B2144" s="5"/>
      <c r="C2144" s="5"/>
      <c r="D2144" s="926" t="s">
        <v>2499</v>
      </c>
      <c r="E2144" s="927"/>
      <c r="F2144" s="926"/>
      <c r="G2144" s="57">
        <v>13.6248</v>
      </c>
      <c r="H2144" s="34"/>
    </row>
    <row r="2145" spans="1:8" ht="12.15" customHeight="1">
      <c r="A2145" s="5"/>
      <c r="B2145" s="5"/>
      <c r="C2145" s="5"/>
      <c r="D2145" s="926" t="s">
        <v>2500</v>
      </c>
      <c r="E2145" s="927"/>
      <c r="F2145" s="926"/>
      <c r="G2145" s="57">
        <v>33.75</v>
      </c>
      <c r="H2145" s="34"/>
    </row>
    <row r="2146" spans="1:8" ht="12.15" customHeight="1">
      <c r="A2146" s="5"/>
      <c r="B2146" s="5"/>
      <c r="C2146" s="5"/>
      <c r="D2146" s="926" t="s">
        <v>3069</v>
      </c>
      <c r="E2146" s="927"/>
      <c r="F2146" s="926"/>
      <c r="G2146" s="57">
        <v>20.242999999999999</v>
      </c>
      <c r="H2146" s="34"/>
    </row>
    <row r="2147" spans="1:8" ht="12.15" customHeight="1">
      <c r="A2147" s="5"/>
      <c r="B2147" s="5"/>
      <c r="C2147" s="5"/>
      <c r="D2147" s="926" t="s">
        <v>3070</v>
      </c>
      <c r="E2147" s="927"/>
      <c r="F2147" s="926"/>
      <c r="G2147" s="57">
        <v>21.3749</v>
      </c>
      <c r="H2147" s="34"/>
    </row>
    <row r="2148" spans="1:8" ht="12.15" customHeight="1">
      <c r="A2148" s="5"/>
      <c r="B2148" s="5"/>
      <c r="C2148" s="5"/>
      <c r="D2148" s="926" t="s">
        <v>2182</v>
      </c>
      <c r="E2148" s="927"/>
      <c r="F2148" s="926"/>
      <c r="G2148" s="57">
        <v>0</v>
      </c>
      <c r="H2148" s="34"/>
    </row>
    <row r="2149" spans="1:8" ht="12.15" customHeight="1">
      <c r="A2149" s="5"/>
      <c r="B2149" s="5"/>
      <c r="C2149" s="5"/>
      <c r="D2149" s="926" t="s">
        <v>2503</v>
      </c>
      <c r="E2149" s="927"/>
      <c r="F2149" s="926"/>
      <c r="G2149" s="57">
        <v>8.5</v>
      </c>
      <c r="H2149" s="34"/>
    </row>
    <row r="2150" spans="1:8" ht="12.15" customHeight="1">
      <c r="A2150" s="5"/>
      <c r="B2150" s="5"/>
      <c r="C2150" s="5"/>
      <c r="D2150" s="926" t="s">
        <v>3071</v>
      </c>
      <c r="E2150" s="927"/>
      <c r="F2150" s="926"/>
      <c r="G2150" s="57">
        <v>37.655000000000001</v>
      </c>
      <c r="H2150" s="34"/>
    </row>
    <row r="2151" spans="1:8" ht="12.15" customHeight="1">
      <c r="A2151" s="5"/>
      <c r="B2151" s="5"/>
      <c r="C2151" s="5"/>
      <c r="D2151" s="926" t="s">
        <v>3072</v>
      </c>
      <c r="E2151" s="927"/>
      <c r="F2151" s="926"/>
      <c r="G2151" s="57">
        <v>31.216249999999999</v>
      </c>
      <c r="H2151" s="34"/>
    </row>
    <row r="2152" spans="1:8" ht="12.15" customHeight="1">
      <c r="A2152" s="5"/>
      <c r="B2152" s="5"/>
      <c r="C2152" s="5"/>
      <c r="D2152" s="926" t="s">
        <v>2506</v>
      </c>
      <c r="E2152" s="927"/>
      <c r="F2152" s="926"/>
      <c r="G2152" s="57">
        <v>53.957999999999998</v>
      </c>
      <c r="H2152" s="34"/>
    </row>
    <row r="2153" spans="1:8" ht="12.15" customHeight="1">
      <c r="A2153" s="5"/>
      <c r="B2153" s="5"/>
      <c r="C2153" s="5"/>
      <c r="D2153" s="926" t="s">
        <v>2508</v>
      </c>
      <c r="E2153" s="927"/>
      <c r="F2153" s="926"/>
      <c r="G2153" s="57">
        <v>192.28422</v>
      </c>
      <c r="H2153" s="34"/>
    </row>
    <row r="2154" spans="1:8" ht="12.15" customHeight="1">
      <c r="A2154" s="5"/>
      <c r="B2154" s="5"/>
      <c r="C2154" s="5"/>
      <c r="D2154" s="926" t="s">
        <v>2509</v>
      </c>
      <c r="E2154" s="927"/>
      <c r="F2154" s="926"/>
      <c r="G2154" s="57">
        <v>30.402249999999999</v>
      </c>
      <c r="H2154" s="34"/>
    </row>
    <row r="2155" spans="1:8" ht="12.15" customHeight="1">
      <c r="A2155" s="5"/>
      <c r="B2155" s="5"/>
      <c r="C2155" s="5"/>
      <c r="D2155" s="926" t="s">
        <v>2510</v>
      </c>
      <c r="E2155" s="927"/>
      <c r="F2155" s="926"/>
      <c r="G2155" s="57">
        <v>6.72</v>
      </c>
      <c r="H2155" s="34"/>
    </row>
    <row r="2156" spans="1:8" ht="12.15" customHeight="1">
      <c r="A2156" s="5"/>
      <c r="B2156" s="5"/>
      <c r="C2156" s="5"/>
      <c r="D2156" s="926" t="s">
        <v>3073</v>
      </c>
      <c r="E2156" s="927"/>
      <c r="F2156" s="926"/>
      <c r="G2156" s="57">
        <v>0</v>
      </c>
      <c r="H2156" s="34"/>
    </row>
    <row r="2157" spans="1:8" ht="12.15" customHeight="1">
      <c r="A2157" s="5"/>
      <c r="B2157" s="5"/>
      <c r="C2157" s="5"/>
      <c r="D2157" s="926" t="s">
        <v>3074</v>
      </c>
      <c r="E2157" s="927"/>
      <c r="F2157" s="926"/>
      <c r="G2157" s="57">
        <v>-947.46799999999996</v>
      </c>
      <c r="H2157" s="34"/>
    </row>
    <row r="2158" spans="1:8" ht="12.15" customHeight="1">
      <c r="A2158" s="5"/>
      <c r="B2158" s="5"/>
      <c r="C2158" s="5"/>
      <c r="D2158" s="926" t="s">
        <v>3075</v>
      </c>
      <c r="E2158" s="927"/>
      <c r="F2158" s="926"/>
      <c r="G2158" s="57">
        <v>0</v>
      </c>
      <c r="H2158" s="34"/>
    </row>
    <row r="2159" spans="1:8" ht="12.15" customHeight="1">
      <c r="A2159" s="5"/>
      <c r="B2159" s="5"/>
      <c r="C2159" s="5"/>
      <c r="D2159" s="926" t="s">
        <v>2150</v>
      </c>
      <c r="E2159" s="927"/>
      <c r="F2159" s="926"/>
      <c r="G2159" s="57">
        <v>0</v>
      </c>
      <c r="H2159" s="34"/>
    </row>
    <row r="2160" spans="1:8" ht="12.15" customHeight="1">
      <c r="A2160" s="5"/>
      <c r="B2160" s="5"/>
      <c r="C2160" s="5"/>
      <c r="D2160" s="926" t="s">
        <v>2341</v>
      </c>
      <c r="E2160" s="927"/>
      <c r="F2160" s="926"/>
      <c r="G2160" s="57">
        <v>10.1775</v>
      </c>
      <c r="H2160" s="34"/>
    </row>
    <row r="2161" spans="1:8" ht="12.15" customHeight="1">
      <c r="A2161" s="5"/>
      <c r="B2161" s="5"/>
      <c r="C2161" s="5"/>
      <c r="D2161" s="926" t="s">
        <v>2152</v>
      </c>
      <c r="E2161" s="927"/>
      <c r="F2161" s="926"/>
      <c r="G2161" s="57">
        <v>0</v>
      </c>
      <c r="H2161" s="34"/>
    </row>
    <row r="2162" spans="1:8" ht="12.15" customHeight="1">
      <c r="A2162" s="5"/>
      <c r="B2162" s="5"/>
      <c r="C2162" s="5"/>
      <c r="D2162" s="926" t="s">
        <v>2342</v>
      </c>
      <c r="E2162" s="927"/>
      <c r="F2162" s="926"/>
      <c r="G2162" s="57">
        <v>20.428999999999998</v>
      </c>
      <c r="H2162" s="34"/>
    </row>
    <row r="2163" spans="1:8" ht="12.15" customHeight="1">
      <c r="A2163" s="5"/>
      <c r="B2163" s="5"/>
      <c r="C2163" s="5"/>
      <c r="D2163" s="926" t="s">
        <v>2154</v>
      </c>
      <c r="E2163" s="927"/>
      <c r="F2163" s="926"/>
      <c r="G2163" s="57">
        <v>0</v>
      </c>
      <c r="H2163" s="34"/>
    </row>
    <row r="2164" spans="1:8" ht="12.15" customHeight="1">
      <c r="A2164" s="5"/>
      <c r="B2164" s="5"/>
      <c r="C2164" s="5"/>
      <c r="D2164" s="926" t="s">
        <v>2343</v>
      </c>
      <c r="E2164" s="927"/>
      <c r="F2164" s="926"/>
      <c r="G2164" s="57">
        <v>7.8624999999999998</v>
      </c>
      <c r="H2164" s="34"/>
    </row>
    <row r="2165" spans="1:8" ht="12.15" customHeight="1">
      <c r="A2165" s="5"/>
      <c r="B2165" s="5"/>
      <c r="C2165" s="5"/>
      <c r="D2165" s="926" t="s">
        <v>2150</v>
      </c>
      <c r="E2165" s="927"/>
      <c r="F2165" s="926"/>
      <c r="G2165" s="57">
        <v>0</v>
      </c>
      <c r="H2165" s="34"/>
    </row>
    <row r="2166" spans="1:8" ht="12.15" customHeight="1">
      <c r="A2166" s="5"/>
      <c r="B2166" s="5"/>
      <c r="C2166" s="5"/>
      <c r="D2166" s="926" t="s">
        <v>2344</v>
      </c>
      <c r="E2166" s="927"/>
      <c r="F2166" s="926"/>
      <c r="G2166" s="57">
        <v>15.8355</v>
      </c>
      <c r="H2166" s="34"/>
    </row>
    <row r="2167" spans="1:8" ht="12.15" customHeight="1">
      <c r="A2167" s="5"/>
      <c r="B2167" s="5"/>
      <c r="C2167" s="5"/>
      <c r="D2167" s="926" t="s">
        <v>2152</v>
      </c>
      <c r="E2167" s="927"/>
      <c r="F2167" s="926"/>
      <c r="G2167" s="57">
        <v>0</v>
      </c>
      <c r="H2167" s="34"/>
    </row>
    <row r="2168" spans="1:8" ht="12.15" customHeight="1">
      <c r="A2168" s="5"/>
      <c r="B2168" s="5"/>
      <c r="C2168" s="5"/>
      <c r="D2168" s="926" t="s">
        <v>2345</v>
      </c>
      <c r="E2168" s="927"/>
      <c r="F2168" s="926"/>
      <c r="G2168" s="57">
        <v>15.19</v>
      </c>
      <c r="H2168" s="34"/>
    </row>
    <row r="2169" spans="1:8" ht="12.15" customHeight="1">
      <c r="A2169" s="5"/>
      <c r="B2169" s="5"/>
      <c r="C2169" s="5"/>
      <c r="D2169" s="926" t="s">
        <v>2154</v>
      </c>
      <c r="E2169" s="927"/>
      <c r="F2169" s="926"/>
      <c r="G2169" s="57">
        <v>0</v>
      </c>
      <c r="H2169" s="34"/>
    </row>
    <row r="2170" spans="1:8" ht="12.15" customHeight="1">
      <c r="A2170" s="5"/>
      <c r="B2170" s="5"/>
      <c r="C2170" s="5"/>
      <c r="D2170" s="926" t="s">
        <v>2346</v>
      </c>
      <c r="E2170" s="927"/>
      <c r="F2170" s="926"/>
      <c r="G2170" s="57">
        <v>12.21875</v>
      </c>
      <c r="H2170" s="34"/>
    </row>
    <row r="2171" spans="1:8" ht="12.15" customHeight="1">
      <c r="A2171" s="5"/>
      <c r="B2171" s="5"/>
      <c r="C2171" s="5"/>
      <c r="D2171" s="926" t="s">
        <v>3076</v>
      </c>
      <c r="E2171" s="927"/>
      <c r="F2171" s="926"/>
      <c r="G2171" s="57">
        <v>98.492850000000004</v>
      </c>
      <c r="H2171" s="34"/>
    </row>
    <row r="2172" spans="1:8" ht="12.15" customHeight="1">
      <c r="A2172" s="5"/>
      <c r="B2172" s="5"/>
      <c r="C2172" s="5"/>
      <c r="D2172" s="926" t="s">
        <v>3077</v>
      </c>
      <c r="E2172" s="927"/>
      <c r="F2172" s="926"/>
      <c r="G2172" s="57">
        <v>151.501</v>
      </c>
      <c r="H2172" s="34"/>
    </row>
    <row r="2173" spans="1:8" ht="12.15" customHeight="1">
      <c r="A2173" s="5"/>
      <c r="B2173" s="5"/>
      <c r="C2173" s="5"/>
      <c r="D2173" s="926" t="s">
        <v>2152</v>
      </c>
      <c r="E2173" s="927"/>
      <c r="F2173" s="926"/>
      <c r="G2173" s="57">
        <v>0</v>
      </c>
      <c r="H2173" s="34"/>
    </row>
    <row r="2174" spans="1:8" ht="12.15" customHeight="1">
      <c r="A2174" s="5"/>
      <c r="B2174" s="5"/>
      <c r="C2174" s="5"/>
      <c r="D2174" s="926" t="s">
        <v>3078</v>
      </c>
      <c r="E2174" s="927"/>
      <c r="F2174" s="926"/>
      <c r="G2174" s="57">
        <v>22.05</v>
      </c>
      <c r="H2174" s="34"/>
    </row>
    <row r="2175" spans="1:8" ht="12.15" customHeight="1">
      <c r="A2175" s="5"/>
      <c r="B2175" s="5"/>
      <c r="C2175" s="5"/>
      <c r="D2175" s="926" t="s">
        <v>3079</v>
      </c>
      <c r="E2175" s="927"/>
      <c r="F2175" s="926"/>
      <c r="G2175" s="57">
        <v>17.36</v>
      </c>
      <c r="H2175" s="34"/>
    </row>
    <row r="2176" spans="1:8" ht="12.15" customHeight="1">
      <c r="A2176" s="5"/>
      <c r="B2176" s="5"/>
      <c r="C2176" s="5"/>
      <c r="D2176" s="926" t="s">
        <v>3080</v>
      </c>
      <c r="E2176" s="927"/>
      <c r="F2176" s="926"/>
      <c r="G2176" s="57">
        <v>135.02000000000001</v>
      </c>
      <c r="H2176" s="34"/>
    </row>
    <row r="2177" spans="1:8" ht="12.15" customHeight="1">
      <c r="A2177" s="5"/>
      <c r="B2177" s="5"/>
      <c r="C2177" s="5"/>
      <c r="D2177" s="926" t="s">
        <v>3081</v>
      </c>
      <c r="E2177" s="927"/>
      <c r="F2177" s="926"/>
      <c r="G2177" s="57">
        <v>46.7</v>
      </c>
      <c r="H2177" s="34"/>
    </row>
    <row r="2178" spans="1:8" ht="12.15" customHeight="1">
      <c r="A2178" s="5"/>
      <c r="B2178" s="5"/>
      <c r="C2178" s="5"/>
      <c r="D2178" s="926" t="s">
        <v>3082</v>
      </c>
      <c r="E2178" s="927"/>
      <c r="F2178" s="926"/>
      <c r="G2178" s="57">
        <v>51.46</v>
      </c>
      <c r="H2178" s="34"/>
    </row>
    <row r="2179" spans="1:8" ht="12.15" customHeight="1">
      <c r="A2179" s="5"/>
      <c r="B2179" s="5"/>
      <c r="C2179" s="5"/>
      <c r="D2179" s="926" t="s">
        <v>3083</v>
      </c>
      <c r="E2179" s="927"/>
      <c r="F2179" s="926"/>
      <c r="G2179" s="57">
        <v>21.557400000000001</v>
      </c>
      <c r="H2179" s="34"/>
    </row>
    <row r="2180" spans="1:8" ht="12.15" customHeight="1">
      <c r="A2180" s="5"/>
      <c r="B2180" s="5"/>
      <c r="C2180" s="5"/>
      <c r="D2180" s="926" t="s">
        <v>3084</v>
      </c>
      <c r="E2180" s="927"/>
      <c r="F2180" s="926"/>
      <c r="G2180" s="57">
        <v>77.040000000000006</v>
      </c>
      <c r="H2180" s="34"/>
    </row>
    <row r="2181" spans="1:8" ht="12.15" customHeight="1">
      <c r="A2181" s="5"/>
      <c r="B2181" s="5"/>
      <c r="C2181" s="5"/>
      <c r="D2181" s="926" t="s">
        <v>3085</v>
      </c>
      <c r="E2181" s="927"/>
      <c r="F2181" s="926"/>
      <c r="G2181" s="57">
        <v>137.4</v>
      </c>
      <c r="H2181" s="34"/>
    </row>
    <row r="2182" spans="1:8" ht="12.15" customHeight="1">
      <c r="A2182" s="5"/>
      <c r="B2182" s="5"/>
      <c r="C2182" s="5"/>
      <c r="D2182" s="926" t="s">
        <v>2534</v>
      </c>
      <c r="E2182" s="927"/>
      <c r="F2182" s="926"/>
      <c r="G2182" s="57">
        <v>44.4</v>
      </c>
      <c r="H2182" s="34"/>
    </row>
    <row r="2183" spans="1:8">
      <c r="A2183" s="5" t="s">
        <v>595</v>
      </c>
      <c r="B2183" s="5"/>
      <c r="C2183" s="5" t="s">
        <v>1204</v>
      </c>
      <c r="D2183" s="924" t="s">
        <v>1915</v>
      </c>
      <c r="E2183" s="925"/>
      <c r="F2183" s="5" t="s">
        <v>1940</v>
      </c>
      <c r="G2183" s="21">
        <v>2533.0903699999999</v>
      </c>
      <c r="H2183" s="21">
        <v>0</v>
      </c>
    </row>
    <row r="2184" spans="1:8" ht="12.15" customHeight="1">
      <c r="D2184" s="926" t="s">
        <v>3086</v>
      </c>
      <c r="E2184" s="927"/>
      <c r="F2184" s="927"/>
      <c r="G2184" s="57">
        <v>2533.0903699999999</v>
      </c>
    </row>
    <row r="2185" spans="1:8">
      <c r="A2185" s="5" t="s">
        <v>596</v>
      </c>
      <c r="B2185" s="5"/>
      <c r="C2185" s="5" t="s">
        <v>1205</v>
      </c>
      <c r="D2185" s="924" t="s">
        <v>1916</v>
      </c>
      <c r="E2185" s="925"/>
      <c r="F2185" s="5" t="s">
        <v>1940</v>
      </c>
      <c r="G2185" s="21">
        <v>1193.4355</v>
      </c>
      <c r="H2185" s="21">
        <v>0</v>
      </c>
    </row>
    <row r="2186" spans="1:8" ht="12.15" customHeight="1">
      <c r="D2186" s="926" t="s">
        <v>3078</v>
      </c>
      <c r="E2186" s="927"/>
      <c r="F2186" s="927"/>
      <c r="G2186" s="57">
        <v>22.05</v>
      </c>
    </row>
    <row r="2187" spans="1:8" ht="12.15" customHeight="1">
      <c r="A2187" s="5"/>
      <c r="B2187" s="5"/>
      <c r="C2187" s="5"/>
      <c r="D2187" s="926" t="s">
        <v>3079</v>
      </c>
      <c r="E2187" s="927"/>
      <c r="F2187" s="926"/>
      <c r="G2187" s="57">
        <v>17.36</v>
      </c>
      <c r="H2187" s="34"/>
    </row>
    <row r="2188" spans="1:8" ht="12.15" customHeight="1">
      <c r="A2188" s="5"/>
      <c r="B2188" s="5"/>
      <c r="C2188" s="5"/>
      <c r="D2188" s="926" t="s">
        <v>3080</v>
      </c>
      <c r="E2188" s="927"/>
      <c r="F2188" s="926"/>
      <c r="G2188" s="57">
        <v>135.02000000000001</v>
      </c>
      <c r="H2188" s="34"/>
    </row>
    <row r="2189" spans="1:8" ht="12.15" customHeight="1">
      <c r="A2189" s="5"/>
      <c r="B2189" s="5"/>
      <c r="C2189" s="5"/>
      <c r="D2189" s="926" t="s">
        <v>3087</v>
      </c>
      <c r="E2189" s="927"/>
      <c r="F2189" s="926"/>
      <c r="G2189" s="57">
        <v>0</v>
      </c>
      <c r="H2189" s="34"/>
    </row>
    <row r="2190" spans="1:8" ht="12.15" customHeight="1">
      <c r="A2190" s="5"/>
      <c r="B2190" s="5"/>
      <c r="C2190" s="5"/>
      <c r="D2190" s="926" t="s">
        <v>2150</v>
      </c>
      <c r="E2190" s="927"/>
      <c r="F2190" s="926"/>
      <c r="G2190" s="57">
        <v>0</v>
      </c>
      <c r="H2190" s="34"/>
    </row>
    <row r="2191" spans="1:8" ht="12.15" customHeight="1">
      <c r="A2191" s="5"/>
      <c r="B2191" s="5"/>
      <c r="C2191" s="5"/>
      <c r="D2191" s="926" t="s">
        <v>3088</v>
      </c>
      <c r="E2191" s="927"/>
      <c r="F2191" s="926"/>
      <c r="G2191" s="57">
        <v>98.55</v>
      </c>
      <c r="H2191" s="34"/>
    </row>
    <row r="2192" spans="1:8" ht="12.15" customHeight="1">
      <c r="A2192" s="5"/>
      <c r="B2192" s="5"/>
      <c r="C2192" s="5"/>
      <c r="D2192" s="926" t="s">
        <v>3089</v>
      </c>
      <c r="E2192" s="927"/>
      <c r="F2192" s="926"/>
      <c r="G2192" s="57">
        <v>101.895</v>
      </c>
      <c r="H2192" s="34"/>
    </row>
    <row r="2193" spans="1:8" ht="12.15" customHeight="1">
      <c r="A2193" s="5"/>
      <c r="B2193" s="5"/>
      <c r="C2193" s="5"/>
      <c r="D2193" s="926" t="s">
        <v>3090</v>
      </c>
      <c r="E2193" s="927"/>
      <c r="F2193" s="926"/>
      <c r="G2193" s="57">
        <v>4.5</v>
      </c>
      <c r="H2193" s="34"/>
    </row>
    <row r="2194" spans="1:8" ht="12.15" customHeight="1">
      <c r="A2194" s="5"/>
      <c r="B2194" s="5"/>
      <c r="C2194" s="5"/>
      <c r="D2194" s="926" t="s">
        <v>3091</v>
      </c>
      <c r="E2194" s="927"/>
      <c r="F2194" s="926"/>
      <c r="G2194" s="57">
        <v>36.270000000000003</v>
      </c>
      <c r="H2194" s="34"/>
    </row>
    <row r="2195" spans="1:8" ht="12.15" customHeight="1">
      <c r="A2195" s="5"/>
      <c r="B2195" s="5"/>
      <c r="C2195" s="5"/>
      <c r="D2195" s="926" t="s">
        <v>3092</v>
      </c>
      <c r="E2195" s="927"/>
      <c r="F2195" s="926"/>
      <c r="G2195" s="57">
        <v>12.51</v>
      </c>
      <c r="H2195" s="34"/>
    </row>
    <row r="2196" spans="1:8" ht="12.15" customHeight="1">
      <c r="A2196" s="5"/>
      <c r="B2196" s="5"/>
      <c r="C2196" s="5"/>
      <c r="D2196" s="926" t="s">
        <v>3093</v>
      </c>
      <c r="E2196" s="927"/>
      <c r="F2196" s="926"/>
      <c r="G2196" s="57">
        <v>0</v>
      </c>
      <c r="H2196" s="34"/>
    </row>
    <row r="2197" spans="1:8" ht="12.15" customHeight="1">
      <c r="A2197" s="5"/>
      <c r="B2197" s="5"/>
      <c r="C2197" s="5"/>
      <c r="D2197" s="926" t="s">
        <v>3094</v>
      </c>
      <c r="E2197" s="927"/>
      <c r="F2197" s="926"/>
      <c r="G2197" s="57">
        <v>232.125</v>
      </c>
      <c r="H2197" s="34"/>
    </row>
    <row r="2198" spans="1:8" ht="12.15" customHeight="1">
      <c r="A2198" s="5"/>
      <c r="B2198" s="5"/>
      <c r="C2198" s="5"/>
      <c r="D2198" s="926" t="s">
        <v>3095</v>
      </c>
      <c r="E2198" s="927"/>
      <c r="F2198" s="926"/>
      <c r="G2198" s="57">
        <v>140.904</v>
      </c>
      <c r="H2198" s="34"/>
    </row>
    <row r="2199" spans="1:8" ht="12.15" customHeight="1">
      <c r="A2199" s="5"/>
      <c r="B2199" s="5"/>
      <c r="C2199" s="5"/>
      <c r="D2199" s="926" t="s">
        <v>2332</v>
      </c>
      <c r="E2199" s="927"/>
      <c r="F2199" s="926"/>
      <c r="G2199" s="57">
        <v>0</v>
      </c>
      <c r="H2199" s="34"/>
    </row>
    <row r="2200" spans="1:8" ht="12.15" customHeight="1">
      <c r="A2200" s="5"/>
      <c r="B2200" s="5"/>
      <c r="C2200" s="5"/>
      <c r="D2200" s="926" t="s">
        <v>3096</v>
      </c>
      <c r="E2200" s="927"/>
      <c r="F2200" s="926"/>
      <c r="G2200" s="57">
        <v>24.654</v>
      </c>
      <c r="H2200" s="34"/>
    </row>
    <row r="2201" spans="1:8" ht="12.15" customHeight="1">
      <c r="A2201" s="5"/>
      <c r="B2201" s="5"/>
      <c r="C2201" s="5"/>
      <c r="D2201" s="926" t="s">
        <v>3097</v>
      </c>
      <c r="E2201" s="927"/>
      <c r="F2201" s="926"/>
      <c r="G2201" s="57">
        <v>24.967500000000001</v>
      </c>
      <c r="H2201" s="34"/>
    </row>
    <row r="2202" spans="1:8" ht="12.15" customHeight="1">
      <c r="A2202" s="5"/>
      <c r="B2202" s="5"/>
      <c r="C2202" s="5"/>
      <c r="D2202" s="926" t="s">
        <v>3098</v>
      </c>
      <c r="E2202" s="927"/>
      <c r="F2202" s="926"/>
      <c r="G2202" s="57">
        <v>128.19</v>
      </c>
      <c r="H2202" s="34"/>
    </row>
    <row r="2203" spans="1:8" ht="12.15" customHeight="1">
      <c r="A2203" s="5"/>
      <c r="B2203" s="5"/>
      <c r="C2203" s="5"/>
      <c r="D2203" s="926" t="s">
        <v>3099</v>
      </c>
      <c r="E2203" s="927"/>
      <c r="F2203" s="926"/>
      <c r="G2203" s="57">
        <v>77.040000000000006</v>
      </c>
      <c r="H2203" s="34"/>
    </row>
    <row r="2204" spans="1:8" ht="12.15" customHeight="1">
      <c r="A2204" s="5"/>
      <c r="B2204" s="5"/>
      <c r="C2204" s="5"/>
      <c r="D2204" s="926" t="s">
        <v>3085</v>
      </c>
      <c r="E2204" s="927"/>
      <c r="F2204" s="926"/>
      <c r="G2204" s="57">
        <v>137.4</v>
      </c>
      <c r="H2204" s="34"/>
    </row>
    <row r="2205" spans="1:8" ht="12.9" customHeight="1">
      <c r="C2205" s="54" t="s">
        <v>605</v>
      </c>
      <c r="D2205" s="917" t="s">
        <v>1917</v>
      </c>
      <c r="E2205" s="918"/>
      <c r="F2205" s="918"/>
      <c r="G2205" s="918"/>
    </row>
    <row r="2206" spans="1:8">
      <c r="A2206" s="5" t="s">
        <v>597</v>
      </c>
      <c r="B2206" s="5"/>
      <c r="C2206" s="5" t="s">
        <v>1206</v>
      </c>
      <c r="D2206" s="924" t="s">
        <v>1918</v>
      </c>
      <c r="E2206" s="925"/>
      <c r="F2206" s="5" t="s">
        <v>1940</v>
      </c>
      <c r="G2206" s="21">
        <v>135.86250000000001</v>
      </c>
      <c r="H2206" s="21">
        <v>0</v>
      </c>
    </row>
    <row r="2207" spans="1:8" ht="12.15" customHeight="1">
      <c r="D2207" s="926" t="s">
        <v>3100</v>
      </c>
      <c r="E2207" s="927"/>
      <c r="F2207" s="927"/>
      <c r="G2207" s="57">
        <v>101.895</v>
      </c>
    </row>
    <row r="2208" spans="1:8" ht="12.15" customHeight="1">
      <c r="A2208" s="5"/>
      <c r="B2208" s="5"/>
      <c r="C2208" s="5"/>
      <c r="D2208" s="926" t="s">
        <v>3101</v>
      </c>
      <c r="E2208" s="927"/>
      <c r="F2208" s="926"/>
      <c r="G2208" s="57">
        <v>24.967500000000001</v>
      </c>
      <c r="H2208" s="34"/>
    </row>
    <row r="2209" spans="1:8" ht="12.15" customHeight="1">
      <c r="A2209" s="5"/>
      <c r="B2209" s="5"/>
      <c r="C2209" s="5"/>
      <c r="D2209" s="926" t="s">
        <v>3102</v>
      </c>
      <c r="E2209" s="927"/>
      <c r="F2209" s="926"/>
      <c r="G2209" s="57">
        <v>6</v>
      </c>
      <c r="H2209" s="34"/>
    </row>
    <row r="2210" spans="1:8" ht="12.15" customHeight="1">
      <c r="A2210" s="5"/>
      <c r="B2210" s="5"/>
      <c r="C2210" s="5"/>
      <c r="D2210" s="926" t="s">
        <v>3103</v>
      </c>
      <c r="E2210" s="927"/>
      <c r="F2210" s="926"/>
      <c r="G2210" s="57">
        <v>3</v>
      </c>
      <c r="H2210" s="34"/>
    </row>
    <row r="2211" spans="1:8" ht="12.9" customHeight="1">
      <c r="C2211" s="54" t="s">
        <v>605</v>
      </c>
      <c r="D2211" s="917" t="s">
        <v>1919</v>
      </c>
      <c r="E2211" s="918"/>
      <c r="F2211" s="918"/>
      <c r="G2211" s="918"/>
    </row>
    <row r="2212" spans="1:8">
      <c r="A2212" s="14"/>
      <c r="B2212" s="14"/>
      <c r="C2212" s="14" t="s">
        <v>1207</v>
      </c>
      <c r="D2212" s="930" t="s">
        <v>1920</v>
      </c>
      <c r="E2212" s="931"/>
      <c r="F2212" s="14"/>
      <c r="G2212" s="30"/>
      <c r="H2212" s="30"/>
    </row>
    <row r="2213" spans="1:8">
      <c r="A2213" s="5" t="s">
        <v>598</v>
      </c>
      <c r="B2213" s="5"/>
      <c r="C2213" s="5" t="s">
        <v>1208</v>
      </c>
      <c r="D2213" s="924" t="s">
        <v>1921</v>
      </c>
      <c r="E2213" s="925"/>
      <c r="F2213" s="5" t="s">
        <v>1940</v>
      </c>
      <c r="G2213" s="21">
        <v>187.63</v>
      </c>
      <c r="H2213" s="21">
        <v>0</v>
      </c>
    </row>
    <row r="2214" spans="1:8" ht="12.9" customHeight="1">
      <c r="C2214" s="54" t="s">
        <v>605</v>
      </c>
      <c r="D2214" s="917" t="s">
        <v>1922</v>
      </c>
      <c r="E2214" s="918"/>
      <c r="F2214" s="918"/>
      <c r="G2214" s="918"/>
    </row>
    <row r="2215" spans="1:8">
      <c r="A2215" s="14"/>
      <c r="B2215" s="14"/>
      <c r="C2215" s="14" t="s">
        <v>1209</v>
      </c>
      <c r="D2215" s="930" t="s">
        <v>1923</v>
      </c>
      <c r="E2215" s="931"/>
      <c r="F2215" s="14"/>
      <c r="G2215" s="30"/>
      <c r="H2215" s="30"/>
    </row>
    <row r="2216" spans="1:8">
      <c r="A2216" s="5" t="s">
        <v>599</v>
      </c>
      <c r="B2216" s="5"/>
      <c r="C2216" s="5" t="s">
        <v>1210</v>
      </c>
      <c r="D2216" s="924" t="s">
        <v>1924</v>
      </c>
      <c r="E2216" s="925"/>
      <c r="F2216" s="5" t="s">
        <v>1940</v>
      </c>
      <c r="G2216" s="21">
        <v>9.9600000000000009</v>
      </c>
      <c r="H2216" s="21">
        <v>0</v>
      </c>
    </row>
    <row r="2217" spans="1:8" ht="12.15" customHeight="1">
      <c r="D2217" s="926" t="s">
        <v>3104</v>
      </c>
      <c r="E2217" s="927"/>
      <c r="F2217" s="927"/>
      <c r="G2217" s="57">
        <v>0</v>
      </c>
    </row>
    <row r="2218" spans="1:8" ht="12.15" customHeight="1">
      <c r="A2218" s="5"/>
      <c r="B2218" s="5"/>
      <c r="C2218" s="5"/>
      <c r="D2218" s="926" t="s">
        <v>3105</v>
      </c>
      <c r="E2218" s="927"/>
      <c r="F2218" s="926"/>
      <c r="G2218" s="57">
        <v>1.8</v>
      </c>
      <c r="H2218" s="34"/>
    </row>
    <row r="2219" spans="1:8" ht="12.15" customHeight="1">
      <c r="A2219" s="5"/>
      <c r="B2219" s="5"/>
      <c r="C2219" s="5"/>
      <c r="D2219" s="926" t="s">
        <v>3106</v>
      </c>
      <c r="E2219" s="927"/>
      <c r="F2219" s="926"/>
      <c r="G2219" s="57">
        <v>7.2</v>
      </c>
      <c r="H2219" s="34"/>
    </row>
    <row r="2220" spans="1:8" ht="12.15" customHeight="1">
      <c r="A2220" s="5"/>
      <c r="B2220" s="5"/>
      <c r="C2220" s="5"/>
      <c r="D2220" s="926" t="s">
        <v>3107</v>
      </c>
      <c r="E2220" s="927"/>
      <c r="F2220" s="926"/>
      <c r="G2220" s="57">
        <v>0.96</v>
      </c>
      <c r="H2220" s="34"/>
    </row>
    <row r="2221" spans="1:8">
      <c r="A2221" s="6" t="s">
        <v>600</v>
      </c>
      <c r="B2221" s="6"/>
      <c r="C2221" s="6" t="s">
        <v>1211</v>
      </c>
      <c r="D2221" s="928" t="s">
        <v>1925</v>
      </c>
      <c r="E2221" s="929"/>
      <c r="F2221" s="6" t="s">
        <v>1940</v>
      </c>
      <c r="G2221" s="22">
        <v>9.9600000000000009</v>
      </c>
      <c r="H2221" s="22">
        <v>0</v>
      </c>
    </row>
    <row r="2222" spans="1:8" ht="51.45" customHeight="1">
      <c r="C2222" s="54" t="s">
        <v>605</v>
      </c>
      <c r="D2222" s="917" t="s">
        <v>1926</v>
      </c>
      <c r="E2222" s="918"/>
      <c r="F2222" s="918"/>
      <c r="G2222" s="918"/>
    </row>
    <row r="2223" spans="1:8">
      <c r="A2223" s="14"/>
      <c r="B2223" s="14"/>
      <c r="C2223" s="14" t="s">
        <v>1212</v>
      </c>
      <c r="D2223" s="930" t="s">
        <v>1928</v>
      </c>
      <c r="E2223" s="931"/>
      <c r="F2223" s="14"/>
      <c r="G2223" s="30"/>
      <c r="H2223" s="30"/>
    </row>
    <row r="2224" spans="1:8">
      <c r="A2224" s="5" t="s">
        <v>601</v>
      </c>
      <c r="B2224" s="5"/>
      <c r="C2224" s="5" t="s">
        <v>1213</v>
      </c>
      <c r="D2224" s="924" t="s">
        <v>1929</v>
      </c>
      <c r="E2224" s="925"/>
      <c r="F2224" s="5" t="s">
        <v>1938</v>
      </c>
      <c r="G2224" s="21">
        <v>1</v>
      </c>
      <c r="H2224" s="21">
        <v>0</v>
      </c>
    </row>
    <row r="2225" spans="1:8">
      <c r="A2225" s="5" t="s">
        <v>602</v>
      </c>
      <c r="B2225" s="5"/>
      <c r="C2225" s="5" t="s">
        <v>1214</v>
      </c>
      <c r="D2225" s="924" t="s">
        <v>1930</v>
      </c>
      <c r="E2225" s="925"/>
      <c r="F2225" s="5" t="s">
        <v>1938</v>
      </c>
      <c r="G2225" s="21">
        <v>1</v>
      </c>
      <c r="H2225" s="21">
        <v>0</v>
      </c>
    </row>
    <row r="2226" spans="1:8">
      <c r="A2226" s="5" t="s">
        <v>603</v>
      </c>
      <c r="B2226" s="5"/>
      <c r="C2226" s="5" t="s">
        <v>1215</v>
      </c>
      <c r="D2226" s="924" t="s">
        <v>1931</v>
      </c>
      <c r="E2226" s="925"/>
      <c r="F2226" s="5" t="s">
        <v>1938</v>
      </c>
      <c r="G2226" s="21">
        <v>1</v>
      </c>
      <c r="H2226" s="21">
        <v>0</v>
      </c>
    </row>
    <row r="2227" spans="1:8">
      <c r="A2227" s="5" t="s">
        <v>604</v>
      </c>
      <c r="B2227" s="5"/>
      <c r="C2227" s="5" t="s">
        <v>1216</v>
      </c>
      <c r="D2227" s="924" t="s">
        <v>1932</v>
      </c>
      <c r="E2227" s="925"/>
      <c r="F2227" s="5" t="s">
        <v>1943</v>
      </c>
      <c r="G2227" s="21">
        <v>2</v>
      </c>
      <c r="H2227" s="21">
        <v>0</v>
      </c>
    </row>
    <row r="2229" spans="1:8" ht="11.25" customHeight="1">
      <c r="A2229" s="10" t="s">
        <v>605</v>
      </c>
    </row>
    <row r="2230" spans="1:8">
      <c r="A2230" s="764"/>
      <c r="B2230" s="765"/>
      <c r="C2230" s="765"/>
      <c r="D2230" s="765"/>
      <c r="E2230" s="765"/>
      <c r="F2230" s="765"/>
      <c r="G2230" s="765"/>
    </row>
  </sheetData>
  <sheetProtection password="CF7A" sheet="1"/>
  <mergeCells count="2236">
    <mergeCell ref="D10:E10"/>
    <mergeCell ref="D11:E11"/>
    <mergeCell ref="D12:E12"/>
    <mergeCell ref="D13:E13"/>
    <mergeCell ref="D14:E14"/>
    <mergeCell ref="D15:E15"/>
    <mergeCell ref="A6:B7"/>
    <mergeCell ref="C6:D7"/>
    <mergeCell ref="E6:E7"/>
    <mergeCell ref="F6:H7"/>
    <mergeCell ref="A8:B9"/>
    <mergeCell ref="C8:D9"/>
    <mergeCell ref="E8:E9"/>
    <mergeCell ref="F8:H9"/>
    <mergeCell ref="A1:H1"/>
    <mergeCell ref="A2:B3"/>
    <mergeCell ref="C2:D3"/>
    <mergeCell ref="E2:E3"/>
    <mergeCell ref="F2:H3"/>
    <mergeCell ref="A4:B5"/>
    <mergeCell ref="C4:D5"/>
    <mergeCell ref="E4:E5"/>
    <mergeCell ref="F4:H5"/>
    <mergeCell ref="D28:G28"/>
    <mergeCell ref="D29:E29"/>
    <mergeCell ref="D30:F30"/>
    <mergeCell ref="D31:G31"/>
    <mergeCell ref="D32:E32"/>
    <mergeCell ref="D33:E33"/>
    <mergeCell ref="D22:E22"/>
    <mergeCell ref="D23:E23"/>
    <mergeCell ref="D24:E24"/>
    <mergeCell ref="D25:E25"/>
    <mergeCell ref="D26:F26"/>
    <mergeCell ref="D27:E27"/>
    <mergeCell ref="D16:E16"/>
    <mergeCell ref="D17:E17"/>
    <mergeCell ref="D18:E18"/>
    <mergeCell ref="D19:E19"/>
    <mergeCell ref="D20:E20"/>
    <mergeCell ref="D21:E21"/>
    <mergeCell ref="D46:F46"/>
    <mergeCell ref="D47:E47"/>
    <mergeCell ref="D48:E48"/>
    <mergeCell ref="D49:F49"/>
    <mergeCell ref="D50:F50"/>
    <mergeCell ref="D51:F51"/>
    <mergeCell ref="D40:F40"/>
    <mergeCell ref="D41:F41"/>
    <mergeCell ref="D42:E42"/>
    <mergeCell ref="D43:F43"/>
    <mergeCell ref="D44:E44"/>
    <mergeCell ref="D45:E45"/>
    <mergeCell ref="D34:F34"/>
    <mergeCell ref="D35:E35"/>
    <mergeCell ref="D36:F36"/>
    <mergeCell ref="D37:E37"/>
    <mergeCell ref="D38:E38"/>
    <mergeCell ref="D39:F39"/>
    <mergeCell ref="D64:F64"/>
    <mergeCell ref="D65:F65"/>
    <mergeCell ref="D66:E66"/>
    <mergeCell ref="D67:E67"/>
    <mergeCell ref="D68:E68"/>
    <mergeCell ref="D69:E69"/>
    <mergeCell ref="D58:F58"/>
    <mergeCell ref="D59:E59"/>
    <mergeCell ref="D60:E60"/>
    <mergeCell ref="D61:F61"/>
    <mergeCell ref="D62:E62"/>
    <mergeCell ref="D63:F63"/>
    <mergeCell ref="D52:E52"/>
    <mergeCell ref="D53:F53"/>
    <mergeCell ref="D54:E54"/>
    <mergeCell ref="D55:E55"/>
    <mergeCell ref="D56:F56"/>
    <mergeCell ref="D57:E57"/>
    <mergeCell ref="D82:F82"/>
    <mergeCell ref="D83:E83"/>
    <mergeCell ref="D84:F84"/>
    <mergeCell ref="D85:F85"/>
    <mergeCell ref="D86:F86"/>
    <mergeCell ref="D87:F87"/>
    <mergeCell ref="D76:E76"/>
    <mergeCell ref="D77:F77"/>
    <mergeCell ref="D78:F78"/>
    <mergeCell ref="D79:F79"/>
    <mergeCell ref="D80:F80"/>
    <mergeCell ref="D81:F81"/>
    <mergeCell ref="D70:F70"/>
    <mergeCell ref="D71:F71"/>
    <mergeCell ref="D72:F72"/>
    <mergeCell ref="D73:F73"/>
    <mergeCell ref="D74:F74"/>
    <mergeCell ref="D75:F75"/>
    <mergeCell ref="D100:F100"/>
    <mergeCell ref="D101:F101"/>
    <mergeCell ref="D102:E102"/>
    <mergeCell ref="D103:F103"/>
    <mergeCell ref="D104:F104"/>
    <mergeCell ref="D105:F105"/>
    <mergeCell ref="D94:F94"/>
    <mergeCell ref="D95:F95"/>
    <mergeCell ref="D96:F96"/>
    <mergeCell ref="D97:F97"/>
    <mergeCell ref="D98:E98"/>
    <mergeCell ref="D99:E99"/>
    <mergeCell ref="D88:F88"/>
    <mergeCell ref="D89:F89"/>
    <mergeCell ref="D90:E90"/>
    <mergeCell ref="D91:E91"/>
    <mergeCell ref="D92:F92"/>
    <mergeCell ref="D93:F93"/>
    <mergeCell ref="D118:F118"/>
    <mergeCell ref="D119:F119"/>
    <mergeCell ref="D120:F120"/>
    <mergeCell ref="D121:F121"/>
    <mergeCell ref="D122:E122"/>
    <mergeCell ref="D123:E123"/>
    <mergeCell ref="D112:E112"/>
    <mergeCell ref="D113:F113"/>
    <mergeCell ref="D114:F114"/>
    <mergeCell ref="D115:F115"/>
    <mergeCell ref="D116:F116"/>
    <mergeCell ref="D117:F117"/>
    <mergeCell ref="D106:F106"/>
    <mergeCell ref="D107:F107"/>
    <mergeCell ref="D108:F108"/>
    <mergeCell ref="D109:F109"/>
    <mergeCell ref="D110:F110"/>
    <mergeCell ref="D111:F111"/>
    <mergeCell ref="D136:F136"/>
    <mergeCell ref="D137:F137"/>
    <mergeCell ref="D138:F138"/>
    <mergeCell ref="D139:F139"/>
    <mergeCell ref="D140:F140"/>
    <mergeCell ref="D141:F141"/>
    <mergeCell ref="D130:E130"/>
    <mergeCell ref="D131:F131"/>
    <mergeCell ref="D132:F132"/>
    <mergeCell ref="D133:F133"/>
    <mergeCell ref="D134:F134"/>
    <mergeCell ref="D135:E135"/>
    <mergeCell ref="D124:F124"/>
    <mergeCell ref="D125:F125"/>
    <mergeCell ref="D126:F126"/>
    <mergeCell ref="D127:E127"/>
    <mergeCell ref="D128:F128"/>
    <mergeCell ref="D129:E129"/>
    <mergeCell ref="D154:F154"/>
    <mergeCell ref="D155:E155"/>
    <mergeCell ref="D156:F156"/>
    <mergeCell ref="D157:E157"/>
    <mergeCell ref="D158:F158"/>
    <mergeCell ref="D159:E159"/>
    <mergeCell ref="D148:F148"/>
    <mergeCell ref="D149:F149"/>
    <mergeCell ref="D150:F150"/>
    <mergeCell ref="D151:E151"/>
    <mergeCell ref="D152:F152"/>
    <mergeCell ref="D153:E153"/>
    <mergeCell ref="D142:F142"/>
    <mergeCell ref="D143:F143"/>
    <mergeCell ref="D144:E144"/>
    <mergeCell ref="D145:E145"/>
    <mergeCell ref="D146:F146"/>
    <mergeCell ref="D147:E147"/>
    <mergeCell ref="D172:F172"/>
    <mergeCell ref="D173:E173"/>
    <mergeCell ref="D174:F174"/>
    <mergeCell ref="D175:F175"/>
    <mergeCell ref="D176:E176"/>
    <mergeCell ref="D177:E177"/>
    <mergeCell ref="D166:E166"/>
    <mergeCell ref="D167:F167"/>
    <mergeCell ref="D168:F168"/>
    <mergeCell ref="D169:F169"/>
    <mergeCell ref="D170:E170"/>
    <mergeCell ref="D171:F171"/>
    <mergeCell ref="D160:F160"/>
    <mergeCell ref="D161:F161"/>
    <mergeCell ref="D162:F162"/>
    <mergeCell ref="D163:F163"/>
    <mergeCell ref="D164:F164"/>
    <mergeCell ref="D165:E165"/>
    <mergeCell ref="D190:F190"/>
    <mergeCell ref="D191:F191"/>
    <mergeCell ref="D192:F192"/>
    <mergeCell ref="D193:E193"/>
    <mergeCell ref="D194:F194"/>
    <mergeCell ref="D195:F195"/>
    <mergeCell ref="D184:F184"/>
    <mergeCell ref="D185:F185"/>
    <mergeCell ref="D186:F186"/>
    <mergeCell ref="D187:F187"/>
    <mergeCell ref="D188:F188"/>
    <mergeCell ref="D189:E189"/>
    <mergeCell ref="D178:F178"/>
    <mergeCell ref="D179:F179"/>
    <mergeCell ref="D180:F180"/>
    <mergeCell ref="D181:E181"/>
    <mergeCell ref="D182:F182"/>
    <mergeCell ref="D183:F183"/>
    <mergeCell ref="D208:F208"/>
    <mergeCell ref="D209:F209"/>
    <mergeCell ref="D210:F210"/>
    <mergeCell ref="D211:F211"/>
    <mergeCell ref="D212:F212"/>
    <mergeCell ref="D213:F213"/>
    <mergeCell ref="D202:F202"/>
    <mergeCell ref="D203:F203"/>
    <mergeCell ref="D204:F204"/>
    <mergeCell ref="D205:F205"/>
    <mergeCell ref="D206:F206"/>
    <mergeCell ref="D207:F207"/>
    <mergeCell ref="D196:F196"/>
    <mergeCell ref="D197:F197"/>
    <mergeCell ref="D198:F198"/>
    <mergeCell ref="D199:F199"/>
    <mergeCell ref="D200:F200"/>
    <mergeCell ref="D201:F201"/>
    <mergeCell ref="D226:E226"/>
    <mergeCell ref="D227:F227"/>
    <mergeCell ref="D228:F228"/>
    <mergeCell ref="D229:F229"/>
    <mergeCell ref="D230:F230"/>
    <mergeCell ref="D231:F231"/>
    <mergeCell ref="D220:F220"/>
    <mergeCell ref="D221:F221"/>
    <mergeCell ref="D222:F222"/>
    <mergeCell ref="D223:F223"/>
    <mergeCell ref="D224:F224"/>
    <mergeCell ref="D225:F225"/>
    <mergeCell ref="D214:F214"/>
    <mergeCell ref="D215:F215"/>
    <mergeCell ref="D216:F216"/>
    <mergeCell ref="D217:F217"/>
    <mergeCell ref="D218:E218"/>
    <mergeCell ref="D219:F219"/>
    <mergeCell ref="D244:F244"/>
    <mergeCell ref="D245:F245"/>
    <mergeCell ref="D246:F246"/>
    <mergeCell ref="D247:F247"/>
    <mergeCell ref="D248:F248"/>
    <mergeCell ref="D249:F249"/>
    <mergeCell ref="D238:F238"/>
    <mergeCell ref="D239:F239"/>
    <mergeCell ref="D240:F240"/>
    <mergeCell ref="D241:F241"/>
    <mergeCell ref="D242:F242"/>
    <mergeCell ref="D243:F243"/>
    <mergeCell ref="D232:F232"/>
    <mergeCell ref="D233:F233"/>
    <mergeCell ref="D234:F234"/>
    <mergeCell ref="D235:F235"/>
    <mergeCell ref="D236:F236"/>
    <mergeCell ref="D237:F237"/>
    <mergeCell ref="D262:F262"/>
    <mergeCell ref="D263:E263"/>
    <mergeCell ref="D264:F264"/>
    <mergeCell ref="D265:E265"/>
    <mergeCell ref="D266:F266"/>
    <mergeCell ref="D267:E267"/>
    <mergeCell ref="D256:F256"/>
    <mergeCell ref="D257:F257"/>
    <mergeCell ref="D258:F258"/>
    <mergeCell ref="D259:E259"/>
    <mergeCell ref="D260:E260"/>
    <mergeCell ref="D261:F261"/>
    <mergeCell ref="D250:F250"/>
    <mergeCell ref="D251:F251"/>
    <mergeCell ref="D252:F252"/>
    <mergeCell ref="D253:F253"/>
    <mergeCell ref="D254:F254"/>
    <mergeCell ref="D255:F255"/>
    <mergeCell ref="D280:E280"/>
    <mergeCell ref="D281:F281"/>
    <mergeCell ref="D282:E282"/>
    <mergeCell ref="D283:F283"/>
    <mergeCell ref="D284:E284"/>
    <mergeCell ref="D285:F285"/>
    <mergeCell ref="D274:E274"/>
    <mergeCell ref="D275:F275"/>
    <mergeCell ref="D276:E276"/>
    <mergeCell ref="D277:F277"/>
    <mergeCell ref="D278:E278"/>
    <mergeCell ref="D279:F279"/>
    <mergeCell ref="D268:F268"/>
    <mergeCell ref="D269:E269"/>
    <mergeCell ref="D270:F270"/>
    <mergeCell ref="D271:E271"/>
    <mergeCell ref="D272:F272"/>
    <mergeCell ref="D273:F273"/>
    <mergeCell ref="D298:F298"/>
    <mergeCell ref="D299:E299"/>
    <mergeCell ref="D300:F300"/>
    <mergeCell ref="D301:E301"/>
    <mergeCell ref="D302:F302"/>
    <mergeCell ref="D303:F303"/>
    <mergeCell ref="D292:F292"/>
    <mergeCell ref="D293:E293"/>
    <mergeCell ref="D294:F294"/>
    <mergeCell ref="D295:E295"/>
    <mergeCell ref="D296:F296"/>
    <mergeCell ref="D297:E297"/>
    <mergeCell ref="D286:F286"/>
    <mergeCell ref="D287:F287"/>
    <mergeCell ref="D288:F288"/>
    <mergeCell ref="D289:F289"/>
    <mergeCell ref="D290:F290"/>
    <mergeCell ref="D291:E291"/>
    <mergeCell ref="D316:F316"/>
    <mergeCell ref="D317:E317"/>
    <mergeCell ref="D318:F318"/>
    <mergeCell ref="D319:E319"/>
    <mergeCell ref="D320:E320"/>
    <mergeCell ref="D321:F321"/>
    <mergeCell ref="D310:F310"/>
    <mergeCell ref="D311:E311"/>
    <mergeCell ref="D312:F312"/>
    <mergeCell ref="D313:E313"/>
    <mergeCell ref="D314:F314"/>
    <mergeCell ref="D315:F315"/>
    <mergeCell ref="D304:F304"/>
    <mergeCell ref="D305:F305"/>
    <mergeCell ref="D306:F306"/>
    <mergeCell ref="D307:E307"/>
    <mergeCell ref="D308:F308"/>
    <mergeCell ref="D309:E309"/>
    <mergeCell ref="D334:F334"/>
    <mergeCell ref="D335:F335"/>
    <mergeCell ref="D336:F336"/>
    <mergeCell ref="D337:E337"/>
    <mergeCell ref="D338:F338"/>
    <mergeCell ref="D339:E339"/>
    <mergeCell ref="D328:F328"/>
    <mergeCell ref="D329:F329"/>
    <mergeCell ref="D330:F330"/>
    <mergeCell ref="D331:F331"/>
    <mergeCell ref="D332:F332"/>
    <mergeCell ref="D333:F333"/>
    <mergeCell ref="D322:F322"/>
    <mergeCell ref="D323:F323"/>
    <mergeCell ref="D324:F324"/>
    <mergeCell ref="D325:F325"/>
    <mergeCell ref="D326:F326"/>
    <mergeCell ref="D327:F327"/>
    <mergeCell ref="D352:F352"/>
    <mergeCell ref="D353:F353"/>
    <mergeCell ref="D354:F354"/>
    <mergeCell ref="D355:F355"/>
    <mergeCell ref="D356:F356"/>
    <mergeCell ref="D357:E357"/>
    <mergeCell ref="D346:F346"/>
    <mergeCell ref="D347:F347"/>
    <mergeCell ref="D348:F348"/>
    <mergeCell ref="D349:F349"/>
    <mergeCell ref="D350:F350"/>
    <mergeCell ref="D351:F351"/>
    <mergeCell ref="D340:F340"/>
    <mergeCell ref="D341:F341"/>
    <mergeCell ref="D342:F342"/>
    <mergeCell ref="D343:F343"/>
    <mergeCell ref="D344:F344"/>
    <mergeCell ref="D345:F345"/>
    <mergeCell ref="D370:F370"/>
    <mergeCell ref="D371:F371"/>
    <mergeCell ref="D372:F372"/>
    <mergeCell ref="D373:F373"/>
    <mergeCell ref="D374:F374"/>
    <mergeCell ref="D375:F375"/>
    <mergeCell ref="D364:F364"/>
    <mergeCell ref="D365:F365"/>
    <mergeCell ref="D366:F366"/>
    <mergeCell ref="D367:F367"/>
    <mergeCell ref="D368:F368"/>
    <mergeCell ref="D369:F369"/>
    <mergeCell ref="D358:E358"/>
    <mergeCell ref="D359:E359"/>
    <mergeCell ref="D360:F360"/>
    <mergeCell ref="D361:F361"/>
    <mergeCell ref="D362:F362"/>
    <mergeCell ref="D363:E363"/>
    <mergeCell ref="D388:F388"/>
    <mergeCell ref="D389:F389"/>
    <mergeCell ref="D390:F390"/>
    <mergeCell ref="D391:F391"/>
    <mergeCell ref="D392:F392"/>
    <mergeCell ref="D393:F393"/>
    <mergeCell ref="D382:F382"/>
    <mergeCell ref="D383:E383"/>
    <mergeCell ref="D384:F384"/>
    <mergeCell ref="D385:F385"/>
    <mergeCell ref="D386:F386"/>
    <mergeCell ref="D387:F387"/>
    <mergeCell ref="D376:E376"/>
    <mergeCell ref="D377:E377"/>
    <mergeCell ref="D378:F378"/>
    <mergeCell ref="D379:E379"/>
    <mergeCell ref="D380:E380"/>
    <mergeCell ref="D381:F381"/>
    <mergeCell ref="D406:F406"/>
    <mergeCell ref="D407:F407"/>
    <mergeCell ref="D408:F408"/>
    <mergeCell ref="D409:E409"/>
    <mergeCell ref="D410:F410"/>
    <mergeCell ref="D411:F411"/>
    <mergeCell ref="D400:E400"/>
    <mergeCell ref="D401:E401"/>
    <mergeCell ref="D402:F402"/>
    <mergeCell ref="D403:F403"/>
    <mergeCell ref="D404:F404"/>
    <mergeCell ref="D405:F405"/>
    <mergeCell ref="D394:F394"/>
    <mergeCell ref="D395:F395"/>
    <mergeCell ref="D396:E396"/>
    <mergeCell ref="D397:F397"/>
    <mergeCell ref="D398:E398"/>
    <mergeCell ref="D399:E399"/>
    <mergeCell ref="D424:F424"/>
    <mergeCell ref="D425:F425"/>
    <mergeCell ref="D426:F426"/>
    <mergeCell ref="D427:F427"/>
    <mergeCell ref="D428:F428"/>
    <mergeCell ref="D429:F429"/>
    <mergeCell ref="D418:F418"/>
    <mergeCell ref="D419:F419"/>
    <mergeCell ref="D420:E420"/>
    <mergeCell ref="D421:F421"/>
    <mergeCell ref="D422:F422"/>
    <mergeCell ref="D423:F423"/>
    <mergeCell ref="D412:F412"/>
    <mergeCell ref="D413:F413"/>
    <mergeCell ref="D414:F414"/>
    <mergeCell ref="D415:F415"/>
    <mergeCell ref="D416:F416"/>
    <mergeCell ref="D417:F417"/>
    <mergeCell ref="D442:E442"/>
    <mergeCell ref="D443:F443"/>
    <mergeCell ref="D444:F444"/>
    <mergeCell ref="D445:F445"/>
    <mergeCell ref="D446:F446"/>
    <mergeCell ref="D447:E447"/>
    <mergeCell ref="D436:F436"/>
    <mergeCell ref="D437:F437"/>
    <mergeCell ref="D438:F438"/>
    <mergeCell ref="D439:F439"/>
    <mergeCell ref="D440:F440"/>
    <mergeCell ref="D441:F441"/>
    <mergeCell ref="D430:F430"/>
    <mergeCell ref="D431:E431"/>
    <mergeCell ref="D432:F432"/>
    <mergeCell ref="D433:F433"/>
    <mergeCell ref="D434:F434"/>
    <mergeCell ref="D435:F435"/>
    <mergeCell ref="D460:F460"/>
    <mergeCell ref="D461:E461"/>
    <mergeCell ref="D462:F462"/>
    <mergeCell ref="D463:F463"/>
    <mergeCell ref="D464:E464"/>
    <mergeCell ref="D465:F465"/>
    <mergeCell ref="D454:E454"/>
    <mergeCell ref="D455:F455"/>
    <mergeCell ref="D456:F456"/>
    <mergeCell ref="D457:F457"/>
    <mergeCell ref="D458:E458"/>
    <mergeCell ref="D459:F459"/>
    <mergeCell ref="D448:F448"/>
    <mergeCell ref="D449:F449"/>
    <mergeCell ref="D450:E450"/>
    <mergeCell ref="D451:F451"/>
    <mergeCell ref="D452:F452"/>
    <mergeCell ref="D453:F453"/>
    <mergeCell ref="D478:E478"/>
    <mergeCell ref="D479:F479"/>
    <mergeCell ref="D480:F480"/>
    <mergeCell ref="D481:E481"/>
    <mergeCell ref="D482:F482"/>
    <mergeCell ref="D483:F483"/>
    <mergeCell ref="D472:F472"/>
    <mergeCell ref="D473:F473"/>
    <mergeCell ref="D474:F474"/>
    <mergeCell ref="D475:F475"/>
    <mergeCell ref="D476:F476"/>
    <mergeCell ref="D477:F477"/>
    <mergeCell ref="D466:F466"/>
    <mergeCell ref="D467:F467"/>
    <mergeCell ref="D468:F468"/>
    <mergeCell ref="D469:F469"/>
    <mergeCell ref="D470:F470"/>
    <mergeCell ref="D471:E471"/>
    <mergeCell ref="D496:F496"/>
    <mergeCell ref="D497:F497"/>
    <mergeCell ref="D498:F498"/>
    <mergeCell ref="D499:F499"/>
    <mergeCell ref="D500:F500"/>
    <mergeCell ref="D501:E501"/>
    <mergeCell ref="D490:E490"/>
    <mergeCell ref="D491:E491"/>
    <mergeCell ref="D492:E492"/>
    <mergeCell ref="D493:G493"/>
    <mergeCell ref="D494:E494"/>
    <mergeCell ref="D495:E495"/>
    <mergeCell ref="D484:E484"/>
    <mergeCell ref="D485:F485"/>
    <mergeCell ref="D486:E486"/>
    <mergeCell ref="D487:E487"/>
    <mergeCell ref="D488:F488"/>
    <mergeCell ref="D489:E489"/>
    <mergeCell ref="D514:F514"/>
    <mergeCell ref="D515:F515"/>
    <mergeCell ref="D516:F516"/>
    <mergeCell ref="D517:F517"/>
    <mergeCell ref="D518:E518"/>
    <mergeCell ref="D519:F519"/>
    <mergeCell ref="D508:F508"/>
    <mergeCell ref="D509:E509"/>
    <mergeCell ref="D510:E510"/>
    <mergeCell ref="D511:E511"/>
    <mergeCell ref="D512:E512"/>
    <mergeCell ref="D513:F513"/>
    <mergeCell ref="D502:F502"/>
    <mergeCell ref="D503:E503"/>
    <mergeCell ref="D504:F504"/>
    <mergeCell ref="D505:F505"/>
    <mergeCell ref="D506:F506"/>
    <mergeCell ref="D507:F507"/>
    <mergeCell ref="D532:F532"/>
    <mergeCell ref="D533:F533"/>
    <mergeCell ref="D534:F534"/>
    <mergeCell ref="D535:F535"/>
    <mergeCell ref="D536:F536"/>
    <mergeCell ref="D537:F537"/>
    <mergeCell ref="D526:F526"/>
    <mergeCell ref="D527:F527"/>
    <mergeCell ref="D528:F528"/>
    <mergeCell ref="D529:F529"/>
    <mergeCell ref="D530:F530"/>
    <mergeCell ref="D531:F531"/>
    <mergeCell ref="D520:F520"/>
    <mergeCell ref="D521:E521"/>
    <mergeCell ref="D522:F522"/>
    <mergeCell ref="D523:F523"/>
    <mergeCell ref="D524:F524"/>
    <mergeCell ref="D525:F525"/>
    <mergeCell ref="D550:F550"/>
    <mergeCell ref="D551:F551"/>
    <mergeCell ref="D552:F552"/>
    <mergeCell ref="D553:F553"/>
    <mergeCell ref="D554:F554"/>
    <mergeCell ref="D555:F555"/>
    <mergeCell ref="D544:F544"/>
    <mergeCell ref="D545:E545"/>
    <mergeCell ref="D546:E546"/>
    <mergeCell ref="D547:F547"/>
    <mergeCell ref="D548:E548"/>
    <mergeCell ref="D549:F549"/>
    <mergeCell ref="D538:F538"/>
    <mergeCell ref="D539:E539"/>
    <mergeCell ref="D540:F540"/>
    <mergeCell ref="D541:F541"/>
    <mergeCell ref="D542:F542"/>
    <mergeCell ref="D543:E543"/>
    <mergeCell ref="D568:E568"/>
    <mergeCell ref="D569:E569"/>
    <mergeCell ref="D570:F570"/>
    <mergeCell ref="D571:F571"/>
    <mergeCell ref="D572:F572"/>
    <mergeCell ref="D573:F573"/>
    <mergeCell ref="D562:F562"/>
    <mergeCell ref="D563:F563"/>
    <mergeCell ref="D564:F564"/>
    <mergeCell ref="D565:F565"/>
    <mergeCell ref="D566:E566"/>
    <mergeCell ref="D567:E567"/>
    <mergeCell ref="D556:F556"/>
    <mergeCell ref="D557:F557"/>
    <mergeCell ref="D558:F558"/>
    <mergeCell ref="D559:F559"/>
    <mergeCell ref="D560:F560"/>
    <mergeCell ref="D561:F561"/>
    <mergeCell ref="D586:E586"/>
    <mergeCell ref="D587:F587"/>
    <mergeCell ref="D588:F588"/>
    <mergeCell ref="D589:F589"/>
    <mergeCell ref="D590:F590"/>
    <mergeCell ref="D591:F591"/>
    <mergeCell ref="D580:F580"/>
    <mergeCell ref="D581:E581"/>
    <mergeCell ref="D582:F582"/>
    <mergeCell ref="D583:F583"/>
    <mergeCell ref="D584:E584"/>
    <mergeCell ref="D585:F585"/>
    <mergeCell ref="D574:E574"/>
    <mergeCell ref="D575:F575"/>
    <mergeCell ref="D576:F576"/>
    <mergeCell ref="D577:F577"/>
    <mergeCell ref="D578:F578"/>
    <mergeCell ref="D579:F579"/>
    <mergeCell ref="D604:F604"/>
    <mergeCell ref="D605:F605"/>
    <mergeCell ref="D606:E606"/>
    <mergeCell ref="D607:F607"/>
    <mergeCell ref="D608:F608"/>
    <mergeCell ref="D609:F609"/>
    <mergeCell ref="D598:F598"/>
    <mergeCell ref="D599:E599"/>
    <mergeCell ref="D600:F600"/>
    <mergeCell ref="D601:F601"/>
    <mergeCell ref="D602:F602"/>
    <mergeCell ref="D603:F603"/>
    <mergeCell ref="D592:F592"/>
    <mergeCell ref="D593:E593"/>
    <mergeCell ref="D594:F594"/>
    <mergeCell ref="D595:F595"/>
    <mergeCell ref="D596:E596"/>
    <mergeCell ref="D597:F597"/>
    <mergeCell ref="D622:F622"/>
    <mergeCell ref="D623:F623"/>
    <mergeCell ref="D624:F624"/>
    <mergeCell ref="D625:E625"/>
    <mergeCell ref="D626:F626"/>
    <mergeCell ref="D627:F627"/>
    <mergeCell ref="D616:F616"/>
    <mergeCell ref="D617:F617"/>
    <mergeCell ref="D618:F618"/>
    <mergeCell ref="D619:E619"/>
    <mergeCell ref="D620:E620"/>
    <mergeCell ref="D621:F621"/>
    <mergeCell ref="D610:E610"/>
    <mergeCell ref="D611:F611"/>
    <mergeCell ref="D612:E612"/>
    <mergeCell ref="D613:F613"/>
    <mergeCell ref="D614:E614"/>
    <mergeCell ref="D615:E615"/>
    <mergeCell ref="D640:F640"/>
    <mergeCell ref="D641:F641"/>
    <mergeCell ref="D642:F642"/>
    <mergeCell ref="D643:F643"/>
    <mergeCell ref="D644:F644"/>
    <mergeCell ref="D645:F645"/>
    <mergeCell ref="D634:F634"/>
    <mergeCell ref="D635:F635"/>
    <mergeCell ref="D636:F636"/>
    <mergeCell ref="D637:E637"/>
    <mergeCell ref="D638:E638"/>
    <mergeCell ref="D639:F639"/>
    <mergeCell ref="D628:F628"/>
    <mergeCell ref="D629:F629"/>
    <mergeCell ref="D630:F630"/>
    <mergeCell ref="D631:F631"/>
    <mergeCell ref="D632:F632"/>
    <mergeCell ref="D633:F633"/>
    <mergeCell ref="D658:F658"/>
    <mergeCell ref="D659:F659"/>
    <mergeCell ref="D660:F660"/>
    <mergeCell ref="D661:E661"/>
    <mergeCell ref="D662:E662"/>
    <mergeCell ref="D663:F663"/>
    <mergeCell ref="D652:F652"/>
    <mergeCell ref="D653:F653"/>
    <mergeCell ref="D654:F654"/>
    <mergeCell ref="D655:F655"/>
    <mergeCell ref="D656:F656"/>
    <mergeCell ref="D657:F657"/>
    <mergeCell ref="D646:F646"/>
    <mergeCell ref="D647:F647"/>
    <mergeCell ref="D648:E648"/>
    <mergeCell ref="D649:F649"/>
    <mergeCell ref="D650:E650"/>
    <mergeCell ref="D651:E651"/>
    <mergeCell ref="D676:F676"/>
    <mergeCell ref="D677:F677"/>
    <mergeCell ref="D678:F678"/>
    <mergeCell ref="D679:F679"/>
    <mergeCell ref="D680:E680"/>
    <mergeCell ref="D681:F681"/>
    <mergeCell ref="D670:E670"/>
    <mergeCell ref="D671:F671"/>
    <mergeCell ref="D672:F672"/>
    <mergeCell ref="D673:F673"/>
    <mergeCell ref="D674:F674"/>
    <mergeCell ref="D675:E675"/>
    <mergeCell ref="D664:E664"/>
    <mergeCell ref="D665:G665"/>
    <mergeCell ref="D666:E666"/>
    <mergeCell ref="D667:E667"/>
    <mergeCell ref="D668:F668"/>
    <mergeCell ref="D669:F669"/>
    <mergeCell ref="D694:F694"/>
    <mergeCell ref="D695:F695"/>
    <mergeCell ref="D696:F696"/>
    <mergeCell ref="D697:F697"/>
    <mergeCell ref="D698:F698"/>
    <mergeCell ref="D699:F699"/>
    <mergeCell ref="D688:E688"/>
    <mergeCell ref="D689:F689"/>
    <mergeCell ref="D690:F690"/>
    <mergeCell ref="D691:F691"/>
    <mergeCell ref="D692:F692"/>
    <mergeCell ref="D693:F693"/>
    <mergeCell ref="D682:F682"/>
    <mergeCell ref="D683:F683"/>
    <mergeCell ref="D684:F684"/>
    <mergeCell ref="D685:F685"/>
    <mergeCell ref="D686:F686"/>
    <mergeCell ref="D687:E687"/>
    <mergeCell ref="D712:F712"/>
    <mergeCell ref="D713:F713"/>
    <mergeCell ref="D714:F714"/>
    <mergeCell ref="D715:F715"/>
    <mergeCell ref="D716:F716"/>
    <mergeCell ref="D717:F717"/>
    <mergeCell ref="D706:F706"/>
    <mergeCell ref="D707:F707"/>
    <mergeCell ref="D708:F708"/>
    <mergeCell ref="D709:F709"/>
    <mergeCell ref="D710:F710"/>
    <mergeCell ref="D711:F711"/>
    <mergeCell ref="D700:F700"/>
    <mergeCell ref="D701:F701"/>
    <mergeCell ref="D702:F702"/>
    <mergeCell ref="D703:F703"/>
    <mergeCell ref="D704:F704"/>
    <mergeCell ref="D705:F705"/>
    <mergeCell ref="D730:F730"/>
    <mergeCell ref="D731:F731"/>
    <mergeCell ref="D732:E732"/>
    <mergeCell ref="D733:F733"/>
    <mergeCell ref="D734:F734"/>
    <mergeCell ref="D735:F735"/>
    <mergeCell ref="D724:F724"/>
    <mergeCell ref="D725:F725"/>
    <mergeCell ref="D726:F726"/>
    <mergeCell ref="D727:F727"/>
    <mergeCell ref="D728:F728"/>
    <mergeCell ref="D729:F729"/>
    <mergeCell ref="D718:F718"/>
    <mergeCell ref="D719:F719"/>
    <mergeCell ref="D720:F720"/>
    <mergeCell ref="D721:F721"/>
    <mergeCell ref="D722:F722"/>
    <mergeCell ref="D723:F723"/>
    <mergeCell ref="D748:E748"/>
    <mergeCell ref="D749:F749"/>
    <mergeCell ref="D750:F750"/>
    <mergeCell ref="D751:F751"/>
    <mergeCell ref="D752:F752"/>
    <mergeCell ref="D753:F753"/>
    <mergeCell ref="D742:F742"/>
    <mergeCell ref="D743:F743"/>
    <mergeCell ref="D744:F744"/>
    <mergeCell ref="D745:F745"/>
    <mergeCell ref="D746:F746"/>
    <mergeCell ref="D747:G747"/>
    <mergeCell ref="D736:F736"/>
    <mergeCell ref="D737:F737"/>
    <mergeCell ref="D738:F738"/>
    <mergeCell ref="D739:F739"/>
    <mergeCell ref="D740:G740"/>
    <mergeCell ref="D741:E741"/>
    <mergeCell ref="D766:F766"/>
    <mergeCell ref="D767:F767"/>
    <mergeCell ref="D768:F768"/>
    <mergeCell ref="D769:F769"/>
    <mergeCell ref="D770:F770"/>
    <mergeCell ref="D771:F771"/>
    <mergeCell ref="D760:F760"/>
    <mergeCell ref="D761:F761"/>
    <mergeCell ref="D762:F762"/>
    <mergeCell ref="D763:F763"/>
    <mergeCell ref="D764:F764"/>
    <mergeCell ref="D765:F765"/>
    <mergeCell ref="D754:F754"/>
    <mergeCell ref="D755:F755"/>
    <mergeCell ref="D756:F756"/>
    <mergeCell ref="D757:F757"/>
    <mergeCell ref="D758:F758"/>
    <mergeCell ref="D759:F759"/>
    <mergeCell ref="D784:F784"/>
    <mergeCell ref="D785:F785"/>
    <mergeCell ref="D786:F786"/>
    <mergeCell ref="D787:F787"/>
    <mergeCell ref="D788:F788"/>
    <mergeCell ref="D789:F789"/>
    <mergeCell ref="D778:F778"/>
    <mergeCell ref="D779:F779"/>
    <mergeCell ref="D780:F780"/>
    <mergeCell ref="D781:F781"/>
    <mergeCell ref="D782:F782"/>
    <mergeCell ref="D783:F783"/>
    <mergeCell ref="D772:F772"/>
    <mergeCell ref="D773:F773"/>
    <mergeCell ref="D774:F774"/>
    <mergeCell ref="D775:F775"/>
    <mergeCell ref="D776:F776"/>
    <mergeCell ref="D777:F777"/>
    <mergeCell ref="D802:F802"/>
    <mergeCell ref="D803:F803"/>
    <mergeCell ref="D804:F804"/>
    <mergeCell ref="D805:F805"/>
    <mergeCell ref="D806:F806"/>
    <mergeCell ref="D807:E807"/>
    <mergeCell ref="D796:F796"/>
    <mergeCell ref="D797:F797"/>
    <mergeCell ref="D798:F798"/>
    <mergeCell ref="D799:F799"/>
    <mergeCell ref="D800:F800"/>
    <mergeCell ref="D801:E801"/>
    <mergeCell ref="D790:F790"/>
    <mergeCell ref="D791:F791"/>
    <mergeCell ref="D792:F792"/>
    <mergeCell ref="D793:F793"/>
    <mergeCell ref="D794:F794"/>
    <mergeCell ref="D795:E795"/>
    <mergeCell ref="D820:E820"/>
    <mergeCell ref="D821:F821"/>
    <mergeCell ref="D822:G822"/>
    <mergeCell ref="D823:E823"/>
    <mergeCell ref="D824:F824"/>
    <mergeCell ref="D825:G825"/>
    <mergeCell ref="D814:E814"/>
    <mergeCell ref="D815:F815"/>
    <mergeCell ref="D816:G816"/>
    <mergeCell ref="D817:E817"/>
    <mergeCell ref="D818:F818"/>
    <mergeCell ref="D819:G819"/>
    <mergeCell ref="D808:E808"/>
    <mergeCell ref="D809:F809"/>
    <mergeCell ref="D810:F810"/>
    <mergeCell ref="D811:F811"/>
    <mergeCell ref="D812:F812"/>
    <mergeCell ref="D813:G813"/>
    <mergeCell ref="D838:F838"/>
    <mergeCell ref="D839:E839"/>
    <mergeCell ref="D840:F840"/>
    <mergeCell ref="D841:F841"/>
    <mergeCell ref="D842:E842"/>
    <mergeCell ref="D843:E843"/>
    <mergeCell ref="D832:E832"/>
    <mergeCell ref="D833:F833"/>
    <mergeCell ref="D834:F834"/>
    <mergeCell ref="D835:F835"/>
    <mergeCell ref="D836:F836"/>
    <mergeCell ref="D837:E837"/>
    <mergeCell ref="D826:E826"/>
    <mergeCell ref="D827:F827"/>
    <mergeCell ref="D828:G828"/>
    <mergeCell ref="D829:E829"/>
    <mergeCell ref="D830:F830"/>
    <mergeCell ref="D831:F831"/>
    <mergeCell ref="D856:F856"/>
    <mergeCell ref="D857:F857"/>
    <mergeCell ref="D858:F858"/>
    <mergeCell ref="D859:F859"/>
    <mergeCell ref="D860:F860"/>
    <mergeCell ref="D861:F861"/>
    <mergeCell ref="D850:F850"/>
    <mergeCell ref="D851:F851"/>
    <mergeCell ref="D852:F852"/>
    <mergeCell ref="D853:F853"/>
    <mergeCell ref="D854:F854"/>
    <mergeCell ref="D855:F855"/>
    <mergeCell ref="D844:E844"/>
    <mergeCell ref="D845:E845"/>
    <mergeCell ref="D846:F846"/>
    <mergeCell ref="D847:F847"/>
    <mergeCell ref="D848:F848"/>
    <mergeCell ref="D849:F849"/>
    <mergeCell ref="D874:F874"/>
    <mergeCell ref="D875:F875"/>
    <mergeCell ref="D876:F876"/>
    <mergeCell ref="D877:F877"/>
    <mergeCell ref="D878:F878"/>
    <mergeCell ref="D879:F879"/>
    <mergeCell ref="D868:F868"/>
    <mergeCell ref="D869:F869"/>
    <mergeCell ref="D870:F870"/>
    <mergeCell ref="D871:F871"/>
    <mergeCell ref="D872:F872"/>
    <mergeCell ref="D873:F873"/>
    <mergeCell ref="D862:F862"/>
    <mergeCell ref="D863:F863"/>
    <mergeCell ref="D864:F864"/>
    <mergeCell ref="D865:F865"/>
    <mergeCell ref="D866:F866"/>
    <mergeCell ref="D867:F867"/>
    <mergeCell ref="D892:F892"/>
    <mergeCell ref="D893:F893"/>
    <mergeCell ref="D894:F894"/>
    <mergeCell ref="D895:F895"/>
    <mergeCell ref="D896:F896"/>
    <mergeCell ref="D897:F897"/>
    <mergeCell ref="D886:F886"/>
    <mergeCell ref="D887:F887"/>
    <mergeCell ref="D888:F888"/>
    <mergeCell ref="D889:F889"/>
    <mergeCell ref="D890:F890"/>
    <mergeCell ref="D891:F891"/>
    <mergeCell ref="D880:F880"/>
    <mergeCell ref="D881:F881"/>
    <mergeCell ref="D882:F882"/>
    <mergeCell ref="D883:F883"/>
    <mergeCell ref="D884:E884"/>
    <mergeCell ref="D885:F885"/>
    <mergeCell ref="D910:F910"/>
    <mergeCell ref="D911:F911"/>
    <mergeCell ref="D912:E912"/>
    <mergeCell ref="D913:F913"/>
    <mergeCell ref="D914:E914"/>
    <mergeCell ref="D915:F915"/>
    <mergeCell ref="D904:F904"/>
    <mergeCell ref="D905:F905"/>
    <mergeCell ref="D906:F906"/>
    <mergeCell ref="D907:F907"/>
    <mergeCell ref="D908:F908"/>
    <mergeCell ref="D909:F909"/>
    <mergeCell ref="D898:F898"/>
    <mergeCell ref="D899:F899"/>
    <mergeCell ref="D900:F900"/>
    <mergeCell ref="D901:F901"/>
    <mergeCell ref="D902:F902"/>
    <mergeCell ref="D903:F903"/>
    <mergeCell ref="D928:F928"/>
    <mergeCell ref="D929:F929"/>
    <mergeCell ref="D930:E930"/>
    <mergeCell ref="D931:F931"/>
    <mergeCell ref="D932:E932"/>
    <mergeCell ref="D933:E933"/>
    <mergeCell ref="D922:F922"/>
    <mergeCell ref="D923:F923"/>
    <mergeCell ref="D924:F924"/>
    <mergeCell ref="D925:F925"/>
    <mergeCell ref="D926:F926"/>
    <mergeCell ref="D927:F927"/>
    <mergeCell ref="D916:E916"/>
    <mergeCell ref="D917:F917"/>
    <mergeCell ref="D918:E918"/>
    <mergeCell ref="D919:F919"/>
    <mergeCell ref="D920:E920"/>
    <mergeCell ref="D921:F921"/>
    <mergeCell ref="D946:F946"/>
    <mergeCell ref="D947:F947"/>
    <mergeCell ref="D948:F948"/>
    <mergeCell ref="D949:F949"/>
    <mergeCell ref="D950:F950"/>
    <mergeCell ref="D951:F951"/>
    <mergeCell ref="D940:F940"/>
    <mergeCell ref="D941:F941"/>
    <mergeCell ref="D942:F942"/>
    <mergeCell ref="D943:F943"/>
    <mergeCell ref="D944:F944"/>
    <mergeCell ref="D945:F945"/>
    <mergeCell ref="D934:F934"/>
    <mergeCell ref="D935:F935"/>
    <mergeCell ref="D936:F936"/>
    <mergeCell ref="D937:F937"/>
    <mergeCell ref="D938:F938"/>
    <mergeCell ref="D939:F939"/>
    <mergeCell ref="D964:F964"/>
    <mergeCell ref="D965:F965"/>
    <mergeCell ref="D966:F966"/>
    <mergeCell ref="D967:F967"/>
    <mergeCell ref="D968:F968"/>
    <mergeCell ref="D969:F969"/>
    <mergeCell ref="D958:F958"/>
    <mergeCell ref="D959:F959"/>
    <mergeCell ref="D960:F960"/>
    <mergeCell ref="D961:F961"/>
    <mergeCell ref="D962:F962"/>
    <mergeCell ref="D963:F963"/>
    <mergeCell ref="D952:F952"/>
    <mergeCell ref="D953:F953"/>
    <mergeCell ref="D954:F954"/>
    <mergeCell ref="D955:F955"/>
    <mergeCell ref="D956:F956"/>
    <mergeCell ref="D957:F957"/>
    <mergeCell ref="D982:F982"/>
    <mergeCell ref="D983:F983"/>
    <mergeCell ref="D984:F984"/>
    <mergeCell ref="D985:F985"/>
    <mergeCell ref="D986:F986"/>
    <mergeCell ref="D987:F987"/>
    <mergeCell ref="D976:F976"/>
    <mergeCell ref="D977:F977"/>
    <mergeCell ref="D978:F978"/>
    <mergeCell ref="D979:F979"/>
    <mergeCell ref="D980:F980"/>
    <mergeCell ref="D981:F981"/>
    <mergeCell ref="D970:F970"/>
    <mergeCell ref="D971:F971"/>
    <mergeCell ref="D972:F972"/>
    <mergeCell ref="D973:F973"/>
    <mergeCell ref="D974:F974"/>
    <mergeCell ref="D975:F975"/>
    <mergeCell ref="D1000:E1000"/>
    <mergeCell ref="D1001:F1001"/>
    <mergeCell ref="D1002:E1002"/>
    <mergeCell ref="D1003:F1003"/>
    <mergeCell ref="D1004:F1004"/>
    <mergeCell ref="D1005:F1005"/>
    <mergeCell ref="D994:F994"/>
    <mergeCell ref="D995:F995"/>
    <mergeCell ref="D996:F996"/>
    <mergeCell ref="D997:F997"/>
    <mergeCell ref="D998:F998"/>
    <mergeCell ref="D999:F999"/>
    <mergeCell ref="D988:F988"/>
    <mergeCell ref="D989:F989"/>
    <mergeCell ref="D990:F990"/>
    <mergeCell ref="D991:F991"/>
    <mergeCell ref="D992:F992"/>
    <mergeCell ref="D993:F993"/>
    <mergeCell ref="D1018:E1018"/>
    <mergeCell ref="D1019:F1019"/>
    <mergeCell ref="D1020:F1020"/>
    <mergeCell ref="D1021:F1021"/>
    <mergeCell ref="D1022:F1022"/>
    <mergeCell ref="D1023:E1023"/>
    <mergeCell ref="D1012:E1012"/>
    <mergeCell ref="D1013:F1013"/>
    <mergeCell ref="D1014:E1014"/>
    <mergeCell ref="D1015:F1015"/>
    <mergeCell ref="D1016:E1016"/>
    <mergeCell ref="D1017:F1017"/>
    <mergeCell ref="D1006:E1006"/>
    <mergeCell ref="D1007:F1007"/>
    <mergeCell ref="D1008:F1008"/>
    <mergeCell ref="D1009:F1009"/>
    <mergeCell ref="D1010:E1010"/>
    <mergeCell ref="D1011:F1011"/>
    <mergeCell ref="D1036:E1036"/>
    <mergeCell ref="D1037:F1037"/>
    <mergeCell ref="D1038:F1038"/>
    <mergeCell ref="D1039:F1039"/>
    <mergeCell ref="D1040:G1040"/>
    <mergeCell ref="D1041:E1041"/>
    <mergeCell ref="D1030:G1030"/>
    <mergeCell ref="D1031:E1031"/>
    <mergeCell ref="D1032:E1032"/>
    <mergeCell ref="D1033:F1033"/>
    <mergeCell ref="D1034:G1034"/>
    <mergeCell ref="D1035:E1035"/>
    <mergeCell ref="D1024:F1024"/>
    <mergeCell ref="D1025:E1025"/>
    <mergeCell ref="D1026:F1026"/>
    <mergeCell ref="D1027:E1027"/>
    <mergeCell ref="D1028:F1028"/>
    <mergeCell ref="D1029:E1029"/>
    <mergeCell ref="D1054:F1054"/>
    <mergeCell ref="D1055:E1055"/>
    <mergeCell ref="D1056:F1056"/>
    <mergeCell ref="D1057:F1057"/>
    <mergeCell ref="D1058:F1058"/>
    <mergeCell ref="D1059:E1059"/>
    <mergeCell ref="D1048:E1048"/>
    <mergeCell ref="D1049:F1049"/>
    <mergeCell ref="D1050:F1050"/>
    <mergeCell ref="D1051:F1051"/>
    <mergeCell ref="D1052:F1052"/>
    <mergeCell ref="D1053:F1053"/>
    <mergeCell ref="D1042:F1042"/>
    <mergeCell ref="D1043:E1043"/>
    <mergeCell ref="D1044:E1044"/>
    <mergeCell ref="D1045:E1045"/>
    <mergeCell ref="D1046:F1046"/>
    <mergeCell ref="D1047:E1047"/>
    <mergeCell ref="D1072:F1072"/>
    <mergeCell ref="D1073:F1073"/>
    <mergeCell ref="D1074:F1074"/>
    <mergeCell ref="D1075:E1075"/>
    <mergeCell ref="D1076:F1076"/>
    <mergeCell ref="D1077:F1077"/>
    <mergeCell ref="D1066:E1066"/>
    <mergeCell ref="D1067:E1067"/>
    <mergeCell ref="D1068:E1068"/>
    <mergeCell ref="D1069:E1069"/>
    <mergeCell ref="D1070:F1070"/>
    <mergeCell ref="D1071:F1071"/>
    <mergeCell ref="D1060:F1060"/>
    <mergeCell ref="D1061:E1061"/>
    <mergeCell ref="D1062:F1062"/>
    <mergeCell ref="D1063:E1063"/>
    <mergeCell ref="D1064:F1064"/>
    <mergeCell ref="D1065:E1065"/>
    <mergeCell ref="D1090:E1090"/>
    <mergeCell ref="D1091:F1091"/>
    <mergeCell ref="D1092:E1092"/>
    <mergeCell ref="D1093:E1093"/>
    <mergeCell ref="D1094:F1094"/>
    <mergeCell ref="D1095:E1095"/>
    <mergeCell ref="D1084:E1084"/>
    <mergeCell ref="D1085:E1085"/>
    <mergeCell ref="D1086:E1086"/>
    <mergeCell ref="D1087:E1087"/>
    <mergeCell ref="D1088:G1088"/>
    <mergeCell ref="D1089:E1089"/>
    <mergeCell ref="D1078:F1078"/>
    <mergeCell ref="D1079:F1079"/>
    <mergeCell ref="D1080:F1080"/>
    <mergeCell ref="D1081:E1081"/>
    <mergeCell ref="D1082:E1082"/>
    <mergeCell ref="D1083:E1083"/>
    <mergeCell ref="D1108:E1108"/>
    <mergeCell ref="D1109:F1109"/>
    <mergeCell ref="D1110:E1110"/>
    <mergeCell ref="D1111:F1111"/>
    <mergeCell ref="D1112:E1112"/>
    <mergeCell ref="D1113:F1113"/>
    <mergeCell ref="D1102:F1102"/>
    <mergeCell ref="D1103:E1103"/>
    <mergeCell ref="D1104:F1104"/>
    <mergeCell ref="D1105:E1105"/>
    <mergeCell ref="D1106:F1106"/>
    <mergeCell ref="D1107:F1107"/>
    <mergeCell ref="D1096:F1096"/>
    <mergeCell ref="D1097:E1097"/>
    <mergeCell ref="D1098:F1098"/>
    <mergeCell ref="D1099:E1099"/>
    <mergeCell ref="D1100:F1100"/>
    <mergeCell ref="D1101:E1101"/>
    <mergeCell ref="D1126:E1126"/>
    <mergeCell ref="D1127:F1127"/>
    <mergeCell ref="D1128:E1128"/>
    <mergeCell ref="D1129:E1129"/>
    <mergeCell ref="D1130:E1130"/>
    <mergeCell ref="D1131:F1131"/>
    <mergeCell ref="D1120:F1120"/>
    <mergeCell ref="D1121:F1121"/>
    <mergeCell ref="D1122:E1122"/>
    <mergeCell ref="D1123:F1123"/>
    <mergeCell ref="D1124:E1124"/>
    <mergeCell ref="D1125:F1125"/>
    <mergeCell ref="D1114:F1114"/>
    <mergeCell ref="D1115:E1115"/>
    <mergeCell ref="D1116:F1116"/>
    <mergeCell ref="D1117:F1117"/>
    <mergeCell ref="D1118:F1118"/>
    <mergeCell ref="D1119:E1119"/>
    <mergeCell ref="D1144:F1144"/>
    <mergeCell ref="D1145:F1145"/>
    <mergeCell ref="D1146:E1146"/>
    <mergeCell ref="D1147:F1147"/>
    <mergeCell ref="D1148:E1148"/>
    <mergeCell ref="D1149:E1149"/>
    <mergeCell ref="D1138:F1138"/>
    <mergeCell ref="D1139:F1139"/>
    <mergeCell ref="D1140:F1140"/>
    <mergeCell ref="D1141:F1141"/>
    <mergeCell ref="D1142:F1142"/>
    <mergeCell ref="D1143:E1143"/>
    <mergeCell ref="D1132:E1132"/>
    <mergeCell ref="D1133:F1133"/>
    <mergeCell ref="D1134:E1134"/>
    <mergeCell ref="D1135:F1135"/>
    <mergeCell ref="D1136:E1136"/>
    <mergeCell ref="D1137:E1137"/>
    <mergeCell ref="D1162:E1162"/>
    <mergeCell ref="D1163:F1163"/>
    <mergeCell ref="D1164:E1164"/>
    <mergeCell ref="D1165:F1165"/>
    <mergeCell ref="D1166:E1166"/>
    <mergeCell ref="D1167:E1167"/>
    <mergeCell ref="D1156:F1156"/>
    <mergeCell ref="D1157:E1157"/>
    <mergeCell ref="D1158:E1158"/>
    <mergeCell ref="D1159:E1159"/>
    <mergeCell ref="D1160:F1160"/>
    <mergeCell ref="D1161:E1161"/>
    <mergeCell ref="D1150:E1150"/>
    <mergeCell ref="D1151:E1151"/>
    <mergeCell ref="D1152:E1152"/>
    <mergeCell ref="D1153:F1153"/>
    <mergeCell ref="D1154:E1154"/>
    <mergeCell ref="D1155:E1155"/>
    <mergeCell ref="D1180:F1180"/>
    <mergeCell ref="D1181:F1181"/>
    <mergeCell ref="D1182:F1182"/>
    <mergeCell ref="D1183:F1183"/>
    <mergeCell ref="D1184:F1184"/>
    <mergeCell ref="D1185:F1185"/>
    <mergeCell ref="D1174:F1174"/>
    <mergeCell ref="D1175:F1175"/>
    <mergeCell ref="D1176:E1176"/>
    <mergeCell ref="D1177:F1177"/>
    <mergeCell ref="D1178:F1178"/>
    <mergeCell ref="D1179:E1179"/>
    <mergeCell ref="D1168:F1168"/>
    <mergeCell ref="D1169:F1169"/>
    <mergeCell ref="D1170:F1170"/>
    <mergeCell ref="D1171:F1171"/>
    <mergeCell ref="D1172:F1172"/>
    <mergeCell ref="D1173:F1173"/>
    <mergeCell ref="D1198:F1198"/>
    <mergeCell ref="D1199:F1199"/>
    <mergeCell ref="D1200:F1200"/>
    <mergeCell ref="D1201:F1201"/>
    <mergeCell ref="D1202:F1202"/>
    <mergeCell ref="D1203:F1203"/>
    <mergeCell ref="D1192:E1192"/>
    <mergeCell ref="D1193:F1193"/>
    <mergeCell ref="D1194:F1194"/>
    <mergeCell ref="D1195:F1195"/>
    <mergeCell ref="D1196:F1196"/>
    <mergeCell ref="D1197:F1197"/>
    <mergeCell ref="D1186:F1186"/>
    <mergeCell ref="D1187:F1187"/>
    <mergeCell ref="D1188:F1188"/>
    <mergeCell ref="D1189:E1189"/>
    <mergeCell ref="D1190:F1190"/>
    <mergeCell ref="D1191:F1191"/>
    <mergeCell ref="D1216:G1216"/>
    <mergeCell ref="D1217:E1217"/>
    <mergeCell ref="D1218:F1218"/>
    <mergeCell ref="D1219:F1219"/>
    <mergeCell ref="D1220:F1220"/>
    <mergeCell ref="D1221:F1221"/>
    <mergeCell ref="D1210:F1210"/>
    <mergeCell ref="D1211:F1211"/>
    <mergeCell ref="D1212:F1212"/>
    <mergeCell ref="D1213:F1213"/>
    <mergeCell ref="D1214:F1214"/>
    <mergeCell ref="D1215:F1215"/>
    <mergeCell ref="D1204:F1204"/>
    <mergeCell ref="D1205:F1205"/>
    <mergeCell ref="D1206:F1206"/>
    <mergeCell ref="D1207:F1207"/>
    <mergeCell ref="D1208:F1208"/>
    <mergeCell ref="D1209:F1209"/>
    <mergeCell ref="D1234:F1234"/>
    <mergeCell ref="D1235:E1235"/>
    <mergeCell ref="D1236:F1236"/>
    <mergeCell ref="D1237:F1237"/>
    <mergeCell ref="D1238:F1238"/>
    <mergeCell ref="D1239:F1239"/>
    <mergeCell ref="D1228:F1228"/>
    <mergeCell ref="D1229:E1229"/>
    <mergeCell ref="D1230:F1230"/>
    <mergeCell ref="D1231:F1231"/>
    <mergeCell ref="D1232:F1232"/>
    <mergeCell ref="D1233:E1233"/>
    <mergeCell ref="D1222:F1222"/>
    <mergeCell ref="D1223:F1223"/>
    <mergeCell ref="D1224:F1224"/>
    <mergeCell ref="D1225:F1225"/>
    <mergeCell ref="D1226:E1226"/>
    <mergeCell ref="D1227:F1227"/>
    <mergeCell ref="D1252:F1252"/>
    <mergeCell ref="D1253:E1253"/>
    <mergeCell ref="D1254:F1254"/>
    <mergeCell ref="D1255:F1255"/>
    <mergeCell ref="D1256:E1256"/>
    <mergeCell ref="D1257:F1257"/>
    <mergeCell ref="D1246:F1246"/>
    <mergeCell ref="D1247:E1247"/>
    <mergeCell ref="D1248:F1248"/>
    <mergeCell ref="D1249:F1249"/>
    <mergeCell ref="D1250:E1250"/>
    <mergeCell ref="D1251:F1251"/>
    <mergeCell ref="D1240:F1240"/>
    <mergeCell ref="D1241:F1241"/>
    <mergeCell ref="D1242:E1242"/>
    <mergeCell ref="D1243:F1243"/>
    <mergeCell ref="D1244:E1244"/>
    <mergeCell ref="D1245:F1245"/>
    <mergeCell ref="D1270:F1270"/>
    <mergeCell ref="D1271:F1271"/>
    <mergeCell ref="D1272:F1272"/>
    <mergeCell ref="D1273:E1273"/>
    <mergeCell ref="D1274:F1274"/>
    <mergeCell ref="D1275:F1275"/>
    <mergeCell ref="D1264:E1264"/>
    <mergeCell ref="D1265:F1265"/>
    <mergeCell ref="D1266:F1266"/>
    <mergeCell ref="D1267:E1267"/>
    <mergeCell ref="D1268:F1268"/>
    <mergeCell ref="D1269:E1269"/>
    <mergeCell ref="D1258:F1258"/>
    <mergeCell ref="D1259:E1259"/>
    <mergeCell ref="D1260:F1260"/>
    <mergeCell ref="D1261:F1261"/>
    <mergeCell ref="D1262:F1262"/>
    <mergeCell ref="D1263:F1263"/>
    <mergeCell ref="D1288:E1288"/>
    <mergeCell ref="D1289:F1289"/>
    <mergeCell ref="D1290:E1290"/>
    <mergeCell ref="D1291:E1291"/>
    <mergeCell ref="D1292:E1292"/>
    <mergeCell ref="D1293:E1293"/>
    <mergeCell ref="D1282:F1282"/>
    <mergeCell ref="D1283:F1283"/>
    <mergeCell ref="D1284:E1284"/>
    <mergeCell ref="D1285:F1285"/>
    <mergeCell ref="D1286:E1286"/>
    <mergeCell ref="D1287:F1287"/>
    <mergeCell ref="D1276:E1276"/>
    <mergeCell ref="D1277:F1277"/>
    <mergeCell ref="D1278:F1278"/>
    <mergeCell ref="D1279:E1279"/>
    <mergeCell ref="D1280:F1280"/>
    <mergeCell ref="D1281:E1281"/>
    <mergeCell ref="D1306:F1306"/>
    <mergeCell ref="D1307:E1307"/>
    <mergeCell ref="D1308:F1308"/>
    <mergeCell ref="D1309:F1309"/>
    <mergeCell ref="D1310:E1310"/>
    <mergeCell ref="D1311:F1311"/>
    <mergeCell ref="D1300:F1300"/>
    <mergeCell ref="D1301:E1301"/>
    <mergeCell ref="D1302:F1302"/>
    <mergeCell ref="D1303:E1303"/>
    <mergeCell ref="D1304:F1304"/>
    <mergeCell ref="D1305:E1305"/>
    <mergeCell ref="D1294:G1294"/>
    <mergeCell ref="D1295:E1295"/>
    <mergeCell ref="D1296:F1296"/>
    <mergeCell ref="D1297:E1297"/>
    <mergeCell ref="D1298:F1298"/>
    <mergeCell ref="D1299:F1299"/>
    <mergeCell ref="D1324:F1324"/>
    <mergeCell ref="D1325:F1325"/>
    <mergeCell ref="D1326:F1326"/>
    <mergeCell ref="D1327:F1327"/>
    <mergeCell ref="D1328:G1328"/>
    <mergeCell ref="D1329:E1329"/>
    <mergeCell ref="D1318:F1318"/>
    <mergeCell ref="D1319:F1319"/>
    <mergeCell ref="D1320:E1320"/>
    <mergeCell ref="D1321:F1321"/>
    <mergeCell ref="D1322:G1322"/>
    <mergeCell ref="D1323:E1323"/>
    <mergeCell ref="D1312:F1312"/>
    <mergeCell ref="D1313:E1313"/>
    <mergeCell ref="D1314:F1314"/>
    <mergeCell ref="D1315:E1315"/>
    <mergeCell ref="D1316:F1316"/>
    <mergeCell ref="D1317:F1317"/>
    <mergeCell ref="D1342:F1342"/>
    <mergeCell ref="D1343:F1343"/>
    <mergeCell ref="D1344:F1344"/>
    <mergeCell ref="D1345:F1345"/>
    <mergeCell ref="D1346:F1346"/>
    <mergeCell ref="D1347:F1347"/>
    <mergeCell ref="D1336:E1336"/>
    <mergeCell ref="D1337:F1337"/>
    <mergeCell ref="D1338:F1338"/>
    <mergeCell ref="D1339:F1339"/>
    <mergeCell ref="D1340:F1340"/>
    <mergeCell ref="D1341:F1341"/>
    <mergeCell ref="D1330:F1330"/>
    <mergeCell ref="D1331:F1331"/>
    <mergeCell ref="D1332:F1332"/>
    <mergeCell ref="D1333:G1333"/>
    <mergeCell ref="D1334:E1334"/>
    <mergeCell ref="D1335:E1335"/>
    <mergeCell ref="D1360:F1360"/>
    <mergeCell ref="D1361:F1361"/>
    <mergeCell ref="D1362:F1362"/>
    <mergeCell ref="D1363:F1363"/>
    <mergeCell ref="D1364:F1364"/>
    <mergeCell ref="D1365:F1365"/>
    <mergeCell ref="D1354:F1354"/>
    <mergeCell ref="D1355:F1355"/>
    <mergeCell ref="D1356:F1356"/>
    <mergeCell ref="D1357:F1357"/>
    <mergeCell ref="D1358:F1358"/>
    <mergeCell ref="D1359:F1359"/>
    <mergeCell ref="D1348:F1348"/>
    <mergeCell ref="D1349:F1349"/>
    <mergeCell ref="D1350:F1350"/>
    <mergeCell ref="D1351:F1351"/>
    <mergeCell ref="D1352:F1352"/>
    <mergeCell ref="D1353:F1353"/>
    <mergeCell ref="D1378:F1378"/>
    <mergeCell ref="D1379:F1379"/>
    <mergeCell ref="D1380:F1380"/>
    <mergeCell ref="D1381:F1381"/>
    <mergeCell ref="D1382:F1382"/>
    <mergeCell ref="D1383:F1383"/>
    <mergeCell ref="D1372:F1372"/>
    <mergeCell ref="D1373:F1373"/>
    <mergeCell ref="D1374:F1374"/>
    <mergeCell ref="D1375:F1375"/>
    <mergeCell ref="D1376:F1376"/>
    <mergeCell ref="D1377:F1377"/>
    <mergeCell ref="D1366:E1366"/>
    <mergeCell ref="D1367:F1367"/>
    <mergeCell ref="D1368:F1368"/>
    <mergeCell ref="D1369:F1369"/>
    <mergeCell ref="D1370:F1370"/>
    <mergeCell ref="D1371:E1371"/>
    <mergeCell ref="D1396:F1396"/>
    <mergeCell ref="D1397:F1397"/>
    <mergeCell ref="D1398:F1398"/>
    <mergeCell ref="D1399:F1399"/>
    <mergeCell ref="D1400:F1400"/>
    <mergeCell ref="D1401:F1401"/>
    <mergeCell ref="D1390:F1390"/>
    <mergeCell ref="D1391:F1391"/>
    <mergeCell ref="D1392:F1392"/>
    <mergeCell ref="D1393:F1393"/>
    <mergeCell ref="D1394:F1394"/>
    <mergeCell ref="D1395:F1395"/>
    <mergeCell ref="D1384:F1384"/>
    <mergeCell ref="D1385:F1385"/>
    <mergeCell ref="D1386:F1386"/>
    <mergeCell ref="D1387:F1387"/>
    <mergeCell ref="D1388:F1388"/>
    <mergeCell ref="D1389:F1389"/>
    <mergeCell ref="D1414:F1414"/>
    <mergeCell ref="D1415:F1415"/>
    <mergeCell ref="D1416:F1416"/>
    <mergeCell ref="D1417:F1417"/>
    <mergeCell ref="D1418:F1418"/>
    <mergeCell ref="D1419:F1419"/>
    <mergeCell ref="D1408:E1408"/>
    <mergeCell ref="D1409:F1409"/>
    <mergeCell ref="D1410:F1410"/>
    <mergeCell ref="D1411:F1411"/>
    <mergeCell ref="D1412:F1412"/>
    <mergeCell ref="D1413:F1413"/>
    <mergeCell ref="D1402:F1402"/>
    <mergeCell ref="D1403:F1403"/>
    <mergeCell ref="D1404:F1404"/>
    <mergeCell ref="D1405:F1405"/>
    <mergeCell ref="D1406:F1406"/>
    <mergeCell ref="D1407:F1407"/>
    <mergeCell ref="D1432:E1432"/>
    <mergeCell ref="D1433:F1433"/>
    <mergeCell ref="D1434:F1434"/>
    <mergeCell ref="D1435:E1435"/>
    <mergeCell ref="D1436:F1436"/>
    <mergeCell ref="D1437:F1437"/>
    <mergeCell ref="D1426:F1426"/>
    <mergeCell ref="D1427:F1427"/>
    <mergeCell ref="D1428:F1428"/>
    <mergeCell ref="D1429:F1429"/>
    <mergeCell ref="D1430:F1430"/>
    <mergeCell ref="D1431:F1431"/>
    <mergeCell ref="D1420:F1420"/>
    <mergeCell ref="D1421:F1421"/>
    <mergeCell ref="D1422:F1422"/>
    <mergeCell ref="D1423:F1423"/>
    <mergeCell ref="D1424:F1424"/>
    <mergeCell ref="D1425:F1425"/>
    <mergeCell ref="D1450:F1450"/>
    <mergeCell ref="D1451:F1451"/>
    <mergeCell ref="D1452:F1452"/>
    <mergeCell ref="D1453:F1453"/>
    <mergeCell ref="D1454:F1454"/>
    <mergeCell ref="D1455:F1455"/>
    <mergeCell ref="D1444:F1444"/>
    <mergeCell ref="D1445:F1445"/>
    <mergeCell ref="D1446:F1446"/>
    <mergeCell ref="D1447:F1447"/>
    <mergeCell ref="D1448:F1448"/>
    <mergeCell ref="D1449:F1449"/>
    <mergeCell ref="D1438:E1438"/>
    <mergeCell ref="D1439:F1439"/>
    <mergeCell ref="D1440:F1440"/>
    <mergeCell ref="D1441:E1441"/>
    <mergeCell ref="D1442:F1442"/>
    <mergeCell ref="D1443:F1443"/>
    <mergeCell ref="D1468:F1468"/>
    <mergeCell ref="D1469:F1469"/>
    <mergeCell ref="D1470:F1470"/>
    <mergeCell ref="D1471:F1471"/>
    <mergeCell ref="D1472:F1472"/>
    <mergeCell ref="D1473:F1473"/>
    <mergeCell ref="D1462:F1462"/>
    <mergeCell ref="D1463:F1463"/>
    <mergeCell ref="D1464:F1464"/>
    <mergeCell ref="D1465:F1465"/>
    <mergeCell ref="D1466:F1466"/>
    <mergeCell ref="D1467:F1467"/>
    <mergeCell ref="D1456:F1456"/>
    <mergeCell ref="D1457:F1457"/>
    <mergeCell ref="D1458:F1458"/>
    <mergeCell ref="D1459:F1459"/>
    <mergeCell ref="D1460:F1460"/>
    <mergeCell ref="D1461:F1461"/>
    <mergeCell ref="D1486:F1486"/>
    <mergeCell ref="D1487:F1487"/>
    <mergeCell ref="D1488:F1488"/>
    <mergeCell ref="D1489:E1489"/>
    <mergeCell ref="D1490:F1490"/>
    <mergeCell ref="D1491:F1491"/>
    <mergeCell ref="D1480:F1480"/>
    <mergeCell ref="D1481:F1481"/>
    <mergeCell ref="D1482:F1482"/>
    <mergeCell ref="D1483:F1483"/>
    <mergeCell ref="D1484:F1484"/>
    <mergeCell ref="D1485:F1485"/>
    <mergeCell ref="D1474:F1474"/>
    <mergeCell ref="D1475:F1475"/>
    <mergeCell ref="D1476:F1476"/>
    <mergeCell ref="D1477:F1477"/>
    <mergeCell ref="D1478:F1478"/>
    <mergeCell ref="D1479:F1479"/>
    <mergeCell ref="D1504:F1504"/>
    <mergeCell ref="D1505:E1505"/>
    <mergeCell ref="D1506:F1506"/>
    <mergeCell ref="D1507:F1507"/>
    <mergeCell ref="D1508:F1508"/>
    <mergeCell ref="D1509:F1509"/>
    <mergeCell ref="D1498:F1498"/>
    <mergeCell ref="D1499:F1499"/>
    <mergeCell ref="D1500:F1500"/>
    <mergeCell ref="D1501:E1501"/>
    <mergeCell ref="D1502:F1502"/>
    <mergeCell ref="D1503:F1503"/>
    <mergeCell ref="D1492:F1492"/>
    <mergeCell ref="D1493:F1493"/>
    <mergeCell ref="D1494:E1494"/>
    <mergeCell ref="D1495:F1495"/>
    <mergeCell ref="D1496:F1496"/>
    <mergeCell ref="D1497:E1497"/>
    <mergeCell ref="D1522:F1522"/>
    <mergeCell ref="D1523:F1523"/>
    <mergeCell ref="D1524:F1524"/>
    <mergeCell ref="D1525:F1525"/>
    <mergeCell ref="D1526:F1526"/>
    <mergeCell ref="D1527:E1527"/>
    <mergeCell ref="D1516:F1516"/>
    <mergeCell ref="D1517:E1517"/>
    <mergeCell ref="D1518:F1518"/>
    <mergeCell ref="D1519:F1519"/>
    <mergeCell ref="D1520:F1520"/>
    <mergeCell ref="D1521:F1521"/>
    <mergeCell ref="D1510:F1510"/>
    <mergeCell ref="D1511:F1511"/>
    <mergeCell ref="D1512:F1512"/>
    <mergeCell ref="D1513:F1513"/>
    <mergeCell ref="D1514:F1514"/>
    <mergeCell ref="D1515:F1515"/>
    <mergeCell ref="D1540:F1540"/>
    <mergeCell ref="D1541:F1541"/>
    <mergeCell ref="D1542:E1542"/>
    <mergeCell ref="D1543:E1543"/>
    <mergeCell ref="D1544:E1544"/>
    <mergeCell ref="D1545:F1545"/>
    <mergeCell ref="D1534:E1534"/>
    <mergeCell ref="D1535:E1535"/>
    <mergeCell ref="D1536:F1536"/>
    <mergeCell ref="D1537:F1537"/>
    <mergeCell ref="D1538:F1538"/>
    <mergeCell ref="D1539:E1539"/>
    <mergeCell ref="D1528:F1528"/>
    <mergeCell ref="D1529:F1529"/>
    <mergeCell ref="D1530:E1530"/>
    <mergeCell ref="D1531:F1531"/>
    <mergeCell ref="D1532:F1532"/>
    <mergeCell ref="D1533:E1533"/>
    <mergeCell ref="D1558:E1558"/>
    <mergeCell ref="D1559:G1559"/>
    <mergeCell ref="D1560:E1560"/>
    <mergeCell ref="D1561:G1561"/>
    <mergeCell ref="D1562:E1562"/>
    <mergeCell ref="D1563:G1563"/>
    <mergeCell ref="D1552:E1552"/>
    <mergeCell ref="D1553:E1553"/>
    <mergeCell ref="D1554:E1554"/>
    <mergeCell ref="D1555:E1555"/>
    <mergeCell ref="D1556:E1556"/>
    <mergeCell ref="D1557:E1557"/>
    <mergeCell ref="D1546:E1546"/>
    <mergeCell ref="D1547:E1547"/>
    <mergeCell ref="D1548:E1548"/>
    <mergeCell ref="D1549:E1549"/>
    <mergeCell ref="D1550:E1550"/>
    <mergeCell ref="D1551:E1551"/>
    <mergeCell ref="D1576:E1576"/>
    <mergeCell ref="D1577:G1577"/>
    <mergeCell ref="D1578:E1578"/>
    <mergeCell ref="D1579:E1579"/>
    <mergeCell ref="D1580:E1580"/>
    <mergeCell ref="D1581:F1581"/>
    <mergeCell ref="D1570:E1570"/>
    <mergeCell ref="D1571:G1571"/>
    <mergeCell ref="D1572:E1572"/>
    <mergeCell ref="D1573:G1573"/>
    <mergeCell ref="D1574:E1574"/>
    <mergeCell ref="D1575:G1575"/>
    <mergeCell ref="D1564:E1564"/>
    <mergeCell ref="D1565:G1565"/>
    <mergeCell ref="D1566:E1566"/>
    <mergeCell ref="D1567:E1567"/>
    <mergeCell ref="D1568:E1568"/>
    <mergeCell ref="D1569:G1569"/>
    <mergeCell ref="D1594:E1594"/>
    <mergeCell ref="D1595:E1595"/>
    <mergeCell ref="D1596:F1596"/>
    <mergeCell ref="D1597:E1597"/>
    <mergeCell ref="D1598:E1598"/>
    <mergeCell ref="D1599:E1599"/>
    <mergeCell ref="D1588:F1588"/>
    <mergeCell ref="D1589:E1589"/>
    <mergeCell ref="D1590:F1590"/>
    <mergeCell ref="D1591:F1591"/>
    <mergeCell ref="D1592:F1592"/>
    <mergeCell ref="D1593:E1593"/>
    <mergeCell ref="D1582:E1582"/>
    <mergeCell ref="D1583:F1583"/>
    <mergeCell ref="D1584:E1584"/>
    <mergeCell ref="D1585:E1585"/>
    <mergeCell ref="D1586:E1586"/>
    <mergeCell ref="D1587:F1587"/>
    <mergeCell ref="D1612:F1612"/>
    <mergeCell ref="D1613:E1613"/>
    <mergeCell ref="D1614:E1614"/>
    <mergeCell ref="D1615:E1615"/>
    <mergeCell ref="D1616:E1616"/>
    <mergeCell ref="D1617:E1617"/>
    <mergeCell ref="D1606:E1606"/>
    <mergeCell ref="D1607:E1607"/>
    <mergeCell ref="D1608:E1608"/>
    <mergeCell ref="D1609:E1609"/>
    <mergeCell ref="D1610:F1610"/>
    <mergeCell ref="D1611:E1611"/>
    <mergeCell ref="D1600:F1600"/>
    <mergeCell ref="D1601:E1601"/>
    <mergeCell ref="D1602:F1602"/>
    <mergeCell ref="D1603:E1603"/>
    <mergeCell ref="D1604:E1604"/>
    <mergeCell ref="D1605:E1605"/>
    <mergeCell ref="D1630:E1630"/>
    <mergeCell ref="D1631:E1631"/>
    <mergeCell ref="D1632:F1632"/>
    <mergeCell ref="D1633:F1633"/>
    <mergeCell ref="D1634:F1634"/>
    <mergeCell ref="D1635:F1635"/>
    <mergeCell ref="D1624:F1624"/>
    <mergeCell ref="D1625:E1625"/>
    <mergeCell ref="D1626:E1626"/>
    <mergeCell ref="D1627:E1627"/>
    <mergeCell ref="D1628:F1628"/>
    <mergeCell ref="D1629:G1629"/>
    <mergeCell ref="D1618:E1618"/>
    <mergeCell ref="D1619:E1619"/>
    <mergeCell ref="D1620:F1620"/>
    <mergeCell ref="D1621:E1621"/>
    <mergeCell ref="D1622:E1622"/>
    <mergeCell ref="D1623:E1623"/>
    <mergeCell ref="D1648:F1648"/>
    <mergeCell ref="D1649:F1649"/>
    <mergeCell ref="D1650:E1650"/>
    <mergeCell ref="D1651:F1651"/>
    <mergeCell ref="D1652:G1652"/>
    <mergeCell ref="D1653:E1653"/>
    <mergeCell ref="D1642:F1642"/>
    <mergeCell ref="D1643:G1643"/>
    <mergeCell ref="D1644:E1644"/>
    <mergeCell ref="D1645:F1645"/>
    <mergeCell ref="D1646:G1646"/>
    <mergeCell ref="D1647:E1647"/>
    <mergeCell ref="D1636:F1636"/>
    <mergeCell ref="D1637:F1637"/>
    <mergeCell ref="D1638:E1638"/>
    <mergeCell ref="D1639:F1639"/>
    <mergeCell ref="D1640:F1640"/>
    <mergeCell ref="D1641:E1641"/>
    <mergeCell ref="D1666:E1666"/>
    <mergeCell ref="D1667:E1667"/>
    <mergeCell ref="D1668:E1668"/>
    <mergeCell ref="D1669:E1669"/>
    <mergeCell ref="D1670:E1670"/>
    <mergeCell ref="D1671:E1671"/>
    <mergeCell ref="D1660:E1660"/>
    <mergeCell ref="D1661:E1661"/>
    <mergeCell ref="D1662:E1662"/>
    <mergeCell ref="D1663:E1663"/>
    <mergeCell ref="D1664:E1664"/>
    <mergeCell ref="D1665:E1665"/>
    <mergeCell ref="D1654:F1654"/>
    <mergeCell ref="D1655:F1655"/>
    <mergeCell ref="D1656:E1656"/>
    <mergeCell ref="D1657:F1657"/>
    <mergeCell ref="D1658:G1658"/>
    <mergeCell ref="D1659:E1659"/>
    <mergeCell ref="D1684:F1684"/>
    <mergeCell ref="D1685:F1685"/>
    <mergeCell ref="D1686:E1686"/>
    <mergeCell ref="D1687:F1687"/>
    <mergeCell ref="D1688:F1688"/>
    <mergeCell ref="D1689:F1689"/>
    <mergeCell ref="D1678:E1678"/>
    <mergeCell ref="D1679:E1679"/>
    <mergeCell ref="D1680:F1680"/>
    <mergeCell ref="D1681:F1681"/>
    <mergeCell ref="D1682:E1682"/>
    <mergeCell ref="D1683:F1683"/>
    <mergeCell ref="D1672:E1672"/>
    <mergeCell ref="D1673:E1673"/>
    <mergeCell ref="D1674:E1674"/>
    <mergeCell ref="D1675:E1675"/>
    <mergeCell ref="D1676:F1676"/>
    <mergeCell ref="D1677:E1677"/>
    <mergeCell ref="D1702:E1702"/>
    <mergeCell ref="D1703:E1703"/>
    <mergeCell ref="D1704:E1704"/>
    <mergeCell ref="D1705:E1705"/>
    <mergeCell ref="D1706:F1706"/>
    <mergeCell ref="D1707:E1707"/>
    <mergeCell ref="D1696:F1696"/>
    <mergeCell ref="D1697:F1697"/>
    <mergeCell ref="D1698:F1698"/>
    <mergeCell ref="D1699:F1699"/>
    <mergeCell ref="D1700:E1700"/>
    <mergeCell ref="D1701:E1701"/>
    <mergeCell ref="D1690:F1690"/>
    <mergeCell ref="D1691:F1691"/>
    <mergeCell ref="D1692:E1692"/>
    <mergeCell ref="D1693:F1693"/>
    <mergeCell ref="D1694:F1694"/>
    <mergeCell ref="D1695:F1695"/>
    <mergeCell ref="D1720:E1720"/>
    <mergeCell ref="D1721:E1721"/>
    <mergeCell ref="D1722:E1722"/>
    <mergeCell ref="D1723:E1723"/>
    <mergeCell ref="D1724:E1724"/>
    <mergeCell ref="D1725:E1725"/>
    <mergeCell ref="D1714:E1714"/>
    <mergeCell ref="D1715:E1715"/>
    <mergeCell ref="D1716:E1716"/>
    <mergeCell ref="D1717:E1717"/>
    <mergeCell ref="D1718:E1718"/>
    <mergeCell ref="D1719:E1719"/>
    <mergeCell ref="D1708:E1708"/>
    <mergeCell ref="D1709:E1709"/>
    <mergeCell ref="D1710:E1710"/>
    <mergeCell ref="D1711:E1711"/>
    <mergeCell ref="D1712:E1712"/>
    <mergeCell ref="D1713:E1713"/>
    <mergeCell ref="D1738:E1738"/>
    <mergeCell ref="D1739:E1739"/>
    <mergeCell ref="D1740:E1740"/>
    <mergeCell ref="D1741:E1741"/>
    <mergeCell ref="D1742:E1742"/>
    <mergeCell ref="D1743:E1743"/>
    <mergeCell ref="D1732:E1732"/>
    <mergeCell ref="D1733:E1733"/>
    <mergeCell ref="D1734:G1734"/>
    <mergeCell ref="D1735:E1735"/>
    <mergeCell ref="D1736:E1736"/>
    <mergeCell ref="D1737:E1737"/>
    <mergeCell ref="D1726:E1726"/>
    <mergeCell ref="D1727:E1727"/>
    <mergeCell ref="D1728:E1728"/>
    <mergeCell ref="D1729:E1729"/>
    <mergeCell ref="D1730:E1730"/>
    <mergeCell ref="D1731:E1731"/>
    <mergeCell ref="D1756:E1756"/>
    <mergeCell ref="D1757:F1757"/>
    <mergeCell ref="D1758:G1758"/>
    <mergeCell ref="D1759:E1759"/>
    <mergeCell ref="D1760:F1760"/>
    <mergeCell ref="D1761:G1761"/>
    <mergeCell ref="D1750:E1750"/>
    <mergeCell ref="D1751:E1751"/>
    <mergeCell ref="D1752:E1752"/>
    <mergeCell ref="D1753:E1753"/>
    <mergeCell ref="D1754:E1754"/>
    <mergeCell ref="D1755:E1755"/>
    <mergeCell ref="D1744:E1744"/>
    <mergeCell ref="D1745:E1745"/>
    <mergeCell ref="D1746:E1746"/>
    <mergeCell ref="D1747:E1747"/>
    <mergeCell ref="D1748:E1748"/>
    <mergeCell ref="D1749:E1749"/>
    <mergeCell ref="D1774:G1774"/>
    <mergeCell ref="D1775:E1775"/>
    <mergeCell ref="D1776:F1776"/>
    <mergeCell ref="D1777:G1777"/>
    <mergeCell ref="D1778:E1778"/>
    <mergeCell ref="D1779:E1779"/>
    <mergeCell ref="D1768:F1768"/>
    <mergeCell ref="D1769:E1769"/>
    <mergeCell ref="D1770:F1770"/>
    <mergeCell ref="D1771:G1771"/>
    <mergeCell ref="D1772:E1772"/>
    <mergeCell ref="D1773:F1773"/>
    <mergeCell ref="D1762:E1762"/>
    <mergeCell ref="D1763:G1763"/>
    <mergeCell ref="D1764:E1764"/>
    <mergeCell ref="D1765:F1765"/>
    <mergeCell ref="D1766:G1766"/>
    <mergeCell ref="D1767:E1767"/>
    <mergeCell ref="D1792:E1792"/>
    <mergeCell ref="D1793:E1793"/>
    <mergeCell ref="D1794:E1794"/>
    <mergeCell ref="D1795:E1795"/>
    <mergeCell ref="D1796:E1796"/>
    <mergeCell ref="D1797:E1797"/>
    <mergeCell ref="D1786:E1786"/>
    <mergeCell ref="D1787:E1787"/>
    <mergeCell ref="D1788:E1788"/>
    <mergeCell ref="D1789:E1789"/>
    <mergeCell ref="D1790:E1790"/>
    <mergeCell ref="D1791:E1791"/>
    <mergeCell ref="D1780:F1780"/>
    <mergeCell ref="D1781:E1781"/>
    <mergeCell ref="D1782:E1782"/>
    <mergeCell ref="D1783:E1783"/>
    <mergeCell ref="D1784:E1784"/>
    <mergeCell ref="D1785:E1785"/>
    <mergeCell ref="D1810:E1810"/>
    <mergeCell ref="D1811:E1811"/>
    <mergeCell ref="D1812:E1812"/>
    <mergeCell ref="D1813:E1813"/>
    <mergeCell ref="D1814:E1814"/>
    <mergeCell ref="D1815:E1815"/>
    <mergeCell ref="D1804:E1804"/>
    <mergeCell ref="D1805:E1805"/>
    <mergeCell ref="D1806:E1806"/>
    <mergeCell ref="D1807:E1807"/>
    <mergeCell ref="D1808:E1808"/>
    <mergeCell ref="D1809:E1809"/>
    <mergeCell ref="D1798:E1798"/>
    <mergeCell ref="D1799:E1799"/>
    <mergeCell ref="D1800:E1800"/>
    <mergeCell ref="D1801:E1801"/>
    <mergeCell ref="D1802:E1802"/>
    <mergeCell ref="D1803:E1803"/>
    <mergeCell ref="D1828:E1828"/>
    <mergeCell ref="D1829:E1829"/>
    <mergeCell ref="D1830:E1830"/>
    <mergeCell ref="D1831:E1831"/>
    <mergeCell ref="D1832:E1832"/>
    <mergeCell ref="D1833:E1833"/>
    <mergeCell ref="D1822:E1822"/>
    <mergeCell ref="D1823:E1823"/>
    <mergeCell ref="D1824:E1824"/>
    <mergeCell ref="D1825:E1825"/>
    <mergeCell ref="D1826:E1826"/>
    <mergeCell ref="D1827:E1827"/>
    <mergeCell ref="D1816:E1816"/>
    <mergeCell ref="D1817:E1817"/>
    <mergeCell ref="D1818:E1818"/>
    <mergeCell ref="D1819:E1819"/>
    <mergeCell ref="D1820:E1820"/>
    <mergeCell ref="D1821:E1821"/>
    <mergeCell ref="D1846:E1846"/>
    <mergeCell ref="D1847:E1847"/>
    <mergeCell ref="D1848:E1848"/>
    <mergeCell ref="D1849:E1849"/>
    <mergeCell ref="D1850:E1850"/>
    <mergeCell ref="D1851:E1851"/>
    <mergeCell ref="D1840:E1840"/>
    <mergeCell ref="D1841:E1841"/>
    <mergeCell ref="D1842:E1842"/>
    <mergeCell ref="D1843:E1843"/>
    <mergeCell ref="D1844:E1844"/>
    <mergeCell ref="D1845:E1845"/>
    <mergeCell ref="D1834:E1834"/>
    <mergeCell ref="D1835:E1835"/>
    <mergeCell ref="D1836:E1836"/>
    <mergeCell ref="D1837:E1837"/>
    <mergeCell ref="D1838:E1838"/>
    <mergeCell ref="D1839:E1839"/>
    <mergeCell ref="D1864:E1864"/>
    <mergeCell ref="D1865:E1865"/>
    <mergeCell ref="D1866:E1866"/>
    <mergeCell ref="D1867:E1867"/>
    <mergeCell ref="D1868:E1868"/>
    <mergeCell ref="D1869:E1869"/>
    <mergeCell ref="D1858:E1858"/>
    <mergeCell ref="D1859:E1859"/>
    <mergeCell ref="D1860:E1860"/>
    <mergeCell ref="D1861:E1861"/>
    <mergeCell ref="D1862:E1862"/>
    <mergeCell ref="D1863:E1863"/>
    <mergeCell ref="D1852:E1852"/>
    <mergeCell ref="D1853:E1853"/>
    <mergeCell ref="D1854:E1854"/>
    <mergeCell ref="D1855:E1855"/>
    <mergeCell ref="D1856:E1856"/>
    <mergeCell ref="D1857:E1857"/>
    <mergeCell ref="D1882:F1882"/>
    <mergeCell ref="D1883:F1883"/>
    <mergeCell ref="D1884:F1884"/>
    <mergeCell ref="D1885:F1885"/>
    <mergeCell ref="D1886:F1886"/>
    <mergeCell ref="D1887:F1887"/>
    <mergeCell ref="D1876:E1876"/>
    <mergeCell ref="D1877:F1877"/>
    <mergeCell ref="D1878:F1878"/>
    <mergeCell ref="D1879:F1879"/>
    <mergeCell ref="D1880:F1880"/>
    <mergeCell ref="D1881:F1881"/>
    <mergeCell ref="D1870:E1870"/>
    <mergeCell ref="D1871:E1871"/>
    <mergeCell ref="D1872:E1872"/>
    <mergeCell ref="D1873:E1873"/>
    <mergeCell ref="D1874:E1874"/>
    <mergeCell ref="D1875:E1875"/>
    <mergeCell ref="D1900:F1900"/>
    <mergeCell ref="D1901:F1901"/>
    <mergeCell ref="D1902:F1902"/>
    <mergeCell ref="D1903:F1903"/>
    <mergeCell ref="D1904:F1904"/>
    <mergeCell ref="D1905:F1905"/>
    <mergeCell ref="D1894:F1894"/>
    <mergeCell ref="D1895:F1895"/>
    <mergeCell ref="D1896:F1896"/>
    <mergeCell ref="D1897:F1897"/>
    <mergeCell ref="D1898:F1898"/>
    <mergeCell ref="D1899:F1899"/>
    <mergeCell ref="D1888:F1888"/>
    <mergeCell ref="D1889:F1889"/>
    <mergeCell ref="D1890:F1890"/>
    <mergeCell ref="D1891:F1891"/>
    <mergeCell ref="D1892:F1892"/>
    <mergeCell ref="D1893:F1893"/>
    <mergeCell ref="D1918:F1918"/>
    <mergeCell ref="D1919:E1919"/>
    <mergeCell ref="D1920:F1920"/>
    <mergeCell ref="D1921:F1921"/>
    <mergeCell ref="D1922:F1922"/>
    <mergeCell ref="D1923:F1923"/>
    <mergeCell ref="D1912:F1912"/>
    <mergeCell ref="D1913:F1913"/>
    <mergeCell ref="D1914:F1914"/>
    <mergeCell ref="D1915:E1915"/>
    <mergeCell ref="D1916:F1916"/>
    <mergeCell ref="D1917:F1917"/>
    <mergeCell ref="D1906:F1906"/>
    <mergeCell ref="D1907:F1907"/>
    <mergeCell ref="D1908:F1908"/>
    <mergeCell ref="D1909:F1909"/>
    <mergeCell ref="D1910:F1910"/>
    <mergeCell ref="D1911:F1911"/>
    <mergeCell ref="D1936:F1936"/>
    <mergeCell ref="D1937:F1937"/>
    <mergeCell ref="D1938:F1938"/>
    <mergeCell ref="D1939:F1939"/>
    <mergeCell ref="D1940:F1940"/>
    <mergeCell ref="D1941:F1941"/>
    <mergeCell ref="D1930:F1930"/>
    <mergeCell ref="D1931:F1931"/>
    <mergeCell ref="D1932:E1932"/>
    <mergeCell ref="D1933:F1933"/>
    <mergeCell ref="D1934:F1934"/>
    <mergeCell ref="D1935:F1935"/>
    <mergeCell ref="D1924:F1924"/>
    <mergeCell ref="D1925:E1925"/>
    <mergeCell ref="D1926:F1926"/>
    <mergeCell ref="D1927:F1927"/>
    <mergeCell ref="D1928:E1928"/>
    <mergeCell ref="D1929:F1929"/>
    <mergeCell ref="D1954:F1954"/>
    <mergeCell ref="D1955:E1955"/>
    <mergeCell ref="D1956:F1956"/>
    <mergeCell ref="D1957:F1957"/>
    <mergeCell ref="D1958:E1958"/>
    <mergeCell ref="D1959:E1959"/>
    <mergeCell ref="D1948:F1948"/>
    <mergeCell ref="D1949:F1949"/>
    <mergeCell ref="D1950:F1950"/>
    <mergeCell ref="D1951:F1951"/>
    <mergeCell ref="D1952:F1952"/>
    <mergeCell ref="D1953:F1953"/>
    <mergeCell ref="D1942:F1942"/>
    <mergeCell ref="D1943:F1943"/>
    <mergeCell ref="D1944:F1944"/>
    <mergeCell ref="D1945:F1945"/>
    <mergeCell ref="D1946:F1946"/>
    <mergeCell ref="D1947:F1947"/>
    <mergeCell ref="D1972:F1972"/>
    <mergeCell ref="D1973:F1973"/>
    <mergeCell ref="D1974:F1974"/>
    <mergeCell ref="D1975:F1975"/>
    <mergeCell ref="D1976:F1976"/>
    <mergeCell ref="D1977:F1977"/>
    <mergeCell ref="D1966:F1966"/>
    <mergeCell ref="D1967:F1967"/>
    <mergeCell ref="D1968:F1968"/>
    <mergeCell ref="D1969:F1969"/>
    <mergeCell ref="D1970:F1970"/>
    <mergeCell ref="D1971:F1971"/>
    <mergeCell ref="D1960:E1960"/>
    <mergeCell ref="D1961:F1961"/>
    <mergeCell ref="D1962:G1962"/>
    <mergeCell ref="D1963:E1963"/>
    <mergeCell ref="D1964:F1964"/>
    <mergeCell ref="D1965:E1965"/>
    <mergeCell ref="D1990:F1990"/>
    <mergeCell ref="D1991:F1991"/>
    <mergeCell ref="D1992:F1992"/>
    <mergeCell ref="D1993:F1993"/>
    <mergeCell ref="D1994:F1994"/>
    <mergeCell ref="D1995:F1995"/>
    <mergeCell ref="D1984:F1984"/>
    <mergeCell ref="D1985:F1985"/>
    <mergeCell ref="D1986:E1986"/>
    <mergeCell ref="D1987:F1987"/>
    <mergeCell ref="D1988:F1988"/>
    <mergeCell ref="D1989:F1989"/>
    <mergeCell ref="D1978:F1978"/>
    <mergeCell ref="D1979:F1979"/>
    <mergeCell ref="D1980:F1980"/>
    <mergeCell ref="D1981:F1981"/>
    <mergeCell ref="D1982:F1982"/>
    <mergeCell ref="D1983:F1983"/>
    <mergeCell ref="D2008:F2008"/>
    <mergeCell ref="D2009:E2009"/>
    <mergeCell ref="D2010:F2010"/>
    <mergeCell ref="D2011:F2011"/>
    <mergeCell ref="D2012:E2012"/>
    <mergeCell ref="D2013:E2013"/>
    <mergeCell ref="D2002:F2002"/>
    <mergeCell ref="D2003:F2003"/>
    <mergeCell ref="D2004:F2004"/>
    <mergeCell ref="D2005:F2005"/>
    <mergeCell ref="D2006:F2006"/>
    <mergeCell ref="D2007:F2007"/>
    <mergeCell ref="D1996:F1996"/>
    <mergeCell ref="D1997:F1997"/>
    <mergeCell ref="D1998:F1998"/>
    <mergeCell ref="D1999:F1999"/>
    <mergeCell ref="D2000:F2000"/>
    <mergeCell ref="D2001:F2001"/>
    <mergeCell ref="D2026:F2026"/>
    <mergeCell ref="D2027:F2027"/>
    <mergeCell ref="D2028:F2028"/>
    <mergeCell ref="D2029:F2029"/>
    <mergeCell ref="D2030:F2030"/>
    <mergeCell ref="D2031:F2031"/>
    <mergeCell ref="D2020:F2020"/>
    <mergeCell ref="D2021:F2021"/>
    <mergeCell ref="D2022:F2022"/>
    <mergeCell ref="D2023:F2023"/>
    <mergeCell ref="D2024:F2024"/>
    <mergeCell ref="D2025:F2025"/>
    <mergeCell ref="D2014:E2014"/>
    <mergeCell ref="D2015:F2015"/>
    <mergeCell ref="D2016:E2016"/>
    <mergeCell ref="D2017:E2017"/>
    <mergeCell ref="D2018:E2018"/>
    <mergeCell ref="D2019:F2019"/>
    <mergeCell ref="D2044:F2044"/>
    <mergeCell ref="D2045:F2045"/>
    <mergeCell ref="D2046:F2046"/>
    <mergeCell ref="D2047:F2047"/>
    <mergeCell ref="D2048:F2048"/>
    <mergeCell ref="D2049:F2049"/>
    <mergeCell ref="D2038:F2038"/>
    <mergeCell ref="D2039:F2039"/>
    <mergeCell ref="D2040:F2040"/>
    <mergeCell ref="D2041:F2041"/>
    <mergeCell ref="D2042:F2042"/>
    <mergeCell ref="D2043:F2043"/>
    <mergeCell ref="D2032:F2032"/>
    <mergeCell ref="D2033:F2033"/>
    <mergeCell ref="D2034:F2034"/>
    <mergeCell ref="D2035:F2035"/>
    <mergeCell ref="D2036:F2036"/>
    <mergeCell ref="D2037:F2037"/>
    <mergeCell ref="D2062:F2062"/>
    <mergeCell ref="D2063:F2063"/>
    <mergeCell ref="D2064:F2064"/>
    <mergeCell ref="D2065:F2065"/>
    <mergeCell ref="D2066:F2066"/>
    <mergeCell ref="D2067:F2067"/>
    <mergeCell ref="D2056:F2056"/>
    <mergeCell ref="D2057:F2057"/>
    <mergeCell ref="D2058:F2058"/>
    <mergeCell ref="D2059:F2059"/>
    <mergeCell ref="D2060:F2060"/>
    <mergeCell ref="D2061:F2061"/>
    <mergeCell ref="D2050:F2050"/>
    <mergeCell ref="D2051:F2051"/>
    <mergeCell ref="D2052:F2052"/>
    <mergeCell ref="D2053:F2053"/>
    <mergeCell ref="D2054:F2054"/>
    <mergeCell ref="D2055:F2055"/>
    <mergeCell ref="D2080:F2080"/>
    <mergeCell ref="D2081:E2081"/>
    <mergeCell ref="D2082:F2082"/>
    <mergeCell ref="D2083:F2083"/>
    <mergeCell ref="D2084:E2084"/>
    <mergeCell ref="D2085:F2085"/>
    <mergeCell ref="D2074:F2074"/>
    <mergeCell ref="D2075:E2075"/>
    <mergeCell ref="D2076:F2076"/>
    <mergeCell ref="D2077:F2077"/>
    <mergeCell ref="D2078:E2078"/>
    <mergeCell ref="D2079:F2079"/>
    <mergeCell ref="D2068:F2068"/>
    <mergeCell ref="D2069:F2069"/>
    <mergeCell ref="D2070:F2070"/>
    <mergeCell ref="D2071:F2071"/>
    <mergeCell ref="D2072:F2072"/>
    <mergeCell ref="D2073:F2073"/>
    <mergeCell ref="D2098:E2098"/>
    <mergeCell ref="D2099:F2099"/>
    <mergeCell ref="D2100:G2100"/>
    <mergeCell ref="D2101:E2101"/>
    <mergeCell ref="D2102:F2102"/>
    <mergeCell ref="D2103:E2103"/>
    <mergeCell ref="D2092:F2092"/>
    <mergeCell ref="D2093:F2093"/>
    <mergeCell ref="D2094:F2094"/>
    <mergeCell ref="D2095:F2095"/>
    <mergeCell ref="D2096:F2096"/>
    <mergeCell ref="D2097:F2097"/>
    <mergeCell ref="D2086:F2086"/>
    <mergeCell ref="D2087:E2087"/>
    <mergeCell ref="D2088:F2088"/>
    <mergeCell ref="D2089:F2089"/>
    <mergeCell ref="D2090:F2090"/>
    <mergeCell ref="D2091:F2091"/>
    <mergeCell ref="D2116:E2116"/>
    <mergeCell ref="D2117:E2117"/>
    <mergeCell ref="D2118:F2118"/>
    <mergeCell ref="D2119:F2119"/>
    <mergeCell ref="D2120:F2120"/>
    <mergeCell ref="D2121:F2121"/>
    <mergeCell ref="D2110:F2110"/>
    <mergeCell ref="D2111:F2111"/>
    <mergeCell ref="D2112:E2112"/>
    <mergeCell ref="D2113:E2113"/>
    <mergeCell ref="D2114:E2114"/>
    <mergeCell ref="D2115:F2115"/>
    <mergeCell ref="D2104:F2104"/>
    <mergeCell ref="D2105:F2105"/>
    <mergeCell ref="D2106:E2106"/>
    <mergeCell ref="D2107:E2107"/>
    <mergeCell ref="D2108:E2108"/>
    <mergeCell ref="D2109:F2109"/>
    <mergeCell ref="D2134:F2134"/>
    <mergeCell ref="D2135:F2135"/>
    <mergeCell ref="D2136:F2136"/>
    <mergeCell ref="D2137:F2137"/>
    <mergeCell ref="D2138:F2138"/>
    <mergeCell ref="D2139:F2139"/>
    <mergeCell ref="D2128:F2128"/>
    <mergeCell ref="D2129:F2129"/>
    <mergeCell ref="D2130:F2130"/>
    <mergeCell ref="D2131:F2131"/>
    <mergeCell ref="D2132:F2132"/>
    <mergeCell ref="D2133:F2133"/>
    <mergeCell ref="D2122:F2122"/>
    <mergeCell ref="D2123:F2123"/>
    <mergeCell ref="D2124:F2124"/>
    <mergeCell ref="D2125:F2125"/>
    <mergeCell ref="D2126:F2126"/>
    <mergeCell ref="D2127:F2127"/>
    <mergeCell ref="D2152:F2152"/>
    <mergeCell ref="D2153:F2153"/>
    <mergeCell ref="D2154:F2154"/>
    <mergeCell ref="D2155:F2155"/>
    <mergeCell ref="D2156:F2156"/>
    <mergeCell ref="D2157:F2157"/>
    <mergeCell ref="D2146:F2146"/>
    <mergeCell ref="D2147:F2147"/>
    <mergeCell ref="D2148:F2148"/>
    <mergeCell ref="D2149:F2149"/>
    <mergeCell ref="D2150:F2150"/>
    <mergeCell ref="D2151:F2151"/>
    <mergeCell ref="D2140:F2140"/>
    <mergeCell ref="D2141:F2141"/>
    <mergeCell ref="D2142:F2142"/>
    <mergeCell ref="D2143:F2143"/>
    <mergeCell ref="D2144:F2144"/>
    <mergeCell ref="D2145:F2145"/>
    <mergeCell ref="D2170:F2170"/>
    <mergeCell ref="D2171:F2171"/>
    <mergeCell ref="D2172:F2172"/>
    <mergeCell ref="D2173:F2173"/>
    <mergeCell ref="D2174:F2174"/>
    <mergeCell ref="D2175:F2175"/>
    <mergeCell ref="D2164:F2164"/>
    <mergeCell ref="D2165:F2165"/>
    <mergeCell ref="D2166:F2166"/>
    <mergeCell ref="D2167:F2167"/>
    <mergeCell ref="D2168:F2168"/>
    <mergeCell ref="D2169:F2169"/>
    <mergeCell ref="D2158:F2158"/>
    <mergeCell ref="D2159:F2159"/>
    <mergeCell ref="D2160:F2160"/>
    <mergeCell ref="D2161:F2161"/>
    <mergeCell ref="D2162:F2162"/>
    <mergeCell ref="D2163:F2163"/>
    <mergeCell ref="D2188:F2188"/>
    <mergeCell ref="D2189:F2189"/>
    <mergeCell ref="D2190:F2190"/>
    <mergeCell ref="D2191:F2191"/>
    <mergeCell ref="D2192:F2192"/>
    <mergeCell ref="D2193:F2193"/>
    <mergeCell ref="D2182:F2182"/>
    <mergeCell ref="D2183:E2183"/>
    <mergeCell ref="D2184:F2184"/>
    <mergeCell ref="D2185:E2185"/>
    <mergeCell ref="D2186:F2186"/>
    <mergeCell ref="D2187:F2187"/>
    <mergeCell ref="D2176:F2176"/>
    <mergeCell ref="D2177:F2177"/>
    <mergeCell ref="D2178:F2178"/>
    <mergeCell ref="D2179:F2179"/>
    <mergeCell ref="D2180:F2180"/>
    <mergeCell ref="D2181:F2181"/>
    <mergeCell ref="D2206:E2206"/>
    <mergeCell ref="D2207:F2207"/>
    <mergeCell ref="D2208:F2208"/>
    <mergeCell ref="D2209:F2209"/>
    <mergeCell ref="D2210:F2210"/>
    <mergeCell ref="D2211:G2211"/>
    <mergeCell ref="D2200:F2200"/>
    <mergeCell ref="D2201:F2201"/>
    <mergeCell ref="D2202:F2202"/>
    <mergeCell ref="D2203:F2203"/>
    <mergeCell ref="D2204:F2204"/>
    <mergeCell ref="D2205:G2205"/>
    <mergeCell ref="D2194:F2194"/>
    <mergeCell ref="D2195:F2195"/>
    <mergeCell ref="D2196:F2196"/>
    <mergeCell ref="D2197:F2197"/>
    <mergeCell ref="D2198:F2198"/>
    <mergeCell ref="D2199:F2199"/>
    <mergeCell ref="D2224:E2224"/>
    <mergeCell ref="D2225:E2225"/>
    <mergeCell ref="D2226:E2226"/>
    <mergeCell ref="D2227:E2227"/>
    <mergeCell ref="A2230:G2230"/>
    <mergeCell ref="D2218:F2218"/>
    <mergeCell ref="D2219:F2219"/>
    <mergeCell ref="D2220:F2220"/>
    <mergeCell ref="D2221:E2221"/>
    <mergeCell ref="D2222:G2222"/>
    <mergeCell ref="D2223:E2223"/>
    <mergeCell ref="D2212:E2212"/>
    <mergeCell ref="D2213:E2213"/>
    <mergeCell ref="D2214:G2214"/>
    <mergeCell ref="D2215:E2215"/>
    <mergeCell ref="D2216:E2216"/>
    <mergeCell ref="D2217:F2217"/>
  </mergeCells>
  <pageMargins left="0.39400000000000002" right="0.39400000000000002" top="0.59099999999999997" bottom="0.59099999999999997" header="0.5" footer="0.5"/>
  <pageSetup paperSize="0" fitToHeight="0" orientation="landscape"/>
  <headerFooter alignWithMargins="0"/>
  <drawing r:id="rId1"/>
</worksheet>
</file>

<file path=xl/worksheets/sheet7.xml><?xml version="1.0" encoding="utf-8"?>
<worksheet xmlns="http://schemas.openxmlformats.org/spreadsheetml/2006/main" xmlns:r="http://schemas.openxmlformats.org/officeDocument/2006/relationships">
  <dimension ref="A1:M26"/>
  <sheetViews>
    <sheetView workbookViewId="0">
      <selection activeCell="I17" sqref="I17"/>
    </sheetView>
  </sheetViews>
  <sheetFormatPr defaultColWidth="11.5546875" defaultRowHeight="13.2"/>
  <cols>
    <col min="1" max="1" width="6.88671875" style="391" customWidth="1"/>
    <col min="2" max="2" width="4.5546875" style="391" customWidth="1"/>
    <col min="3" max="3" width="15" style="391" customWidth="1"/>
    <col min="4" max="4" width="34.109375" style="391" customWidth="1"/>
    <col min="5" max="5" width="4.33203125" style="391" customWidth="1"/>
    <col min="6" max="6" width="12.33203125" style="391" customWidth="1"/>
    <col min="7" max="7" width="12" style="391" customWidth="1"/>
    <col min="8" max="9" width="14.33203125" style="391" customWidth="1"/>
    <col min="10" max="12" width="12.109375" style="391" customWidth="1"/>
    <col min="13" max="13" width="13" style="391" customWidth="1"/>
    <col min="14" max="16384" width="11.5546875" style="391"/>
  </cols>
  <sheetData>
    <row r="1" spans="1:13" ht="72.900000000000006" customHeight="1">
      <c r="A1" s="958" t="s">
        <v>5761</v>
      </c>
      <c r="B1" s="959"/>
      <c r="C1" s="959"/>
      <c r="D1" s="959"/>
      <c r="E1" s="959"/>
      <c r="F1" s="959"/>
      <c r="G1" s="959"/>
      <c r="H1" s="959"/>
      <c r="I1" s="959"/>
    </row>
    <row r="2" spans="1:13" ht="42" customHeight="1">
      <c r="A2" s="960" t="s">
        <v>0</v>
      </c>
      <c r="B2" s="961"/>
      <c r="C2" s="962" t="str">
        <f>'Krycí list rozpoctu'!C2</f>
        <v xml:space="preserve"> Dostavba ZŠ Mnichovice, 3. etapa, školní jídelna a kuchyň</v>
      </c>
      <c r="D2" s="964" t="s">
        <v>1933</v>
      </c>
      <c r="E2" s="961"/>
      <c r="F2" s="965" t="s">
        <v>4</v>
      </c>
      <c r="G2" s="965" t="s">
        <v>1948</v>
      </c>
      <c r="H2" s="965" t="str">
        <f>'Krycí list rozpoctu'!F2</f>
        <v>Město Mnichovice, Masarykovo náměstí 83, 251 64 Mnichovice</v>
      </c>
      <c r="I2" s="961"/>
      <c r="J2" s="392"/>
    </row>
    <row r="3" spans="1:13" ht="21" customHeight="1">
      <c r="A3" s="957"/>
      <c r="B3" s="945"/>
      <c r="C3" s="963"/>
      <c r="D3" s="945"/>
      <c r="E3" s="945"/>
      <c r="F3" s="945"/>
      <c r="G3" s="945"/>
      <c r="H3" s="945"/>
      <c r="I3" s="945"/>
      <c r="J3" s="392"/>
    </row>
    <row r="4" spans="1:13" ht="12.75" customHeight="1">
      <c r="A4" s="947" t="s">
        <v>1</v>
      </c>
      <c r="B4" s="945"/>
      <c r="C4" s="949" t="s">
        <v>5812</v>
      </c>
      <c r="D4" s="946" t="s">
        <v>1934</v>
      </c>
      <c r="E4" s="945"/>
      <c r="F4" s="944">
        <f>'Krycí list rozpoctu'!C8</f>
        <v>0</v>
      </c>
      <c r="G4" s="944" t="s">
        <v>1949</v>
      </c>
      <c r="H4" s="944" t="str">
        <f>'Krycí list rozpoctu'!F4</f>
        <v> ing. Tomáš Řičař</v>
      </c>
      <c r="I4" s="945"/>
      <c r="J4" s="392"/>
    </row>
    <row r="5" spans="1:13">
      <c r="A5" s="957"/>
      <c r="B5" s="945"/>
      <c r="C5" s="945"/>
      <c r="D5" s="945"/>
      <c r="E5" s="945"/>
      <c r="F5" s="945"/>
      <c r="G5" s="945"/>
      <c r="H5" s="945"/>
      <c r="I5" s="945"/>
      <c r="J5" s="392"/>
    </row>
    <row r="6" spans="1:13" ht="12.75" customHeight="1">
      <c r="A6" s="947" t="s">
        <v>2</v>
      </c>
      <c r="B6" s="945"/>
      <c r="C6" s="944" t="str">
        <f>'Krycí list rozpoctu'!C6</f>
        <v xml:space="preserve"> parc.č. 385/2, 1749, 68/3, 74/5, 74/3 a 3854/1, k.ú. Mnichovice</v>
      </c>
      <c r="D6" s="946" t="s">
        <v>1935</v>
      </c>
      <c r="E6" s="945"/>
      <c r="F6" s="949">
        <f>'Krycí list rozpoctu'!F8</f>
        <v>0</v>
      </c>
      <c r="G6" s="944" t="s">
        <v>1950</v>
      </c>
      <c r="H6" s="944">
        <f>'Krycí list rozpoctu'!F6</f>
        <v>0</v>
      </c>
      <c r="I6" s="945"/>
      <c r="J6" s="392"/>
    </row>
    <row r="7" spans="1:13">
      <c r="A7" s="957"/>
      <c r="B7" s="945"/>
      <c r="C7" s="945"/>
      <c r="D7" s="945"/>
      <c r="E7" s="945"/>
      <c r="F7" s="945"/>
      <c r="G7" s="945"/>
      <c r="H7" s="945"/>
      <c r="I7" s="945"/>
      <c r="J7" s="392"/>
    </row>
    <row r="8" spans="1:13" ht="12.75" customHeight="1">
      <c r="A8" s="947" t="s">
        <v>3</v>
      </c>
      <c r="B8" s="945"/>
      <c r="C8" s="944" t="s">
        <v>4</v>
      </c>
      <c r="D8" s="946" t="s">
        <v>1936</v>
      </c>
      <c r="E8" s="945"/>
      <c r="F8" s="944" t="str">
        <f>'Krycí list rozpoctu'!I10</f>
        <v>23.06.2020</v>
      </c>
      <c r="G8" s="944" t="s">
        <v>1951</v>
      </c>
      <c r="H8" s="949">
        <f>'Krycí list rozpoctu'!F10</f>
        <v>0</v>
      </c>
      <c r="I8" s="945"/>
      <c r="J8" s="392"/>
    </row>
    <row r="9" spans="1:13" ht="13.8" thickBot="1">
      <c r="A9" s="948"/>
      <c r="B9" s="943"/>
      <c r="C9" s="943"/>
      <c r="D9" s="943"/>
      <c r="E9" s="943"/>
      <c r="F9" s="943"/>
      <c r="G9" s="943"/>
      <c r="H9" s="943"/>
      <c r="I9" s="943"/>
      <c r="J9" s="392"/>
    </row>
    <row r="10" spans="1:13">
      <c r="A10" s="395" t="s">
        <v>4</v>
      </c>
      <c r="B10" s="950" t="s">
        <v>4</v>
      </c>
      <c r="C10" s="951"/>
      <c r="D10" s="951"/>
      <c r="E10" s="951"/>
      <c r="F10" s="951"/>
      <c r="G10" s="951"/>
      <c r="H10" s="952"/>
      <c r="I10" s="396"/>
      <c r="J10" s="397"/>
    </row>
    <row r="11" spans="1:13" ht="13.8" thickBot="1">
      <c r="A11" s="398" t="s">
        <v>606</v>
      </c>
      <c r="B11" s="953" t="s">
        <v>2049</v>
      </c>
      <c r="C11" s="954"/>
      <c r="D11" s="954"/>
      <c r="E11" s="954"/>
      <c r="F11" s="954"/>
      <c r="G11" s="954"/>
      <c r="H11" s="955"/>
      <c r="I11" s="399" t="s">
        <v>1955</v>
      </c>
      <c r="J11" s="397"/>
    </row>
    <row r="12" spans="1:13">
      <c r="A12" s="400" t="s">
        <v>5762</v>
      </c>
      <c r="B12" s="956" t="s">
        <v>5763</v>
      </c>
      <c r="C12" s="951"/>
      <c r="D12" s="951"/>
      <c r="E12" s="951"/>
      <c r="F12" s="951"/>
      <c r="G12" s="951"/>
      <c r="H12" s="951"/>
      <c r="I12" s="401">
        <f>'D1.4a - ZTI'!J30</f>
        <v>0</v>
      </c>
      <c r="J12" s="402"/>
      <c r="K12" s="402"/>
      <c r="L12" s="394"/>
      <c r="M12" s="402"/>
    </row>
    <row r="13" spans="1:13">
      <c r="A13" s="394" t="s">
        <v>5764</v>
      </c>
      <c r="B13" s="394" t="s">
        <v>5765</v>
      </c>
      <c r="C13" s="393"/>
      <c r="D13" s="393"/>
      <c r="E13" s="393"/>
      <c r="F13" s="393"/>
      <c r="G13" s="393"/>
      <c r="H13" s="393"/>
      <c r="I13" s="402">
        <f>'D1.4b - Vytápění'!F133</f>
        <v>0</v>
      </c>
      <c r="J13" s="402"/>
      <c r="K13" s="402"/>
      <c r="L13" s="394"/>
      <c r="M13" s="402"/>
    </row>
    <row r="14" spans="1:13">
      <c r="A14" s="394" t="s">
        <v>5766</v>
      </c>
      <c r="B14" s="946" t="s">
        <v>5767</v>
      </c>
      <c r="C14" s="945"/>
      <c r="D14" s="945"/>
      <c r="E14" s="945"/>
      <c r="F14" s="945"/>
      <c r="G14" s="945"/>
      <c r="H14" s="945"/>
      <c r="I14" s="402">
        <f>'D1.4c - Vzduchotechnika'!I315</f>
        <v>0</v>
      </c>
      <c r="J14" s="402"/>
      <c r="K14" s="402"/>
      <c r="L14" s="394"/>
      <c r="M14" s="402"/>
    </row>
    <row r="15" spans="1:13">
      <c r="A15" s="394" t="s">
        <v>5768</v>
      </c>
      <c r="B15" s="946" t="s">
        <v>5769</v>
      </c>
      <c r="C15" s="945"/>
      <c r="D15" s="945"/>
      <c r="E15" s="945"/>
      <c r="F15" s="945"/>
      <c r="G15" s="945"/>
      <c r="H15" s="945"/>
      <c r="I15" s="402">
        <f>'D1.4d - Silnoproud'!F142</f>
        <v>0</v>
      </c>
      <c r="J15" s="402"/>
      <c r="K15" s="402"/>
      <c r="L15" s="394"/>
      <c r="M15" s="402"/>
    </row>
    <row r="16" spans="1:13">
      <c r="A16" s="394" t="s">
        <v>5770</v>
      </c>
      <c r="B16" s="946" t="s">
        <v>5771</v>
      </c>
      <c r="C16" s="945"/>
      <c r="D16" s="945"/>
      <c r="E16" s="945"/>
      <c r="F16" s="945"/>
      <c r="G16" s="945"/>
      <c r="H16" s="945"/>
      <c r="I16" s="402">
        <f>'D1.4e - Slaboproud'!H127</f>
        <v>0</v>
      </c>
      <c r="J16" s="402"/>
      <c r="K16" s="402"/>
      <c r="L16" s="394"/>
      <c r="M16" s="402"/>
    </row>
    <row r="17" spans="1:13">
      <c r="A17" s="394" t="s">
        <v>5772</v>
      </c>
      <c r="B17" s="946" t="s">
        <v>5773</v>
      </c>
      <c r="C17" s="945"/>
      <c r="D17" s="945"/>
      <c r="E17" s="945"/>
      <c r="F17" s="945"/>
      <c r="G17" s="945"/>
      <c r="H17" s="945"/>
      <c r="I17" s="402">
        <f>'D1.4f - Měření a regulace'!H109</f>
        <v>0</v>
      </c>
      <c r="J17" s="402"/>
      <c r="K17" s="402"/>
      <c r="L17" s="394"/>
      <c r="M17" s="402"/>
    </row>
    <row r="18" spans="1:13">
      <c r="A18" s="394" t="s">
        <v>5774</v>
      </c>
      <c r="B18" s="946" t="s">
        <v>5775</v>
      </c>
      <c r="C18" s="945"/>
      <c r="D18" s="945"/>
      <c r="E18" s="945"/>
      <c r="F18" s="945"/>
      <c r="G18" s="945"/>
      <c r="H18" s="945"/>
      <c r="I18" s="402">
        <f>'D.2.1 - Gastro'!Q224</f>
        <v>0</v>
      </c>
      <c r="J18" s="402"/>
      <c r="K18" s="402"/>
      <c r="L18" s="394"/>
      <c r="M18" s="402"/>
    </row>
    <row r="19" spans="1:13">
      <c r="A19" s="394" t="s">
        <v>5776</v>
      </c>
      <c r="B19" s="946" t="s">
        <v>5777</v>
      </c>
      <c r="C19" s="945"/>
      <c r="D19" s="945"/>
      <c r="E19" s="945"/>
      <c r="F19" s="945"/>
      <c r="G19" s="945"/>
      <c r="H19" s="945"/>
      <c r="I19" s="402">
        <f>'D.2.2 - Přípojka kanalizace'!J30</f>
        <v>0</v>
      </c>
      <c r="J19" s="402"/>
      <c r="K19" s="402"/>
      <c r="L19" s="394"/>
      <c r="M19" s="402"/>
    </row>
    <row r="20" spans="1:13">
      <c r="A20" s="394" t="s">
        <v>5778</v>
      </c>
      <c r="B20" s="946" t="s">
        <v>5779</v>
      </c>
      <c r="C20" s="945"/>
      <c r="D20" s="945"/>
      <c r="E20" s="945"/>
      <c r="F20" s="945"/>
      <c r="G20" s="945"/>
      <c r="H20" s="945"/>
      <c r="I20" s="402">
        <f>'D.2.3 - Odlučovač tuků'!J30</f>
        <v>0</v>
      </c>
      <c r="J20" s="402"/>
      <c r="K20" s="402"/>
      <c r="L20" s="394"/>
      <c r="M20" s="402"/>
    </row>
    <row r="21" spans="1:13">
      <c r="A21" s="394" t="s">
        <v>5780</v>
      </c>
      <c r="B21" s="946" t="s">
        <v>5781</v>
      </c>
      <c r="C21" s="945"/>
      <c r="D21" s="945"/>
      <c r="E21" s="945"/>
      <c r="F21" s="945"/>
      <c r="G21" s="945"/>
      <c r="H21" s="945"/>
      <c r="I21" s="402">
        <f>'D.2.4 - Přípojka vodovodu'!J30</f>
        <v>0</v>
      </c>
      <c r="J21" s="402"/>
      <c r="K21" s="402"/>
      <c r="L21" s="394"/>
      <c r="M21" s="402"/>
    </row>
    <row r="22" spans="1:13">
      <c r="A22" s="394" t="s">
        <v>5782</v>
      </c>
      <c r="B22" s="946" t="s">
        <v>5783</v>
      </c>
      <c r="C22" s="945"/>
      <c r="D22" s="945"/>
      <c r="E22" s="945"/>
      <c r="F22" s="945"/>
      <c r="G22" s="945"/>
      <c r="H22" s="945"/>
      <c r="I22" s="402">
        <f>'D.2.5 - Přípojka plynovodu'!J96</f>
        <v>0</v>
      </c>
      <c r="J22" s="402"/>
      <c r="K22" s="402"/>
      <c r="L22" s="394"/>
      <c r="M22" s="402"/>
    </row>
    <row r="23" spans="1:13">
      <c r="A23" s="403" t="s">
        <v>5784</v>
      </c>
      <c r="B23" s="942" t="s">
        <v>3181</v>
      </c>
      <c r="C23" s="943"/>
      <c r="D23" s="943"/>
      <c r="E23" s="943"/>
      <c r="F23" s="943"/>
      <c r="G23" s="943"/>
      <c r="H23" s="943"/>
      <c r="I23" s="404">
        <f>'D.3.0 - Zpevněné plochy a komun'!G3</f>
        <v>0</v>
      </c>
      <c r="J23" s="402"/>
      <c r="K23" s="402"/>
      <c r="L23" s="394"/>
      <c r="M23" s="402"/>
    </row>
    <row r="24" spans="1:13">
      <c r="A24" s="405"/>
      <c r="B24" s="405"/>
      <c r="C24" s="405"/>
      <c r="D24" s="405"/>
      <c r="E24" s="405"/>
      <c r="F24" s="405"/>
      <c r="G24" s="405"/>
      <c r="H24" s="405"/>
      <c r="I24" s="406">
        <f>SUM(I12:I23)</f>
        <v>0</v>
      </c>
    </row>
    <row r="25" spans="1:13" ht="11.25" customHeight="1">
      <c r="A25" s="407" t="s">
        <v>605</v>
      </c>
    </row>
    <row r="26" spans="1:13">
      <c r="A26" s="944"/>
      <c r="B26" s="945"/>
      <c r="C26" s="945"/>
      <c r="D26" s="945"/>
      <c r="E26" s="945"/>
      <c r="F26" s="945"/>
      <c r="G26" s="945"/>
      <c r="H26" s="945"/>
      <c r="I26" s="945"/>
    </row>
  </sheetData>
  <mergeCells count="39">
    <mergeCell ref="A1:I1"/>
    <mergeCell ref="A2:B3"/>
    <mergeCell ref="C2:C3"/>
    <mergeCell ref="D2:E3"/>
    <mergeCell ref="F2:F3"/>
    <mergeCell ref="G2:G3"/>
    <mergeCell ref="H2:I3"/>
    <mergeCell ref="H6:I7"/>
    <mergeCell ref="A4:B5"/>
    <mergeCell ref="C4:C5"/>
    <mergeCell ref="D4:E5"/>
    <mergeCell ref="F4:F5"/>
    <mergeCell ref="G4:G5"/>
    <mergeCell ref="H4:I5"/>
    <mergeCell ref="A6:B7"/>
    <mergeCell ref="C6:C7"/>
    <mergeCell ref="D6:E7"/>
    <mergeCell ref="F6:F7"/>
    <mergeCell ref="G6:G7"/>
    <mergeCell ref="B16:H16"/>
    <mergeCell ref="A8:B9"/>
    <mergeCell ref="C8:C9"/>
    <mergeCell ref="D8:E9"/>
    <mergeCell ref="F8:F9"/>
    <mergeCell ref="G8:G9"/>
    <mergeCell ref="H8:I9"/>
    <mergeCell ref="B10:H10"/>
    <mergeCell ref="B11:H11"/>
    <mergeCell ref="B12:H12"/>
    <mergeCell ref="B14:H14"/>
    <mergeCell ref="B15:H15"/>
    <mergeCell ref="B23:H23"/>
    <mergeCell ref="A26:I26"/>
    <mergeCell ref="B17:H17"/>
    <mergeCell ref="B18:H18"/>
    <mergeCell ref="B19:H19"/>
    <mergeCell ref="B20:H20"/>
    <mergeCell ref="B21:H21"/>
    <mergeCell ref="B22:H2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B2:BM550"/>
  <sheetViews>
    <sheetView zoomScaleNormal="100" workbookViewId="0">
      <selection activeCell="I345" activeCellId="6" sqref="I357 I355 I353 I351 I349 I347 I345"/>
    </sheetView>
  </sheetViews>
  <sheetFormatPr defaultColWidth="9.109375" defaultRowHeight="10.199999999999999"/>
  <cols>
    <col min="1" max="1" width="7.109375" style="135" customWidth="1"/>
    <col min="2" max="2" width="1.44140625" style="135" customWidth="1"/>
    <col min="3" max="3" width="3.5546875" style="135" customWidth="1"/>
    <col min="4" max="4" width="3.6640625" style="135" customWidth="1"/>
    <col min="5" max="5" width="14.6640625" style="135" customWidth="1"/>
    <col min="6" max="6" width="43.5546875" style="135" customWidth="1"/>
    <col min="7" max="7" width="6.44140625" style="135" customWidth="1"/>
    <col min="8" max="8" width="9.88671875" style="135" customWidth="1"/>
    <col min="9" max="11" width="17.33203125" style="135" customWidth="1"/>
    <col min="12" max="12" width="8" style="135" customWidth="1"/>
    <col min="13" max="13" width="9.33203125" style="135" hidden="1" customWidth="1"/>
    <col min="14" max="14" width="9.109375" style="135"/>
    <col min="15" max="20" width="12.109375" style="135" hidden="1" customWidth="1"/>
    <col min="21" max="21" width="14" style="135" hidden="1" customWidth="1"/>
    <col min="22" max="22" width="10.5546875" style="135" customWidth="1"/>
    <col min="23" max="23" width="14" style="135" customWidth="1"/>
    <col min="24" max="24" width="10.5546875" style="135" customWidth="1"/>
    <col min="25" max="25" width="12.88671875" style="135" customWidth="1"/>
    <col min="26" max="26" width="9.44140625" style="135" customWidth="1"/>
    <col min="27" max="27" width="12.88671875" style="135" customWidth="1"/>
    <col min="28" max="28" width="14" style="135" customWidth="1"/>
    <col min="29" max="29" width="9.44140625" style="135" customWidth="1"/>
    <col min="30" max="30" width="12.88671875" style="135" customWidth="1"/>
    <col min="31" max="31" width="14" style="135" customWidth="1"/>
    <col min="32" max="16384" width="9.109375" style="135"/>
  </cols>
  <sheetData>
    <row r="2" spans="2:56" ht="36.9" customHeight="1">
      <c r="L2" s="970" t="s">
        <v>3265</v>
      </c>
      <c r="M2" s="971"/>
      <c r="N2" s="971"/>
      <c r="O2" s="971"/>
      <c r="P2" s="971"/>
      <c r="Q2" s="971"/>
      <c r="R2" s="971"/>
      <c r="S2" s="971"/>
      <c r="T2" s="971"/>
      <c r="U2" s="971"/>
      <c r="V2" s="971"/>
      <c r="AT2" s="136" t="s">
        <v>5059</v>
      </c>
      <c r="AZ2" s="137" t="s">
        <v>3270</v>
      </c>
      <c r="BA2" s="137" t="s">
        <v>3268</v>
      </c>
      <c r="BB2" s="137" t="s">
        <v>3268</v>
      </c>
      <c r="BC2" s="137" t="s">
        <v>5060</v>
      </c>
      <c r="BD2" s="137" t="s">
        <v>6</v>
      </c>
    </row>
    <row r="3" spans="2:56" ht="6.9" customHeight="1">
      <c r="B3" s="138"/>
      <c r="C3" s="139"/>
      <c r="D3" s="139"/>
      <c r="E3" s="139"/>
      <c r="F3" s="139"/>
      <c r="G3" s="139"/>
      <c r="H3" s="139"/>
      <c r="I3" s="139"/>
      <c r="J3" s="139"/>
      <c r="K3" s="139"/>
      <c r="L3" s="140"/>
      <c r="AT3" s="136" t="s">
        <v>6</v>
      </c>
      <c r="AZ3" s="137" t="s">
        <v>3275</v>
      </c>
      <c r="BA3" s="137" t="s">
        <v>3268</v>
      </c>
      <c r="BB3" s="137" t="s">
        <v>3268</v>
      </c>
      <c r="BC3" s="137" t="s">
        <v>5061</v>
      </c>
      <c r="BD3" s="137" t="s">
        <v>6</v>
      </c>
    </row>
    <row r="4" spans="2:56" ht="24.9" customHeight="1">
      <c r="B4" s="140"/>
      <c r="D4" s="141" t="s">
        <v>3272</v>
      </c>
      <c r="L4" s="140"/>
      <c r="M4" s="142" t="s">
        <v>3273</v>
      </c>
      <c r="AT4" s="136" t="s">
        <v>3274</v>
      </c>
      <c r="AZ4" s="137" t="s">
        <v>3277</v>
      </c>
      <c r="BA4" s="137" t="s">
        <v>3268</v>
      </c>
      <c r="BB4" s="137" t="s">
        <v>3268</v>
      </c>
      <c r="BC4" s="137" t="s">
        <v>5062</v>
      </c>
      <c r="BD4" s="137" t="s">
        <v>6</v>
      </c>
    </row>
    <row r="5" spans="2:56" ht="6.9" customHeight="1">
      <c r="B5" s="140"/>
      <c r="L5" s="140"/>
      <c r="AZ5" s="137" t="s">
        <v>3280</v>
      </c>
      <c r="BA5" s="137" t="s">
        <v>3268</v>
      </c>
      <c r="BB5" s="137" t="s">
        <v>3268</v>
      </c>
      <c r="BC5" s="137" t="s">
        <v>5063</v>
      </c>
      <c r="BD5" s="137" t="s">
        <v>6</v>
      </c>
    </row>
    <row r="6" spans="2:56" ht="12" customHeight="1">
      <c r="B6" s="140"/>
      <c r="D6" s="143" t="s">
        <v>3279</v>
      </c>
      <c r="L6" s="140"/>
      <c r="AZ6" s="137" t="s">
        <v>5064</v>
      </c>
      <c r="BA6" s="137" t="s">
        <v>3268</v>
      </c>
      <c r="BB6" s="137" t="s">
        <v>3268</v>
      </c>
      <c r="BC6" s="137" t="s">
        <v>5065</v>
      </c>
      <c r="BD6" s="137" t="s">
        <v>6</v>
      </c>
    </row>
    <row r="7" spans="2:56" ht="16.5" customHeight="1">
      <c r="B7" s="140"/>
      <c r="E7" s="968" t="s">
        <v>5796</v>
      </c>
      <c r="F7" s="969"/>
      <c r="G7" s="969"/>
      <c r="H7" s="969"/>
      <c r="L7" s="140"/>
      <c r="AZ7" s="137" t="s">
        <v>5066</v>
      </c>
      <c r="BA7" s="137" t="s">
        <v>3268</v>
      </c>
      <c r="BB7" s="137" t="s">
        <v>3268</v>
      </c>
      <c r="BC7" s="137" t="s">
        <v>193</v>
      </c>
      <c r="BD7" s="137" t="s">
        <v>6</v>
      </c>
    </row>
    <row r="8" spans="2:56" s="144" customFormat="1" ht="12" customHeight="1">
      <c r="B8" s="145"/>
      <c r="D8" s="143" t="s">
        <v>3282</v>
      </c>
      <c r="L8" s="145"/>
    </row>
    <row r="9" spans="2:56" s="144" customFormat="1" ht="16.5" customHeight="1">
      <c r="B9" s="145"/>
      <c r="E9" s="966" t="s">
        <v>5067</v>
      </c>
      <c r="F9" s="967"/>
      <c r="G9" s="967"/>
      <c r="H9" s="967"/>
      <c r="L9" s="145"/>
    </row>
    <row r="10" spans="2:56" s="144" customFormat="1">
      <c r="B10" s="145"/>
      <c r="L10" s="145"/>
    </row>
    <row r="11" spans="2:56" s="144" customFormat="1" ht="12" customHeight="1">
      <c r="B11" s="145"/>
      <c r="D11" s="143" t="s">
        <v>3284</v>
      </c>
      <c r="F11" s="146" t="s">
        <v>3268</v>
      </c>
      <c r="I11" s="143" t="s">
        <v>3285</v>
      </c>
      <c r="J11" s="146" t="s">
        <v>3268</v>
      </c>
      <c r="L11" s="145"/>
    </row>
    <row r="12" spans="2:56" s="144" customFormat="1" ht="12" customHeight="1">
      <c r="B12" s="145"/>
      <c r="D12" s="143" t="s">
        <v>3286</v>
      </c>
      <c r="F12" s="146" t="s">
        <v>4</v>
      </c>
      <c r="I12" s="143" t="s">
        <v>3141</v>
      </c>
      <c r="J12" s="147" t="s">
        <v>5797</v>
      </c>
      <c r="L12" s="145"/>
    </row>
    <row r="13" spans="2:56" s="144" customFormat="1" ht="10.95" customHeight="1">
      <c r="B13" s="145"/>
      <c r="L13" s="145"/>
    </row>
    <row r="14" spans="2:56" s="144" customFormat="1" ht="12" customHeight="1">
      <c r="B14" s="145"/>
      <c r="D14" s="143" t="s">
        <v>3287</v>
      </c>
      <c r="I14" s="143" t="s">
        <v>3288</v>
      </c>
      <c r="J14" s="146" t="s">
        <v>3268</v>
      </c>
      <c r="L14" s="145"/>
    </row>
    <row r="15" spans="2:56" s="144" customFormat="1" ht="18" customHeight="1">
      <c r="B15" s="145"/>
      <c r="E15" s="146" t="s">
        <v>4</v>
      </c>
      <c r="I15" s="143" t="s">
        <v>3289</v>
      </c>
      <c r="J15" s="146" t="s">
        <v>3268</v>
      </c>
      <c r="L15" s="145"/>
    </row>
    <row r="16" spans="2:56" s="144" customFormat="1" ht="6.9" customHeight="1">
      <c r="B16" s="145"/>
      <c r="L16" s="145"/>
    </row>
    <row r="17" spans="2:12" s="144" customFormat="1" ht="12" customHeight="1">
      <c r="B17" s="145"/>
      <c r="D17" s="143" t="s">
        <v>1950</v>
      </c>
      <c r="I17" s="143" t="s">
        <v>3288</v>
      </c>
      <c r="J17" s="146" t="s">
        <v>3268</v>
      </c>
      <c r="L17" s="145"/>
    </row>
    <row r="18" spans="2:12" s="144" customFormat="1" ht="18" customHeight="1">
      <c r="B18" s="145"/>
      <c r="E18" s="972" t="s">
        <v>4</v>
      </c>
      <c r="F18" s="972"/>
      <c r="G18" s="972"/>
      <c r="H18" s="972"/>
      <c r="I18" s="143" t="s">
        <v>3289</v>
      </c>
      <c r="J18" s="146" t="s">
        <v>3268</v>
      </c>
      <c r="L18" s="145"/>
    </row>
    <row r="19" spans="2:12" s="144" customFormat="1" ht="6.9" customHeight="1">
      <c r="B19" s="145"/>
      <c r="L19" s="145"/>
    </row>
    <row r="20" spans="2:12" s="144" customFormat="1" ht="12" customHeight="1">
      <c r="B20" s="145"/>
      <c r="D20" s="143" t="s">
        <v>1949</v>
      </c>
      <c r="I20" s="143" t="s">
        <v>3288</v>
      </c>
      <c r="J20" s="146" t="s">
        <v>3268</v>
      </c>
      <c r="L20" s="145"/>
    </row>
    <row r="21" spans="2:12" s="144" customFormat="1" ht="18" customHeight="1">
      <c r="B21" s="145"/>
      <c r="E21" s="146" t="s">
        <v>4</v>
      </c>
      <c r="I21" s="143" t="s">
        <v>3289</v>
      </c>
      <c r="J21" s="146" t="s">
        <v>3268</v>
      </c>
      <c r="L21" s="145"/>
    </row>
    <row r="22" spans="2:12" s="144" customFormat="1" ht="6.9" customHeight="1">
      <c r="B22" s="145"/>
      <c r="L22" s="145"/>
    </row>
    <row r="23" spans="2:12" s="144" customFormat="1" ht="12" customHeight="1">
      <c r="B23" s="145"/>
      <c r="D23" s="143" t="s">
        <v>3290</v>
      </c>
      <c r="I23" s="143" t="s">
        <v>3288</v>
      </c>
      <c r="J23" s="146" t="s">
        <v>3268</v>
      </c>
      <c r="L23" s="145"/>
    </row>
    <row r="24" spans="2:12" s="144" customFormat="1" ht="18" customHeight="1">
      <c r="B24" s="145"/>
      <c r="E24" s="146" t="s">
        <v>4</v>
      </c>
      <c r="I24" s="143" t="s">
        <v>3289</v>
      </c>
      <c r="J24" s="146" t="s">
        <v>3268</v>
      </c>
      <c r="L24" s="145"/>
    </row>
    <row r="25" spans="2:12" s="144" customFormat="1" ht="6.9" customHeight="1">
      <c r="B25" s="145"/>
      <c r="L25" s="145"/>
    </row>
    <row r="26" spans="2:12" s="144" customFormat="1" ht="12" customHeight="1">
      <c r="B26" s="145"/>
      <c r="D26" s="143" t="s">
        <v>605</v>
      </c>
      <c r="L26" s="145"/>
    </row>
    <row r="27" spans="2:12" s="148" customFormat="1" ht="16.5" customHeight="1">
      <c r="B27" s="149"/>
      <c r="E27" s="973" t="s">
        <v>3268</v>
      </c>
      <c r="F27" s="973"/>
      <c r="G27" s="973"/>
      <c r="H27" s="973"/>
      <c r="L27" s="149"/>
    </row>
    <row r="28" spans="2:12" s="144" customFormat="1" ht="6.9" customHeight="1">
      <c r="B28" s="145"/>
      <c r="L28" s="145"/>
    </row>
    <row r="29" spans="2:12" s="144" customFormat="1" ht="6.9" customHeight="1">
      <c r="B29" s="145"/>
      <c r="D29" s="151"/>
      <c r="E29" s="151"/>
      <c r="F29" s="151"/>
      <c r="G29" s="151"/>
      <c r="H29" s="151"/>
      <c r="I29" s="151"/>
      <c r="J29" s="151"/>
      <c r="K29" s="151"/>
      <c r="L29" s="145"/>
    </row>
    <row r="30" spans="2:12" s="144" customFormat="1" ht="25.35" customHeight="1">
      <c r="B30" s="145"/>
      <c r="D30" s="152" t="s">
        <v>3291</v>
      </c>
      <c r="J30" s="153">
        <f>ROUND(J135, 2)</f>
        <v>0</v>
      </c>
      <c r="L30" s="145"/>
    </row>
    <row r="31" spans="2:12" s="144" customFormat="1" ht="6.9" customHeight="1">
      <c r="B31" s="145"/>
      <c r="D31" s="151"/>
      <c r="E31" s="151"/>
      <c r="F31" s="151"/>
      <c r="G31" s="151"/>
      <c r="H31" s="151"/>
      <c r="I31" s="151"/>
      <c r="J31" s="151"/>
      <c r="K31" s="151"/>
      <c r="L31" s="145"/>
    </row>
    <row r="32" spans="2:12" s="144" customFormat="1" ht="14.4" customHeight="1">
      <c r="B32" s="145"/>
      <c r="F32" s="154" t="s">
        <v>3292</v>
      </c>
      <c r="I32" s="154" t="s">
        <v>3293</v>
      </c>
      <c r="J32" s="154" t="s">
        <v>3294</v>
      </c>
      <c r="L32" s="145"/>
    </row>
    <row r="33" spans="2:12" s="144" customFormat="1" ht="14.4" customHeight="1">
      <c r="B33" s="145"/>
      <c r="D33" s="155" t="s">
        <v>3295</v>
      </c>
      <c r="E33" s="143" t="s">
        <v>3296</v>
      </c>
      <c r="F33" s="156">
        <f>ROUND((SUM(BE135:BE549)),  2)</f>
        <v>0</v>
      </c>
      <c r="I33" s="157">
        <v>0.21</v>
      </c>
      <c r="J33" s="156">
        <f>ROUND(((SUM(BE135:BE549))*I33),  2)</f>
        <v>0</v>
      </c>
      <c r="L33" s="145"/>
    </row>
    <row r="34" spans="2:12" s="144" customFormat="1" ht="14.4" customHeight="1">
      <c r="B34" s="145"/>
      <c r="E34" s="143" t="s">
        <v>3297</v>
      </c>
      <c r="F34" s="156">
        <f>ROUND((SUM(BF135:BF549)),  2)</f>
        <v>0</v>
      </c>
      <c r="I34" s="157">
        <v>0.15</v>
      </c>
      <c r="J34" s="156">
        <f>ROUND(((SUM(BF135:BF549))*I34),  2)</f>
        <v>0</v>
      </c>
      <c r="L34" s="145"/>
    </row>
    <row r="35" spans="2:12" s="144" customFormat="1" ht="14.4" hidden="1" customHeight="1">
      <c r="B35" s="145"/>
      <c r="E35" s="143" t="s">
        <v>3298</v>
      </c>
      <c r="F35" s="156">
        <f>ROUND((SUM(BG135:BG549)),  2)</f>
        <v>0</v>
      </c>
      <c r="I35" s="157">
        <v>0.21</v>
      </c>
      <c r="J35" s="156">
        <f>0</f>
        <v>0</v>
      </c>
      <c r="L35" s="145"/>
    </row>
    <row r="36" spans="2:12" s="144" customFormat="1" ht="14.4" hidden="1" customHeight="1">
      <c r="B36" s="145"/>
      <c r="E36" s="143" t="s">
        <v>3299</v>
      </c>
      <c r="F36" s="156">
        <f>ROUND((SUM(BH135:BH549)),  2)</f>
        <v>0</v>
      </c>
      <c r="I36" s="157">
        <v>0.15</v>
      </c>
      <c r="J36" s="156">
        <f>0</f>
        <v>0</v>
      </c>
      <c r="L36" s="145"/>
    </row>
    <row r="37" spans="2:12" s="144" customFormat="1" ht="14.4" hidden="1" customHeight="1">
      <c r="B37" s="145"/>
      <c r="E37" s="143" t="s">
        <v>3300</v>
      </c>
      <c r="F37" s="156">
        <f>ROUND((SUM(BI135:BI549)),  2)</f>
        <v>0</v>
      </c>
      <c r="I37" s="157">
        <v>0</v>
      </c>
      <c r="J37" s="156">
        <f>0</f>
        <v>0</v>
      </c>
      <c r="L37" s="145"/>
    </row>
    <row r="38" spans="2:12" s="144" customFormat="1" ht="6.9" customHeight="1">
      <c r="B38" s="145"/>
      <c r="L38" s="145"/>
    </row>
    <row r="39" spans="2:12" s="144" customFormat="1" ht="25.35" customHeight="1">
      <c r="B39" s="145"/>
      <c r="C39" s="158"/>
      <c r="D39" s="159" t="s">
        <v>3301</v>
      </c>
      <c r="E39" s="160"/>
      <c r="F39" s="160"/>
      <c r="G39" s="161" t="s">
        <v>3302</v>
      </c>
      <c r="H39" s="162" t="s">
        <v>3303</v>
      </c>
      <c r="I39" s="160"/>
      <c r="J39" s="163">
        <f>SUM(J30:J37)</f>
        <v>0</v>
      </c>
      <c r="K39" s="164"/>
      <c r="L39" s="145"/>
    </row>
    <row r="40" spans="2:12" s="144" customFormat="1" ht="14.4" customHeight="1">
      <c r="B40" s="145"/>
      <c r="L40" s="145"/>
    </row>
    <row r="41" spans="2:12" ht="14.4" customHeight="1">
      <c r="B41" s="140"/>
      <c r="L41" s="140"/>
    </row>
    <row r="42" spans="2:12" ht="14.4" customHeight="1">
      <c r="B42" s="140"/>
      <c r="L42" s="140"/>
    </row>
    <row r="43" spans="2:12" ht="14.4" customHeight="1">
      <c r="B43" s="140"/>
      <c r="L43" s="140"/>
    </row>
    <row r="44" spans="2:12" ht="14.4" customHeight="1">
      <c r="B44" s="140"/>
      <c r="L44" s="140"/>
    </row>
    <row r="45" spans="2:12" ht="14.4" customHeight="1">
      <c r="B45" s="140"/>
      <c r="L45" s="140"/>
    </row>
    <row r="46" spans="2:12" ht="14.4" customHeight="1">
      <c r="B46" s="140"/>
      <c r="L46" s="140"/>
    </row>
    <row r="47" spans="2:12" ht="14.4" customHeight="1">
      <c r="B47" s="140"/>
      <c r="L47" s="140"/>
    </row>
    <row r="48" spans="2:12" ht="14.4" customHeight="1">
      <c r="B48" s="140"/>
      <c r="L48" s="140"/>
    </row>
    <row r="49" spans="2:12" ht="14.4" customHeight="1">
      <c r="B49" s="140"/>
      <c r="L49" s="140"/>
    </row>
    <row r="50" spans="2:12" s="144" customFormat="1" ht="14.4" customHeight="1">
      <c r="B50" s="145"/>
      <c r="D50" s="165" t="s">
        <v>3115</v>
      </c>
      <c r="E50" s="166"/>
      <c r="F50" s="166"/>
      <c r="G50" s="165" t="s">
        <v>3304</v>
      </c>
      <c r="H50" s="166"/>
      <c r="I50" s="166"/>
      <c r="J50" s="166"/>
      <c r="K50" s="166"/>
      <c r="L50" s="145"/>
    </row>
    <row r="51" spans="2:12">
      <c r="B51" s="140"/>
      <c r="L51" s="140"/>
    </row>
    <row r="52" spans="2:12">
      <c r="B52" s="140"/>
      <c r="L52" s="140"/>
    </row>
    <row r="53" spans="2:12">
      <c r="B53" s="140"/>
      <c r="L53" s="140"/>
    </row>
    <row r="54" spans="2:12">
      <c r="B54" s="140"/>
      <c r="L54" s="140"/>
    </row>
    <row r="55" spans="2:12">
      <c r="B55" s="140"/>
      <c r="L55" s="140"/>
    </row>
    <row r="56" spans="2:12">
      <c r="B56" s="140"/>
      <c r="L56" s="140"/>
    </row>
    <row r="57" spans="2:12">
      <c r="B57" s="140"/>
      <c r="L57" s="140"/>
    </row>
    <row r="58" spans="2:12">
      <c r="B58" s="140"/>
      <c r="L58" s="140"/>
    </row>
    <row r="59" spans="2:12">
      <c r="B59" s="140"/>
      <c r="L59" s="140"/>
    </row>
    <row r="60" spans="2:12">
      <c r="B60" s="140"/>
      <c r="L60" s="140"/>
    </row>
    <row r="61" spans="2:12" s="144" customFormat="1" ht="13.2">
      <c r="B61" s="145"/>
      <c r="D61" s="167" t="s">
        <v>3305</v>
      </c>
      <c r="E61" s="168"/>
      <c r="F61" s="169" t="s">
        <v>3306</v>
      </c>
      <c r="G61" s="167" t="s">
        <v>3305</v>
      </c>
      <c r="H61" s="168"/>
      <c r="I61" s="168"/>
      <c r="J61" s="170" t="s">
        <v>3306</v>
      </c>
      <c r="K61" s="168"/>
      <c r="L61" s="145"/>
    </row>
    <row r="62" spans="2:12">
      <c r="B62" s="140"/>
      <c r="L62" s="140"/>
    </row>
    <row r="63" spans="2:12">
      <c r="B63" s="140"/>
      <c r="L63" s="140"/>
    </row>
    <row r="64" spans="2:12">
      <c r="B64" s="140"/>
      <c r="L64" s="140"/>
    </row>
    <row r="65" spans="2:12" s="144" customFormat="1" ht="13.2">
      <c r="B65" s="145"/>
      <c r="D65" s="165" t="s">
        <v>3307</v>
      </c>
      <c r="E65" s="166"/>
      <c r="F65" s="166"/>
      <c r="G65" s="165" t="s">
        <v>3138</v>
      </c>
      <c r="H65" s="166"/>
      <c r="I65" s="166"/>
      <c r="J65" s="166"/>
      <c r="K65" s="166"/>
      <c r="L65" s="145"/>
    </row>
    <row r="66" spans="2:12">
      <c r="B66" s="140"/>
      <c r="L66" s="140"/>
    </row>
    <row r="67" spans="2:12">
      <c r="B67" s="140"/>
      <c r="L67" s="140"/>
    </row>
    <row r="68" spans="2:12">
      <c r="B68" s="140"/>
      <c r="L68" s="140"/>
    </row>
    <row r="69" spans="2:12">
      <c r="B69" s="140"/>
      <c r="L69" s="140"/>
    </row>
    <row r="70" spans="2:12">
      <c r="B70" s="140"/>
      <c r="L70" s="140"/>
    </row>
    <row r="71" spans="2:12">
      <c r="B71" s="140"/>
      <c r="L71" s="140"/>
    </row>
    <row r="72" spans="2:12">
      <c r="B72" s="140"/>
      <c r="L72" s="140"/>
    </row>
    <row r="73" spans="2:12">
      <c r="B73" s="140"/>
      <c r="L73" s="140"/>
    </row>
    <row r="74" spans="2:12">
      <c r="B74" s="140"/>
      <c r="L74" s="140"/>
    </row>
    <row r="75" spans="2:12">
      <c r="B75" s="140"/>
      <c r="L75" s="140"/>
    </row>
    <row r="76" spans="2:12" s="144" customFormat="1" ht="13.2">
      <c r="B76" s="145"/>
      <c r="D76" s="167" t="s">
        <v>3305</v>
      </c>
      <c r="E76" s="168"/>
      <c r="F76" s="169" t="s">
        <v>3306</v>
      </c>
      <c r="G76" s="167" t="s">
        <v>3305</v>
      </c>
      <c r="H76" s="168"/>
      <c r="I76" s="168"/>
      <c r="J76" s="170" t="s">
        <v>3306</v>
      </c>
      <c r="K76" s="168"/>
      <c r="L76" s="145"/>
    </row>
    <row r="77" spans="2:12" s="144" customFormat="1" ht="14.4" customHeight="1">
      <c r="B77" s="171"/>
      <c r="C77" s="172"/>
      <c r="D77" s="172"/>
      <c r="E77" s="172"/>
      <c r="F77" s="172"/>
      <c r="G77" s="172"/>
      <c r="H77" s="172"/>
      <c r="I77" s="172"/>
      <c r="J77" s="172"/>
      <c r="K77" s="172"/>
      <c r="L77" s="145"/>
    </row>
    <row r="81" spans="2:47" s="144" customFormat="1" ht="6.9" customHeight="1">
      <c r="B81" s="173"/>
      <c r="C81" s="174"/>
      <c r="D81" s="174"/>
      <c r="E81" s="174"/>
      <c r="F81" s="174"/>
      <c r="G81" s="174"/>
      <c r="H81" s="174"/>
      <c r="I81" s="174"/>
      <c r="J81" s="174"/>
      <c r="K81" s="174"/>
      <c r="L81" s="145"/>
    </row>
    <row r="82" spans="2:47" s="144" customFormat="1" ht="24.9" customHeight="1">
      <c r="B82" s="145"/>
      <c r="C82" s="141" t="s">
        <v>3308</v>
      </c>
      <c r="L82" s="145"/>
    </row>
    <row r="83" spans="2:47" s="144" customFormat="1" ht="6.9" customHeight="1">
      <c r="B83" s="145"/>
      <c r="L83" s="145"/>
    </row>
    <row r="84" spans="2:47" s="144" customFormat="1" ht="12" customHeight="1">
      <c r="B84" s="145"/>
      <c r="C84" s="143" t="s">
        <v>3279</v>
      </c>
      <c r="L84" s="145"/>
    </row>
    <row r="85" spans="2:47" s="144" customFormat="1" ht="16.5" customHeight="1">
      <c r="B85" s="145"/>
      <c r="E85" s="968" t="str">
        <f>E7</f>
        <v>Dostavba ZŠ Mnichovice, 3. etapa, školní jídelna a kuchyně</v>
      </c>
      <c r="F85" s="969"/>
      <c r="G85" s="969"/>
      <c r="H85" s="969"/>
      <c r="L85" s="145"/>
    </row>
    <row r="86" spans="2:47" s="144" customFormat="1" ht="12" customHeight="1">
      <c r="B86" s="145"/>
      <c r="C86" s="143" t="s">
        <v>3282</v>
      </c>
      <c r="L86" s="145"/>
    </row>
    <row r="87" spans="2:47" s="144" customFormat="1" ht="16.5" customHeight="1">
      <c r="B87" s="145"/>
      <c r="E87" s="966" t="str">
        <f>E9</f>
        <v>D.1.4.a - Zdravotně technické instalace</v>
      </c>
      <c r="F87" s="967"/>
      <c r="G87" s="967"/>
      <c r="H87" s="967"/>
      <c r="L87" s="145"/>
    </row>
    <row r="88" spans="2:47" s="144" customFormat="1" ht="6.9" customHeight="1">
      <c r="B88" s="145"/>
      <c r="L88" s="145"/>
    </row>
    <row r="89" spans="2:47" s="144" customFormat="1" ht="12" customHeight="1">
      <c r="B89" s="145"/>
      <c r="C89" s="143" t="s">
        <v>3286</v>
      </c>
      <c r="F89" s="146" t="str">
        <f>F12</f>
        <v xml:space="preserve"> </v>
      </c>
      <c r="I89" s="143" t="s">
        <v>3141</v>
      </c>
      <c r="J89" s="147" t="str">
        <f>IF(J12="","",J12)</f>
        <v>15. 4. 2020</v>
      </c>
      <c r="L89" s="145"/>
    </row>
    <row r="90" spans="2:47" s="144" customFormat="1" ht="6.9" customHeight="1">
      <c r="B90" s="145"/>
      <c r="L90" s="145"/>
    </row>
    <row r="91" spans="2:47" s="144" customFormat="1" ht="15.15" customHeight="1">
      <c r="B91" s="145"/>
      <c r="C91" s="143" t="s">
        <v>3287</v>
      </c>
      <c r="F91" s="146" t="str">
        <f>E15</f>
        <v xml:space="preserve"> </v>
      </c>
      <c r="I91" s="143" t="s">
        <v>1949</v>
      </c>
      <c r="J91" s="150" t="str">
        <f>E21</f>
        <v xml:space="preserve"> </v>
      </c>
      <c r="L91" s="145"/>
    </row>
    <row r="92" spans="2:47" s="144" customFormat="1" ht="15.15" customHeight="1">
      <c r="B92" s="145"/>
      <c r="C92" s="143" t="s">
        <v>1950</v>
      </c>
      <c r="F92" s="146" t="str">
        <f>IF(E18="","",E18)</f>
        <v xml:space="preserve"> </v>
      </c>
      <c r="I92" s="143" t="s">
        <v>3290</v>
      </c>
      <c r="J92" s="150" t="str">
        <f>E24</f>
        <v xml:space="preserve"> </v>
      </c>
      <c r="L92" s="145"/>
    </row>
    <row r="93" spans="2:47" s="144" customFormat="1" ht="10.35" customHeight="1">
      <c r="B93" s="145"/>
      <c r="L93" s="145"/>
    </row>
    <row r="94" spans="2:47" s="144" customFormat="1" ht="29.25" customHeight="1">
      <c r="B94" s="145"/>
      <c r="C94" s="175" t="s">
        <v>3309</v>
      </c>
      <c r="D94" s="158"/>
      <c r="E94" s="158"/>
      <c r="F94" s="158"/>
      <c r="G94" s="158"/>
      <c r="H94" s="158"/>
      <c r="I94" s="158"/>
      <c r="J94" s="176" t="s">
        <v>3310</v>
      </c>
      <c r="K94" s="158"/>
      <c r="L94" s="145"/>
    </row>
    <row r="95" spans="2:47" s="144" customFormat="1" ht="10.35" customHeight="1">
      <c r="B95" s="145"/>
      <c r="L95" s="145"/>
    </row>
    <row r="96" spans="2:47" s="144" customFormat="1" ht="22.95" customHeight="1">
      <c r="B96" s="145"/>
      <c r="C96" s="177" t="s">
        <v>3311</v>
      </c>
      <c r="J96" s="153">
        <f>J135</f>
        <v>0</v>
      </c>
      <c r="L96" s="145"/>
      <c r="AU96" s="136" t="s">
        <v>3312</v>
      </c>
    </row>
    <row r="97" spans="2:12" s="178" customFormat="1" ht="24.9" customHeight="1">
      <c r="B97" s="179"/>
      <c r="D97" s="180" t="s">
        <v>3313</v>
      </c>
      <c r="E97" s="181"/>
      <c r="F97" s="181"/>
      <c r="G97" s="181"/>
      <c r="H97" s="181"/>
      <c r="I97" s="181"/>
      <c r="J97" s="182">
        <f>J136</f>
        <v>0</v>
      </c>
      <c r="L97" s="179"/>
    </row>
    <row r="98" spans="2:12" s="183" customFormat="1" ht="19.95" customHeight="1">
      <c r="B98" s="184"/>
      <c r="D98" s="185" t="s">
        <v>3314</v>
      </c>
      <c r="E98" s="186"/>
      <c r="F98" s="186"/>
      <c r="G98" s="186"/>
      <c r="H98" s="186"/>
      <c r="I98" s="186"/>
      <c r="J98" s="187">
        <f>J137</f>
        <v>0</v>
      </c>
      <c r="L98" s="184"/>
    </row>
    <row r="99" spans="2:12" s="183" customFormat="1" ht="19.95" customHeight="1">
      <c r="B99" s="184"/>
      <c r="D99" s="185" t="s">
        <v>3549</v>
      </c>
      <c r="E99" s="186"/>
      <c r="F99" s="186"/>
      <c r="G99" s="186"/>
      <c r="H99" s="186"/>
      <c r="I99" s="186"/>
      <c r="J99" s="187">
        <f>J179</f>
        <v>0</v>
      </c>
      <c r="L99" s="184"/>
    </row>
    <row r="100" spans="2:12" s="183" customFormat="1" ht="19.95" customHeight="1">
      <c r="B100" s="184"/>
      <c r="D100" s="185" t="s">
        <v>3315</v>
      </c>
      <c r="E100" s="186"/>
      <c r="F100" s="186"/>
      <c r="G100" s="186"/>
      <c r="H100" s="186"/>
      <c r="I100" s="186"/>
      <c r="J100" s="187">
        <f>J186</f>
        <v>0</v>
      </c>
      <c r="L100" s="184"/>
    </row>
    <row r="101" spans="2:12" s="183" customFormat="1" ht="19.95" customHeight="1">
      <c r="B101" s="184"/>
      <c r="D101" s="185" t="s">
        <v>3316</v>
      </c>
      <c r="E101" s="186"/>
      <c r="F101" s="186"/>
      <c r="G101" s="186"/>
      <c r="H101" s="186"/>
      <c r="I101" s="186"/>
      <c r="J101" s="187">
        <f>J190</f>
        <v>0</v>
      </c>
      <c r="L101" s="184"/>
    </row>
    <row r="102" spans="2:12" s="178" customFormat="1" ht="24.9" customHeight="1">
      <c r="B102" s="179"/>
      <c r="D102" s="180" t="s">
        <v>5068</v>
      </c>
      <c r="E102" s="181"/>
      <c r="F102" s="181"/>
      <c r="G102" s="181"/>
      <c r="H102" s="181"/>
      <c r="I102" s="181"/>
      <c r="J102" s="182">
        <f>J239</f>
        <v>0</v>
      </c>
      <c r="L102" s="179"/>
    </row>
    <row r="103" spans="2:12" s="183" customFormat="1" ht="19.95" customHeight="1">
      <c r="B103" s="184"/>
      <c r="D103" s="185" t="s">
        <v>5069</v>
      </c>
      <c r="E103" s="186"/>
      <c r="F103" s="186"/>
      <c r="G103" s="186"/>
      <c r="H103" s="186"/>
      <c r="I103" s="186"/>
      <c r="J103" s="187">
        <f>J240</f>
        <v>0</v>
      </c>
      <c r="L103" s="184"/>
    </row>
    <row r="104" spans="2:12" s="183" customFormat="1" ht="19.95" customHeight="1">
      <c r="B104" s="184"/>
      <c r="D104" s="185" t="s">
        <v>5070</v>
      </c>
      <c r="E104" s="186"/>
      <c r="F104" s="186"/>
      <c r="G104" s="186"/>
      <c r="H104" s="186"/>
      <c r="I104" s="186"/>
      <c r="J104" s="187">
        <f>J273</f>
        <v>0</v>
      </c>
      <c r="L104" s="184"/>
    </row>
    <row r="105" spans="2:12" s="183" customFormat="1" ht="19.95" customHeight="1">
      <c r="B105" s="184"/>
      <c r="D105" s="185" t="s">
        <v>5071</v>
      </c>
      <c r="E105" s="186"/>
      <c r="F105" s="186"/>
      <c r="G105" s="186"/>
      <c r="H105" s="186"/>
      <c r="I105" s="186"/>
      <c r="J105" s="187">
        <f>J334</f>
        <v>0</v>
      </c>
      <c r="L105" s="184"/>
    </row>
    <row r="106" spans="2:12" s="183" customFormat="1" ht="19.95" customHeight="1">
      <c r="B106" s="184"/>
      <c r="D106" s="185" t="s">
        <v>5072</v>
      </c>
      <c r="E106" s="186"/>
      <c r="F106" s="186"/>
      <c r="G106" s="186"/>
      <c r="H106" s="186"/>
      <c r="I106" s="186"/>
      <c r="J106" s="187">
        <f>J417</f>
        <v>0</v>
      </c>
      <c r="L106" s="184"/>
    </row>
    <row r="107" spans="2:12" s="183" customFormat="1" ht="19.95" customHeight="1">
      <c r="B107" s="184"/>
      <c r="D107" s="185" t="s">
        <v>5073</v>
      </c>
      <c r="E107" s="186"/>
      <c r="F107" s="186"/>
      <c r="G107" s="186"/>
      <c r="H107" s="186"/>
      <c r="I107" s="186"/>
      <c r="J107" s="187">
        <f>J458</f>
        <v>0</v>
      </c>
      <c r="L107" s="184"/>
    </row>
    <row r="108" spans="2:12" s="183" customFormat="1" ht="19.95" customHeight="1">
      <c r="B108" s="184"/>
      <c r="D108" s="185" t="s">
        <v>5074</v>
      </c>
      <c r="E108" s="186"/>
      <c r="F108" s="186"/>
      <c r="G108" s="186"/>
      <c r="H108" s="186"/>
      <c r="I108" s="186"/>
      <c r="J108" s="187">
        <f>J463</f>
        <v>0</v>
      </c>
      <c r="L108" s="184"/>
    </row>
    <row r="109" spans="2:12" s="183" customFormat="1" ht="19.95" customHeight="1">
      <c r="B109" s="184"/>
      <c r="D109" s="185" t="s">
        <v>5075</v>
      </c>
      <c r="E109" s="186"/>
      <c r="F109" s="186"/>
      <c r="G109" s="186"/>
      <c r="H109" s="186"/>
      <c r="I109" s="186"/>
      <c r="J109" s="187">
        <f>J521</f>
        <v>0</v>
      </c>
      <c r="L109" s="184"/>
    </row>
    <row r="110" spans="2:12" s="183" customFormat="1" ht="19.95" customHeight="1">
      <c r="B110" s="184"/>
      <c r="D110" s="185" t="s">
        <v>5076</v>
      </c>
      <c r="E110" s="186"/>
      <c r="F110" s="186"/>
      <c r="G110" s="186"/>
      <c r="H110" s="186"/>
      <c r="I110" s="186"/>
      <c r="J110" s="187">
        <f>J530</f>
        <v>0</v>
      </c>
      <c r="L110" s="184"/>
    </row>
    <row r="111" spans="2:12" s="178" customFormat="1" ht="24.9" customHeight="1">
      <c r="B111" s="179"/>
      <c r="D111" s="180" t="s">
        <v>5077</v>
      </c>
      <c r="E111" s="181"/>
      <c r="F111" s="181"/>
      <c r="G111" s="181"/>
      <c r="H111" s="181"/>
      <c r="I111" s="181"/>
      <c r="J111" s="182">
        <f>J535</f>
        <v>0</v>
      </c>
      <c r="L111" s="179"/>
    </row>
    <row r="112" spans="2:12" s="178" customFormat="1" ht="24.9" customHeight="1">
      <c r="B112" s="179"/>
      <c r="D112" s="180" t="s">
        <v>3318</v>
      </c>
      <c r="E112" s="181"/>
      <c r="F112" s="181"/>
      <c r="G112" s="181"/>
      <c r="H112" s="181"/>
      <c r="I112" s="181"/>
      <c r="J112" s="182">
        <f>J538</f>
        <v>0</v>
      </c>
      <c r="L112" s="179"/>
    </row>
    <row r="113" spans="2:12" s="183" customFormat="1" ht="19.95" customHeight="1">
      <c r="B113" s="184"/>
      <c r="D113" s="185" t="s">
        <v>3319</v>
      </c>
      <c r="E113" s="186"/>
      <c r="F113" s="186"/>
      <c r="G113" s="186"/>
      <c r="H113" s="186"/>
      <c r="I113" s="186"/>
      <c r="J113" s="187">
        <f>J539</f>
        <v>0</v>
      </c>
      <c r="L113" s="184"/>
    </row>
    <row r="114" spans="2:12" s="183" customFormat="1" ht="19.95" customHeight="1">
      <c r="B114" s="184"/>
      <c r="D114" s="185" t="s">
        <v>3320</v>
      </c>
      <c r="E114" s="186"/>
      <c r="F114" s="186"/>
      <c r="G114" s="186"/>
      <c r="H114" s="186"/>
      <c r="I114" s="186"/>
      <c r="J114" s="187">
        <f>J542</f>
        <v>0</v>
      </c>
      <c r="L114" s="184"/>
    </row>
    <row r="115" spans="2:12" s="183" customFormat="1" ht="19.95" customHeight="1">
      <c r="B115" s="184"/>
      <c r="D115" s="185" t="s">
        <v>5078</v>
      </c>
      <c r="E115" s="186"/>
      <c r="F115" s="186"/>
      <c r="G115" s="186"/>
      <c r="H115" s="186"/>
      <c r="I115" s="186"/>
      <c r="J115" s="187">
        <f>J545</f>
        <v>0</v>
      </c>
      <c r="L115" s="184"/>
    </row>
    <row r="116" spans="2:12" s="144" customFormat="1" ht="21.75" customHeight="1">
      <c r="B116" s="145"/>
      <c r="L116" s="145"/>
    </row>
    <row r="117" spans="2:12" s="144" customFormat="1" ht="6.9" customHeight="1">
      <c r="B117" s="171"/>
      <c r="C117" s="172"/>
      <c r="D117" s="172"/>
      <c r="E117" s="172"/>
      <c r="F117" s="172"/>
      <c r="G117" s="172"/>
      <c r="H117" s="172"/>
      <c r="I117" s="172"/>
      <c r="J117" s="172"/>
      <c r="K117" s="172"/>
      <c r="L117" s="145"/>
    </row>
    <row r="121" spans="2:12" s="144" customFormat="1" ht="6.9" customHeight="1">
      <c r="B121" s="173"/>
      <c r="C121" s="174"/>
      <c r="D121" s="174"/>
      <c r="E121" s="174"/>
      <c r="F121" s="174"/>
      <c r="G121" s="174"/>
      <c r="H121" s="174"/>
      <c r="I121" s="174"/>
      <c r="J121" s="174"/>
      <c r="K121" s="174"/>
      <c r="L121" s="145"/>
    </row>
    <row r="122" spans="2:12" s="144" customFormat="1" ht="24.9" customHeight="1">
      <c r="B122" s="145"/>
      <c r="C122" s="141" t="s">
        <v>3321</v>
      </c>
      <c r="L122" s="145"/>
    </row>
    <row r="123" spans="2:12" s="144" customFormat="1" ht="6.9" customHeight="1">
      <c r="B123" s="145"/>
      <c r="L123" s="145"/>
    </row>
    <row r="124" spans="2:12" s="144" customFormat="1" ht="12" customHeight="1">
      <c r="B124" s="145"/>
      <c r="C124" s="143" t="s">
        <v>3279</v>
      </c>
      <c r="L124" s="145"/>
    </row>
    <row r="125" spans="2:12" s="144" customFormat="1" ht="16.5" customHeight="1">
      <c r="B125" s="145"/>
      <c r="E125" s="968" t="str">
        <f>E7</f>
        <v>Dostavba ZŠ Mnichovice, 3. etapa, školní jídelna a kuchyně</v>
      </c>
      <c r="F125" s="969"/>
      <c r="G125" s="969"/>
      <c r="H125" s="969"/>
      <c r="L125" s="145"/>
    </row>
    <row r="126" spans="2:12" s="144" customFormat="1" ht="12" customHeight="1">
      <c r="B126" s="145"/>
      <c r="C126" s="143" t="s">
        <v>3282</v>
      </c>
      <c r="L126" s="145"/>
    </row>
    <row r="127" spans="2:12" s="144" customFormat="1" ht="16.5" customHeight="1">
      <c r="B127" s="145"/>
      <c r="E127" s="966" t="str">
        <f>E9</f>
        <v>D.1.4.a - Zdravotně technické instalace</v>
      </c>
      <c r="F127" s="967"/>
      <c r="G127" s="967"/>
      <c r="H127" s="967"/>
      <c r="L127" s="145"/>
    </row>
    <row r="128" spans="2:12" s="144" customFormat="1" ht="6.9" customHeight="1">
      <c r="B128" s="145"/>
      <c r="L128" s="145"/>
    </row>
    <row r="129" spans="2:65" s="144" customFormat="1" ht="12" customHeight="1">
      <c r="B129" s="145"/>
      <c r="C129" s="143" t="s">
        <v>3286</v>
      </c>
      <c r="F129" s="146" t="str">
        <f>F12</f>
        <v xml:space="preserve"> </v>
      </c>
      <c r="I129" s="143" t="s">
        <v>3141</v>
      </c>
      <c r="J129" s="147" t="str">
        <f>IF(J12="","",J12)</f>
        <v>15. 4. 2020</v>
      </c>
      <c r="L129" s="145"/>
    </row>
    <row r="130" spans="2:65" s="144" customFormat="1" ht="6.9" customHeight="1">
      <c r="B130" s="145"/>
      <c r="L130" s="145"/>
    </row>
    <row r="131" spans="2:65" s="144" customFormat="1" ht="15.15" customHeight="1">
      <c r="B131" s="145"/>
      <c r="C131" s="143" t="s">
        <v>3287</v>
      </c>
      <c r="F131" s="146" t="str">
        <f>E15</f>
        <v xml:space="preserve"> </v>
      </c>
      <c r="I131" s="143" t="s">
        <v>1949</v>
      </c>
      <c r="J131" s="150" t="str">
        <f>E21</f>
        <v xml:space="preserve"> </v>
      </c>
      <c r="L131" s="145"/>
    </row>
    <row r="132" spans="2:65" s="144" customFormat="1" ht="15.15" customHeight="1">
      <c r="B132" s="145"/>
      <c r="C132" s="143" t="s">
        <v>1950</v>
      </c>
      <c r="F132" s="146" t="str">
        <f>IF(E18="","",E18)</f>
        <v xml:space="preserve"> </v>
      </c>
      <c r="I132" s="143" t="s">
        <v>3290</v>
      </c>
      <c r="J132" s="150" t="str">
        <f>E24</f>
        <v xml:space="preserve"> </v>
      </c>
      <c r="L132" s="145"/>
    </row>
    <row r="133" spans="2:65" s="144" customFormat="1" ht="10.35" customHeight="1">
      <c r="B133" s="145"/>
      <c r="L133" s="145"/>
    </row>
    <row r="134" spans="2:65" s="188" customFormat="1" ht="29.25" customHeight="1">
      <c r="B134" s="189"/>
      <c r="C134" s="190" t="s">
        <v>3322</v>
      </c>
      <c r="D134" s="191" t="s">
        <v>3323</v>
      </c>
      <c r="E134" s="191" t="s">
        <v>607</v>
      </c>
      <c r="F134" s="191" t="s">
        <v>3324</v>
      </c>
      <c r="G134" s="191" t="s">
        <v>1937</v>
      </c>
      <c r="H134" s="191" t="s">
        <v>1946</v>
      </c>
      <c r="I134" s="191" t="s">
        <v>3325</v>
      </c>
      <c r="J134" s="191" t="s">
        <v>3310</v>
      </c>
      <c r="K134" s="192" t="s">
        <v>3326</v>
      </c>
      <c r="L134" s="189"/>
      <c r="M134" s="193" t="s">
        <v>3268</v>
      </c>
      <c r="N134" s="194" t="s">
        <v>3295</v>
      </c>
      <c r="O134" s="194" t="s">
        <v>3327</v>
      </c>
      <c r="P134" s="194" t="s">
        <v>3328</v>
      </c>
      <c r="Q134" s="194" t="s">
        <v>3329</v>
      </c>
      <c r="R134" s="194" t="s">
        <v>3330</v>
      </c>
      <c r="S134" s="194" t="s">
        <v>3331</v>
      </c>
      <c r="T134" s="195" t="s">
        <v>3332</v>
      </c>
    </row>
    <row r="135" spans="2:65" s="144" customFormat="1" ht="22.95" customHeight="1">
      <c r="B135" s="145"/>
      <c r="C135" s="196" t="s">
        <v>3333</v>
      </c>
      <c r="J135" s="197">
        <f>BK135</f>
        <v>0</v>
      </c>
      <c r="L135" s="145"/>
      <c r="M135" s="198"/>
      <c r="N135" s="151"/>
      <c r="O135" s="151"/>
      <c r="P135" s="199">
        <f>P136+P239+P535+P538</f>
        <v>2681.2412819999995</v>
      </c>
      <c r="Q135" s="151"/>
      <c r="R135" s="199">
        <f>R136+R239+R535+R538</f>
        <v>23.06166</v>
      </c>
      <c r="S135" s="151"/>
      <c r="T135" s="200">
        <f>T136+T239+T535+T538</f>
        <v>0.67881000000000002</v>
      </c>
      <c r="AT135" s="136" t="s">
        <v>3334</v>
      </c>
      <c r="AU135" s="136" t="s">
        <v>3312</v>
      </c>
      <c r="BK135" s="201">
        <f>BK136+BK239+BK535+BK538</f>
        <v>0</v>
      </c>
    </row>
    <row r="136" spans="2:65" s="202" customFormat="1" ht="25.95" customHeight="1">
      <c r="B136" s="203"/>
      <c r="D136" s="204" t="s">
        <v>3334</v>
      </c>
      <c r="E136" s="205" t="s">
        <v>1219</v>
      </c>
      <c r="F136" s="205" t="s">
        <v>3335</v>
      </c>
      <c r="J136" s="206">
        <f>BK136</f>
        <v>0</v>
      </c>
      <c r="L136" s="203"/>
      <c r="M136" s="207"/>
      <c r="P136" s="208">
        <f>P137+P179+P186+P190</f>
        <v>912.28828199999998</v>
      </c>
      <c r="R136" s="208">
        <f>R137+R179+R186+R190</f>
        <v>17.640720000000002</v>
      </c>
      <c r="T136" s="209">
        <f>T137+T179+T186+T190</f>
        <v>0.67881000000000002</v>
      </c>
      <c r="AR136" s="204" t="s">
        <v>5</v>
      </c>
      <c r="AT136" s="210" t="s">
        <v>3334</v>
      </c>
      <c r="AU136" s="210" t="s">
        <v>3336</v>
      </c>
      <c r="AY136" s="204" t="s">
        <v>3337</v>
      </c>
      <c r="BK136" s="211">
        <f>BK137+BK179+BK186+BK190</f>
        <v>0</v>
      </c>
    </row>
    <row r="137" spans="2:65" s="202" customFormat="1" ht="22.95" customHeight="1">
      <c r="B137" s="203"/>
      <c r="D137" s="204" t="s">
        <v>3334</v>
      </c>
      <c r="E137" s="212" t="s">
        <v>5</v>
      </c>
      <c r="F137" s="212" t="s">
        <v>2050</v>
      </c>
      <c r="J137" s="213">
        <f>BK137</f>
        <v>0</v>
      </c>
      <c r="L137" s="203"/>
      <c r="M137" s="207"/>
      <c r="P137" s="208">
        <f>SUM(P138:P178)</f>
        <v>640.75608</v>
      </c>
      <c r="R137" s="208">
        <f>SUM(R138:R178)</f>
        <v>0</v>
      </c>
      <c r="T137" s="209">
        <f>SUM(T138:T178)</f>
        <v>0</v>
      </c>
      <c r="AR137" s="204" t="s">
        <v>5</v>
      </c>
      <c r="AT137" s="210" t="s">
        <v>3334</v>
      </c>
      <c r="AU137" s="210" t="s">
        <v>5</v>
      </c>
      <c r="AY137" s="204" t="s">
        <v>3337</v>
      </c>
      <c r="BK137" s="211">
        <f>SUM(BK138:BK178)</f>
        <v>0</v>
      </c>
    </row>
    <row r="138" spans="2:65" s="144" customFormat="1" ht="21.75" customHeight="1">
      <c r="B138" s="214"/>
      <c r="C138" s="215" t="s">
        <v>5</v>
      </c>
      <c r="D138" s="215" t="s">
        <v>3338</v>
      </c>
      <c r="E138" s="216" t="s">
        <v>5079</v>
      </c>
      <c r="F138" s="217" t="s">
        <v>5080</v>
      </c>
      <c r="G138" s="218" t="s">
        <v>1941</v>
      </c>
      <c r="H138" s="219">
        <v>189</v>
      </c>
      <c r="I138" s="745">
        <v>0</v>
      </c>
      <c r="J138" s="220">
        <f>ROUND(I138*H138,2)</f>
        <v>0</v>
      </c>
      <c r="K138" s="217" t="s">
        <v>3341</v>
      </c>
      <c r="L138" s="145"/>
      <c r="M138" s="221" t="s">
        <v>3268</v>
      </c>
      <c r="N138" s="222" t="s">
        <v>3296</v>
      </c>
      <c r="O138" s="223">
        <v>0.29699999999999999</v>
      </c>
      <c r="P138" s="223">
        <f>O138*H138</f>
        <v>56.132999999999996</v>
      </c>
      <c r="Q138" s="223">
        <v>0</v>
      </c>
      <c r="R138" s="223">
        <f>Q138*H138</f>
        <v>0</v>
      </c>
      <c r="S138" s="223">
        <v>0</v>
      </c>
      <c r="T138" s="224">
        <f>S138*H138</f>
        <v>0</v>
      </c>
      <c r="AR138" s="225" t="s">
        <v>8</v>
      </c>
      <c r="AT138" s="225" t="s">
        <v>3338</v>
      </c>
      <c r="AU138" s="225" t="s">
        <v>6</v>
      </c>
      <c r="AY138" s="136" t="s">
        <v>3337</v>
      </c>
      <c r="BE138" s="226">
        <f>IF(N138="základní",J138,0)</f>
        <v>0</v>
      </c>
      <c r="BF138" s="226">
        <f>IF(N138="snížená",J138,0)</f>
        <v>0</v>
      </c>
      <c r="BG138" s="226">
        <f>IF(N138="zákl. přenesená",J138,0)</f>
        <v>0</v>
      </c>
      <c r="BH138" s="226">
        <f>IF(N138="sníž. přenesená",J138,0)</f>
        <v>0</v>
      </c>
      <c r="BI138" s="226">
        <f>IF(N138="nulová",J138,0)</f>
        <v>0</v>
      </c>
      <c r="BJ138" s="136" t="s">
        <v>5</v>
      </c>
      <c r="BK138" s="226">
        <f>ROUND(I138*H138,2)</f>
        <v>0</v>
      </c>
      <c r="BL138" s="136" t="s">
        <v>8</v>
      </c>
      <c r="BM138" s="225" t="s">
        <v>5081</v>
      </c>
    </row>
    <row r="139" spans="2:65" s="144" customFormat="1" ht="28.8">
      <c r="B139" s="145"/>
      <c r="D139" s="227" t="s">
        <v>3343</v>
      </c>
      <c r="F139" s="228" t="s">
        <v>5082</v>
      </c>
      <c r="L139" s="145"/>
      <c r="M139" s="229"/>
      <c r="T139" s="230"/>
      <c r="AT139" s="136" t="s">
        <v>3343</v>
      </c>
      <c r="AU139" s="136" t="s">
        <v>6</v>
      </c>
    </row>
    <row r="140" spans="2:65" s="231" customFormat="1">
      <c r="B140" s="232"/>
      <c r="D140" s="227" t="s">
        <v>3345</v>
      </c>
      <c r="E140" s="233" t="s">
        <v>5066</v>
      </c>
      <c r="F140" s="234" t="s">
        <v>5083</v>
      </c>
      <c r="H140" s="235">
        <v>189</v>
      </c>
      <c r="L140" s="232"/>
      <c r="M140" s="236"/>
      <c r="T140" s="237"/>
      <c r="AT140" s="233" t="s">
        <v>3345</v>
      </c>
      <c r="AU140" s="233" t="s">
        <v>6</v>
      </c>
      <c r="AV140" s="231" t="s">
        <v>6</v>
      </c>
      <c r="AW140" s="231" t="s">
        <v>3347</v>
      </c>
      <c r="AX140" s="231" t="s">
        <v>5</v>
      </c>
      <c r="AY140" s="233" t="s">
        <v>3337</v>
      </c>
    </row>
    <row r="141" spans="2:65" s="144" customFormat="1" ht="21.75" customHeight="1">
      <c r="B141" s="214"/>
      <c r="C141" s="215" t="s">
        <v>6</v>
      </c>
      <c r="D141" s="215" t="s">
        <v>3338</v>
      </c>
      <c r="E141" s="216" t="s">
        <v>5084</v>
      </c>
      <c r="F141" s="217" t="s">
        <v>5085</v>
      </c>
      <c r="G141" s="218" t="s">
        <v>1941</v>
      </c>
      <c r="H141" s="219">
        <v>368.64</v>
      </c>
      <c r="I141" s="745">
        <v>0</v>
      </c>
      <c r="J141" s="220">
        <f>ROUND(I141*H141,2)</f>
        <v>0</v>
      </c>
      <c r="K141" s="217" t="s">
        <v>3341</v>
      </c>
      <c r="L141" s="145"/>
      <c r="M141" s="221" t="s">
        <v>3268</v>
      </c>
      <c r="N141" s="222" t="s">
        <v>3296</v>
      </c>
      <c r="O141" s="223">
        <v>0.67200000000000004</v>
      </c>
      <c r="P141" s="223">
        <f>O141*H141</f>
        <v>247.72608</v>
      </c>
      <c r="Q141" s="223">
        <v>0</v>
      </c>
      <c r="R141" s="223">
        <f>Q141*H141</f>
        <v>0</v>
      </c>
      <c r="S141" s="223">
        <v>0</v>
      </c>
      <c r="T141" s="224">
        <f>S141*H141</f>
        <v>0</v>
      </c>
      <c r="AR141" s="225" t="s">
        <v>8</v>
      </c>
      <c r="AT141" s="225" t="s">
        <v>3338</v>
      </c>
      <c r="AU141" s="225" t="s">
        <v>6</v>
      </c>
      <c r="AY141" s="136" t="s">
        <v>3337</v>
      </c>
      <c r="BE141" s="226">
        <f>IF(N141="základní",J141,0)</f>
        <v>0</v>
      </c>
      <c r="BF141" s="226">
        <f>IF(N141="snížená",J141,0)</f>
        <v>0</v>
      </c>
      <c r="BG141" s="226">
        <f>IF(N141="zákl. přenesená",J141,0)</f>
        <v>0</v>
      </c>
      <c r="BH141" s="226">
        <f>IF(N141="sníž. přenesená",J141,0)</f>
        <v>0</v>
      </c>
      <c r="BI141" s="226">
        <f>IF(N141="nulová",J141,0)</f>
        <v>0</v>
      </c>
      <c r="BJ141" s="136" t="s">
        <v>5</v>
      </c>
      <c r="BK141" s="226">
        <f>ROUND(I141*H141,2)</f>
        <v>0</v>
      </c>
      <c r="BL141" s="136" t="s">
        <v>8</v>
      </c>
      <c r="BM141" s="225" t="s">
        <v>5086</v>
      </c>
    </row>
    <row r="142" spans="2:65" s="144" customFormat="1" ht="28.8">
      <c r="B142" s="145"/>
      <c r="D142" s="227" t="s">
        <v>3343</v>
      </c>
      <c r="F142" s="228" t="s">
        <v>5087</v>
      </c>
      <c r="L142" s="145"/>
      <c r="M142" s="229"/>
      <c r="T142" s="230"/>
      <c r="AT142" s="136" t="s">
        <v>3343</v>
      </c>
      <c r="AU142" s="136" t="s">
        <v>6</v>
      </c>
    </row>
    <row r="143" spans="2:65" s="231" customFormat="1">
      <c r="B143" s="232"/>
      <c r="D143" s="227" t="s">
        <v>3345</v>
      </c>
      <c r="E143" s="233" t="s">
        <v>5064</v>
      </c>
      <c r="F143" s="234" t="s">
        <v>5088</v>
      </c>
      <c r="H143" s="235">
        <v>368.64</v>
      </c>
      <c r="L143" s="232"/>
      <c r="M143" s="236"/>
      <c r="T143" s="237"/>
      <c r="AT143" s="233" t="s">
        <v>3345</v>
      </c>
      <c r="AU143" s="233" t="s">
        <v>6</v>
      </c>
      <c r="AV143" s="231" t="s">
        <v>6</v>
      </c>
      <c r="AW143" s="231" t="s">
        <v>3347</v>
      </c>
      <c r="AX143" s="231" t="s">
        <v>5</v>
      </c>
      <c r="AY143" s="233" t="s">
        <v>3337</v>
      </c>
    </row>
    <row r="144" spans="2:65" s="144" customFormat="1" ht="21.75" customHeight="1">
      <c r="B144" s="214"/>
      <c r="C144" s="215" t="s">
        <v>7</v>
      </c>
      <c r="D144" s="215" t="s">
        <v>3338</v>
      </c>
      <c r="E144" s="216" t="s">
        <v>3348</v>
      </c>
      <c r="F144" s="217" t="s">
        <v>3349</v>
      </c>
      <c r="G144" s="218" t="s">
        <v>1941</v>
      </c>
      <c r="H144" s="219">
        <v>708.58799999999997</v>
      </c>
      <c r="I144" s="745">
        <v>0</v>
      </c>
      <c r="J144" s="220">
        <f>ROUND(I144*H144,2)</f>
        <v>0</v>
      </c>
      <c r="K144" s="217" t="s">
        <v>3341</v>
      </c>
      <c r="L144" s="145"/>
      <c r="M144" s="221" t="s">
        <v>3268</v>
      </c>
      <c r="N144" s="222" t="s">
        <v>3296</v>
      </c>
      <c r="O144" s="223">
        <v>4.3999999999999997E-2</v>
      </c>
      <c r="P144" s="223">
        <f>O144*H144</f>
        <v>31.177871999999997</v>
      </c>
      <c r="Q144" s="223">
        <v>0</v>
      </c>
      <c r="R144" s="223">
        <f>Q144*H144</f>
        <v>0</v>
      </c>
      <c r="S144" s="223">
        <v>0</v>
      </c>
      <c r="T144" s="224">
        <f>S144*H144</f>
        <v>0</v>
      </c>
      <c r="AR144" s="225" t="s">
        <v>8</v>
      </c>
      <c r="AT144" s="225" t="s">
        <v>3338</v>
      </c>
      <c r="AU144" s="225" t="s">
        <v>6</v>
      </c>
      <c r="AY144" s="136" t="s">
        <v>3337</v>
      </c>
      <c r="BE144" s="226">
        <f>IF(N144="základní",J144,0)</f>
        <v>0</v>
      </c>
      <c r="BF144" s="226">
        <f>IF(N144="snížená",J144,0)</f>
        <v>0</v>
      </c>
      <c r="BG144" s="226">
        <f>IF(N144="zákl. přenesená",J144,0)</f>
        <v>0</v>
      </c>
      <c r="BH144" s="226">
        <f>IF(N144="sníž. přenesená",J144,0)</f>
        <v>0</v>
      </c>
      <c r="BI144" s="226">
        <f>IF(N144="nulová",J144,0)</f>
        <v>0</v>
      </c>
      <c r="BJ144" s="136" t="s">
        <v>5</v>
      </c>
      <c r="BK144" s="226">
        <f>ROUND(I144*H144,2)</f>
        <v>0</v>
      </c>
      <c r="BL144" s="136" t="s">
        <v>8</v>
      </c>
      <c r="BM144" s="225" t="s">
        <v>5089</v>
      </c>
    </row>
    <row r="145" spans="2:65" s="144" customFormat="1" ht="38.4">
      <c r="B145" s="145"/>
      <c r="D145" s="227" t="s">
        <v>3343</v>
      </c>
      <c r="F145" s="228" t="s">
        <v>3351</v>
      </c>
      <c r="L145" s="145"/>
      <c r="M145" s="229"/>
      <c r="T145" s="230"/>
      <c r="AT145" s="136" t="s">
        <v>3343</v>
      </c>
      <c r="AU145" s="136" t="s">
        <v>6</v>
      </c>
    </row>
    <row r="146" spans="2:65" s="238" customFormat="1">
      <c r="B146" s="239"/>
      <c r="D146" s="227" t="s">
        <v>3345</v>
      </c>
      <c r="E146" s="240" t="s">
        <v>3268</v>
      </c>
      <c r="F146" s="241" t="s">
        <v>3352</v>
      </c>
      <c r="H146" s="240" t="s">
        <v>3268</v>
      </c>
      <c r="L146" s="239"/>
      <c r="M146" s="242"/>
      <c r="T146" s="243"/>
      <c r="AT146" s="240" t="s">
        <v>3345</v>
      </c>
      <c r="AU146" s="240" t="s">
        <v>6</v>
      </c>
      <c r="AV146" s="238" t="s">
        <v>5</v>
      </c>
      <c r="AW146" s="238" t="s">
        <v>3347</v>
      </c>
      <c r="AX146" s="238" t="s">
        <v>3336</v>
      </c>
      <c r="AY146" s="240" t="s">
        <v>3337</v>
      </c>
    </row>
    <row r="147" spans="2:65" s="231" customFormat="1">
      <c r="B147" s="232"/>
      <c r="D147" s="227" t="s">
        <v>3345</v>
      </c>
      <c r="E147" s="233" t="s">
        <v>3268</v>
      </c>
      <c r="F147" s="234" t="s">
        <v>3270</v>
      </c>
      <c r="H147" s="235">
        <v>354.29399999999998</v>
      </c>
      <c r="L147" s="232"/>
      <c r="M147" s="236"/>
      <c r="T147" s="237"/>
      <c r="AT147" s="233" t="s">
        <v>3345</v>
      </c>
      <c r="AU147" s="233" t="s">
        <v>6</v>
      </c>
      <c r="AV147" s="231" t="s">
        <v>6</v>
      </c>
      <c r="AW147" s="231" t="s">
        <v>3347</v>
      </c>
      <c r="AX147" s="231" t="s">
        <v>3336</v>
      </c>
      <c r="AY147" s="233" t="s">
        <v>3337</v>
      </c>
    </row>
    <row r="148" spans="2:65" s="238" customFormat="1">
      <c r="B148" s="239"/>
      <c r="D148" s="227" t="s">
        <v>3345</v>
      </c>
      <c r="E148" s="240" t="s">
        <v>3268</v>
      </c>
      <c r="F148" s="241" t="s">
        <v>3353</v>
      </c>
      <c r="H148" s="240" t="s">
        <v>3268</v>
      </c>
      <c r="L148" s="239"/>
      <c r="M148" s="242"/>
      <c r="T148" s="243"/>
      <c r="AT148" s="240" t="s">
        <v>3345</v>
      </c>
      <c r="AU148" s="240" t="s">
        <v>6</v>
      </c>
      <c r="AV148" s="238" t="s">
        <v>5</v>
      </c>
      <c r="AW148" s="238" t="s">
        <v>3347</v>
      </c>
      <c r="AX148" s="238" t="s">
        <v>3336</v>
      </c>
      <c r="AY148" s="240" t="s">
        <v>3337</v>
      </c>
    </row>
    <row r="149" spans="2:65" s="231" customFormat="1">
      <c r="B149" s="232"/>
      <c r="D149" s="227" t="s">
        <v>3345</v>
      </c>
      <c r="E149" s="233" t="s">
        <v>3268</v>
      </c>
      <c r="F149" s="234" t="s">
        <v>3270</v>
      </c>
      <c r="H149" s="235">
        <v>354.29399999999998</v>
      </c>
      <c r="L149" s="232"/>
      <c r="M149" s="236"/>
      <c r="T149" s="237"/>
      <c r="AT149" s="233" t="s">
        <v>3345</v>
      </c>
      <c r="AU149" s="233" t="s">
        <v>6</v>
      </c>
      <c r="AV149" s="231" t="s">
        <v>6</v>
      </c>
      <c r="AW149" s="231" t="s">
        <v>3347</v>
      </c>
      <c r="AX149" s="231" t="s">
        <v>3336</v>
      </c>
      <c r="AY149" s="233" t="s">
        <v>3337</v>
      </c>
    </row>
    <row r="150" spans="2:65" s="244" customFormat="1">
      <c r="B150" s="245"/>
      <c r="D150" s="227" t="s">
        <v>3345</v>
      </c>
      <c r="E150" s="246" t="s">
        <v>3268</v>
      </c>
      <c r="F150" s="247" t="s">
        <v>3354</v>
      </c>
      <c r="H150" s="248">
        <v>708.58799999999997</v>
      </c>
      <c r="L150" s="245"/>
      <c r="M150" s="249"/>
      <c r="T150" s="250"/>
      <c r="AT150" s="246" t="s">
        <v>3345</v>
      </c>
      <c r="AU150" s="246" t="s">
        <v>6</v>
      </c>
      <c r="AV150" s="244" t="s">
        <v>8</v>
      </c>
      <c r="AW150" s="244" t="s">
        <v>3347</v>
      </c>
      <c r="AX150" s="244" t="s">
        <v>5</v>
      </c>
      <c r="AY150" s="246" t="s">
        <v>3337</v>
      </c>
    </row>
    <row r="151" spans="2:65" s="144" customFormat="1" ht="21.75" customHeight="1">
      <c r="B151" s="214"/>
      <c r="C151" s="215" t="s">
        <v>8</v>
      </c>
      <c r="D151" s="215" t="s">
        <v>3338</v>
      </c>
      <c r="E151" s="216" t="s">
        <v>3355</v>
      </c>
      <c r="F151" s="217" t="s">
        <v>3356</v>
      </c>
      <c r="G151" s="218" t="s">
        <v>1941</v>
      </c>
      <c r="H151" s="219">
        <v>203.346</v>
      </c>
      <c r="I151" s="745">
        <v>0</v>
      </c>
      <c r="J151" s="220">
        <f>ROUND(I151*H151,2)</f>
        <v>0</v>
      </c>
      <c r="K151" s="217" t="s">
        <v>3341</v>
      </c>
      <c r="L151" s="145"/>
      <c r="M151" s="221" t="s">
        <v>3268</v>
      </c>
      <c r="N151" s="222" t="s">
        <v>3296</v>
      </c>
      <c r="O151" s="223">
        <v>8.6999999999999994E-2</v>
      </c>
      <c r="P151" s="223">
        <f>O151*H151</f>
        <v>17.691102000000001</v>
      </c>
      <c r="Q151" s="223">
        <v>0</v>
      </c>
      <c r="R151" s="223">
        <f>Q151*H151</f>
        <v>0</v>
      </c>
      <c r="S151" s="223">
        <v>0</v>
      </c>
      <c r="T151" s="224">
        <f>S151*H151</f>
        <v>0</v>
      </c>
      <c r="AR151" s="225" t="s">
        <v>8</v>
      </c>
      <c r="AT151" s="225" t="s">
        <v>3338</v>
      </c>
      <c r="AU151" s="225" t="s">
        <v>6</v>
      </c>
      <c r="AY151" s="136" t="s">
        <v>3337</v>
      </c>
      <c r="BE151" s="226">
        <f>IF(N151="základní",J151,0)</f>
        <v>0</v>
      </c>
      <c r="BF151" s="226">
        <f>IF(N151="snížená",J151,0)</f>
        <v>0</v>
      </c>
      <c r="BG151" s="226">
        <f>IF(N151="zákl. přenesená",J151,0)</f>
        <v>0</v>
      </c>
      <c r="BH151" s="226">
        <f>IF(N151="sníž. přenesená",J151,0)</f>
        <v>0</v>
      </c>
      <c r="BI151" s="226">
        <f>IF(N151="nulová",J151,0)</f>
        <v>0</v>
      </c>
      <c r="BJ151" s="136" t="s">
        <v>5</v>
      </c>
      <c r="BK151" s="226">
        <f>ROUND(I151*H151,2)</f>
        <v>0</v>
      </c>
      <c r="BL151" s="136" t="s">
        <v>8</v>
      </c>
      <c r="BM151" s="225" t="s">
        <v>5090</v>
      </c>
    </row>
    <row r="152" spans="2:65" s="144" customFormat="1" ht="38.4">
      <c r="B152" s="145"/>
      <c r="D152" s="227" t="s">
        <v>3343</v>
      </c>
      <c r="F152" s="228" t="s">
        <v>3358</v>
      </c>
      <c r="L152" s="145"/>
      <c r="M152" s="229"/>
      <c r="T152" s="230"/>
      <c r="AT152" s="136" t="s">
        <v>3343</v>
      </c>
      <c r="AU152" s="136" t="s">
        <v>6</v>
      </c>
    </row>
    <row r="153" spans="2:65" s="238" customFormat="1">
      <c r="B153" s="239"/>
      <c r="D153" s="227" t="s">
        <v>3345</v>
      </c>
      <c r="E153" s="240" t="s">
        <v>3268</v>
      </c>
      <c r="F153" s="241" t="s">
        <v>3359</v>
      </c>
      <c r="H153" s="240" t="s">
        <v>3268</v>
      </c>
      <c r="L153" s="239"/>
      <c r="M153" s="242"/>
      <c r="T153" s="243"/>
      <c r="AT153" s="240" t="s">
        <v>3345</v>
      </c>
      <c r="AU153" s="240" t="s">
        <v>6</v>
      </c>
      <c r="AV153" s="238" t="s">
        <v>5</v>
      </c>
      <c r="AW153" s="238" t="s">
        <v>3347</v>
      </c>
      <c r="AX153" s="238" t="s">
        <v>3336</v>
      </c>
      <c r="AY153" s="240" t="s">
        <v>3337</v>
      </c>
    </row>
    <row r="154" spans="2:65" s="231" customFormat="1">
      <c r="B154" s="232"/>
      <c r="D154" s="227" t="s">
        <v>3345</v>
      </c>
      <c r="E154" s="233" t="s">
        <v>3275</v>
      </c>
      <c r="F154" s="234" t="s">
        <v>5091</v>
      </c>
      <c r="H154" s="235">
        <v>203.346</v>
      </c>
      <c r="L154" s="232"/>
      <c r="M154" s="236"/>
      <c r="T154" s="237"/>
      <c r="AT154" s="233" t="s">
        <v>3345</v>
      </c>
      <c r="AU154" s="233" t="s">
        <v>6</v>
      </c>
      <c r="AV154" s="231" t="s">
        <v>6</v>
      </c>
      <c r="AW154" s="231" t="s">
        <v>3347</v>
      </c>
      <c r="AX154" s="231" t="s">
        <v>5</v>
      </c>
      <c r="AY154" s="233" t="s">
        <v>3337</v>
      </c>
    </row>
    <row r="155" spans="2:65" s="144" customFormat="1" ht="21.75" customHeight="1">
      <c r="B155" s="214"/>
      <c r="C155" s="215" t="s">
        <v>9</v>
      </c>
      <c r="D155" s="215" t="s">
        <v>3338</v>
      </c>
      <c r="E155" s="216" t="s">
        <v>3361</v>
      </c>
      <c r="F155" s="217" t="s">
        <v>3362</v>
      </c>
      <c r="G155" s="218" t="s">
        <v>1941</v>
      </c>
      <c r="H155" s="219">
        <v>557.64</v>
      </c>
      <c r="I155" s="745">
        <v>0</v>
      </c>
      <c r="J155" s="220">
        <f>ROUND(I155*H155,2)</f>
        <v>0</v>
      </c>
      <c r="K155" s="217" t="s">
        <v>3341</v>
      </c>
      <c r="L155" s="145"/>
      <c r="M155" s="221" t="s">
        <v>3268</v>
      </c>
      <c r="N155" s="222" t="s">
        <v>3296</v>
      </c>
      <c r="O155" s="223">
        <v>0.19700000000000001</v>
      </c>
      <c r="P155" s="223">
        <f>O155*H155</f>
        <v>109.85508</v>
      </c>
      <c r="Q155" s="223">
        <v>0</v>
      </c>
      <c r="R155" s="223">
        <f>Q155*H155</f>
        <v>0</v>
      </c>
      <c r="S155" s="223">
        <v>0</v>
      </c>
      <c r="T155" s="224">
        <f>S155*H155</f>
        <v>0</v>
      </c>
      <c r="AR155" s="225" t="s">
        <v>8</v>
      </c>
      <c r="AT155" s="225" t="s">
        <v>3338</v>
      </c>
      <c r="AU155" s="225" t="s">
        <v>6</v>
      </c>
      <c r="AY155" s="136" t="s">
        <v>3337</v>
      </c>
      <c r="BE155" s="226">
        <f>IF(N155="základní",J155,0)</f>
        <v>0</v>
      </c>
      <c r="BF155" s="226">
        <f>IF(N155="snížená",J155,0)</f>
        <v>0</v>
      </c>
      <c r="BG155" s="226">
        <f>IF(N155="zákl. přenesená",J155,0)</f>
        <v>0</v>
      </c>
      <c r="BH155" s="226">
        <f>IF(N155="sníž. přenesená",J155,0)</f>
        <v>0</v>
      </c>
      <c r="BI155" s="226">
        <f>IF(N155="nulová",J155,0)</f>
        <v>0</v>
      </c>
      <c r="BJ155" s="136" t="s">
        <v>5</v>
      </c>
      <c r="BK155" s="226">
        <f>ROUND(I155*H155,2)</f>
        <v>0</v>
      </c>
      <c r="BL155" s="136" t="s">
        <v>8</v>
      </c>
      <c r="BM155" s="225" t="s">
        <v>5092</v>
      </c>
    </row>
    <row r="156" spans="2:65" s="144" customFormat="1" ht="28.8">
      <c r="B156" s="145"/>
      <c r="D156" s="227" t="s">
        <v>3343</v>
      </c>
      <c r="F156" s="228" t="s">
        <v>3364</v>
      </c>
      <c r="L156" s="145"/>
      <c r="M156" s="229"/>
      <c r="T156" s="230"/>
      <c r="AT156" s="136" t="s">
        <v>3343</v>
      </c>
      <c r="AU156" s="136" t="s">
        <v>6</v>
      </c>
    </row>
    <row r="157" spans="2:65" s="238" customFormat="1">
      <c r="B157" s="239"/>
      <c r="D157" s="227" t="s">
        <v>3345</v>
      </c>
      <c r="E157" s="240" t="s">
        <v>3268</v>
      </c>
      <c r="F157" s="241" t="s">
        <v>3359</v>
      </c>
      <c r="H157" s="240" t="s">
        <v>3268</v>
      </c>
      <c r="L157" s="239"/>
      <c r="M157" s="242"/>
      <c r="T157" s="243"/>
      <c r="AT157" s="240" t="s">
        <v>3345</v>
      </c>
      <c r="AU157" s="240" t="s">
        <v>6</v>
      </c>
      <c r="AV157" s="238" t="s">
        <v>5</v>
      </c>
      <c r="AW157" s="238" t="s">
        <v>3347</v>
      </c>
      <c r="AX157" s="238" t="s">
        <v>3336</v>
      </c>
      <c r="AY157" s="240" t="s">
        <v>3337</v>
      </c>
    </row>
    <row r="158" spans="2:65" s="231" customFormat="1">
      <c r="B158" s="232"/>
      <c r="D158" s="227" t="s">
        <v>3345</v>
      </c>
      <c r="E158" s="233" t="s">
        <v>3268</v>
      </c>
      <c r="F158" s="234" t="s">
        <v>3275</v>
      </c>
      <c r="H158" s="235">
        <v>203.346</v>
      </c>
      <c r="L158" s="232"/>
      <c r="M158" s="236"/>
      <c r="T158" s="237"/>
      <c r="AT158" s="233" t="s">
        <v>3345</v>
      </c>
      <c r="AU158" s="233" t="s">
        <v>6</v>
      </c>
      <c r="AV158" s="231" t="s">
        <v>6</v>
      </c>
      <c r="AW158" s="231" t="s">
        <v>3347</v>
      </c>
      <c r="AX158" s="231" t="s">
        <v>3336</v>
      </c>
      <c r="AY158" s="233" t="s">
        <v>3337</v>
      </c>
    </row>
    <row r="159" spans="2:65" s="238" customFormat="1">
      <c r="B159" s="239"/>
      <c r="D159" s="227" t="s">
        <v>3345</v>
      </c>
      <c r="E159" s="240" t="s">
        <v>3268</v>
      </c>
      <c r="F159" s="241" t="s">
        <v>3365</v>
      </c>
      <c r="H159" s="240" t="s">
        <v>3268</v>
      </c>
      <c r="L159" s="239"/>
      <c r="M159" s="242"/>
      <c r="T159" s="243"/>
      <c r="AT159" s="240" t="s">
        <v>3345</v>
      </c>
      <c r="AU159" s="240" t="s">
        <v>6</v>
      </c>
      <c r="AV159" s="238" t="s">
        <v>5</v>
      </c>
      <c r="AW159" s="238" t="s">
        <v>3347</v>
      </c>
      <c r="AX159" s="238" t="s">
        <v>3336</v>
      </c>
      <c r="AY159" s="240" t="s">
        <v>3337</v>
      </c>
    </row>
    <row r="160" spans="2:65" s="231" customFormat="1">
      <c r="B160" s="232"/>
      <c r="D160" s="227" t="s">
        <v>3345</v>
      </c>
      <c r="E160" s="233" t="s">
        <v>3268</v>
      </c>
      <c r="F160" s="234" t="s">
        <v>3270</v>
      </c>
      <c r="H160" s="235">
        <v>354.29399999999998</v>
      </c>
      <c r="L160" s="232"/>
      <c r="M160" s="236"/>
      <c r="T160" s="237"/>
      <c r="AT160" s="233" t="s">
        <v>3345</v>
      </c>
      <c r="AU160" s="233" t="s">
        <v>6</v>
      </c>
      <c r="AV160" s="231" t="s">
        <v>6</v>
      </c>
      <c r="AW160" s="231" t="s">
        <v>3347</v>
      </c>
      <c r="AX160" s="231" t="s">
        <v>3336</v>
      </c>
      <c r="AY160" s="233" t="s">
        <v>3337</v>
      </c>
    </row>
    <row r="161" spans="2:65" s="244" customFormat="1">
      <c r="B161" s="245"/>
      <c r="D161" s="227" t="s">
        <v>3345</v>
      </c>
      <c r="E161" s="246" t="s">
        <v>3268</v>
      </c>
      <c r="F161" s="247" t="s">
        <v>3354</v>
      </c>
      <c r="H161" s="248">
        <v>557.64</v>
      </c>
      <c r="L161" s="245"/>
      <c r="M161" s="249"/>
      <c r="T161" s="250"/>
      <c r="AT161" s="246" t="s">
        <v>3345</v>
      </c>
      <c r="AU161" s="246" t="s">
        <v>6</v>
      </c>
      <c r="AV161" s="244" t="s">
        <v>8</v>
      </c>
      <c r="AW161" s="244" t="s">
        <v>3347</v>
      </c>
      <c r="AX161" s="244" t="s">
        <v>5</v>
      </c>
      <c r="AY161" s="246" t="s">
        <v>3337</v>
      </c>
    </row>
    <row r="162" spans="2:65" s="144" customFormat="1" ht="21.75" customHeight="1">
      <c r="B162" s="214"/>
      <c r="C162" s="215" t="s">
        <v>10</v>
      </c>
      <c r="D162" s="215" t="s">
        <v>3338</v>
      </c>
      <c r="E162" s="216" t="s">
        <v>3366</v>
      </c>
      <c r="F162" s="217" t="s">
        <v>3367</v>
      </c>
      <c r="G162" s="218" t="s">
        <v>1942</v>
      </c>
      <c r="H162" s="219">
        <v>406.69200000000001</v>
      </c>
      <c r="I162" s="745">
        <v>0</v>
      </c>
      <c r="J162" s="220">
        <f>ROUND(I162*H162,2)</f>
        <v>0</v>
      </c>
      <c r="K162" s="217" t="s">
        <v>3341</v>
      </c>
      <c r="L162" s="145"/>
      <c r="M162" s="221" t="s">
        <v>3268</v>
      </c>
      <c r="N162" s="222" t="s">
        <v>3296</v>
      </c>
      <c r="O162" s="223">
        <v>0</v>
      </c>
      <c r="P162" s="223">
        <f>O162*H162</f>
        <v>0</v>
      </c>
      <c r="Q162" s="223">
        <v>0</v>
      </c>
      <c r="R162" s="223">
        <f>Q162*H162</f>
        <v>0</v>
      </c>
      <c r="S162" s="223">
        <v>0</v>
      </c>
      <c r="T162" s="224">
        <f>S162*H162</f>
        <v>0</v>
      </c>
      <c r="AR162" s="225" t="s">
        <v>8</v>
      </c>
      <c r="AT162" s="225" t="s">
        <v>3338</v>
      </c>
      <c r="AU162" s="225" t="s">
        <v>6</v>
      </c>
      <c r="AY162" s="136" t="s">
        <v>3337</v>
      </c>
      <c r="BE162" s="226">
        <f>IF(N162="základní",J162,0)</f>
        <v>0</v>
      </c>
      <c r="BF162" s="226">
        <f>IF(N162="snížená",J162,0)</f>
        <v>0</v>
      </c>
      <c r="BG162" s="226">
        <f>IF(N162="zákl. přenesená",J162,0)</f>
        <v>0</v>
      </c>
      <c r="BH162" s="226">
        <f>IF(N162="sníž. přenesená",J162,0)</f>
        <v>0</v>
      </c>
      <c r="BI162" s="226">
        <f>IF(N162="nulová",J162,0)</f>
        <v>0</v>
      </c>
      <c r="BJ162" s="136" t="s">
        <v>5</v>
      </c>
      <c r="BK162" s="226">
        <f>ROUND(I162*H162,2)</f>
        <v>0</v>
      </c>
      <c r="BL162" s="136" t="s">
        <v>8</v>
      </c>
      <c r="BM162" s="225" t="s">
        <v>5093</v>
      </c>
    </row>
    <row r="163" spans="2:65" s="144" customFormat="1" ht="28.8">
      <c r="B163" s="145"/>
      <c r="D163" s="227" t="s">
        <v>3343</v>
      </c>
      <c r="F163" s="228" t="s">
        <v>3369</v>
      </c>
      <c r="L163" s="145"/>
      <c r="M163" s="229"/>
      <c r="T163" s="230"/>
      <c r="AT163" s="136" t="s">
        <v>3343</v>
      </c>
      <c r="AU163" s="136" t="s">
        <v>6</v>
      </c>
    </row>
    <row r="164" spans="2:65" s="231" customFormat="1">
      <c r="B164" s="232"/>
      <c r="D164" s="227" t="s">
        <v>3345</v>
      </c>
      <c r="E164" s="233" t="s">
        <v>3268</v>
      </c>
      <c r="F164" s="234" t="s">
        <v>3275</v>
      </c>
      <c r="H164" s="235">
        <v>203.346</v>
      </c>
      <c r="L164" s="232"/>
      <c r="M164" s="236"/>
      <c r="T164" s="237"/>
      <c r="AT164" s="233" t="s">
        <v>3345</v>
      </c>
      <c r="AU164" s="233" t="s">
        <v>6</v>
      </c>
      <c r="AV164" s="231" t="s">
        <v>6</v>
      </c>
      <c r="AW164" s="231" t="s">
        <v>3347</v>
      </c>
      <c r="AX164" s="231" t="s">
        <v>5</v>
      </c>
      <c r="AY164" s="233" t="s">
        <v>3337</v>
      </c>
    </row>
    <row r="165" spans="2:65" s="231" customFormat="1">
      <c r="B165" s="232"/>
      <c r="D165" s="227" t="s">
        <v>3345</v>
      </c>
      <c r="F165" s="234" t="s">
        <v>5094</v>
      </c>
      <c r="H165" s="235">
        <v>406.69200000000001</v>
      </c>
      <c r="L165" s="232"/>
      <c r="M165" s="236"/>
      <c r="T165" s="237"/>
      <c r="AT165" s="233" t="s">
        <v>3345</v>
      </c>
      <c r="AU165" s="233" t="s">
        <v>6</v>
      </c>
      <c r="AV165" s="231" t="s">
        <v>6</v>
      </c>
      <c r="AW165" s="231" t="s">
        <v>3274</v>
      </c>
      <c r="AX165" s="231" t="s">
        <v>5</v>
      </c>
      <c r="AY165" s="233" t="s">
        <v>3337</v>
      </c>
    </row>
    <row r="166" spans="2:65" s="144" customFormat="1" ht="16.5" customHeight="1">
      <c r="B166" s="214"/>
      <c r="C166" s="215" t="s">
        <v>11</v>
      </c>
      <c r="D166" s="215" t="s">
        <v>3338</v>
      </c>
      <c r="E166" s="216" t="s">
        <v>3371</v>
      </c>
      <c r="F166" s="217" t="s">
        <v>3372</v>
      </c>
      <c r="G166" s="218" t="s">
        <v>1941</v>
      </c>
      <c r="H166" s="219">
        <v>203.346</v>
      </c>
      <c r="I166" s="745">
        <v>0</v>
      </c>
      <c r="J166" s="220">
        <f>ROUND(I166*H166,2)</f>
        <v>0</v>
      </c>
      <c r="K166" s="217" t="s">
        <v>3341</v>
      </c>
      <c r="L166" s="145"/>
      <c r="M166" s="221" t="s">
        <v>3268</v>
      </c>
      <c r="N166" s="222" t="s">
        <v>3296</v>
      </c>
      <c r="O166" s="223">
        <v>8.9999999999999993E-3</v>
      </c>
      <c r="P166" s="223">
        <f>O166*H166</f>
        <v>1.8301139999999998</v>
      </c>
      <c r="Q166" s="223">
        <v>0</v>
      </c>
      <c r="R166" s="223">
        <f>Q166*H166</f>
        <v>0</v>
      </c>
      <c r="S166" s="223">
        <v>0</v>
      </c>
      <c r="T166" s="224">
        <f>S166*H166</f>
        <v>0</v>
      </c>
      <c r="AR166" s="225" t="s">
        <v>8</v>
      </c>
      <c r="AT166" s="225" t="s">
        <v>3338</v>
      </c>
      <c r="AU166" s="225" t="s">
        <v>6</v>
      </c>
      <c r="AY166" s="136" t="s">
        <v>3337</v>
      </c>
      <c r="BE166" s="226">
        <f>IF(N166="základní",J166,0)</f>
        <v>0</v>
      </c>
      <c r="BF166" s="226">
        <f>IF(N166="snížená",J166,0)</f>
        <v>0</v>
      </c>
      <c r="BG166" s="226">
        <f>IF(N166="zákl. přenesená",J166,0)</f>
        <v>0</v>
      </c>
      <c r="BH166" s="226">
        <f>IF(N166="sníž. přenesená",J166,0)</f>
        <v>0</v>
      </c>
      <c r="BI166" s="226">
        <f>IF(N166="nulová",J166,0)</f>
        <v>0</v>
      </c>
      <c r="BJ166" s="136" t="s">
        <v>5</v>
      </c>
      <c r="BK166" s="226">
        <f>ROUND(I166*H166,2)</f>
        <v>0</v>
      </c>
      <c r="BL166" s="136" t="s">
        <v>8</v>
      </c>
      <c r="BM166" s="225" t="s">
        <v>5095</v>
      </c>
    </row>
    <row r="167" spans="2:65" s="144" customFormat="1" ht="19.2">
      <c r="B167" s="145"/>
      <c r="D167" s="227" t="s">
        <v>3343</v>
      </c>
      <c r="F167" s="228" t="s">
        <v>3374</v>
      </c>
      <c r="L167" s="145"/>
      <c r="M167" s="229"/>
      <c r="T167" s="230"/>
      <c r="AT167" s="136" t="s">
        <v>3343</v>
      </c>
      <c r="AU167" s="136" t="s">
        <v>6</v>
      </c>
    </row>
    <row r="168" spans="2:65" s="231" customFormat="1">
      <c r="B168" s="232"/>
      <c r="D168" s="227" t="s">
        <v>3345</v>
      </c>
      <c r="E168" s="233" t="s">
        <v>3268</v>
      </c>
      <c r="F168" s="234" t="s">
        <v>3275</v>
      </c>
      <c r="H168" s="235">
        <v>203.346</v>
      </c>
      <c r="L168" s="232"/>
      <c r="M168" s="236"/>
      <c r="T168" s="237"/>
      <c r="AT168" s="233" t="s">
        <v>3345</v>
      </c>
      <c r="AU168" s="233" t="s">
        <v>6</v>
      </c>
      <c r="AV168" s="231" t="s">
        <v>6</v>
      </c>
      <c r="AW168" s="231" t="s">
        <v>3347</v>
      </c>
      <c r="AX168" s="231" t="s">
        <v>5</v>
      </c>
      <c r="AY168" s="233" t="s">
        <v>3337</v>
      </c>
    </row>
    <row r="169" spans="2:65" s="144" customFormat="1" ht="21.75" customHeight="1">
      <c r="B169" s="214"/>
      <c r="C169" s="215" t="s">
        <v>12</v>
      </c>
      <c r="D169" s="215" t="s">
        <v>3338</v>
      </c>
      <c r="E169" s="216" t="s">
        <v>3375</v>
      </c>
      <c r="F169" s="217" t="s">
        <v>3376</v>
      </c>
      <c r="G169" s="218" t="s">
        <v>1941</v>
      </c>
      <c r="H169" s="219">
        <v>354.29399999999998</v>
      </c>
      <c r="I169" s="745">
        <v>0</v>
      </c>
      <c r="J169" s="220">
        <f>ROUND(I169*H169,2)</f>
        <v>0</v>
      </c>
      <c r="K169" s="217" t="s">
        <v>3341</v>
      </c>
      <c r="L169" s="145"/>
      <c r="M169" s="221" t="s">
        <v>3268</v>
      </c>
      <c r="N169" s="222" t="s">
        <v>3296</v>
      </c>
      <c r="O169" s="223">
        <v>0.32800000000000001</v>
      </c>
      <c r="P169" s="223">
        <f>O169*H169</f>
        <v>116.208432</v>
      </c>
      <c r="Q169" s="223">
        <v>0</v>
      </c>
      <c r="R169" s="223">
        <f>Q169*H169</f>
        <v>0</v>
      </c>
      <c r="S169" s="223">
        <v>0</v>
      </c>
      <c r="T169" s="224">
        <f>S169*H169</f>
        <v>0</v>
      </c>
      <c r="AR169" s="225" t="s">
        <v>8</v>
      </c>
      <c r="AT169" s="225" t="s">
        <v>3338</v>
      </c>
      <c r="AU169" s="225" t="s">
        <v>6</v>
      </c>
      <c r="AY169" s="136" t="s">
        <v>3337</v>
      </c>
      <c r="BE169" s="226">
        <f>IF(N169="základní",J169,0)</f>
        <v>0</v>
      </c>
      <c r="BF169" s="226">
        <f>IF(N169="snížená",J169,0)</f>
        <v>0</v>
      </c>
      <c r="BG169" s="226">
        <f>IF(N169="zákl. přenesená",J169,0)</f>
        <v>0</v>
      </c>
      <c r="BH169" s="226">
        <f>IF(N169="sníž. přenesená",J169,0)</f>
        <v>0</v>
      </c>
      <c r="BI169" s="226">
        <f>IF(N169="nulová",J169,0)</f>
        <v>0</v>
      </c>
      <c r="BJ169" s="136" t="s">
        <v>5</v>
      </c>
      <c r="BK169" s="226">
        <f>ROUND(I169*H169,2)</f>
        <v>0</v>
      </c>
      <c r="BL169" s="136" t="s">
        <v>8</v>
      </c>
      <c r="BM169" s="225" t="s">
        <v>5096</v>
      </c>
    </row>
    <row r="170" spans="2:65" s="144" customFormat="1" ht="28.8">
      <c r="B170" s="145"/>
      <c r="D170" s="227" t="s">
        <v>3343</v>
      </c>
      <c r="F170" s="228" t="s">
        <v>3378</v>
      </c>
      <c r="L170" s="145"/>
      <c r="M170" s="229"/>
      <c r="T170" s="230"/>
      <c r="AT170" s="136" t="s">
        <v>3343</v>
      </c>
      <c r="AU170" s="136" t="s">
        <v>6</v>
      </c>
    </row>
    <row r="171" spans="2:65" s="231" customFormat="1">
      <c r="B171" s="232"/>
      <c r="D171" s="227" t="s">
        <v>3345</v>
      </c>
      <c r="E171" s="233" t="s">
        <v>3270</v>
      </c>
      <c r="F171" s="234" t="s">
        <v>5097</v>
      </c>
      <c r="H171" s="235">
        <v>354.29399999999998</v>
      </c>
      <c r="L171" s="232"/>
      <c r="M171" s="236"/>
      <c r="T171" s="237"/>
      <c r="AT171" s="233" t="s">
        <v>3345</v>
      </c>
      <c r="AU171" s="233" t="s">
        <v>6</v>
      </c>
      <c r="AV171" s="231" t="s">
        <v>6</v>
      </c>
      <c r="AW171" s="231" t="s">
        <v>3347</v>
      </c>
      <c r="AX171" s="231" t="s">
        <v>5</v>
      </c>
      <c r="AY171" s="233" t="s">
        <v>3337</v>
      </c>
    </row>
    <row r="172" spans="2:65" s="144" customFormat="1" ht="21.75" customHeight="1">
      <c r="B172" s="214"/>
      <c r="C172" s="215" t="s">
        <v>13</v>
      </c>
      <c r="D172" s="215" t="s">
        <v>3338</v>
      </c>
      <c r="E172" s="216" t="s">
        <v>3380</v>
      </c>
      <c r="F172" s="217" t="s">
        <v>3381</v>
      </c>
      <c r="G172" s="218" t="s">
        <v>1941</v>
      </c>
      <c r="H172" s="219">
        <v>138.24</v>
      </c>
      <c r="I172" s="745">
        <v>0</v>
      </c>
      <c r="J172" s="220">
        <f>ROUND(I172*H172,2)</f>
        <v>0</v>
      </c>
      <c r="K172" s="217" t="s">
        <v>3341</v>
      </c>
      <c r="L172" s="145"/>
      <c r="M172" s="221" t="s">
        <v>3268</v>
      </c>
      <c r="N172" s="222" t="s">
        <v>3296</v>
      </c>
      <c r="O172" s="223">
        <v>0.435</v>
      </c>
      <c r="P172" s="223">
        <f>O172*H172</f>
        <v>60.134400000000007</v>
      </c>
      <c r="Q172" s="223">
        <v>0</v>
      </c>
      <c r="R172" s="223">
        <f>Q172*H172</f>
        <v>0</v>
      </c>
      <c r="S172" s="223">
        <v>0</v>
      </c>
      <c r="T172" s="224">
        <f>S172*H172</f>
        <v>0</v>
      </c>
      <c r="AR172" s="225" t="s">
        <v>8</v>
      </c>
      <c r="AT172" s="225" t="s">
        <v>3338</v>
      </c>
      <c r="AU172" s="225" t="s">
        <v>6</v>
      </c>
      <c r="AY172" s="136" t="s">
        <v>3337</v>
      </c>
      <c r="BE172" s="226">
        <f>IF(N172="základní",J172,0)</f>
        <v>0</v>
      </c>
      <c r="BF172" s="226">
        <f>IF(N172="snížená",J172,0)</f>
        <v>0</v>
      </c>
      <c r="BG172" s="226">
        <f>IF(N172="zákl. přenesená",J172,0)</f>
        <v>0</v>
      </c>
      <c r="BH172" s="226">
        <f>IF(N172="sníž. přenesená",J172,0)</f>
        <v>0</v>
      </c>
      <c r="BI172" s="226">
        <f>IF(N172="nulová",J172,0)</f>
        <v>0</v>
      </c>
      <c r="BJ172" s="136" t="s">
        <v>5</v>
      </c>
      <c r="BK172" s="226">
        <f>ROUND(I172*H172,2)</f>
        <v>0</v>
      </c>
      <c r="BL172" s="136" t="s">
        <v>8</v>
      </c>
      <c r="BM172" s="225" t="s">
        <v>5098</v>
      </c>
    </row>
    <row r="173" spans="2:65" s="144" customFormat="1" ht="38.4">
      <c r="B173" s="145"/>
      <c r="D173" s="227" t="s">
        <v>3343</v>
      </c>
      <c r="F173" s="228" t="s">
        <v>3383</v>
      </c>
      <c r="L173" s="145"/>
      <c r="M173" s="229"/>
      <c r="T173" s="230"/>
      <c r="AT173" s="136" t="s">
        <v>3343</v>
      </c>
      <c r="AU173" s="136" t="s">
        <v>6</v>
      </c>
    </row>
    <row r="174" spans="2:65" s="231" customFormat="1">
      <c r="B174" s="232"/>
      <c r="D174" s="227" t="s">
        <v>3345</v>
      </c>
      <c r="E174" s="233" t="s">
        <v>3280</v>
      </c>
      <c r="F174" s="234" t="s">
        <v>5099</v>
      </c>
      <c r="H174" s="235">
        <v>138.24</v>
      </c>
      <c r="L174" s="232"/>
      <c r="M174" s="236"/>
      <c r="T174" s="237"/>
      <c r="AT174" s="233" t="s">
        <v>3345</v>
      </c>
      <c r="AU174" s="233" t="s">
        <v>6</v>
      </c>
      <c r="AV174" s="231" t="s">
        <v>6</v>
      </c>
      <c r="AW174" s="231" t="s">
        <v>3347</v>
      </c>
      <c r="AX174" s="231" t="s">
        <v>5</v>
      </c>
      <c r="AY174" s="233" t="s">
        <v>3337</v>
      </c>
    </row>
    <row r="175" spans="2:65" s="144" customFormat="1" ht="16.5" customHeight="1">
      <c r="B175" s="214"/>
      <c r="C175" s="251" t="s">
        <v>14</v>
      </c>
      <c r="D175" s="251" t="s">
        <v>3385</v>
      </c>
      <c r="E175" s="252" t="s">
        <v>3386</v>
      </c>
      <c r="F175" s="253" t="s">
        <v>3387</v>
      </c>
      <c r="G175" s="254" t="s">
        <v>1942</v>
      </c>
      <c r="H175" s="255">
        <v>276.48</v>
      </c>
      <c r="I175" s="746">
        <v>0</v>
      </c>
      <c r="J175" s="256">
        <f>ROUND(I175*H175,2)</f>
        <v>0</v>
      </c>
      <c r="K175" s="253" t="s">
        <v>3341</v>
      </c>
      <c r="L175" s="257"/>
      <c r="M175" s="258" t="s">
        <v>3268</v>
      </c>
      <c r="N175" s="259" t="s">
        <v>3296</v>
      </c>
      <c r="O175" s="223">
        <v>0</v>
      </c>
      <c r="P175" s="223">
        <f>O175*H175</f>
        <v>0</v>
      </c>
      <c r="Q175" s="223">
        <v>0</v>
      </c>
      <c r="R175" s="223">
        <f>Q175*H175</f>
        <v>0</v>
      </c>
      <c r="S175" s="223">
        <v>0</v>
      </c>
      <c r="T175" s="224">
        <f>S175*H175</f>
        <v>0</v>
      </c>
      <c r="AR175" s="225" t="s">
        <v>12</v>
      </c>
      <c r="AT175" s="225" t="s">
        <v>3385</v>
      </c>
      <c r="AU175" s="225" t="s">
        <v>6</v>
      </c>
      <c r="AY175" s="136" t="s">
        <v>3337</v>
      </c>
      <c r="BE175" s="226">
        <f>IF(N175="základní",J175,0)</f>
        <v>0</v>
      </c>
      <c r="BF175" s="226">
        <f>IF(N175="snížená",J175,0)</f>
        <v>0</v>
      </c>
      <c r="BG175" s="226">
        <f>IF(N175="zákl. přenesená",J175,0)</f>
        <v>0</v>
      </c>
      <c r="BH175" s="226">
        <f>IF(N175="sníž. přenesená",J175,0)</f>
        <v>0</v>
      </c>
      <c r="BI175" s="226">
        <f>IF(N175="nulová",J175,0)</f>
        <v>0</v>
      </c>
      <c r="BJ175" s="136" t="s">
        <v>5</v>
      </c>
      <c r="BK175" s="226">
        <f>ROUND(I175*H175,2)</f>
        <v>0</v>
      </c>
      <c r="BL175" s="136" t="s">
        <v>8</v>
      </c>
      <c r="BM175" s="225" t="s">
        <v>5100</v>
      </c>
    </row>
    <row r="176" spans="2:65" s="144" customFormat="1">
      <c r="B176" s="145"/>
      <c r="D176" s="227" t="s">
        <v>3343</v>
      </c>
      <c r="F176" s="228" t="s">
        <v>3387</v>
      </c>
      <c r="L176" s="145"/>
      <c r="M176" s="229"/>
      <c r="T176" s="230"/>
      <c r="AT176" s="136" t="s">
        <v>3343</v>
      </c>
      <c r="AU176" s="136" t="s">
        <v>6</v>
      </c>
    </row>
    <row r="177" spans="2:65" s="231" customFormat="1">
      <c r="B177" s="232"/>
      <c r="D177" s="227" t="s">
        <v>3345</v>
      </c>
      <c r="E177" s="233" t="s">
        <v>3268</v>
      </c>
      <c r="F177" s="234" t="s">
        <v>3280</v>
      </c>
      <c r="H177" s="235">
        <v>138.24</v>
      </c>
      <c r="L177" s="232"/>
      <c r="M177" s="236"/>
      <c r="T177" s="237"/>
      <c r="AT177" s="233" t="s">
        <v>3345</v>
      </c>
      <c r="AU177" s="233" t="s">
        <v>6</v>
      </c>
      <c r="AV177" s="231" t="s">
        <v>6</v>
      </c>
      <c r="AW177" s="231" t="s">
        <v>3347</v>
      </c>
      <c r="AX177" s="231" t="s">
        <v>5</v>
      </c>
      <c r="AY177" s="233" t="s">
        <v>3337</v>
      </c>
    </row>
    <row r="178" spans="2:65" s="231" customFormat="1">
      <c r="B178" s="232"/>
      <c r="D178" s="227" t="s">
        <v>3345</v>
      </c>
      <c r="F178" s="234" t="s">
        <v>5101</v>
      </c>
      <c r="H178" s="235">
        <v>276.48</v>
      </c>
      <c r="L178" s="232"/>
      <c r="M178" s="236"/>
      <c r="T178" s="237"/>
      <c r="AT178" s="233" t="s">
        <v>3345</v>
      </c>
      <c r="AU178" s="233" t="s">
        <v>6</v>
      </c>
      <c r="AV178" s="231" t="s">
        <v>6</v>
      </c>
      <c r="AW178" s="231" t="s">
        <v>3274</v>
      </c>
      <c r="AX178" s="231" t="s">
        <v>5</v>
      </c>
      <c r="AY178" s="233" t="s">
        <v>3337</v>
      </c>
    </row>
    <row r="179" spans="2:65" s="202" customFormat="1" ht="22.95" customHeight="1">
      <c r="B179" s="203"/>
      <c r="D179" s="204" t="s">
        <v>3334</v>
      </c>
      <c r="E179" s="212" t="s">
        <v>7</v>
      </c>
      <c r="F179" s="212" t="s">
        <v>2051</v>
      </c>
      <c r="J179" s="213">
        <f>BK179</f>
        <v>0</v>
      </c>
      <c r="L179" s="203"/>
      <c r="M179" s="207"/>
      <c r="P179" s="208">
        <f>SUM(P180:P185)</f>
        <v>2.0830000000000002</v>
      </c>
      <c r="R179" s="208">
        <f>SUM(R180:R185)</f>
        <v>3.3501400000000001</v>
      </c>
      <c r="T179" s="209">
        <f>SUM(T180:T185)</f>
        <v>0</v>
      </c>
      <c r="AR179" s="204" t="s">
        <v>5</v>
      </c>
      <c r="AT179" s="210" t="s">
        <v>3334</v>
      </c>
      <c r="AU179" s="210" t="s">
        <v>5</v>
      </c>
      <c r="AY179" s="204" t="s">
        <v>3337</v>
      </c>
      <c r="BK179" s="211">
        <f>SUM(BK180:BK185)</f>
        <v>0</v>
      </c>
    </row>
    <row r="180" spans="2:65" s="144" customFormat="1" ht="16.5" customHeight="1">
      <c r="B180" s="214"/>
      <c r="C180" s="215" t="s">
        <v>15</v>
      </c>
      <c r="D180" s="215" t="s">
        <v>3338</v>
      </c>
      <c r="E180" s="216" t="s">
        <v>5102</v>
      </c>
      <c r="F180" s="217" t="s">
        <v>5103</v>
      </c>
      <c r="G180" s="218" t="s">
        <v>1943</v>
      </c>
      <c r="H180" s="219">
        <v>1</v>
      </c>
      <c r="I180" s="745">
        <v>0</v>
      </c>
      <c r="J180" s="220">
        <f>ROUND(I180*H180,2)</f>
        <v>0</v>
      </c>
      <c r="K180" s="217" t="s">
        <v>3268</v>
      </c>
      <c r="L180" s="145"/>
      <c r="M180" s="221" t="s">
        <v>3268</v>
      </c>
      <c r="N180" s="222" t="s">
        <v>3296</v>
      </c>
      <c r="O180" s="223">
        <v>2.0830000000000002</v>
      </c>
      <c r="P180" s="223">
        <f>O180*H180</f>
        <v>2.0830000000000002</v>
      </c>
      <c r="Q180" s="223">
        <v>3.3381400000000001</v>
      </c>
      <c r="R180" s="223">
        <f>Q180*H180</f>
        <v>3.3381400000000001</v>
      </c>
      <c r="S180" s="223">
        <v>0</v>
      </c>
      <c r="T180" s="224">
        <f>S180*H180</f>
        <v>0</v>
      </c>
      <c r="AR180" s="225" t="s">
        <v>8</v>
      </c>
      <c r="AT180" s="225" t="s">
        <v>3338</v>
      </c>
      <c r="AU180" s="225" t="s">
        <v>6</v>
      </c>
      <c r="AY180" s="136" t="s">
        <v>3337</v>
      </c>
      <c r="BE180" s="226">
        <f>IF(N180="základní",J180,0)</f>
        <v>0</v>
      </c>
      <c r="BF180" s="226">
        <f>IF(N180="snížená",J180,0)</f>
        <v>0</v>
      </c>
      <c r="BG180" s="226">
        <f>IF(N180="zákl. přenesená",J180,0)</f>
        <v>0</v>
      </c>
      <c r="BH180" s="226">
        <f>IF(N180="sníž. přenesená",J180,0)</f>
        <v>0</v>
      </c>
      <c r="BI180" s="226">
        <f>IF(N180="nulová",J180,0)</f>
        <v>0</v>
      </c>
      <c r="BJ180" s="136" t="s">
        <v>5</v>
      </c>
      <c r="BK180" s="226">
        <f>ROUND(I180*H180,2)</f>
        <v>0</v>
      </c>
      <c r="BL180" s="136" t="s">
        <v>8</v>
      </c>
      <c r="BM180" s="225" t="s">
        <v>5104</v>
      </c>
    </row>
    <row r="181" spans="2:65" s="144" customFormat="1">
      <c r="B181" s="145"/>
      <c r="D181" s="227" t="s">
        <v>3343</v>
      </c>
      <c r="F181" s="228" t="s">
        <v>5103</v>
      </c>
      <c r="L181" s="145"/>
      <c r="M181" s="229"/>
      <c r="T181" s="230"/>
      <c r="AT181" s="136" t="s">
        <v>3343</v>
      </c>
      <c r="AU181" s="136" t="s">
        <v>6</v>
      </c>
    </row>
    <row r="182" spans="2:65" s="231" customFormat="1">
      <c r="B182" s="232"/>
      <c r="D182" s="227" t="s">
        <v>3345</v>
      </c>
      <c r="E182" s="233" t="s">
        <v>3268</v>
      </c>
      <c r="F182" s="234" t="s">
        <v>5</v>
      </c>
      <c r="H182" s="235">
        <v>1</v>
      </c>
      <c r="L182" s="232"/>
      <c r="M182" s="236"/>
      <c r="T182" s="237"/>
      <c r="AT182" s="233" t="s">
        <v>3345</v>
      </c>
      <c r="AU182" s="233" t="s">
        <v>6</v>
      </c>
      <c r="AV182" s="231" t="s">
        <v>6</v>
      </c>
      <c r="AW182" s="231" t="s">
        <v>3347</v>
      </c>
      <c r="AX182" s="231" t="s">
        <v>5</v>
      </c>
      <c r="AY182" s="233" t="s">
        <v>3337</v>
      </c>
    </row>
    <row r="183" spans="2:65" s="144" customFormat="1" ht="21.75" customHeight="1">
      <c r="B183" s="214"/>
      <c r="C183" s="251" t="s">
        <v>16</v>
      </c>
      <c r="D183" s="251" t="s">
        <v>3385</v>
      </c>
      <c r="E183" s="252" t="s">
        <v>5105</v>
      </c>
      <c r="F183" s="253" t="s">
        <v>5106</v>
      </c>
      <c r="G183" s="254" t="s">
        <v>1943</v>
      </c>
      <c r="H183" s="255">
        <v>1</v>
      </c>
      <c r="I183" s="746">
        <v>0</v>
      </c>
      <c r="J183" s="256">
        <f>ROUND(I183*H183,2)</f>
        <v>0</v>
      </c>
      <c r="K183" s="253" t="s">
        <v>3341</v>
      </c>
      <c r="L183" s="257"/>
      <c r="M183" s="258" t="s">
        <v>3268</v>
      </c>
      <c r="N183" s="259" t="s">
        <v>3296</v>
      </c>
      <c r="O183" s="223">
        <v>0</v>
      </c>
      <c r="P183" s="223">
        <f>O183*H183</f>
        <v>0</v>
      </c>
      <c r="Q183" s="223">
        <v>1.2E-2</v>
      </c>
      <c r="R183" s="223">
        <f>Q183*H183</f>
        <v>1.2E-2</v>
      </c>
      <c r="S183" s="223">
        <v>0</v>
      </c>
      <c r="T183" s="224">
        <f>S183*H183</f>
        <v>0</v>
      </c>
      <c r="AR183" s="225" t="s">
        <v>12</v>
      </c>
      <c r="AT183" s="225" t="s">
        <v>3385</v>
      </c>
      <c r="AU183" s="225" t="s">
        <v>6</v>
      </c>
      <c r="AY183" s="136" t="s">
        <v>3337</v>
      </c>
      <c r="BE183" s="226">
        <f>IF(N183="základní",J183,0)</f>
        <v>0</v>
      </c>
      <c r="BF183" s="226">
        <f>IF(N183="snížená",J183,0)</f>
        <v>0</v>
      </c>
      <c r="BG183" s="226">
        <f>IF(N183="zákl. přenesená",J183,0)</f>
        <v>0</v>
      </c>
      <c r="BH183" s="226">
        <f>IF(N183="sníž. přenesená",J183,0)</f>
        <v>0</v>
      </c>
      <c r="BI183" s="226">
        <f>IF(N183="nulová",J183,0)</f>
        <v>0</v>
      </c>
      <c r="BJ183" s="136" t="s">
        <v>5</v>
      </c>
      <c r="BK183" s="226">
        <f>ROUND(I183*H183,2)</f>
        <v>0</v>
      </c>
      <c r="BL183" s="136" t="s">
        <v>8</v>
      </c>
      <c r="BM183" s="225" t="s">
        <v>5107</v>
      </c>
    </row>
    <row r="184" spans="2:65" s="144" customFormat="1">
      <c r="B184" s="145"/>
      <c r="D184" s="227" t="s">
        <v>3343</v>
      </c>
      <c r="F184" s="228" t="s">
        <v>5106</v>
      </c>
      <c r="L184" s="145"/>
      <c r="M184" s="229"/>
      <c r="T184" s="230"/>
      <c r="AT184" s="136" t="s">
        <v>3343</v>
      </c>
      <c r="AU184" s="136" t="s">
        <v>6</v>
      </c>
    </row>
    <row r="185" spans="2:65" s="231" customFormat="1">
      <c r="B185" s="232"/>
      <c r="D185" s="227" t="s">
        <v>3345</v>
      </c>
      <c r="E185" s="233" t="s">
        <v>3268</v>
      </c>
      <c r="F185" s="234" t="s">
        <v>5</v>
      </c>
      <c r="H185" s="235">
        <v>1</v>
      </c>
      <c r="L185" s="232"/>
      <c r="M185" s="236"/>
      <c r="T185" s="237"/>
      <c r="AT185" s="233" t="s">
        <v>3345</v>
      </c>
      <c r="AU185" s="233" t="s">
        <v>6</v>
      </c>
      <c r="AV185" s="231" t="s">
        <v>6</v>
      </c>
      <c r="AW185" s="231" t="s">
        <v>3347</v>
      </c>
      <c r="AX185" s="231" t="s">
        <v>5</v>
      </c>
      <c r="AY185" s="233" t="s">
        <v>3337</v>
      </c>
    </row>
    <row r="186" spans="2:65" s="202" customFormat="1" ht="22.95" customHeight="1">
      <c r="B186" s="203"/>
      <c r="D186" s="204" t="s">
        <v>3334</v>
      </c>
      <c r="E186" s="212" t="s">
        <v>8</v>
      </c>
      <c r="F186" s="212" t="s">
        <v>2052</v>
      </c>
      <c r="J186" s="213">
        <f>BK186</f>
        <v>0</v>
      </c>
      <c r="L186" s="203"/>
      <c r="M186" s="207"/>
      <c r="P186" s="208">
        <f>SUM(P187:P189)</f>
        <v>44.654201999999998</v>
      </c>
      <c r="R186" s="208">
        <f>SUM(R187:R189)</f>
        <v>0</v>
      </c>
      <c r="T186" s="209">
        <f>SUM(T187:T189)</f>
        <v>0</v>
      </c>
      <c r="AR186" s="204" t="s">
        <v>5</v>
      </c>
      <c r="AT186" s="210" t="s">
        <v>3334</v>
      </c>
      <c r="AU186" s="210" t="s">
        <v>5</v>
      </c>
      <c r="AY186" s="204" t="s">
        <v>3337</v>
      </c>
      <c r="BK186" s="211">
        <f>SUM(BK187:BK189)</f>
        <v>0</v>
      </c>
    </row>
    <row r="187" spans="2:65" s="144" customFormat="1" ht="16.5" customHeight="1">
      <c r="B187" s="214"/>
      <c r="C187" s="215" t="s">
        <v>17</v>
      </c>
      <c r="D187" s="215" t="s">
        <v>3338</v>
      </c>
      <c r="E187" s="216" t="s">
        <v>3390</v>
      </c>
      <c r="F187" s="217" t="s">
        <v>3391</v>
      </c>
      <c r="G187" s="218" t="s">
        <v>1941</v>
      </c>
      <c r="H187" s="219">
        <v>33.905999999999999</v>
      </c>
      <c r="I187" s="745">
        <v>0</v>
      </c>
      <c r="J187" s="220">
        <f>ROUND(I187*H187,2)</f>
        <v>0</v>
      </c>
      <c r="K187" s="217" t="s">
        <v>3341</v>
      </c>
      <c r="L187" s="145"/>
      <c r="M187" s="221" t="s">
        <v>3268</v>
      </c>
      <c r="N187" s="222" t="s">
        <v>3296</v>
      </c>
      <c r="O187" s="223">
        <v>1.3169999999999999</v>
      </c>
      <c r="P187" s="223">
        <f>O187*H187</f>
        <v>44.654201999999998</v>
      </c>
      <c r="Q187" s="223">
        <v>0</v>
      </c>
      <c r="R187" s="223">
        <f>Q187*H187</f>
        <v>0</v>
      </c>
      <c r="S187" s="223">
        <v>0</v>
      </c>
      <c r="T187" s="224">
        <f>S187*H187</f>
        <v>0</v>
      </c>
      <c r="AR187" s="225" t="s">
        <v>8</v>
      </c>
      <c r="AT187" s="225" t="s">
        <v>3338</v>
      </c>
      <c r="AU187" s="225" t="s">
        <v>6</v>
      </c>
      <c r="AY187" s="136" t="s">
        <v>3337</v>
      </c>
      <c r="BE187" s="226">
        <f>IF(N187="základní",J187,0)</f>
        <v>0</v>
      </c>
      <c r="BF187" s="226">
        <f>IF(N187="snížená",J187,0)</f>
        <v>0</v>
      </c>
      <c r="BG187" s="226">
        <f>IF(N187="zákl. přenesená",J187,0)</f>
        <v>0</v>
      </c>
      <c r="BH187" s="226">
        <f>IF(N187="sníž. přenesená",J187,0)</f>
        <v>0</v>
      </c>
      <c r="BI187" s="226">
        <f>IF(N187="nulová",J187,0)</f>
        <v>0</v>
      </c>
      <c r="BJ187" s="136" t="s">
        <v>5</v>
      </c>
      <c r="BK187" s="226">
        <f>ROUND(I187*H187,2)</f>
        <v>0</v>
      </c>
      <c r="BL187" s="136" t="s">
        <v>8</v>
      </c>
      <c r="BM187" s="225" t="s">
        <v>5108</v>
      </c>
    </row>
    <row r="188" spans="2:65" s="144" customFormat="1" ht="19.2">
      <c r="B188" s="145"/>
      <c r="D188" s="227" t="s">
        <v>3343</v>
      </c>
      <c r="F188" s="228" t="s">
        <v>3393</v>
      </c>
      <c r="L188" s="145"/>
      <c r="M188" s="229"/>
      <c r="T188" s="230"/>
      <c r="AT188" s="136" t="s">
        <v>3343</v>
      </c>
      <c r="AU188" s="136" t="s">
        <v>6</v>
      </c>
    </row>
    <row r="189" spans="2:65" s="231" customFormat="1">
      <c r="B189" s="232"/>
      <c r="D189" s="227" t="s">
        <v>3345</v>
      </c>
      <c r="E189" s="233" t="s">
        <v>3277</v>
      </c>
      <c r="F189" s="234" t="s">
        <v>5109</v>
      </c>
      <c r="H189" s="235">
        <v>33.905999999999999</v>
      </c>
      <c r="L189" s="232"/>
      <c r="M189" s="236"/>
      <c r="T189" s="237"/>
      <c r="AT189" s="233" t="s">
        <v>3345</v>
      </c>
      <c r="AU189" s="233" t="s">
        <v>6</v>
      </c>
      <c r="AV189" s="231" t="s">
        <v>6</v>
      </c>
      <c r="AW189" s="231" t="s">
        <v>3347</v>
      </c>
      <c r="AX189" s="231" t="s">
        <v>5</v>
      </c>
      <c r="AY189" s="233" t="s">
        <v>3337</v>
      </c>
    </row>
    <row r="190" spans="2:65" s="202" customFormat="1" ht="22.95" customHeight="1">
      <c r="B190" s="203"/>
      <c r="D190" s="204" t="s">
        <v>3334</v>
      </c>
      <c r="E190" s="212" t="s">
        <v>12</v>
      </c>
      <c r="F190" s="212" t="s">
        <v>2053</v>
      </c>
      <c r="J190" s="213">
        <f>BK190</f>
        <v>0</v>
      </c>
      <c r="L190" s="203"/>
      <c r="M190" s="207"/>
      <c r="P190" s="208">
        <f>SUM(P191:P238)</f>
        <v>224.79500000000004</v>
      </c>
      <c r="R190" s="208">
        <f>SUM(R191:R238)</f>
        <v>14.29058</v>
      </c>
      <c r="T190" s="209">
        <f>SUM(T191:T238)</f>
        <v>0.67881000000000002</v>
      </c>
      <c r="AR190" s="204" t="s">
        <v>5</v>
      </c>
      <c r="AT190" s="210" t="s">
        <v>3334</v>
      </c>
      <c r="AU190" s="210" t="s">
        <v>5</v>
      </c>
      <c r="AY190" s="204" t="s">
        <v>3337</v>
      </c>
      <c r="BK190" s="211">
        <f>SUM(BK191:BK238)</f>
        <v>0</v>
      </c>
    </row>
    <row r="191" spans="2:65" s="144" customFormat="1" ht="21.75" customHeight="1">
      <c r="B191" s="214"/>
      <c r="C191" s="215" t="s">
        <v>18</v>
      </c>
      <c r="D191" s="215" t="s">
        <v>3338</v>
      </c>
      <c r="E191" s="216" t="s">
        <v>3423</v>
      </c>
      <c r="F191" s="217" t="s">
        <v>3424</v>
      </c>
      <c r="G191" s="218" t="s">
        <v>1939</v>
      </c>
      <c r="H191" s="219">
        <v>13</v>
      </c>
      <c r="I191" s="745">
        <v>0</v>
      </c>
      <c r="J191" s="220">
        <f>ROUND(I191*H191,2)</f>
        <v>0</v>
      </c>
      <c r="K191" s="217" t="s">
        <v>3341</v>
      </c>
      <c r="L191" s="145"/>
      <c r="M191" s="221" t="s">
        <v>3268</v>
      </c>
      <c r="N191" s="222" t="s">
        <v>3296</v>
      </c>
      <c r="O191" s="223">
        <v>0.17100000000000001</v>
      </c>
      <c r="P191" s="223">
        <f>O191*H191</f>
        <v>2.2230000000000003</v>
      </c>
      <c r="Q191" s="223">
        <v>0</v>
      </c>
      <c r="R191" s="223">
        <f>Q191*H191</f>
        <v>0</v>
      </c>
      <c r="S191" s="223">
        <v>0</v>
      </c>
      <c r="T191" s="224">
        <f>S191*H191</f>
        <v>0</v>
      </c>
      <c r="AR191" s="225" t="s">
        <v>8</v>
      </c>
      <c r="AT191" s="225" t="s">
        <v>3338</v>
      </c>
      <c r="AU191" s="225" t="s">
        <v>6</v>
      </c>
      <c r="AY191" s="136" t="s">
        <v>3337</v>
      </c>
      <c r="BE191" s="226">
        <f>IF(N191="základní",J191,0)</f>
        <v>0</v>
      </c>
      <c r="BF191" s="226">
        <f>IF(N191="snížená",J191,0)</f>
        <v>0</v>
      </c>
      <c r="BG191" s="226">
        <f>IF(N191="zákl. přenesená",J191,0)</f>
        <v>0</v>
      </c>
      <c r="BH191" s="226">
        <f>IF(N191="sníž. přenesená",J191,0)</f>
        <v>0</v>
      </c>
      <c r="BI191" s="226">
        <f>IF(N191="nulová",J191,0)</f>
        <v>0</v>
      </c>
      <c r="BJ191" s="136" t="s">
        <v>5</v>
      </c>
      <c r="BK191" s="226">
        <f>ROUND(I191*H191,2)</f>
        <v>0</v>
      </c>
      <c r="BL191" s="136" t="s">
        <v>8</v>
      </c>
      <c r="BM191" s="225" t="s">
        <v>5110</v>
      </c>
    </row>
    <row r="192" spans="2:65" s="144" customFormat="1" ht="19.2">
      <c r="B192" s="145"/>
      <c r="D192" s="227" t="s">
        <v>3343</v>
      </c>
      <c r="F192" s="228" t="s">
        <v>5111</v>
      </c>
      <c r="L192" s="145"/>
      <c r="M192" s="229"/>
      <c r="T192" s="230"/>
      <c r="AT192" s="136" t="s">
        <v>3343</v>
      </c>
      <c r="AU192" s="136" t="s">
        <v>6</v>
      </c>
    </row>
    <row r="193" spans="2:65" s="144" customFormat="1" ht="21.75" customHeight="1">
      <c r="B193" s="214"/>
      <c r="C193" s="251" t="s">
        <v>19</v>
      </c>
      <c r="D193" s="251" t="s">
        <v>3385</v>
      </c>
      <c r="E193" s="252" t="s">
        <v>5112</v>
      </c>
      <c r="F193" s="253" t="s">
        <v>5113</v>
      </c>
      <c r="G193" s="254" t="s">
        <v>1939</v>
      </c>
      <c r="H193" s="255">
        <v>13</v>
      </c>
      <c r="I193" s="746">
        <v>0</v>
      </c>
      <c r="J193" s="256">
        <f>ROUND(I193*H193,2)</f>
        <v>0</v>
      </c>
      <c r="K193" s="253" t="s">
        <v>3341</v>
      </c>
      <c r="L193" s="257"/>
      <c r="M193" s="258" t="s">
        <v>3268</v>
      </c>
      <c r="N193" s="259" t="s">
        <v>3296</v>
      </c>
      <c r="O193" s="223">
        <v>0</v>
      </c>
      <c r="P193" s="223">
        <f>O193*H193</f>
        <v>0</v>
      </c>
      <c r="Q193" s="223">
        <v>2.7E-4</v>
      </c>
      <c r="R193" s="223">
        <f>Q193*H193</f>
        <v>3.5100000000000001E-3</v>
      </c>
      <c r="S193" s="223">
        <v>0</v>
      </c>
      <c r="T193" s="224">
        <f>S193*H193</f>
        <v>0</v>
      </c>
      <c r="AR193" s="225" t="s">
        <v>12</v>
      </c>
      <c r="AT193" s="225" t="s">
        <v>3385</v>
      </c>
      <c r="AU193" s="225" t="s">
        <v>6</v>
      </c>
      <c r="AY193" s="136" t="s">
        <v>3337</v>
      </c>
      <c r="BE193" s="226">
        <f>IF(N193="základní",J193,0)</f>
        <v>0</v>
      </c>
      <c r="BF193" s="226">
        <f>IF(N193="snížená",J193,0)</f>
        <v>0</v>
      </c>
      <c r="BG193" s="226">
        <f>IF(N193="zákl. přenesená",J193,0)</f>
        <v>0</v>
      </c>
      <c r="BH193" s="226">
        <f>IF(N193="sníž. přenesená",J193,0)</f>
        <v>0</v>
      </c>
      <c r="BI193" s="226">
        <f>IF(N193="nulová",J193,0)</f>
        <v>0</v>
      </c>
      <c r="BJ193" s="136" t="s">
        <v>5</v>
      </c>
      <c r="BK193" s="226">
        <f>ROUND(I193*H193,2)</f>
        <v>0</v>
      </c>
      <c r="BL193" s="136" t="s">
        <v>8</v>
      </c>
      <c r="BM193" s="225" t="s">
        <v>5114</v>
      </c>
    </row>
    <row r="194" spans="2:65" s="144" customFormat="1">
      <c r="B194" s="145"/>
      <c r="D194" s="227" t="s">
        <v>3343</v>
      </c>
      <c r="F194" s="228" t="s">
        <v>5113</v>
      </c>
      <c r="L194" s="145"/>
      <c r="M194" s="229"/>
      <c r="T194" s="230"/>
      <c r="AT194" s="136" t="s">
        <v>3343</v>
      </c>
      <c r="AU194" s="136" t="s">
        <v>6</v>
      </c>
    </row>
    <row r="195" spans="2:65" s="144" customFormat="1" ht="21.75" customHeight="1">
      <c r="B195" s="214"/>
      <c r="C195" s="215" t="s">
        <v>20</v>
      </c>
      <c r="D195" s="215" t="s">
        <v>3338</v>
      </c>
      <c r="E195" s="216" t="s">
        <v>5115</v>
      </c>
      <c r="F195" s="217" t="s">
        <v>5116</v>
      </c>
      <c r="G195" s="218" t="s">
        <v>1939</v>
      </c>
      <c r="H195" s="219">
        <v>6</v>
      </c>
      <c r="I195" s="745">
        <v>0</v>
      </c>
      <c r="J195" s="220">
        <f>ROUND(I195*H195,2)</f>
        <v>0</v>
      </c>
      <c r="K195" s="217" t="s">
        <v>3341</v>
      </c>
      <c r="L195" s="145"/>
      <c r="M195" s="221" t="s">
        <v>3268</v>
      </c>
      <c r="N195" s="222" t="s">
        <v>3296</v>
      </c>
      <c r="O195" s="223">
        <v>0.24</v>
      </c>
      <c r="P195" s="223">
        <f>O195*H195</f>
        <v>1.44</v>
      </c>
      <c r="Q195" s="223">
        <v>0</v>
      </c>
      <c r="R195" s="223">
        <f>Q195*H195</f>
        <v>0</v>
      </c>
      <c r="S195" s="223">
        <v>0</v>
      </c>
      <c r="T195" s="224">
        <f>S195*H195</f>
        <v>0</v>
      </c>
      <c r="AR195" s="225" t="s">
        <v>8</v>
      </c>
      <c r="AT195" s="225" t="s">
        <v>3338</v>
      </c>
      <c r="AU195" s="225" t="s">
        <v>6</v>
      </c>
      <c r="AY195" s="136" t="s">
        <v>3337</v>
      </c>
      <c r="BE195" s="226">
        <f>IF(N195="základní",J195,0)</f>
        <v>0</v>
      </c>
      <c r="BF195" s="226">
        <f>IF(N195="snížená",J195,0)</f>
        <v>0</v>
      </c>
      <c r="BG195" s="226">
        <f>IF(N195="zákl. přenesená",J195,0)</f>
        <v>0</v>
      </c>
      <c r="BH195" s="226">
        <f>IF(N195="sníž. přenesená",J195,0)</f>
        <v>0</v>
      </c>
      <c r="BI195" s="226">
        <f>IF(N195="nulová",J195,0)</f>
        <v>0</v>
      </c>
      <c r="BJ195" s="136" t="s">
        <v>5</v>
      </c>
      <c r="BK195" s="226">
        <f>ROUND(I195*H195,2)</f>
        <v>0</v>
      </c>
      <c r="BL195" s="136" t="s">
        <v>8</v>
      </c>
      <c r="BM195" s="225" t="s">
        <v>5117</v>
      </c>
    </row>
    <row r="196" spans="2:65" s="144" customFormat="1" ht="19.2">
      <c r="B196" s="145"/>
      <c r="D196" s="227" t="s">
        <v>3343</v>
      </c>
      <c r="F196" s="228" t="s">
        <v>5118</v>
      </c>
      <c r="L196" s="145"/>
      <c r="M196" s="229"/>
      <c r="T196" s="230"/>
      <c r="AT196" s="136" t="s">
        <v>3343</v>
      </c>
      <c r="AU196" s="136" t="s">
        <v>6</v>
      </c>
    </row>
    <row r="197" spans="2:65" s="144" customFormat="1" ht="21.75" customHeight="1">
      <c r="B197" s="214"/>
      <c r="C197" s="251" t="s">
        <v>21</v>
      </c>
      <c r="D197" s="251" t="s">
        <v>3385</v>
      </c>
      <c r="E197" s="252" t="s">
        <v>5119</v>
      </c>
      <c r="F197" s="253" t="s">
        <v>5120</v>
      </c>
      <c r="G197" s="254" t="s">
        <v>1939</v>
      </c>
      <c r="H197" s="255">
        <v>6</v>
      </c>
      <c r="I197" s="746">
        <v>0</v>
      </c>
      <c r="J197" s="256">
        <f>ROUND(I197*H197,2)</f>
        <v>0</v>
      </c>
      <c r="K197" s="253" t="s">
        <v>3341</v>
      </c>
      <c r="L197" s="257"/>
      <c r="M197" s="258" t="s">
        <v>3268</v>
      </c>
      <c r="N197" s="259" t="s">
        <v>3296</v>
      </c>
      <c r="O197" s="223">
        <v>0</v>
      </c>
      <c r="P197" s="223">
        <f>O197*H197</f>
        <v>0</v>
      </c>
      <c r="Q197" s="223">
        <v>1.0499999999999999E-3</v>
      </c>
      <c r="R197" s="223">
        <f>Q197*H197</f>
        <v>6.3E-3</v>
      </c>
      <c r="S197" s="223">
        <v>0</v>
      </c>
      <c r="T197" s="224">
        <f>S197*H197</f>
        <v>0</v>
      </c>
      <c r="AR197" s="225" t="s">
        <v>12</v>
      </c>
      <c r="AT197" s="225" t="s">
        <v>3385</v>
      </c>
      <c r="AU197" s="225" t="s">
        <v>6</v>
      </c>
      <c r="AY197" s="136" t="s">
        <v>3337</v>
      </c>
      <c r="BE197" s="226">
        <f>IF(N197="základní",J197,0)</f>
        <v>0</v>
      </c>
      <c r="BF197" s="226">
        <f>IF(N197="snížená",J197,0)</f>
        <v>0</v>
      </c>
      <c r="BG197" s="226">
        <f>IF(N197="zákl. přenesená",J197,0)</f>
        <v>0</v>
      </c>
      <c r="BH197" s="226">
        <f>IF(N197="sníž. přenesená",J197,0)</f>
        <v>0</v>
      </c>
      <c r="BI197" s="226">
        <f>IF(N197="nulová",J197,0)</f>
        <v>0</v>
      </c>
      <c r="BJ197" s="136" t="s">
        <v>5</v>
      </c>
      <c r="BK197" s="226">
        <f>ROUND(I197*H197,2)</f>
        <v>0</v>
      </c>
      <c r="BL197" s="136" t="s">
        <v>8</v>
      </c>
      <c r="BM197" s="225" t="s">
        <v>5121</v>
      </c>
    </row>
    <row r="198" spans="2:65" s="144" customFormat="1">
      <c r="B198" s="145"/>
      <c r="D198" s="227" t="s">
        <v>3343</v>
      </c>
      <c r="F198" s="228" t="s">
        <v>5120</v>
      </c>
      <c r="L198" s="145"/>
      <c r="M198" s="229"/>
      <c r="T198" s="230"/>
      <c r="AT198" s="136" t="s">
        <v>3343</v>
      </c>
      <c r="AU198" s="136" t="s">
        <v>6</v>
      </c>
    </row>
    <row r="199" spans="2:65" s="144" customFormat="1" ht="21.75" customHeight="1">
      <c r="B199" s="214"/>
      <c r="C199" s="215" t="s">
        <v>22</v>
      </c>
      <c r="D199" s="215" t="s">
        <v>3338</v>
      </c>
      <c r="E199" s="216" t="s">
        <v>5122</v>
      </c>
      <c r="F199" s="217" t="s">
        <v>5123</v>
      </c>
      <c r="G199" s="218" t="s">
        <v>1943</v>
      </c>
      <c r="H199" s="219">
        <v>1</v>
      </c>
      <c r="I199" s="745">
        <v>0</v>
      </c>
      <c r="J199" s="220">
        <f>ROUND(I199*H199,2)</f>
        <v>0</v>
      </c>
      <c r="K199" s="217" t="s">
        <v>3268</v>
      </c>
      <c r="L199" s="145"/>
      <c r="M199" s="221" t="s">
        <v>3268</v>
      </c>
      <c r="N199" s="222" t="s">
        <v>3296</v>
      </c>
      <c r="O199" s="223">
        <v>36.896000000000001</v>
      </c>
      <c r="P199" s="223">
        <f>O199*H199</f>
        <v>36.896000000000001</v>
      </c>
      <c r="Q199" s="223">
        <v>0</v>
      </c>
      <c r="R199" s="223">
        <f>Q199*H199</f>
        <v>0</v>
      </c>
      <c r="S199" s="223">
        <v>0</v>
      </c>
      <c r="T199" s="224">
        <f>S199*H199</f>
        <v>0</v>
      </c>
      <c r="AR199" s="225" t="s">
        <v>8</v>
      </c>
      <c r="AT199" s="225" t="s">
        <v>3338</v>
      </c>
      <c r="AU199" s="225" t="s">
        <v>6</v>
      </c>
      <c r="AY199" s="136" t="s">
        <v>3337</v>
      </c>
      <c r="BE199" s="226">
        <f>IF(N199="základní",J199,0)</f>
        <v>0</v>
      </c>
      <c r="BF199" s="226">
        <f>IF(N199="snížená",J199,0)</f>
        <v>0</v>
      </c>
      <c r="BG199" s="226">
        <f>IF(N199="zákl. přenesená",J199,0)</f>
        <v>0</v>
      </c>
      <c r="BH199" s="226">
        <f>IF(N199="sníž. přenesená",J199,0)</f>
        <v>0</v>
      </c>
      <c r="BI199" s="226">
        <f>IF(N199="nulová",J199,0)</f>
        <v>0</v>
      </c>
      <c r="BJ199" s="136" t="s">
        <v>5</v>
      </c>
      <c r="BK199" s="226">
        <f>ROUND(I199*H199,2)</f>
        <v>0</v>
      </c>
      <c r="BL199" s="136" t="s">
        <v>8</v>
      </c>
      <c r="BM199" s="225" t="s">
        <v>5124</v>
      </c>
    </row>
    <row r="200" spans="2:65" s="144" customFormat="1" ht="19.2">
      <c r="B200" s="145"/>
      <c r="D200" s="227" t="s">
        <v>3343</v>
      </c>
      <c r="F200" s="228" t="s">
        <v>5125</v>
      </c>
      <c r="L200" s="145"/>
      <c r="M200" s="229"/>
      <c r="T200" s="230"/>
      <c r="AT200" s="136" t="s">
        <v>3343</v>
      </c>
      <c r="AU200" s="136" t="s">
        <v>6</v>
      </c>
    </row>
    <row r="201" spans="2:65" s="144" customFormat="1" ht="16.5" customHeight="1">
      <c r="B201" s="214"/>
      <c r="C201" s="215" t="s">
        <v>23</v>
      </c>
      <c r="D201" s="215" t="s">
        <v>3338</v>
      </c>
      <c r="E201" s="216" t="s">
        <v>5126</v>
      </c>
      <c r="F201" s="217" t="s">
        <v>5127</v>
      </c>
      <c r="G201" s="218" t="s">
        <v>1943</v>
      </c>
      <c r="H201" s="219">
        <v>1</v>
      </c>
      <c r="I201" s="745">
        <v>0</v>
      </c>
      <c r="J201" s="220">
        <f>ROUND(I201*H201,2)</f>
        <v>0</v>
      </c>
      <c r="K201" s="217" t="s">
        <v>3268</v>
      </c>
      <c r="L201" s="145"/>
      <c r="M201" s="221" t="s">
        <v>3268</v>
      </c>
      <c r="N201" s="222" t="s">
        <v>3296</v>
      </c>
      <c r="O201" s="223">
        <v>36.896000000000001</v>
      </c>
      <c r="P201" s="223">
        <f>O201*H201</f>
        <v>36.896000000000001</v>
      </c>
      <c r="Q201" s="223">
        <v>0</v>
      </c>
      <c r="R201" s="223">
        <f>Q201*H201</f>
        <v>0</v>
      </c>
      <c r="S201" s="223">
        <v>0</v>
      </c>
      <c r="T201" s="224">
        <f>S201*H201</f>
        <v>0</v>
      </c>
      <c r="AR201" s="225" t="s">
        <v>8</v>
      </c>
      <c r="AT201" s="225" t="s">
        <v>3338</v>
      </c>
      <c r="AU201" s="225" t="s">
        <v>6</v>
      </c>
      <c r="AY201" s="136" t="s">
        <v>3337</v>
      </c>
      <c r="BE201" s="226">
        <f>IF(N201="základní",J201,0)</f>
        <v>0</v>
      </c>
      <c r="BF201" s="226">
        <f>IF(N201="snížená",J201,0)</f>
        <v>0</v>
      </c>
      <c r="BG201" s="226">
        <f>IF(N201="zákl. přenesená",J201,0)</f>
        <v>0</v>
      </c>
      <c r="BH201" s="226">
        <f>IF(N201="sníž. přenesená",J201,0)</f>
        <v>0</v>
      </c>
      <c r="BI201" s="226">
        <f>IF(N201="nulová",J201,0)</f>
        <v>0</v>
      </c>
      <c r="BJ201" s="136" t="s">
        <v>5</v>
      </c>
      <c r="BK201" s="226">
        <f>ROUND(I201*H201,2)</f>
        <v>0</v>
      </c>
      <c r="BL201" s="136" t="s">
        <v>8</v>
      </c>
      <c r="BM201" s="225" t="s">
        <v>5128</v>
      </c>
    </row>
    <row r="202" spans="2:65" s="144" customFormat="1">
      <c r="B202" s="145"/>
      <c r="D202" s="227" t="s">
        <v>3343</v>
      </c>
      <c r="F202" s="228" t="s">
        <v>5127</v>
      </c>
      <c r="L202" s="145"/>
      <c r="M202" s="229"/>
      <c r="T202" s="230"/>
      <c r="AT202" s="136" t="s">
        <v>3343</v>
      </c>
      <c r="AU202" s="136" t="s">
        <v>6</v>
      </c>
    </row>
    <row r="203" spans="2:65" s="144" customFormat="1" ht="21.75" customHeight="1">
      <c r="B203" s="214"/>
      <c r="C203" s="215" t="s">
        <v>24</v>
      </c>
      <c r="D203" s="215" t="s">
        <v>3338</v>
      </c>
      <c r="E203" s="216" t="s">
        <v>5129</v>
      </c>
      <c r="F203" s="217" t="s">
        <v>5130</v>
      </c>
      <c r="G203" s="218" t="s">
        <v>1943</v>
      </c>
      <c r="H203" s="219">
        <v>2</v>
      </c>
      <c r="I203" s="745">
        <v>0</v>
      </c>
      <c r="J203" s="220">
        <f>ROUND(I203*H203,2)</f>
        <v>0</v>
      </c>
      <c r="K203" s="217" t="s">
        <v>3268</v>
      </c>
      <c r="L203" s="145"/>
      <c r="M203" s="221" t="s">
        <v>3268</v>
      </c>
      <c r="N203" s="222" t="s">
        <v>3296</v>
      </c>
      <c r="O203" s="223">
        <v>36.896000000000001</v>
      </c>
      <c r="P203" s="223">
        <f>O203*H203</f>
        <v>73.792000000000002</v>
      </c>
      <c r="Q203" s="223">
        <v>0</v>
      </c>
      <c r="R203" s="223">
        <f>Q203*H203</f>
        <v>0</v>
      </c>
      <c r="S203" s="223">
        <v>0</v>
      </c>
      <c r="T203" s="224">
        <f>S203*H203</f>
        <v>0</v>
      </c>
      <c r="AR203" s="225" t="s">
        <v>8</v>
      </c>
      <c r="AT203" s="225" t="s">
        <v>3338</v>
      </c>
      <c r="AU203" s="225" t="s">
        <v>6</v>
      </c>
      <c r="AY203" s="136" t="s">
        <v>3337</v>
      </c>
      <c r="BE203" s="226">
        <f>IF(N203="základní",J203,0)</f>
        <v>0</v>
      </c>
      <c r="BF203" s="226">
        <f>IF(N203="snížená",J203,0)</f>
        <v>0</v>
      </c>
      <c r="BG203" s="226">
        <f>IF(N203="zákl. přenesená",J203,0)</f>
        <v>0</v>
      </c>
      <c r="BH203" s="226">
        <f>IF(N203="sníž. přenesená",J203,0)</f>
        <v>0</v>
      </c>
      <c r="BI203" s="226">
        <f>IF(N203="nulová",J203,0)</f>
        <v>0</v>
      </c>
      <c r="BJ203" s="136" t="s">
        <v>5</v>
      </c>
      <c r="BK203" s="226">
        <f>ROUND(I203*H203,2)</f>
        <v>0</v>
      </c>
      <c r="BL203" s="136" t="s">
        <v>8</v>
      </c>
      <c r="BM203" s="225" t="s">
        <v>5131</v>
      </c>
    </row>
    <row r="204" spans="2:65" s="144" customFormat="1">
      <c r="B204" s="145"/>
      <c r="D204" s="227" t="s">
        <v>3343</v>
      </c>
      <c r="F204" s="228" t="s">
        <v>5130</v>
      </c>
      <c r="L204" s="145"/>
      <c r="M204" s="229"/>
      <c r="T204" s="230"/>
      <c r="AT204" s="136" t="s">
        <v>3343</v>
      </c>
      <c r="AU204" s="136" t="s">
        <v>6</v>
      </c>
    </row>
    <row r="205" spans="2:65" s="144" customFormat="1" ht="21.75" customHeight="1">
      <c r="B205" s="214"/>
      <c r="C205" s="215" t="s">
        <v>25</v>
      </c>
      <c r="D205" s="215" t="s">
        <v>3338</v>
      </c>
      <c r="E205" s="216" t="s">
        <v>5132</v>
      </c>
      <c r="F205" s="217" t="s">
        <v>5133</v>
      </c>
      <c r="G205" s="218" t="s">
        <v>1943</v>
      </c>
      <c r="H205" s="219">
        <v>1</v>
      </c>
      <c r="I205" s="745">
        <v>0</v>
      </c>
      <c r="J205" s="220">
        <f>ROUND(I205*H205,2)</f>
        <v>0</v>
      </c>
      <c r="K205" s="217" t="s">
        <v>3268</v>
      </c>
      <c r="L205" s="145"/>
      <c r="M205" s="221" t="s">
        <v>3268</v>
      </c>
      <c r="N205" s="222" t="s">
        <v>3296</v>
      </c>
      <c r="O205" s="223">
        <v>36.896000000000001</v>
      </c>
      <c r="P205" s="223">
        <f>O205*H205</f>
        <v>36.896000000000001</v>
      </c>
      <c r="Q205" s="223">
        <v>0</v>
      </c>
      <c r="R205" s="223">
        <f>Q205*H205</f>
        <v>0</v>
      </c>
      <c r="S205" s="223">
        <v>0</v>
      </c>
      <c r="T205" s="224">
        <f>S205*H205</f>
        <v>0</v>
      </c>
      <c r="AR205" s="225" t="s">
        <v>8</v>
      </c>
      <c r="AT205" s="225" t="s">
        <v>3338</v>
      </c>
      <c r="AU205" s="225" t="s">
        <v>6</v>
      </c>
      <c r="AY205" s="136" t="s">
        <v>3337</v>
      </c>
      <c r="BE205" s="226">
        <f>IF(N205="základní",J205,0)</f>
        <v>0</v>
      </c>
      <c r="BF205" s="226">
        <f>IF(N205="snížená",J205,0)</f>
        <v>0</v>
      </c>
      <c r="BG205" s="226">
        <f>IF(N205="zákl. přenesená",J205,0)</f>
        <v>0</v>
      </c>
      <c r="BH205" s="226">
        <f>IF(N205="sníž. přenesená",J205,0)</f>
        <v>0</v>
      </c>
      <c r="BI205" s="226">
        <f>IF(N205="nulová",J205,0)</f>
        <v>0</v>
      </c>
      <c r="BJ205" s="136" t="s">
        <v>5</v>
      </c>
      <c r="BK205" s="226">
        <f>ROUND(I205*H205,2)</f>
        <v>0</v>
      </c>
      <c r="BL205" s="136" t="s">
        <v>8</v>
      </c>
      <c r="BM205" s="225" t="s">
        <v>5134</v>
      </c>
    </row>
    <row r="206" spans="2:65" s="144" customFormat="1">
      <c r="B206" s="145"/>
      <c r="D206" s="227" t="s">
        <v>3343</v>
      </c>
      <c r="F206" s="228" t="s">
        <v>5133</v>
      </c>
      <c r="L206" s="145"/>
      <c r="M206" s="229"/>
      <c r="T206" s="230"/>
      <c r="AT206" s="136" t="s">
        <v>3343</v>
      </c>
      <c r="AU206" s="136" t="s">
        <v>6</v>
      </c>
    </row>
    <row r="207" spans="2:65" s="144" customFormat="1" ht="21.75" customHeight="1">
      <c r="B207" s="214"/>
      <c r="C207" s="215" t="s">
        <v>26</v>
      </c>
      <c r="D207" s="215" t="s">
        <v>3338</v>
      </c>
      <c r="E207" s="216" t="s">
        <v>5135</v>
      </c>
      <c r="F207" s="217" t="s">
        <v>5136</v>
      </c>
      <c r="G207" s="218" t="s">
        <v>1943</v>
      </c>
      <c r="H207" s="219">
        <v>1</v>
      </c>
      <c r="I207" s="745">
        <v>0</v>
      </c>
      <c r="J207" s="220">
        <f>ROUND(I207*H207,2)</f>
        <v>0</v>
      </c>
      <c r="K207" s="217" t="s">
        <v>3341</v>
      </c>
      <c r="L207" s="145"/>
      <c r="M207" s="221" t="s">
        <v>3268</v>
      </c>
      <c r="N207" s="222" t="s">
        <v>3296</v>
      </c>
      <c r="O207" s="223">
        <v>0.66700000000000004</v>
      </c>
      <c r="P207" s="223">
        <f>O207*H207</f>
        <v>0.66700000000000004</v>
      </c>
      <c r="Q207" s="223">
        <v>0.1056</v>
      </c>
      <c r="R207" s="223">
        <f>Q207*H207</f>
        <v>0.1056</v>
      </c>
      <c r="S207" s="223">
        <v>0</v>
      </c>
      <c r="T207" s="224">
        <f>S207*H207</f>
        <v>0</v>
      </c>
      <c r="AR207" s="225" t="s">
        <v>8</v>
      </c>
      <c r="AT207" s="225" t="s">
        <v>3338</v>
      </c>
      <c r="AU207" s="225" t="s">
        <v>6</v>
      </c>
      <c r="AY207" s="136" t="s">
        <v>3337</v>
      </c>
      <c r="BE207" s="226">
        <f>IF(N207="základní",J207,0)</f>
        <v>0</v>
      </c>
      <c r="BF207" s="226">
        <f>IF(N207="snížená",J207,0)</f>
        <v>0</v>
      </c>
      <c r="BG207" s="226">
        <f>IF(N207="zákl. přenesená",J207,0)</f>
        <v>0</v>
      </c>
      <c r="BH207" s="226">
        <f>IF(N207="sníž. přenesená",J207,0)</f>
        <v>0</v>
      </c>
      <c r="BI207" s="226">
        <f>IF(N207="nulová",J207,0)</f>
        <v>0</v>
      </c>
      <c r="BJ207" s="136" t="s">
        <v>5</v>
      </c>
      <c r="BK207" s="226">
        <f>ROUND(I207*H207,2)</f>
        <v>0</v>
      </c>
      <c r="BL207" s="136" t="s">
        <v>8</v>
      </c>
      <c r="BM207" s="225" t="s">
        <v>5137</v>
      </c>
    </row>
    <row r="208" spans="2:65" s="144" customFormat="1" ht="19.2">
      <c r="B208" s="145"/>
      <c r="D208" s="227" t="s">
        <v>3343</v>
      </c>
      <c r="F208" s="228" t="s">
        <v>5138</v>
      </c>
      <c r="L208" s="145"/>
      <c r="M208" s="229"/>
      <c r="T208" s="230"/>
      <c r="AT208" s="136" t="s">
        <v>3343</v>
      </c>
      <c r="AU208" s="136" t="s">
        <v>6</v>
      </c>
    </row>
    <row r="209" spans="2:65" s="144" customFormat="1" ht="21.75" customHeight="1">
      <c r="B209" s="214"/>
      <c r="C209" s="215" t="s">
        <v>27</v>
      </c>
      <c r="D209" s="215" t="s">
        <v>3338</v>
      </c>
      <c r="E209" s="216" t="s">
        <v>5139</v>
      </c>
      <c r="F209" s="217" t="s">
        <v>5140</v>
      </c>
      <c r="G209" s="218" t="s">
        <v>1943</v>
      </c>
      <c r="H209" s="219">
        <v>3</v>
      </c>
      <c r="I209" s="745">
        <v>0</v>
      </c>
      <c r="J209" s="220">
        <f>ROUND(I209*H209,2)</f>
        <v>0</v>
      </c>
      <c r="K209" s="217" t="s">
        <v>3341</v>
      </c>
      <c r="L209" s="145"/>
      <c r="M209" s="221" t="s">
        <v>3268</v>
      </c>
      <c r="N209" s="222" t="s">
        <v>3296</v>
      </c>
      <c r="O209" s="223">
        <v>0.66700000000000004</v>
      </c>
      <c r="P209" s="223">
        <f>O209*H209</f>
        <v>2.0010000000000003</v>
      </c>
      <c r="Q209" s="223">
        <v>0.1056</v>
      </c>
      <c r="R209" s="223">
        <f>Q209*H209</f>
        <v>0.31679999999999997</v>
      </c>
      <c r="S209" s="223">
        <v>0</v>
      </c>
      <c r="T209" s="224">
        <f>S209*H209</f>
        <v>0</v>
      </c>
      <c r="AR209" s="225" t="s">
        <v>8</v>
      </c>
      <c r="AT209" s="225" t="s">
        <v>3338</v>
      </c>
      <c r="AU209" s="225" t="s">
        <v>6</v>
      </c>
      <c r="AY209" s="136" t="s">
        <v>3337</v>
      </c>
      <c r="BE209" s="226">
        <f>IF(N209="základní",J209,0)</f>
        <v>0</v>
      </c>
      <c r="BF209" s="226">
        <f>IF(N209="snížená",J209,0)</f>
        <v>0</v>
      </c>
      <c r="BG209" s="226">
        <f>IF(N209="zákl. přenesená",J209,0)</f>
        <v>0</v>
      </c>
      <c r="BH209" s="226">
        <f>IF(N209="sníž. přenesená",J209,0)</f>
        <v>0</v>
      </c>
      <c r="BI209" s="226">
        <f>IF(N209="nulová",J209,0)</f>
        <v>0</v>
      </c>
      <c r="BJ209" s="136" t="s">
        <v>5</v>
      </c>
      <c r="BK209" s="226">
        <f>ROUND(I209*H209,2)</f>
        <v>0</v>
      </c>
      <c r="BL209" s="136" t="s">
        <v>8</v>
      </c>
      <c r="BM209" s="225" t="s">
        <v>5141</v>
      </c>
    </row>
    <row r="210" spans="2:65" s="144" customFormat="1" ht="28.8">
      <c r="B210" s="145"/>
      <c r="D210" s="227" t="s">
        <v>3343</v>
      </c>
      <c r="F210" s="228" t="s">
        <v>5142</v>
      </c>
      <c r="L210" s="145"/>
      <c r="M210" s="229"/>
      <c r="T210" s="230"/>
      <c r="AT210" s="136" t="s">
        <v>3343</v>
      </c>
      <c r="AU210" s="136" t="s">
        <v>6</v>
      </c>
    </row>
    <row r="211" spans="2:65" s="144" customFormat="1" ht="21.75" customHeight="1">
      <c r="B211" s="214"/>
      <c r="C211" s="215" t="s">
        <v>28</v>
      </c>
      <c r="D211" s="215" t="s">
        <v>3338</v>
      </c>
      <c r="E211" s="216" t="s">
        <v>5143</v>
      </c>
      <c r="F211" s="217" t="s">
        <v>5144</v>
      </c>
      <c r="G211" s="218" t="s">
        <v>1943</v>
      </c>
      <c r="H211" s="219">
        <v>2</v>
      </c>
      <c r="I211" s="745">
        <v>0</v>
      </c>
      <c r="J211" s="220">
        <f>ROUND(I211*H211,2)</f>
        <v>0</v>
      </c>
      <c r="K211" s="217" t="s">
        <v>3341</v>
      </c>
      <c r="L211" s="145"/>
      <c r="M211" s="221" t="s">
        <v>3268</v>
      </c>
      <c r="N211" s="222" t="s">
        <v>3296</v>
      </c>
      <c r="O211" s="223">
        <v>0.66700000000000004</v>
      </c>
      <c r="P211" s="223">
        <f>O211*H211</f>
        <v>1.3340000000000001</v>
      </c>
      <c r="Q211" s="223">
        <v>0.1056</v>
      </c>
      <c r="R211" s="223">
        <f>Q211*H211</f>
        <v>0.2112</v>
      </c>
      <c r="S211" s="223">
        <v>0</v>
      </c>
      <c r="T211" s="224">
        <f>S211*H211</f>
        <v>0</v>
      </c>
      <c r="AR211" s="225" t="s">
        <v>8</v>
      </c>
      <c r="AT211" s="225" t="s">
        <v>3338</v>
      </c>
      <c r="AU211" s="225" t="s">
        <v>6</v>
      </c>
      <c r="AY211" s="136" t="s">
        <v>3337</v>
      </c>
      <c r="BE211" s="226">
        <f>IF(N211="základní",J211,0)</f>
        <v>0</v>
      </c>
      <c r="BF211" s="226">
        <f>IF(N211="snížená",J211,0)</f>
        <v>0</v>
      </c>
      <c r="BG211" s="226">
        <f>IF(N211="zákl. přenesená",J211,0)</f>
        <v>0</v>
      </c>
      <c r="BH211" s="226">
        <f>IF(N211="sníž. přenesená",J211,0)</f>
        <v>0</v>
      </c>
      <c r="BI211" s="226">
        <f>IF(N211="nulová",J211,0)</f>
        <v>0</v>
      </c>
      <c r="BJ211" s="136" t="s">
        <v>5</v>
      </c>
      <c r="BK211" s="226">
        <f>ROUND(I211*H211,2)</f>
        <v>0</v>
      </c>
      <c r="BL211" s="136" t="s">
        <v>8</v>
      </c>
      <c r="BM211" s="225" t="s">
        <v>5145</v>
      </c>
    </row>
    <row r="212" spans="2:65" s="144" customFormat="1" ht="28.8">
      <c r="B212" s="145"/>
      <c r="D212" s="227" t="s">
        <v>3343</v>
      </c>
      <c r="F212" s="228" t="s">
        <v>5146</v>
      </c>
      <c r="L212" s="145"/>
      <c r="M212" s="229"/>
      <c r="T212" s="230"/>
      <c r="AT212" s="136" t="s">
        <v>3343</v>
      </c>
      <c r="AU212" s="136" t="s">
        <v>6</v>
      </c>
    </row>
    <row r="213" spans="2:65" s="144" customFormat="1" ht="21.75" customHeight="1">
      <c r="B213" s="214"/>
      <c r="C213" s="215" t="s">
        <v>29</v>
      </c>
      <c r="D213" s="215" t="s">
        <v>3338</v>
      </c>
      <c r="E213" s="216" t="s">
        <v>5147</v>
      </c>
      <c r="F213" s="217" t="s">
        <v>5148</v>
      </c>
      <c r="G213" s="218" t="s">
        <v>1943</v>
      </c>
      <c r="H213" s="219">
        <v>6</v>
      </c>
      <c r="I213" s="745">
        <v>0</v>
      </c>
      <c r="J213" s="220">
        <f>ROUND(I213*H213,2)</f>
        <v>0</v>
      </c>
      <c r="K213" s="217" t="s">
        <v>3341</v>
      </c>
      <c r="L213" s="145"/>
      <c r="M213" s="221" t="s">
        <v>3268</v>
      </c>
      <c r="N213" s="222" t="s">
        <v>3296</v>
      </c>
      <c r="O213" s="223">
        <v>0.16700000000000001</v>
      </c>
      <c r="P213" s="223">
        <f>O213*H213</f>
        <v>1.002</v>
      </c>
      <c r="Q213" s="223">
        <v>2.4240000000000001E-2</v>
      </c>
      <c r="R213" s="223">
        <f>Q213*H213</f>
        <v>0.14544000000000001</v>
      </c>
      <c r="S213" s="223">
        <v>0</v>
      </c>
      <c r="T213" s="224">
        <f>S213*H213</f>
        <v>0</v>
      </c>
      <c r="AR213" s="225" t="s">
        <v>8</v>
      </c>
      <c r="AT213" s="225" t="s">
        <v>3338</v>
      </c>
      <c r="AU213" s="225" t="s">
        <v>6</v>
      </c>
      <c r="AY213" s="136" t="s">
        <v>3337</v>
      </c>
      <c r="BE213" s="226">
        <f>IF(N213="základní",J213,0)</f>
        <v>0</v>
      </c>
      <c r="BF213" s="226">
        <f>IF(N213="snížená",J213,0)</f>
        <v>0</v>
      </c>
      <c r="BG213" s="226">
        <f>IF(N213="zákl. přenesená",J213,0)</f>
        <v>0</v>
      </c>
      <c r="BH213" s="226">
        <f>IF(N213="sníž. přenesená",J213,0)</f>
        <v>0</v>
      </c>
      <c r="BI213" s="226">
        <f>IF(N213="nulová",J213,0)</f>
        <v>0</v>
      </c>
      <c r="BJ213" s="136" t="s">
        <v>5</v>
      </c>
      <c r="BK213" s="226">
        <f>ROUND(I213*H213,2)</f>
        <v>0</v>
      </c>
      <c r="BL213" s="136" t="s">
        <v>8</v>
      </c>
      <c r="BM213" s="225" t="s">
        <v>5149</v>
      </c>
    </row>
    <row r="214" spans="2:65" s="144" customFormat="1" ht="19.2">
      <c r="B214" s="145"/>
      <c r="D214" s="227" t="s">
        <v>3343</v>
      </c>
      <c r="F214" s="228" t="s">
        <v>5150</v>
      </c>
      <c r="L214" s="145"/>
      <c r="M214" s="229"/>
      <c r="T214" s="230"/>
      <c r="AT214" s="136" t="s">
        <v>3343</v>
      </c>
      <c r="AU214" s="136" t="s">
        <v>6</v>
      </c>
    </row>
    <row r="215" spans="2:65" s="144" customFormat="1" ht="21.75" customHeight="1">
      <c r="B215" s="214"/>
      <c r="C215" s="215" t="s">
        <v>30</v>
      </c>
      <c r="D215" s="215" t="s">
        <v>3338</v>
      </c>
      <c r="E215" s="216" t="s">
        <v>5151</v>
      </c>
      <c r="F215" s="217" t="s">
        <v>5152</v>
      </c>
      <c r="G215" s="218" t="s">
        <v>1943</v>
      </c>
      <c r="H215" s="219">
        <v>6</v>
      </c>
      <c r="I215" s="745">
        <v>0</v>
      </c>
      <c r="J215" s="220">
        <f>ROUND(I215*H215,2)</f>
        <v>0</v>
      </c>
      <c r="K215" s="217" t="s">
        <v>3341</v>
      </c>
      <c r="L215" s="145"/>
      <c r="M215" s="221" t="s">
        <v>3268</v>
      </c>
      <c r="N215" s="222" t="s">
        <v>3296</v>
      </c>
      <c r="O215" s="223">
        <v>0.33300000000000002</v>
      </c>
      <c r="P215" s="223">
        <f>O215*H215</f>
        <v>1.9980000000000002</v>
      </c>
      <c r="Q215" s="223">
        <v>0</v>
      </c>
      <c r="R215" s="223">
        <f>Q215*H215</f>
        <v>0</v>
      </c>
      <c r="S215" s="223">
        <v>0</v>
      </c>
      <c r="T215" s="224">
        <f>S215*H215</f>
        <v>0</v>
      </c>
      <c r="AR215" s="225" t="s">
        <v>8</v>
      </c>
      <c r="AT215" s="225" t="s">
        <v>3338</v>
      </c>
      <c r="AU215" s="225" t="s">
        <v>6</v>
      </c>
      <c r="AY215" s="136" t="s">
        <v>3337</v>
      </c>
      <c r="BE215" s="226">
        <f>IF(N215="základní",J215,0)</f>
        <v>0</v>
      </c>
      <c r="BF215" s="226">
        <f>IF(N215="snížená",J215,0)</f>
        <v>0</v>
      </c>
      <c r="BG215" s="226">
        <f>IF(N215="zákl. přenesená",J215,0)</f>
        <v>0</v>
      </c>
      <c r="BH215" s="226">
        <f>IF(N215="sníž. přenesená",J215,0)</f>
        <v>0</v>
      </c>
      <c r="BI215" s="226">
        <f>IF(N215="nulová",J215,0)</f>
        <v>0</v>
      </c>
      <c r="BJ215" s="136" t="s">
        <v>5</v>
      </c>
      <c r="BK215" s="226">
        <f>ROUND(I215*H215,2)</f>
        <v>0</v>
      </c>
      <c r="BL215" s="136" t="s">
        <v>8</v>
      </c>
      <c r="BM215" s="225" t="s">
        <v>5153</v>
      </c>
    </row>
    <row r="216" spans="2:65" s="144" customFormat="1" ht="19.2">
      <c r="B216" s="145"/>
      <c r="D216" s="227" t="s">
        <v>3343</v>
      </c>
      <c r="F216" s="228" t="s">
        <v>5154</v>
      </c>
      <c r="L216" s="145"/>
      <c r="M216" s="229"/>
      <c r="T216" s="230"/>
      <c r="AT216" s="136" t="s">
        <v>3343</v>
      </c>
      <c r="AU216" s="136" t="s">
        <v>6</v>
      </c>
    </row>
    <row r="217" spans="2:65" s="144" customFormat="1" ht="21.75" customHeight="1">
      <c r="B217" s="214"/>
      <c r="C217" s="215" t="s">
        <v>31</v>
      </c>
      <c r="D217" s="215" t="s">
        <v>3338</v>
      </c>
      <c r="E217" s="216" t="s">
        <v>5155</v>
      </c>
      <c r="F217" s="217" t="s">
        <v>5156</v>
      </c>
      <c r="G217" s="218" t="s">
        <v>1943</v>
      </c>
      <c r="H217" s="219">
        <v>6</v>
      </c>
      <c r="I217" s="745">
        <v>0</v>
      </c>
      <c r="J217" s="220">
        <f>ROUND(I217*H217,2)</f>
        <v>0</v>
      </c>
      <c r="K217" s="217" t="s">
        <v>3341</v>
      </c>
      <c r="L217" s="145"/>
      <c r="M217" s="221" t="s">
        <v>3268</v>
      </c>
      <c r="N217" s="222" t="s">
        <v>3296</v>
      </c>
      <c r="O217" s="223">
        <v>0.999</v>
      </c>
      <c r="P217" s="223">
        <f>O217*H217</f>
        <v>5.9939999999999998</v>
      </c>
      <c r="Q217" s="223">
        <v>9.2920000000000003E-2</v>
      </c>
      <c r="R217" s="223">
        <f>Q217*H217</f>
        <v>0.55752000000000002</v>
      </c>
      <c r="S217" s="223">
        <v>0</v>
      </c>
      <c r="T217" s="224">
        <f>S217*H217</f>
        <v>0</v>
      </c>
      <c r="AR217" s="225" t="s">
        <v>8</v>
      </c>
      <c r="AT217" s="225" t="s">
        <v>3338</v>
      </c>
      <c r="AU217" s="225" t="s">
        <v>6</v>
      </c>
      <c r="AY217" s="136" t="s">
        <v>3337</v>
      </c>
      <c r="BE217" s="226">
        <f>IF(N217="základní",J217,0)</f>
        <v>0</v>
      </c>
      <c r="BF217" s="226">
        <f>IF(N217="snížená",J217,0)</f>
        <v>0</v>
      </c>
      <c r="BG217" s="226">
        <f>IF(N217="zákl. přenesená",J217,0)</f>
        <v>0</v>
      </c>
      <c r="BH217" s="226">
        <f>IF(N217="sníž. přenesená",J217,0)</f>
        <v>0</v>
      </c>
      <c r="BI217" s="226">
        <f>IF(N217="nulová",J217,0)</f>
        <v>0</v>
      </c>
      <c r="BJ217" s="136" t="s">
        <v>5</v>
      </c>
      <c r="BK217" s="226">
        <f>ROUND(I217*H217,2)</f>
        <v>0</v>
      </c>
      <c r="BL217" s="136" t="s">
        <v>8</v>
      </c>
      <c r="BM217" s="225" t="s">
        <v>5157</v>
      </c>
    </row>
    <row r="218" spans="2:65" s="144" customFormat="1" ht="28.8">
      <c r="B218" s="145"/>
      <c r="D218" s="227" t="s">
        <v>3343</v>
      </c>
      <c r="F218" s="228" t="s">
        <v>5158</v>
      </c>
      <c r="L218" s="145"/>
      <c r="M218" s="229"/>
      <c r="T218" s="230"/>
      <c r="AT218" s="136" t="s">
        <v>3343</v>
      </c>
      <c r="AU218" s="136" t="s">
        <v>6</v>
      </c>
    </row>
    <row r="219" spans="2:65" s="144" customFormat="1" ht="21.75" customHeight="1">
      <c r="B219" s="214"/>
      <c r="C219" s="215" t="s">
        <v>32</v>
      </c>
      <c r="D219" s="215" t="s">
        <v>3338</v>
      </c>
      <c r="E219" s="216" t="s">
        <v>5159</v>
      </c>
      <c r="F219" s="217" t="s">
        <v>5160</v>
      </c>
      <c r="G219" s="218" t="s">
        <v>1938</v>
      </c>
      <c r="H219" s="219">
        <v>1</v>
      </c>
      <c r="I219" s="745">
        <v>0</v>
      </c>
      <c r="J219" s="220">
        <f>ROUND(I219*H219,2)</f>
        <v>0</v>
      </c>
      <c r="K219" s="217" t="s">
        <v>3341</v>
      </c>
      <c r="L219" s="145"/>
      <c r="M219" s="221" t="s">
        <v>3268</v>
      </c>
      <c r="N219" s="222" t="s">
        <v>3296</v>
      </c>
      <c r="O219" s="223">
        <v>10.24</v>
      </c>
      <c r="P219" s="223">
        <f>O219*H219</f>
        <v>10.24</v>
      </c>
      <c r="Q219" s="223">
        <v>11.61904</v>
      </c>
      <c r="R219" s="223">
        <f>Q219*H219</f>
        <v>11.61904</v>
      </c>
      <c r="S219" s="223">
        <v>0</v>
      </c>
      <c r="T219" s="224">
        <f>S219*H219</f>
        <v>0</v>
      </c>
      <c r="AR219" s="225" t="s">
        <v>8</v>
      </c>
      <c r="AT219" s="225" t="s">
        <v>3338</v>
      </c>
      <c r="AU219" s="225" t="s">
        <v>6</v>
      </c>
      <c r="AY219" s="136" t="s">
        <v>3337</v>
      </c>
      <c r="BE219" s="226">
        <f>IF(N219="základní",J219,0)</f>
        <v>0</v>
      </c>
      <c r="BF219" s="226">
        <f>IF(N219="snížená",J219,0)</f>
        <v>0</v>
      </c>
      <c r="BG219" s="226">
        <f>IF(N219="zákl. přenesená",J219,0)</f>
        <v>0</v>
      </c>
      <c r="BH219" s="226">
        <f>IF(N219="sníž. přenesená",J219,0)</f>
        <v>0</v>
      </c>
      <c r="BI219" s="226">
        <f>IF(N219="nulová",J219,0)</f>
        <v>0</v>
      </c>
      <c r="BJ219" s="136" t="s">
        <v>5</v>
      </c>
      <c r="BK219" s="226">
        <f>ROUND(I219*H219,2)</f>
        <v>0</v>
      </c>
      <c r="BL219" s="136" t="s">
        <v>8</v>
      </c>
      <c r="BM219" s="225" t="s">
        <v>5161</v>
      </c>
    </row>
    <row r="220" spans="2:65" s="144" customFormat="1" ht="38.4">
      <c r="B220" s="145"/>
      <c r="D220" s="227" t="s">
        <v>3343</v>
      </c>
      <c r="F220" s="228" t="s">
        <v>5162</v>
      </c>
      <c r="L220" s="145"/>
      <c r="M220" s="229"/>
      <c r="T220" s="230"/>
      <c r="AT220" s="136" t="s">
        <v>3343</v>
      </c>
      <c r="AU220" s="136" t="s">
        <v>6</v>
      </c>
    </row>
    <row r="221" spans="2:65" s="144" customFormat="1" ht="21.75" customHeight="1">
      <c r="B221" s="214"/>
      <c r="C221" s="215" t="s">
        <v>33</v>
      </c>
      <c r="D221" s="215" t="s">
        <v>3338</v>
      </c>
      <c r="E221" s="216" t="s">
        <v>5163</v>
      </c>
      <c r="F221" s="217" t="s">
        <v>5164</v>
      </c>
      <c r="G221" s="218" t="s">
        <v>1943</v>
      </c>
      <c r="H221" s="219">
        <v>1</v>
      </c>
      <c r="I221" s="745">
        <v>0</v>
      </c>
      <c r="J221" s="220">
        <f>ROUND(I221*H221,2)</f>
        <v>0</v>
      </c>
      <c r="K221" s="217" t="s">
        <v>3341</v>
      </c>
      <c r="L221" s="145"/>
      <c r="M221" s="221" t="s">
        <v>3268</v>
      </c>
      <c r="N221" s="222" t="s">
        <v>3296</v>
      </c>
      <c r="O221" s="223">
        <v>1.5620000000000001</v>
      </c>
      <c r="P221" s="223">
        <f>O221*H221</f>
        <v>1.5620000000000001</v>
      </c>
      <c r="Q221" s="223">
        <v>1.0189999999999999E-2</v>
      </c>
      <c r="R221" s="223">
        <f>Q221*H221</f>
        <v>1.0189999999999999E-2</v>
      </c>
      <c r="S221" s="223">
        <v>0</v>
      </c>
      <c r="T221" s="224">
        <f>S221*H221</f>
        <v>0</v>
      </c>
      <c r="AR221" s="225" t="s">
        <v>8</v>
      </c>
      <c r="AT221" s="225" t="s">
        <v>3338</v>
      </c>
      <c r="AU221" s="225" t="s">
        <v>6</v>
      </c>
      <c r="AY221" s="136" t="s">
        <v>3337</v>
      </c>
      <c r="BE221" s="226">
        <f>IF(N221="základní",J221,0)</f>
        <v>0</v>
      </c>
      <c r="BF221" s="226">
        <f>IF(N221="snížená",J221,0)</f>
        <v>0</v>
      </c>
      <c r="BG221" s="226">
        <f>IF(N221="zákl. přenesená",J221,0)</f>
        <v>0</v>
      </c>
      <c r="BH221" s="226">
        <f>IF(N221="sníž. přenesená",J221,0)</f>
        <v>0</v>
      </c>
      <c r="BI221" s="226">
        <f>IF(N221="nulová",J221,0)</f>
        <v>0</v>
      </c>
      <c r="BJ221" s="136" t="s">
        <v>5</v>
      </c>
      <c r="BK221" s="226">
        <f>ROUND(I221*H221,2)</f>
        <v>0</v>
      </c>
      <c r="BL221" s="136" t="s">
        <v>8</v>
      </c>
      <c r="BM221" s="225" t="s">
        <v>5165</v>
      </c>
    </row>
    <row r="222" spans="2:65" s="144" customFormat="1" ht="19.2">
      <c r="B222" s="145"/>
      <c r="D222" s="227" t="s">
        <v>3343</v>
      </c>
      <c r="F222" s="228" t="s">
        <v>5164</v>
      </c>
      <c r="L222" s="145"/>
      <c r="M222" s="229"/>
      <c r="T222" s="230"/>
      <c r="AT222" s="136" t="s">
        <v>3343</v>
      </c>
      <c r="AU222" s="136" t="s">
        <v>6</v>
      </c>
    </row>
    <row r="223" spans="2:65" s="144" customFormat="1" ht="16.5" customHeight="1">
      <c r="B223" s="214"/>
      <c r="C223" s="251" t="s">
        <v>34</v>
      </c>
      <c r="D223" s="251" t="s">
        <v>3385</v>
      </c>
      <c r="E223" s="252" t="s">
        <v>5166</v>
      </c>
      <c r="F223" s="253" t="s">
        <v>5167</v>
      </c>
      <c r="G223" s="254" t="s">
        <v>1943</v>
      </c>
      <c r="H223" s="255">
        <v>1</v>
      </c>
      <c r="I223" s="746">
        <v>0</v>
      </c>
      <c r="J223" s="256">
        <f>ROUND(I223*H223,2)</f>
        <v>0</v>
      </c>
      <c r="K223" s="253" t="s">
        <v>3341</v>
      </c>
      <c r="L223" s="257"/>
      <c r="M223" s="258" t="s">
        <v>3268</v>
      </c>
      <c r="N223" s="259" t="s">
        <v>3296</v>
      </c>
      <c r="O223" s="223">
        <v>0</v>
      </c>
      <c r="P223" s="223">
        <f>O223*H223</f>
        <v>0</v>
      </c>
      <c r="Q223" s="223">
        <v>1.054</v>
      </c>
      <c r="R223" s="223">
        <f>Q223*H223</f>
        <v>1.054</v>
      </c>
      <c r="S223" s="223">
        <v>0</v>
      </c>
      <c r="T223" s="224">
        <f>S223*H223</f>
        <v>0</v>
      </c>
      <c r="AR223" s="225" t="s">
        <v>12</v>
      </c>
      <c r="AT223" s="225" t="s">
        <v>3385</v>
      </c>
      <c r="AU223" s="225" t="s">
        <v>6</v>
      </c>
      <c r="AY223" s="136" t="s">
        <v>3337</v>
      </c>
      <c r="BE223" s="226">
        <f>IF(N223="základní",J223,0)</f>
        <v>0</v>
      </c>
      <c r="BF223" s="226">
        <f>IF(N223="snížená",J223,0)</f>
        <v>0</v>
      </c>
      <c r="BG223" s="226">
        <f>IF(N223="zákl. přenesená",J223,0)</f>
        <v>0</v>
      </c>
      <c r="BH223" s="226">
        <f>IF(N223="sníž. přenesená",J223,0)</f>
        <v>0</v>
      </c>
      <c r="BI223" s="226">
        <f>IF(N223="nulová",J223,0)</f>
        <v>0</v>
      </c>
      <c r="BJ223" s="136" t="s">
        <v>5</v>
      </c>
      <c r="BK223" s="226">
        <f>ROUND(I223*H223,2)</f>
        <v>0</v>
      </c>
      <c r="BL223" s="136" t="s">
        <v>8</v>
      </c>
      <c r="BM223" s="225" t="s">
        <v>5168</v>
      </c>
    </row>
    <row r="224" spans="2:65" s="144" customFormat="1">
      <c r="B224" s="145"/>
      <c r="D224" s="227" t="s">
        <v>3343</v>
      </c>
      <c r="F224" s="228" t="s">
        <v>5167</v>
      </c>
      <c r="L224" s="145"/>
      <c r="M224" s="229"/>
      <c r="T224" s="230"/>
      <c r="AT224" s="136" t="s">
        <v>3343</v>
      </c>
      <c r="AU224" s="136" t="s">
        <v>6</v>
      </c>
    </row>
    <row r="225" spans="2:65" s="144" customFormat="1" ht="21.75" customHeight="1">
      <c r="B225" s="214"/>
      <c r="C225" s="215" t="s">
        <v>35</v>
      </c>
      <c r="D225" s="215" t="s">
        <v>3338</v>
      </c>
      <c r="E225" s="216" t="s">
        <v>5169</v>
      </c>
      <c r="F225" s="217" t="s">
        <v>5170</v>
      </c>
      <c r="G225" s="218" t="s">
        <v>1943</v>
      </c>
      <c r="H225" s="219">
        <v>1</v>
      </c>
      <c r="I225" s="745">
        <v>0</v>
      </c>
      <c r="J225" s="220">
        <f>ROUND(I225*H225,2)</f>
        <v>0</v>
      </c>
      <c r="K225" s="217" t="s">
        <v>3341</v>
      </c>
      <c r="L225" s="145"/>
      <c r="M225" s="221" t="s">
        <v>3268</v>
      </c>
      <c r="N225" s="222" t="s">
        <v>3296</v>
      </c>
      <c r="O225" s="223">
        <v>0.81699999999999995</v>
      </c>
      <c r="P225" s="223">
        <f>O225*H225</f>
        <v>0.81699999999999995</v>
      </c>
      <c r="Q225" s="223">
        <v>3.9269999999999999E-2</v>
      </c>
      <c r="R225" s="223">
        <f>Q225*H225</f>
        <v>3.9269999999999999E-2</v>
      </c>
      <c r="S225" s="223">
        <v>0</v>
      </c>
      <c r="T225" s="224">
        <f>S225*H225</f>
        <v>0</v>
      </c>
      <c r="AR225" s="225" t="s">
        <v>8</v>
      </c>
      <c r="AT225" s="225" t="s">
        <v>3338</v>
      </c>
      <c r="AU225" s="225" t="s">
        <v>6</v>
      </c>
      <c r="AY225" s="136" t="s">
        <v>3337</v>
      </c>
      <c r="BE225" s="226">
        <f>IF(N225="základní",J225,0)</f>
        <v>0</v>
      </c>
      <c r="BF225" s="226">
        <f>IF(N225="snížená",J225,0)</f>
        <v>0</v>
      </c>
      <c r="BG225" s="226">
        <f>IF(N225="zákl. přenesená",J225,0)</f>
        <v>0</v>
      </c>
      <c r="BH225" s="226">
        <f>IF(N225="sníž. přenesená",J225,0)</f>
        <v>0</v>
      </c>
      <c r="BI225" s="226">
        <f>IF(N225="nulová",J225,0)</f>
        <v>0</v>
      </c>
      <c r="BJ225" s="136" t="s">
        <v>5</v>
      </c>
      <c r="BK225" s="226">
        <f>ROUND(I225*H225,2)</f>
        <v>0</v>
      </c>
      <c r="BL225" s="136" t="s">
        <v>8</v>
      </c>
      <c r="BM225" s="225" t="s">
        <v>5171</v>
      </c>
    </row>
    <row r="226" spans="2:65" s="144" customFormat="1" ht="19.2">
      <c r="B226" s="145"/>
      <c r="D226" s="227" t="s">
        <v>3343</v>
      </c>
      <c r="F226" s="228" t="s">
        <v>5170</v>
      </c>
      <c r="L226" s="145"/>
      <c r="M226" s="229"/>
      <c r="T226" s="230"/>
      <c r="AT226" s="136" t="s">
        <v>3343</v>
      </c>
      <c r="AU226" s="136" t="s">
        <v>6</v>
      </c>
    </row>
    <row r="227" spans="2:65" s="144" customFormat="1" ht="21.75" customHeight="1">
      <c r="B227" s="214"/>
      <c r="C227" s="251" t="s">
        <v>36</v>
      </c>
      <c r="D227" s="251" t="s">
        <v>3385</v>
      </c>
      <c r="E227" s="252" t="s">
        <v>5172</v>
      </c>
      <c r="F227" s="253" t="s">
        <v>5173</v>
      </c>
      <c r="G227" s="254" t="s">
        <v>1943</v>
      </c>
      <c r="H227" s="255">
        <v>1</v>
      </c>
      <c r="I227" s="746">
        <v>0</v>
      </c>
      <c r="J227" s="256">
        <f>ROUND(I227*H227,2)</f>
        <v>0</v>
      </c>
      <c r="K227" s="253" t="s">
        <v>3341</v>
      </c>
      <c r="L227" s="257"/>
      <c r="M227" s="258" t="s">
        <v>3268</v>
      </c>
      <c r="N227" s="259" t="s">
        <v>3296</v>
      </c>
      <c r="O227" s="223">
        <v>0</v>
      </c>
      <c r="P227" s="223">
        <f>O227*H227</f>
        <v>0</v>
      </c>
      <c r="Q227" s="223">
        <v>0.22</v>
      </c>
      <c r="R227" s="223">
        <f>Q227*H227</f>
        <v>0.22</v>
      </c>
      <c r="S227" s="223">
        <v>0</v>
      </c>
      <c r="T227" s="224">
        <f>S227*H227</f>
        <v>0</v>
      </c>
      <c r="AR227" s="225" t="s">
        <v>12</v>
      </c>
      <c r="AT227" s="225" t="s">
        <v>3385</v>
      </c>
      <c r="AU227" s="225" t="s">
        <v>6</v>
      </c>
      <c r="AY227" s="136" t="s">
        <v>3337</v>
      </c>
      <c r="BE227" s="226">
        <f>IF(N227="základní",J227,0)</f>
        <v>0</v>
      </c>
      <c r="BF227" s="226">
        <f>IF(N227="snížená",J227,0)</f>
        <v>0</v>
      </c>
      <c r="BG227" s="226">
        <f>IF(N227="zákl. přenesená",J227,0)</f>
        <v>0</v>
      </c>
      <c r="BH227" s="226">
        <f>IF(N227="sníž. přenesená",J227,0)</f>
        <v>0</v>
      </c>
      <c r="BI227" s="226">
        <f>IF(N227="nulová",J227,0)</f>
        <v>0</v>
      </c>
      <c r="BJ227" s="136" t="s">
        <v>5</v>
      </c>
      <c r="BK227" s="226">
        <f>ROUND(I227*H227,2)</f>
        <v>0</v>
      </c>
      <c r="BL227" s="136" t="s">
        <v>8</v>
      </c>
      <c r="BM227" s="225" t="s">
        <v>5174</v>
      </c>
    </row>
    <row r="228" spans="2:65" s="144" customFormat="1">
      <c r="B228" s="145"/>
      <c r="D228" s="227" t="s">
        <v>3343</v>
      </c>
      <c r="F228" s="228" t="s">
        <v>5173</v>
      </c>
      <c r="L228" s="145"/>
      <c r="M228" s="229"/>
      <c r="T228" s="230"/>
      <c r="AT228" s="136" t="s">
        <v>3343</v>
      </c>
      <c r="AU228" s="136" t="s">
        <v>6</v>
      </c>
    </row>
    <row r="229" spans="2:65" s="144" customFormat="1" ht="16.5" customHeight="1">
      <c r="B229" s="214"/>
      <c r="C229" s="215" t="s">
        <v>37</v>
      </c>
      <c r="D229" s="215" t="s">
        <v>3338</v>
      </c>
      <c r="E229" s="216" t="s">
        <v>3448</v>
      </c>
      <c r="F229" s="217" t="s">
        <v>3449</v>
      </c>
      <c r="G229" s="218" t="s">
        <v>1939</v>
      </c>
      <c r="H229" s="219">
        <v>19</v>
      </c>
      <c r="I229" s="745">
        <v>0</v>
      </c>
      <c r="J229" s="220">
        <f>ROUND(I229*H229,2)</f>
        <v>0</v>
      </c>
      <c r="K229" s="217" t="s">
        <v>3341</v>
      </c>
      <c r="L229" s="145"/>
      <c r="M229" s="221" t="s">
        <v>3268</v>
      </c>
      <c r="N229" s="222" t="s">
        <v>3296</v>
      </c>
      <c r="O229" s="223">
        <v>2.5000000000000001E-2</v>
      </c>
      <c r="P229" s="223">
        <f>O229*H229</f>
        <v>0.47500000000000003</v>
      </c>
      <c r="Q229" s="223">
        <v>9.0000000000000006E-5</v>
      </c>
      <c r="R229" s="223">
        <f>Q229*H229</f>
        <v>1.7100000000000001E-3</v>
      </c>
      <c r="S229" s="223">
        <v>0</v>
      </c>
      <c r="T229" s="224">
        <f>S229*H229</f>
        <v>0</v>
      </c>
      <c r="AR229" s="225" t="s">
        <v>8</v>
      </c>
      <c r="AT229" s="225" t="s">
        <v>3338</v>
      </c>
      <c r="AU229" s="225" t="s">
        <v>6</v>
      </c>
      <c r="AY229" s="136" t="s">
        <v>3337</v>
      </c>
      <c r="BE229" s="226">
        <f>IF(N229="základní",J229,0)</f>
        <v>0</v>
      </c>
      <c r="BF229" s="226">
        <f>IF(N229="snížená",J229,0)</f>
        <v>0</v>
      </c>
      <c r="BG229" s="226">
        <f>IF(N229="zákl. přenesená",J229,0)</f>
        <v>0</v>
      </c>
      <c r="BH229" s="226">
        <f>IF(N229="sníž. přenesená",J229,0)</f>
        <v>0</v>
      </c>
      <c r="BI229" s="226">
        <f>IF(N229="nulová",J229,0)</f>
        <v>0</v>
      </c>
      <c r="BJ229" s="136" t="s">
        <v>5</v>
      </c>
      <c r="BK229" s="226">
        <f>ROUND(I229*H229,2)</f>
        <v>0</v>
      </c>
      <c r="BL229" s="136" t="s">
        <v>8</v>
      </c>
      <c r="BM229" s="225" t="s">
        <v>5175</v>
      </c>
    </row>
    <row r="230" spans="2:65" s="144" customFormat="1">
      <c r="B230" s="145"/>
      <c r="D230" s="227" t="s">
        <v>3343</v>
      </c>
      <c r="F230" s="228" t="s">
        <v>3451</v>
      </c>
      <c r="L230" s="145"/>
      <c r="M230" s="229"/>
      <c r="T230" s="230"/>
      <c r="AT230" s="136" t="s">
        <v>3343</v>
      </c>
      <c r="AU230" s="136" t="s">
        <v>6</v>
      </c>
    </row>
    <row r="231" spans="2:65" s="144" customFormat="1" ht="16.5" customHeight="1">
      <c r="B231" s="214"/>
      <c r="C231" s="215" t="s">
        <v>38</v>
      </c>
      <c r="D231" s="215" t="s">
        <v>3338</v>
      </c>
      <c r="E231" s="216" t="s">
        <v>5176</v>
      </c>
      <c r="F231" s="217" t="s">
        <v>5177</v>
      </c>
      <c r="G231" s="218" t="s">
        <v>1939</v>
      </c>
      <c r="H231" s="219">
        <v>25</v>
      </c>
      <c r="I231" s="745">
        <v>0</v>
      </c>
      <c r="J231" s="220">
        <f>ROUND(I231*H231,2)</f>
        <v>0</v>
      </c>
      <c r="K231" s="217" t="s">
        <v>3268</v>
      </c>
      <c r="L231" s="145"/>
      <c r="M231" s="221" t="s">
        <v>3268</v>
      </c>
      <c r="N231" s="222" t="s">
        <v>3296</v>
      </c>
      <c r="O231" s="223">
        <v>0.29299999999999998</v>
      </c>
      <c r="P231" s="223">
        <f>O231*H231</f>
        <v>7.3249999999999993</v>
      </c>
      <c r="Q231" s="223">
        <v>0</v>
      </c>
      <c r="R231" s="223">
        <f>Q231*H231</f>
        <v>0</v>
      </c>
      <c r="S231" s="223">
        <v>2.6700000000000002E-2</v>
      </c>
      <c r="T231" s="224">
        <f>S231*H231</f>
        <v>0.66749999999999998</v>
      </c>
      <c r="AR231" s="225" t="s">
        <v>20</v>
      </c>
      <c r="AT231" s="225" t="s">
        <v>3338</v>
      </c>
      <c r="AU231" s="225" t="s">
        <v>6</v>
      </c>
      <c r="AY231" s="136" t="s">
        <v>3337</v>
      </c>
      <c r="BE231" s="226">
        <f>IF(N231="základní",J231,0)</f>
        <v>0</v>
      </c>
      <c r="BF231" s="226">
        <f>IF(N231="snížená",J231,0)</f>
        <v>0</v>
      </c>
      <c r="BG231" s="226">
        <f>IF(N231="zákl. přenesená",J231,0)</f>
        <v>0</v>
      </c>
      <c r="BH231" s="226">
        <f>IF(N231="sníž. přenesená",J231,0)</f>
        <v>0</v>
      </c>
      <c r="BI231" s="226">
        <f>IF(N231="nulová",J231,0)</f>
        <v>0</v>
      </c>
      <c r="BJ231" s="136" t="s">
        <v>5</v>
      </c>
      <c r="BK231" s="226">
        <f>ROUND(I231*H231,2)</f>
        <v>0</v>
      </c>
      <c r="BL231" s="136" t="s">
        <v>20</v>
      </c>
      <c r="BM231" s="225" t="s">
        <v>5178</v>
      </c>
    </row>
    <row r="232" spans="2:65" s="144" customFormat="1" ht="19.2">
      <c r="B232" s="145"/>
      <c r="D232" s="227" t="s">
        <v>3343</v>
      </c>
      <c r="F232" s="228" t="s">
        <v>5179</v>
      </c>
      <c r="L232" s="145"/>
      <c r="M232" s="229"/>
      <c r="T232" s="230"/>
      <c r="AT232" s="136" t="s">
        <v>3343</v>
      </c>
      <c r="AU232" s="136" t="s">
        <v>6</v>
      </c>
    </row>
    <row r="233" spans="2:65" s="144" customFormat="1" ht="16.5" customHeight="1">
      <c r="B233" s="214"/>
      <c r="C233" s="215" t="s">
        <v>39</v>
      </c>
      <c r="D233" s="215" t="s">
        <v>3338</v>
      </c>
      <c r="E233" s="216" t="s">
        <v>5180</v>
      </c>
      <c r="F233" s="217" t="s">
        <v>5181</v>
      </c>
      <c r="G233" s="218" t="s">
        <v>1939</v>
      </c>
      <c r="H233" s="219">
        <v>37</v>
      </c>
      <c r="I233" s="745">
        <v>0</v>
      </c>
      <c r="J233" s="220">
        <f>ROUND(I233*H233,2)</f>
        <v>0</v>
      </c>
      <c r="K233" s="217" t="s">
        <v>3268</v>
      </c>
      <c r="L233" s="145"/>
      <c r="M233" s="221" t="s">
        <v>3268</v>
      </c>
      <c r="N233" s="222" t="s">
        <v>3296</v>
      </c>
      <c r="O233" s="223">
        <v>8.3000000000000004E-2</v>
      </c>
      <c r="P233" s="223">
        <f>O233*H233</f>
        <v>3.0710000000000002</v>
      </c>
      <c r="Q233" s="223">
        <v>0</v>
      </c>
      <c r="R233" s="223">
        <f>Q233*H233</f>
        <v>0</v>
      </c>
      <c r="S233" s="223">
        <v>2.9E-4</v>
      </c>
      <c r="T233" s="224">
        <f>S233*H233</f>
        <v>1.073E-2</v>
      </c>
      <c r="AR233" s="225" t="s">
        <v>20</v>
      </c>
      <c r="AT233" s="225" t="s">
        <v>3338</v>
      </c>
      <c r="AU233" s="225" t="s">
        <v>6</v>
      </c>
      <c r="AY233" s="136" t="s">
        <v>3337</v>
      </c>
      <c r="BE233" s="226">
        <f>IF(N233="základní",J233,0)</f>
        <v>0</v>
      </c>
      <c r="BF233" s="226">
        <f>IF(N233="snížená",J233,0)</f>
        <v>0</v>
      </c>
      <c r="BG233" s="226">
        <f>IF(N233="zákl. přenesená",J233,0)</f>
        <v>0</v>
      </c>
      <c r="BH233" s="226">
        <f>IF(N233="sníž. přenesená",J233,0)</f>
        <v>0</v>
      </c>
      <c r="BI233" s="226">
        <f>IF(N233="nulová",J233,0)</f>
        <v>0</v>
      </c>
      <c r="BJ233" s="136" t="s">
        <v>5</v>
      </c>
      <c r="BK233" s="226">
        <f>ROUND(I233*H233,2)</f>
        <v>0</v>
      </c>
      <c r="BL233" s="136" t="s">
        <v>20</v>
      </c>
      <c r="BM233" s="225" t="s">
        <v>5182</v>
      </c>
    </row>
    <row r="234" spans="2:65" s="144" customFormat="1">
      <c r="B234" s="145"/>
      <c r="D234" s="227" t="s">
        <v>3343</v>
      </c>
      <c r="F234" s="228" t="s">
        <v>5183</v>
      </c>
      <c r="L234" s="145"/>
      <c r="M234" s="229"/>
      <c r="T234" s="230"/>
      <c r="AT234" s="136" t="s">
        <v>3343</v>
      </c>
      <c r="AU234" s="136" t="s">
        <v>6</v>
      </c>
    </row>
    <row r="235" spans="2:65" s="144" customFormat="1" ht="21.75" customHeight="1">
      <c r="B235" s="214"/>
      <c r="C235" s="215" t="s">
        <v>40</v>
      </c>
      <c r="D235" s="215" t="s">
        <v>3338</v>
      </c>
      <c r="E235" s="216" t="s">
        <v>5184</v>
      </c>
      <c r="F235" s="217" t="s">
        <v>5185</v>
      </c>
      <c r="G235" s="218" t="s">
        <v>1938</v>
      </c>
      <c r="H235" s="219">
        <v>1</v>
      </c>
      <c r="I235" s="745">
        <v>0</v>
      </c>
      <c r="J235" s="220">
        <f>ROUND(I235*H235,2)</f>
        <v>0</v>
      </c>
      <c r="K235" s="217" t="s">
        <v>3268</v>
      </c>
      <c r="L235" s="145"/>
      <c r="M235" s="221" t="s">
        <v>3268</v>
      </c>
      <c r="N235" s="222" t="s">
        <v>3296</v>
      </c>
      <c r="O235" s="223">
        <v>8.3000000000000004E-2</v>
      </c>
      <c r="P235" s="223">
        <f>O235*H235</f>
        <v>8.3000000000000004E-2</v>
      </c>
      <c r="Q235" s="223">
        <v>0</v>
      </c>
      <c r="R235" s="223">
        <f>Q235*H235</f>
        <v>0</v>
      </c>
      <c r="S235" s="223">
        <v>2.9E-4</v>
      </c>
      <c r="T235" s="224">
        <f>S235*H235</f>
        <v>2.9E-4</v>
      </c>
      <c r="AR235" s="225" t="s">
        <v>20</v>
      </c>
      <c r="AT235" s="225" t="s">
        <v>3338</v>
      </c>
      <c r="AU235" s="225" t="s">
        <v>6</v>
      </c>
      <c r="AY235" s="136" t="s">
        <v>3337</v>
      </c>
      <c r="BE235" s="226">
        <f>IF(N235="základní",J235,0)</f>
        <v>0</v>
      </c>
      <c r="BF235" s="226">
        <f>IF(N235="snížená",J235,0)</f>
        <v>0</v>
      </c>
      <c r="BG235" s="226">
        <f>IF(N235="zákl. přenesená",J235,0)</f>
        <v>0</v>
      </c>
      <c r="BH235" s="226">
        <f>IF(N235="sníž. přenesená",J235,0)</f>
        <v>0</v>
      </c>
      <c r="BI235" s="226">
        <f>IF(N235="nulová",J235,0)</f>
        <v>0</v>
      </c>
      <c r="BJ235" s="136" t="s">
        <v>5</v>
      </c>
      <c r="BK235" s="226">
        <f>ROUND(I235*H235,2)</f>
        <v>0</v>
      </c>
      <c r="BL235" s="136" t="s">
        <v>20</v>
      </c>
      <c r="BM235" s="225" t="s">
        <v>5186</v>
      </c>
    </row>
    <row r="236" spans="2:65" s="144" customFormat="1" ht="19.2">
      <c r="B236" s="145"/>
      <c r="D236" s="227" t="s">
        <v>3343</v>
      </c>
      <c r="F236" s="228" t="s">
        <v>5185</v>
      </c>
      <c r="L236" s="145"/>
      <c r="M236" s="229"/>
      <c r="T236" s="230"/>
      <c r="AT236" s="136" t="s">
        <v>3343</v>
      </c>
      <c r="AU236" s="136" t="s">
        <v>6</v>
      </c>
    </row>
    <row r="237" spans="2:65" s="144" customFormat="1" ht="21.75" customHeight="1">
      <c r="B237" s="214"/>
      <c r="C237" s="215" t="s">
        <v>41</v>
      </c>
      <c r="D237" s="215" t="s">
        <v>3338</v>
      </c>
      <c r="E237" s="216" t="s">
        <v>5187</v>
      </c>
      <c r="F237" s="217" t="s">
        <v>5188</v>
      </c>
      <c r="G237" s="218" t="s">
        <v>1938</v>
      </c>
      <c r="H237" s="219">
        <v>1</v>
      </c>
      <c r="I237" s="745">
        <v>0</v>
      </c>
      <c r="J237" s="220">
        <f>ROUND(I237*H237,2)</f>
        <v>0</v>
      </c>
      <c r="K237" s="217" t="s">
        <v>3268</v>
      </c>
      <c r="L237" s="145"/>
      <c r="M237" s="221" t="s">
        <v>3268</v>
      </c>
      <c r="N237" s="222" t="s">
        <v>3296</v>
      </c>
      <c r="O237" s="223">
        <v>8.3000000000000004E-2</v>
      </c>
      <c r="P237" s="223">
        <f>O237*H237</f>
        <v>8.3000000000000004E-2</v>
      </c>
      <c r="Q237" s="223">
        <v>0</v>
      </c>
      <c r="R237" s="223">
        <f>Q237*H237</f>
        <v>0</v>
      </c>
      <c r="S237" s="223">
        <v>2.9E-4</v>
      </c>
      <c r="T237" s="224">
        <f>S237*H237</f>
        <v>2.9E-4</v>
      </c>
      <c r="AR237" s="225" t="s">
        <v>20</v>
      </c>
      <c r="AT237" s="225" t="s">
        <v>3338</v>
      </c>
      <c r="AU237" s="225" t="s">
        <v>6</v>
      </c>
      <c r="AY237" s="136" t="s">
        <v>3337</v>
      </c>
      <c r="BE237" s="226">
        <f>IF(N237="základní",J237,0)</f>
        <v>0</v>
      </c>
      <c r="BF237" s="226">
        <f>IF(N237="snížená",J237,0)</f>
        <v>0</v>
      </c>
      <c r="BG237" s="226">
        <f>IF(N237="zákl. přenesená",J237,0)</f>
        <v>0</v>
      </c>
      <c r="BH237" s="226">
        <f>IF(N237="sníž. přenesená",J237,0)</f>
        <v>0</v>
      </c>
      <c r="BI237" s="226">
        <f>IF(N237="nulová",J237,0)</f>
        <v>0</v>
      </c>
      <c r="BJ237" s="136" t="s">
        <v>5</v>
      </c>
      <c r="BK237" s="226">
        <f>ROUND(I237*H237,2)</f>
        <v>0</v>
      </c>
      <c r="BL237" s="136" t="s">
        <v>20</v>
      </c>
      <c r="BM237" s="225" t="s">
        <v>5189</v>
      </c>
    </row>
    <row r="238" spans="2:65" s="144" customFormat="1" ht="19.2">
      <c r="B238" s="145"/>
      <c r="D238" s="227" t="s">
        <v>3343</v>
      </c>
      <c r="F238" s="228" t="s">
        <v>5188</v>
      </c>
      <c r="L238" s="145"/>
      <c r="M238" s="229"/>
      <c r="T238" s="230"/>
      <c r="AT238" s="136" t="s">
        <v>3343</v>
      </c>
      <c r="AU238" s="136" t="s">
        <v>6</v>
      </c>
    </row>
    <row r="239" spans="2:65" s="202" customFormat="1" ht="25.95" customHeight="1">
      <c r="B239" s="203"/>
      <c r="D239" s="204" t="s">
        <v>3334</v>
      </c>
      <c r="E239" s="205" t="s">
        <v>1547</v>
      </c>
      <c r="F239" s="205" t="s">
        <v>5190</v>
      </c>
      <c r="J239" s="206">
        <f>BK239</f>
        <v>0</v>
      </c>
      <c r="L239" s="203"/>
      <c r="M239" s="207"/>
      <c r="P239" s="208">
        <f>P240+P273+P334+P417+P458+P463+P521+P530</f>
        <v>1568.9529999999995</v>
      </c>
      <c r="R239" s="208">
        <f>R240+R273+R334+R417+R458+R463+R521+R530</f>
        <v>5.420939999999999</v>
      </c>
      <c r="T239" s="209">
        <f>T240+T273+T334+T417+T458+T463+T521+T530</f>
        <v>0</v>
      </c>
      <c r="AR239" s="204" t="s">
        <v>6</v>
      </c>
      <c r="AT239" s="210" t="s">
        <v>3334</v>
      </c>
      <c r="AU239" s="210" t="s">
        <v>3336</v>
      </c>
      <c r="AY239" s="204" t="s">
        <v>3337</v>
      </c>
      <c r="BK239" s="211">
        <f>BK240+BK273+BK334+BK417+BK458+BK463+BK521+BK530</f>
        <v>0</v>
      </c>
    </row>
    <row r="240" spans="2:65" s="202" customFormat="1" ht="22.95" customHeight="1">
      <c r="B240" s="203"/>
      <c r="D240" s="204" t="s">
        <v>3334</v>
      </c>
      <c r="E240" s="212" t="s">
        <v>902</v>
      </c>
      <c r="F240" s="212" t="s">
        <v>1595</v>
      </c>
      <c r="J240" s="213">
        <f>BK240</f>
        <v>0</v>
      </c>
      <c r="L240" s="203"/>
      <c r="M240" s="207"/>
      <c r="P240" s="208">
        <f>SUM(P241:P272)</f>
        <v>98.694000000000003</v>
      </c>
      <c r="R240" s="208">
        <f>SUM(R241:R272)</f>
        <v>0.19111999999999998</v>
      </c>
      <c r="T240" s="209">
        <f>SUM(T241:T272)</f>
        <v>0</v>
      </c>
      <c r="AR240" s="204" t="s">
        <v>6</v>
      </c>
      <c r="AT240" s="210" t="s">
        <v>3334</v>
      </c>
      <c r="AU240" s="210" t="s">
        <v>5</v>
      </c>
      <c r="AY240" s="204" t="s">
        <v>3337</v>
      </c>
      <c r="BK240" s="211">
        <f>SUM(BK241:BK272)</f>
        <v>0</v>
      </c>
    </row>
    <row r="241" spans="2:65" s="144" customFormat="1" ht="21.75" customHeight="1">
      <c r="B241" s="214"/>
      <c r="C241" s="215" t="s">
        <v>42</v>
      </c>
      <c r="D241" s="215" t="s">
        <v>3338</v>
      </c>
      <c r="E241" s="216" t="s">
        <v>5191</v>
      </c>
      <c r="F241" s="217" t="s">
        <v>5192</v>
      </c>
      <c r="G241" s="218" t="s">
        <v>1939</v>
      </c>
      <c r="H241" s="219">
        <v>899</v>
      </c>
      <c r="I241" s="745">
        <v>0</v>
      </c>
      <c r="J241" s="220">
        <f>ROUND(I241*H241,2)</f>
        <v>0</v>
      </c>
      <c r="K241" s="217" t="s">
        <v>3341</v>
      </c>
      <c r="L241" s="145"/>
      <c r="M241" s="221" t="s">
        <v>3268</v>
      </c>
      <c r="N241" s="222" t="s">
        <v>3296</v>
      </c>
      <c r="O241" s="223">
        <v>0.106</v>
      </c>
      <c r="P241" s="223">
        <f>O241*H241</f>
        <v>95.293999999999997</v>
      </c>
      <c r="Q241" s="223">
        <v>6.0000000000000002E-5</v>
      </c>
      <c r="R241" s="223">
        <f>Q241*H241</f>
        <v>5.3940000000000002E-2</v>
      </c>
      <c r="S241" s="223">
        <v>0</v>
      </c>
      <c r="T241" s="224">
        <f>S241*H241</f>
        <v>0</v>
      </c>
      <c r="AR241" s="225" t="s">
        <v>20</v>
      </c>
      <c r="AT241" s="225" t="s">
        <v>3338</v>
      </c>
      <c r="AU241" s="225" t="s">
        <v>6</v>
      </c>
      <c r="AY241" s="136" t="s">
        <v>3337</v>
      </c>
      <c r="BE241" s="226">
        <f>IF(N241="základní",J241,0)</f>
        <v>0</v>
      </c>
      <c r="BF241" s="226">
        <f>IF(N241="snížená",J241,0)</f>
        <v>0</v>
      </c>
      <c r="BG241" s="226">
        <f>IF(N241="zákl. přenesená",J241,0)</f>
        <v>0</v>
      </c>
      <c r="BH241" s="226">
        <f>IF(N241="sníž. přenesená",J241,0)</f>
        <v>0</v>
      </c>
      <c r="BI241" s="226">
        <f>IF(N241="nulová",J241,0)</f>
        <v>0</v>
      </c>
      <c r="BJ241" s="136" t="s">
        <v>5</v>
      </c>
      <c r="BK241" s="226">
        <f>ROUND(I241*H241,2)</f>
        <v>0</v>
      </c>
      <c r="BL241" s="136" t="s">
        <v>20</v>
      </c>
      <c r="BM241" s="225" t="s">
        <v>5193</v>
      </c>
    </row>
    <row r="242" spans="2:65" s="144" customFormat="1" ht="38.4">
      <c r="B242" s="145"/>
      <c r="D242" s="227" t="s">
        <v>3343</v>
      </c>
      <c r="F242" s="228" t="s">
        <v>5194</v>
      </c>
      <c r="L242" s="145"/>
      <c r="M242" s="229"/>
      <c r="T242" s="230"/>
      <c r="AT242" s="136" t="s">
        <v>3343</v>
      </c>
      <c r="AU242" s="136" t="s">
        <v>6</v>
      </c>
    </row>
    <row r="243" spans="2:65" s="144" customFormat="1" ht="21.75" customHeight="1">
      <c r="B243" s="214"/>
      <c r="C243" s="251" t="s">
        <v>43</v>
      </c>
      <c r="D243" s="251" t="s">
        <v>3385</v>
      </c>
      <c r="E243" s="252" t="s">
        <v>5195</v>
      </c>
      <c r="F243" s="253" t="s">
        <v>5196</v>
      </c>
      <c r="G243" s="254" t="s">
        <v>1939</v>
      </c>
      <c r="H243" s="255">
        <v>172</v>
      </c>
      <c r="I243" s="746">
        <v>0</v>
      </c>
      <c r="J243" s="256">
        <f>ROUND(I243*H243,2)</f>
        <v>0</v>
      </c>
      <c r="K243" s="253" t="s">
        <v>3341</v>
      </c>
      <c r="L243" s="257"/>
      <c r="M243" s="258" t="s">
        <v>3268</v>
      </c>
      <c r="N243" s="259" t="s">
        <v>3296</v>
      </c>
      <c r="O243" s="223">
        <v>0</v>
      </c>
      <c r="P243" s="223">
        <f>O243*H243</f>
        <v>0</v>
      </c>
      <c r="Q243" s="223">
        <v>4.0000000000000003E-5</v>
      </c>
      <c r="R243" s="223">
        <f>Q243*H243</f>
        <v>6.8800000000000007E-3</v>
      </c>
      <c r="S243" s="223">
        <v>0</v>
      </c>
      <c r="T243" s="224">
        <f>S243*H243</f>
        <v>0</v>
      </c>
      <c r="AR243" s="225" t="s">
        <v>36</v>
      </c>
      <c r="AT243" s="225" t="s">
        <v>3385</v>
      </c>
      <c r="AU243" s="225" t="s">
        <v>6</v>
      </c>
      <c r="AY243" s="136" t="s">
        <v>3337</v>
      </c>
      <c r="BE243" s="226">
        <f>IF(N243="základní",J243,0)</f>
        <v>0</v>
      </c>
      <c r="BF243" s="226">
        <f>IF(N243="snížená",J243,0)</f>
        <v>0</v>
      </c>
      <c r="BG243" s="226">
        <f>IF(N243="zákl. přenesená",J243,0)</f>
        <v>0</v>
      </c>
      <c r="BH243" s="226">
        <f>IF(N243="sníž. přenesená",J243,0)</f>
        <v>0</v>
      </c>
      <c r="BI243" s="226">
        <f>IF(N243="nulová",J243,0)</f>
        <v>0</v>
      </c>
      <c r="BJ243" s="136" t="s">
        <v>5</v>
      </c>
      <c r="BK243" s="226">
        <f>ROUND(I243*H243,2)</f>
        <v>0</v>
      </c>
      <c r="BL243" s="136" t="s">
        <v>20</v>
      </c>
      <c r="BM243" s="225" t="s">
        <v>5197</v>
      </c>
    </row>
    <row r="244" spans="2:65" s="144" customFormat="1">
      <c r="B244" s="145"/>
      <c r="D244" s="227" t="s">
        <v>3343</v>
      </c>
      <c r="F244" s="228" t="s">
        <v>5196</v>
      </c>
      <c r="L244" s="145"/>
      <c r="M244" s="229"/>
      <c r="T244" s="230"/>
      <c r="AT244" s="136" t="s">
        <v>3343</v>
      </c>
      <c r="AU244" s="136" t="s">
        <v>6</v>
      </c>
    </row>
    <row r="245" spans="2:65" s="144" customFormat="1" ht="21.75" customHeight="1">
      <c r="B245" s="214"/>
      <c r="C245" s="251" t="s">
        <v>44</v>
      </c>
      <c r="D245" s="251" t="s">
        <v>3385</v>
      </c>
      <c r="E245" s="252" t="s">
        <v>5198</v>
      </c>
      <c r="F245" s="253" t="s">
        <v>5199</v>
      </c>
      <c r="G245" s="254" t="s">
        <v>1939</v>
      </c>
      <c r="H245" s="255">
        <v>99</v>
      </c>
      <c r="I245" s="746">
        <v>0</v>
      </c>
      <c r="J245" s="256">
        <f>ROUND(I245*H245,2)</f>
        <v>0</v>
      </c>
      <c r="K245" s="253" t="s">
        <v>3341</v>
      </c>
      <c r="L245" s="257"/>
      <c r="M245" s="258" t="s">
        <v>3268</v>
      </c>
      <c r="N245" s="259" t="s">
        <v>3296</v>
      </c>
      <c r="O245" s="223">
        <v>0</v>
      </c>
      <c r="P245" s="223">
        <f>O245*H245</f>
        <v>0</v>
      </c>
      <c r="Q245" s="223">
        <v>4.0000000000000003E-5</v>
      </c>
      <c r="R245" s="223">
        <f>Q245*H245</f>
        <v>3.96E-3</v>
      </c>
      <c r="S245" s="223">
        <v>0</v>
      </c>
      <c r="T245" s="224">
        <f>S245*H245</f>
        <v>0</v>
      </c>
      <c r="AR245" s="225" t="s">
        <v>36</v>
      </c>
      <c r="AT245" s="225" t="s">
        <v>3385</v>
      </c>
      <c r="AU245" s="225" t="s">
        <v>6</v>
      </c>
      <c r="AY245" s="136" t="s">
        <v>3337</v>
      </c>
      <c r="BE245" s="226">
        <f>IF(N245="základní",J245,0)</f>
        <v>0</v>
      </c>
      <c r="BF245" s="226">
        <f>IF(N245="snížená",J245,0)</f>
        <v>0</v>
      </c>
      <c r="BG245" s="226">
        <f>IF(N245="zákl. přenesená",J245,0)</f>
        <v>0</v>
      </c>
      <c r="BH245" s="226">
        <f>IF(N245="sníž. přenesená",J245,0)</f>
        <v>0</v>
      </c>
      <c r="BI245" s="226">
        <f>IF(N245="nulová",J245,0)</f>
        <v>0</v>
      </c>
      <c r="BJ245" s="136" t="s">
        <v>5</v>
      </c>
      <c r="BK245" s="226">
        <f>ROUND(I245*H245,2)</f>
        <v>0</v>
      </c>
      <c r="BL245" s="136" t="s">
        <v>20</v>
      </c>
      <c r="BM245" s="225" t="s">
        <v>5200</v>
      </c>
    </row>
    <row r="246" spans="2:65" s="144" customFormat="1">
      <c r="B246" s="145"/>
      <c r="D246" s="227" t="s">
        <v>3343</v>
      </c>
      <c r="F246" s="228" t="s">
        <v>5199</v>
      </c>
      <c r="L246" s="145"/>
      <c r="M246" s="229"/>
      <c r="T246" s="230"/>
      <c r="AT246" s="136" t="s">
        <v>3343</v>
      </c>
      <c r="AU246" s="136" t="s">
        <v>6</v>
      </c>
    </row>
    <row r="247" spans="2:65" s="144" customFormat="1" ht="21.75" customHeight="1">
      <c r="B247" s="214"/>
      <c r="C247" s="251" t="s">
        <v>45</v>
      </c>
      <c r="D247" s="251" t="s">
        <v>3385</v>
      </c>
      <c r="E247" s="252" t="s">
        <v>5201</v>
      </c>
      <c r="F247" s="253" t="s">
        <v>5202</v>
      </c>
      <c r="G247" s="254" t="s">
        <v>1939</v>
      </c>
      <c r="H247" s="255">
        <v>79</v>
      </c>
      <c r="I247" s="746">
        <v>0</v>
      </c>
      <c r="J247" s="256">
        <f>ROUND(I247*H247,2)</f>
        <v>0</v>
      </c>
      <c r="K247" s="253" t="s">
        <v>3341</v>
      </c>
      <c r="L247" s="257"/>
      <c r="M247" s="258" t="s">
        <v>3268</v>
      </c>
      <c r="N247" s="259" t="s">
        <v>3296</v>
      </c>
      <c r="O247" s="223">
        <v>0</v>
      </c>
      <c r="P247" s="223">
        <f>O247*H247</f>
        <v>0</v>
      </c>
      <c r="Q247" s="223">
        <v>5.0000000000000002E-5</v>
      </c>
      <c r="R247" s="223">
        <f>Q247*H247</f>
        <v>3.9500000000000004E-3</v>
      </c>
      <c r="S247" s="223">
        <v>0</v>
      </c>
      <c r="T247" s="224">
        <f>S247*H247</f>
        <v>0</v>
      </c>
      <c r="AR247" s="225" t="s">
        <v>36</v>
      </c>
      <c r="AT247" s="225" t="s">
        <v>3385</v>
      </c>
      <c r="AU247" s="225" t="s">
        <v>6</v>
      </c>
      <c r="AY247" s="136" t="s">
        <v>3337</v>
      </c>
      <c r="BE247" s="226">
        <f>IF(N247="základní",J247,0)</f>
        <v>0</v>
      </c>
      <c r="BF247" s="226">
        <f>IF(N247="snížená",J247,0)</f>
        <v>0</v>
      </c>
      <c r="BG247" s="226">
        <f>IF(N247="zákl. přenesená",J247,0)</f>
        <v>0</v>
      </c>
      <c r="BH247" s="226">
        <f>IF(N247="sníž. přenesená",J247,0)</f>
        <v>0</v>
      </c>
      <c r="BI247" s="226">
        <f>IF(N247="nulová",J247,0)</f>
        <v>0</v>
      </c>
      <c r="BJ247" s="136" t="s">
        <v>5</v>
      </c>
      <c r="BK247" s="226">
        <f>ROUND(I247*H247,2)</f>
        <v>0</v>
      </c>
      <c r="BL247" s="136" t="s">
        <v>20</v>
      </c>
      <c r="BM247" s="225" t="s">
        <v>5203</v>
      </c>
    </row>
    <row r="248" spans="2:65" s="144" customFormat="1">
      <c r="B248" s="145"/>
      <c r="D248" s="227" t="s">
        <v>3343</v>
      </c>
      <c r="F248" s="228" t="s">
        <v>5202</v>
      </c>
      <c r="L248" s="145"/>
      <c r="M248" s="229"/>
      <c r="T248" s="230"/>
      <c r="AT248" s="136" t="s">
        <v>3343</v>
      </c>
      <c r="AU248" s="136" t="s">
        <v>6</v>
      </c>
    </row>
    <row r="249" spans="2:65" s="144" customFormat="1" ht="21.75" customHeight="1">
      <c r="B249" s="214"/>
      <c r="C249" s="251" t="s">
        <v>46</v>
      </c>
      <c r="D249" s="251" t="s">
        <v>3385</v>
      </c>
      <c r="E249" s="252" t="s">
        <v>5204</v>
      </c>
      <c r="F249" s="253" t="s">
        <v>5205</v>
      </c>
      <c r="G249" s="254" t="s">
        <v>1939</v>
      </c>
      <c r="H249" s="255">
        <v>23</v>
      </c>
      <c r="I249" s="746">
        <v>0</v>
      </c>
      <c r="J249" s="256">
        <f>ROUND(I249*H249,2)</f>
        <v>0</v>
      </c>
      <c r="K249" s="253" t="s">
        <v>3341</v>
      </c>
      <c r="L249" s="257"/>
      <c r="M249" s="258" t="s">
        <v>3268</v>
      </c>
      <c r="N249" s="259" t="s">
        <v>3296</v>
      </c>
      <c r="O249" s="223">
        <v>0</v>
      </c>
      <c r="P249" s="223">
        <f>O249*H249</f>
        <v>0</v>
      </c>
      <c r="Q249" s="223">
        <v>5.5000000000000003E-4</v>
      </c>
      <c r="R249" s="223">
        <f>Q249*H249</f>
        <v>1.2650000000000002E-2</v>
      </c>
      <c r="S249" s="223">
        <v>0</v>
      </c>
      <c r="T249" s="224">
        <f>S249*H249</f>
        <v>0</v>
      </c>
      <c r="AR249" s="225" t="s">
        <v>36</v>
      </c>
      <c r="AT249" s="225" t="s">
        <v>3385</v>
      </c>
      <c r="AU249" s="225" t="s">
        <v>6</v>
      </c>
      <c r="AY249" s="136" t="s">
        <v>3337</v>
      </c>
      <c r="BE249" s="226">
        <f>IF(N249="základní",J249,0)</f>
        <v>0</v>
      </c>
      <c r="BF249" s="226">
        <f>IF(N249="snížená",J249,0)</f>
        <v>0</v>
      </c>
      <c r="BG249" s="226">
        <f>IF(N249="zákl. přenesená",J249,0)</f>
        <v>0</v>
      </c>
      <c r="BH249" s="226">
        <f>IF(N249="sníž. přenesená",J249,0)</f>
        <v>0</v>
      </c>
      <c r="BI249" s="226">
        <f>IF(N249="nulová",J249,0)</f>
        <v>0</v>
      </c>
      <c r="BJ249" s="136" t="s">
        <v>5</v>
      </c>
      <c r="BK249" s="226">
        <f>ROUND(I249*H249,2)</f>
        <v>0</v>
      </c>
      <c r="BL249" s="136" t="s">
        <v>20</v>
      </c>
      <c r="BM249" s="225" t="s">
        <v>5206</v>
      </c>
    </row>
    <row r="250" spans="2:65" s="144" customFormat="1">
      <c r="B250" s="145"/>
      <c r="D250" s="227" t="s">
        <v>3343</v>
      </c>
      <c r="F250" s="228" t="s">
        <v>5205</v>
      </c>
      <c r="L250" s="145"/>
      <c r="M250" s="229"/>
      <c r="T250" s="230"/>
      <c r="AT250" s="136" t="s">
        <v>3343</v>
      </c>
      <c r="AU250" s="136" t="s">
        <v>6</v>
      </c>
    </row>
    <row r="251" spans="2:65" s="144" customFormat="1" ht="21.75" customHeight="1">
      <c r="B251" s="214"/>
      <c r="C251" s="251" t="s">
        <v>47</v>
      </c>
      <c r="D251" s="251" t="s">
        <v>3385</v>
      </c>
      <c r="E251" s="252" t="s">
        <v>5207</v>
      </c>
      <c r="F251" s="253" t="s">
        <v>5208</v>
      </c>
      <c r="G251" s="254" t="s">
        <v>1939</v>
      </c>
      <c r="H251" s="255">
        <v>27</v>
      </c>
      <c r="I251" s="746">
        <v>0</v>
      </c>
      <c r="J251" s="256">
        <f>ROUND(I251*H251,2)</f>
        <v>0</v>
      </c>
      <c r="K251" s="253" t="s">
        <v>3341</v>
      </c>
      <c r="L251" s="257"/>
      <c r="M251" s="258" t="s">
        <v>3268</v>
      </c>
      <c r="N251" s="259" t="s">
        <v>3296</v>
      </c>
      <c r="O251" s="223">
        <v>0</v>
      </c>
      <c r="P251" s="223">
        <f>O251*H251</f>
        <v>0</v>
      </c>
      <c r="Q251" s="223">
        <v>6.0000000000000002E-5</v>
      </c>
      <c r="R251" s="223">
        <f>Q251*H251</f>
        <v>1.6200000000000001E-3</v>
      </c>
      <c r="S251" s="223">
        <v>0</v>
      </c>
      <c r="T251" s="224">
        <f>S251*H251</f>
        <v>0</v>
      </c>
      <c r="AR251" s="225" t="s">
        <v>36</v>
      </c>
      <c r="AT251" s="225" t="s">
        <v>3385</v>
      </c>
      <c r="AU251" s="225" t="s">
        <v>6</v>
      </c>
      <c r="AY251" s="136" t="s">
        <v>3337</v>
      </c>
      <c r="BE251" s="226">
        <f>IF(N251="základní",J251,0)</f>
        <v>0</v>
      </c>
      <c r="BF251" s="226">
        <f>IF(N251="snížená",J251,0)</f>
        <v>0</v>
      </c>
      <c r="BG251" s="226">
        <f>IF(N251="zákl. přenesená",J251,0)</f>
        <v>0</v>
      </c>
      <c r="BH251" s="226">
        <f>IF(N251="sníž. přenesená",J251,0)</f>
        <v>0</v>
      </c>
      <c r="BI251" s="226">
        <f>IF(N251="nulová",J251,0)</f>
        <v>0</v>
      </c>
      <c r="BJ251" s="136" t="s">
        <v>5</v>
      </c>
      <c r="BK251" s="226">
        <f>ROUND(I251*H251,2)</f>
        <v>0</v>
      </c>
      <c r="BL251" s="136" t="s">
        <v>20</v>
      </c>
      <c r="BM251" s="225" t="s">
        <v>5209</v>
      </c>
    </row>
    <row r="252" spans="2:65" s="144" customFormat="1">
      <c r="B252" s="145"/>
      <c r="D252" s="227" t="s">
        <v>3343</v>
      </c>
      <c r="F252" s="228" t="s">
        <v>5208</v>
      </c>
      <c r="L252" s="145"/>
      <c r="M252" s="229"/>
      <c r="T252" s="230"/>
      <c r="AT252" s="136" t="s">
        <v>3343</v>
      </c>
      <c r="AU252" s="136" t="s">
        <v>6</v>
      </c>
    </row>
    <row r="253" spans="2:65" s="144" customFormat="1" ht="21.75" customHeight="1">
      <c r="B253" s="214"/>
      <c r="C253" s="251" t="s">
        <v>48</v>
      </c>
      <c r="D253" s="251" t="s">
        <v>3385</v>
      </c>
      <c r="E253" s="252" t="s">
        <v>5210</v>
      </c>
      <c r="F253" s="253" t="s">
        <v>5211</v>
      </c>
      <c r="G253" s="254" t="s">
        <v>1939</v>
      </c>
      <c r="H253" s="255">
        <v>44</v>
      </c>
      <c r="I253" s="746">
        <v>0</v>
      </c>
      <c r="J253" s="256">
        <f>ROUND(I253*H253,2)</f>
        <v>0</v>
      </c>
      <c r="K253" s="253" t="s">
        <v>3341</v>
      </c>
      <c r="L253" s="257"/>
      <c r="M253" s="258" t="s">
        <v>3268</v>
      </c>
      <c r="N253" s="259" t="s">
        <v>3296</v>
      </c>
      <c r="O253" s="223">
        <v>0</v>
      </c>
      <c r="P253" s="223">
        <f>O253*H253</f>
        <v>0</v>
      </c>
      <c r="Q253" s="223">
        <v>8.0000000000000007E-5</v>
      </c>
      <c r="R253" s="223">
        <f>Q253*H253</f>
        <v>3.5200000000000001E-3</v>
      </c>
      <c r="S253" s="223">
        <v>0</v>
      </c>
      <c r="T253" s="224">
        <f>S253*H253</f>
        <v>0</v>
      </c>
      <c r="AR253" s="225" t="s">
        <v>36</v>
      </c>
      <c r="AT253" s="225" t="s">
        <v>3385</v>
      </c>
      <c r="AU253" s="225" t="s">
        <v>6</v>
      </c>
      <c r="AY253" s="136" t="s">
        <v>3337</v>
      </c>
      <c r="BE253" s="226">
        <f>IF(N253="základní",J253,0)</f>
        <v>0</v>
      </c>
      <c r="BF253" s="226">
        <f>IF(N253="snížená",J253,0)</f>
        <v>0</v>
      </c>
      <c r="BG253" s="226">
        <f>IF(N253="zákl. přenesená",J253,0)</f>
        <v>0</v>
      </c>
      <c r="BH253" s="226">
        <f>IF(N253="sníž. přenesená",J253,0)</f>
        <v>0</v>
      </c>
      <c r="BI253" s="226">
        <f>IF(N253="nulová",J253,0)</f>
        <v>0</v>
      </c>
      <c r="BJ253" s="136" t="s">
        <v>5</v>
      </c>
      <c r="BK253" s="226">
        <f>ROUND(I253*H253,2)</f>
        <v>0</v>
      </c>
      <c r="BL253" s="136" t="s">
        <v>20</v>
      </c>
      <c r="BM253" s="225" t="s">
        <v>5212</v>
      </c>
    </row>
    <row r="254" spans="2:65" s="144" customFormat="1">
      <c r="B254" s="145"/>
      <c r="D254" s="227" t="s">
        <v>3343</v>
      </c>
      <c r="F254" s="228" t="s">
        <v>5211</v>
      </c>
      <c r="L254" s="145"/>
      <c r="M254" s="229"/>
      <c r="T254" s="230"/>
      <c r="AT254" s="136" t="s">
        <v>3343</v>
      </c>
      <c r="AU254" s="136" t="s">
        <v>6</v>
      </c>
    </row>
    <row r="255" spans="2:65" s="144" customFormat="1" ht="21.75" customHeight="1">
      <c r="B255" s="214"/>
      <c r="C255" s="251" t="s">
        <v>49</v>
      </c>
      <c r="D255" s="251" t="s">
        <v>3385</v>
      </c>
      <c r="E255" s="252" t="s">
        <v>5213</v>
      </c>
      <c r="F255" s="253" t="s">
        <v>5214</v>
      </c>
      <c r="G255" s="254" t="s">
        <v>1939</v>
      </c>
      <c r="H255" s="255">
        <v>123</v>
      </c>
      <c r="I255" s="746">
        <v>0</v>
      </c>
      <c r="J255" s="256">
        <f>ROUND(I255*H255,2)</f>
        <v>0</v>
      </c>
      <c r="K255" s="253" t="s">
        <v>3341</v>
      </c>
      <c r="L255" s="257"/>
      <c r="M255" s="258" t="s">
        <v>3268</v>
      </c>
      <c r="N255" s="259" t="s">
        <v>3296</v>
      </c>
      <c r="O255" s="223">
        <v>0</v>
      </c>
      <c r="P255" s="223">
        <f>O255*H255</f>
        <v>0</v>
      </c>
      <c r="Q255" s="223">
        <v>6.9999999999999994E-5</v>
      </c>
      <c r="R255" s="223">
        <f>Q255*H255</f>
        <v>8.6099999999999996E-3</v>
      </c>
      <c r="S255" s="223">
        <v>0</v>
      </c>
      <c r="T255" s="224">
        <f>S255*H255</f>
        <v>0</v>
      </c>
      <c r="AR255" s="225" t="s">
        <v>36</v>
      </c>
      <c r="AT255" s="225" t="s">
        <v>3385</v>
      </c>
      <c r="AU255" s="225" t="s">
        <v>6</v>
      </c>
      <c r="AY255" s="136" t="s">
        <v>3337</v>
      </c>
      <c r="BE255" s="226">
        <f>IF(N255="základní",J255,0)</f>
        <v>0</v>
      </c>
      <c r="BF255" s="226">
        <f>IF(N255="snížená",J255,0)</f>
        <v>0</v>
      </c>
      <c r="BG255" s="226">
        <f>IF(N255="zákl. přenesená",J255,0)</f>
        <v>0</v>
      </c>
      <c r="BH255" s="226">
        <f>IF(N255="sníž. přenesená",J255,0)</f>
        <v>0</v>
      </c>
      <c r="BI255" s="226">
        <f>IF(N255="nulová",J255,0)</f>
        <v>0</v>
      </c>
      <c r="BJ255" s="136" t="s">
        <v>5</v>
      </c>
      <c r="BK255" s="226">
        <f>ROUND(I255*H255,2)</f>
        <v>0</v>
      </c>
      <c r="BL255" s="136" t="s">
        <v>20</v>
      </c>
      <c r="BM255" s="225" t="s">
        <v>5215</v>
      </c>
    </row>
    <row r="256" spans="2:65" s="144" customFormat="1">
      <c r="B256" s="145"/>
      <c r="D256" s="227" t="s">
        <v>3343</v>
      </c>
      <c r="F256" s="228" t="s">
        <v>5214</v>
      </c>
      <c r="L256" s="145"/>
      <c r="M256" s="229"/>
      <c r="T256" s="230"/>
      <c r="AT256" s="136" t="s">
        <v>3343</v>
      </c>
      <c r="AU256" s="136" t="s">
        <v>6</v>
      </c>
    </row>
    <row r="257" spans="2:65" s="144" customFormat="1" ht="21.75" customHeight="1">
      <c r="B257" s="214"/>
      <c r="C257" s="251" t="s">
        <v>50</v>
      </c>
      <c r="D257" s="251" t="s">
        <v>3385</v>
      </c>
      <c r="E257" s="252" t="s">
        <v>5216</v>
      </c>
      <c r="F257" s="253" t="s">
        <v>5217</v>
      </c>
      <c r="G257" s="254" t="s">
        <v>1939</v>
      </c>
      <c r="H257" s="255">
        <v>197</v>
      </c>
      <c r="I257" s="746">
        <v>0</v>
      </c>
      <c r="J257" s="256">
        <f>ROUND(I257*H257,2)</f>
        <v>0</v>
      </c>
      <c r="K257" s="253" t="s">
        <v>3341</v>
      </c>
      <c r="L257" s="257"/>
      <c r="M257" s="258" t="s">
        <v>3268</v>
      </c>
      <c r="N257" s="259" t="s">
        <v>3296</v>
      </c>
      <c r="O257" s="223">
        <v>0</v>
      </c>
      <c r="P257" s="223">
        <f>O257*H257</f>
        <v>0</v>
      </c>
      <c r="Q257" s="223">
        <v>8.0000000000000007E-5</v>
      </c>
      <c r="R257" s="223">
        <f>Q257*H257</f>
        <v>1.576E-2</v>
      </c>
      <c r="S257" s="223">
        <v>0</v>
      </c>
      <c r="T257" s="224">
        <f>S257*H257</f>
        <v>0</v>
      </c>
      <c r="AR257" s="225" t="s">
        <v>36</v>
      </c>
      <c r="AT257" s="225" t="s">
        <v>3385</v>
      </c>
      <c r="AU257" s="225" t="s">
        <v>6</v>
      </c>
      <c r="AY257" s="136" t="s">
        <v>3337</v>
      </c>
      <c r="BE257" s="226">
        <f>IF(N257="základní",J257,0)</f>
        <v>0</v>
      </c>
      <c r="BF257" s="226">
        <f>IF(N257="snížená",J257,0)</f>
        <v>0</v>
      </c>
      <c r="BG257" s="226">
        <f>IF(N257="zákl. přenesená",J257,0)</f>
        <v>0</v>
      </c>
      <c r="BH257" s="226">
        <f>IF(N257="sníž. přenesená",J257,0)</f>
        <v>0</v>
      </c>
      <c r="BI257" s="226">
        <f>IF(N257="nulová",J257,0)</f>
        <v>0</v>
      </c>
      <c r="BJ257" s="136" t="s">
        <v>5</v>
      </c>
      <c r="BK257" s="226">
        <f>ROUND(I257*H257,2)</f>
        <v>0</v>
      </c>
      <c r="BL257" s="136" t="s">
        <v>20</v>
      </c>
      <c r="BM257" s="225" t="s">
        <v>5218</v>
      </c>
    </row>
    <row r="258" spans="2:65" s="144" customFormat="1">
      <c r="B258" s="145"/>
      <c r="D258" s="227" t="s">
        <v>3343</v>
      </c>
      <c r="F258" s="228" t="s">
        <v>5217</v>
      </c>
      <c r="L258" s="145"/>
      <c r="M258" s="229"/>
      <c r="T258" s="230"/>
      <c r="AT258" s="136" t="s">
        <v>3343</v>
      </c>
      <c r="AU258" s="136" t="s">
        <v>6</v>
      </c>
    </row>
    <row r="259" spans="2:65" s="144" customFormat="1" ht="21.75" customHeight="1">
      <c r="B259" s="214"/>
      <c r="C259" s="251" t="s">
        <v>51</v>
      </c>
      <c r="D259" s="251" t="s">
        <v>3385</v>
      </c>
      <c r="E259" s="252" t="s">
        <v>5219</v>
      </c>
      <c r="F259" s="253" t="s">
        <v>5220</v>
      </c>
      <c r="G259" s="254" t="s">
        <v>1939</v>
      </c>
      <c r="H259" s="255">
        <v>86</v>
      </c>
      <c r="I259" s="746">
        <v>0</v>
      </c>
      <c r="J259" s="256">
        <f>ROUND(I259*H259,2)</f>
        <v>0</v>
      </c>
      <c r="K259" s="253" t="s">
        <v>3341</v>
      </c>
      <c r="L259" s="257"/>
      <c r="M259" s="258" t="s">
        <v>3268</v>
      </c>
      <c r="N259" s="259" t="s">
        <v>3296</v>
      </c>
      <c r="O259" s="223">
        <v>0</v>
      </c>
      <c r="P259" s="223">
        <f>O259*H259</f>
        <v>0</v>
      </c>
      <c r="Q259" s="223">
        <v>9.0000000000000006E-5</v>
      </c>
      <c r="R259" s="223">
        <f>Q259*H259</f>
        <v>7.7400000000000004E-3</v>
      </c>
      <c r="S259" s="223">
        <v>0</v>
      </c>
      <c r="T259" s="224">
        <f>S259*H259</f>
        <v>0</v>
      </c>
      <c r="AR259" s="225" t="s">
        <v>36</v>
      </c>
      <c r="AT259" s="225" t="s">
        <v>3385</v>
      </c>
      <c r="AU259" s="225" t="s">
        <v>6</v>
      </c>
      <c r="AY259" s="136" t="s">
        <v>3337</v>
      </c>
      <c r="BE259" s="226">
        <f>IF(N259="základní",J259,0)</f>
        <v>0</v>
      </c>
      <c r="BF259" s="226">
        <f>IF(N259="snížená",J259,0)</f>
        <v>0</v>
      </c>
      <c r="BG259" s="226">
        <f>IF(N259="zákl. přenesená",J259,0)</f>
        <v>0</v>
      </c>
      <c r="BH259" s="226">
        <f>IF(N259="sníž. přenesená",J259,0)</f>
        <v>0</v>
      </c>
      <c r="BI259" s="226">
        <f>IF(N259="nulová",J259,0)</f>
        <v>0</v>
      </c>
      <c r="BJ259" s="136" t="s">
        <v>5</v>
      </c>
      <c r="BK259" s="226">
        <f>ROUND(I259*H259,2)</f>
        <v>0</v>
      </c>
      <c r="BL259" s="136" t="s">
        <v>20</v>
      </c>
      <c r="BM259" s="225" t="s">
        <v>5221</v>
      </c>
    </row>
    <row r="260" spans="2:65" s="144" customFormat="1">
      <c r="B260" s="145"/>
      <c r="D260" s="227" t="s">
        <v>3343</v>
      </c>
      <c r="F260" s="228" t="s">
        <v>5220</v>
      </c>
      <c r="L260" s="145"/>
      <c r="M260" s="229"/>
      <c r="T260" s="230"/>
      <c r="AT260" s="136" t="s">
        <v>3343</v>
      </c>
      <c r="AU260" s="136" t="s">
        <v>6</v>
      </c>
    </row>
    <row r="261" spans="2:65" s="144" customFormat="1" ht="21.75" customHeight="1">
      <c r="B261" s="214"/>
      <c r="C261" s="251" t="s">
        <v>52</v>
      </c>
      <c r="D261" s="251" t="s">
        <v>3385</v>
      </c>
      <c r="E261" s="252" t="s">
        <v>5222</v>
      </c>
      <c r="F261" s="253" t="s">
        <v>5223</v>
      </c>
      <c r="G261" s="254" t="s">
        <v>1939</v>
      </c>
      <c r="H261" s="255">
        <v>42</v>
      </c>
      <c r="I261" s="746">
        <v>0</v>
      </c>
      <c r="J261" s="256">
        <f>ROUND(I261*H261,2)</f>
        <v>0</v>
      </c>
      <c r="K261" s="253" t="s">
        <v>3341</v>
      </c>
      <c r="L261" s="257"/>
      <c r="M261" s="258" t="s">
        <v>3268</v>
      </c>
      <c r="N261" s="259" t="s">
        <v>3296</v>
      </c>
      <c r="O261" s="223">
        <v>0</v>
      </c>
      <c r="P261" s="223">
        <f>O261*H261</f>
        <v>0</v>
      </c>
      <c r="Q261" s="223">
        <v>9.7999999999999997E-4</v>
      </c>
      <c r="R261" s="223">
        <f>Q261*H261</f>
        <v>4.1160000000000002E-2</v>
      </c>
      <c r="S261" s="223">
        <v>0</v>
      </c>
      <c r="T261" s="224">
        <f>S261*H261</f>
        <v>0</v>
      </c>
      <c r="AR261" s="225" t="s">
        <v>36</v>
      </c>
      <c r="AT261" s="225" t="s">
        <v>3385</v>
      </c>
      <c r="AU261" s="225" t="s">
        <v>6</v>
      </c>
      <c r="AY261" s="136" t="s">
        <v>3337</v>
      </c>
      <c r="BE261" s="226">
        <f>IF(N261="základní",J261,0)</f>
        <v>0</v>
      </c>
      <c r="BF261" s="226">
        <f>IF(N261="snížená",J261,0)</f>
        <v>0</v>
      </c>
      <c r="BG261" s="226">
        <f>IF(N261="zákl. přenesená",J261,0)</f>
        <v>0</v>
      </c>
      <c r="BH261" s="226">
        <f>IF(N261="sníž. přenesená",J261,0)</f>
        <v>0</v>
      </c>
      <c r="BI261" s="226">
        <f>IF(N261="nulová",J261,0)</f>
        <v>0</v>
      </c>
      <c r="BJ261" s="136" t="s">
        <v>5</v>
      </c>
      <c r="BK261" s="226">
        <f>ROUND(I261*H261,2)</f>
        <v>0</v>
      </c>
      <c r="BL261" s="136" t="s">
        <v>20</v>
      </c>
      <c r="BM261" s="225" t="s">
        <v>5224</v>
      </c>
    </row>
    <row r="262" spans="2:65" s="144" customFormat="1">
      <c r="B262" s="145"/>
      <c r="D262" s="227" t="s">
        <v>3343</v>
      </c>
      <c r="F262" s="228" t="s">
        <v>5223</v>
      </c>
      <c r="L262" s="145"/>
      <c r="M262" s="229"/>
      <c r="T262" s="230"/>
      <c r="AT262" s="136" t="s">
        <v>3343</v>
      </c>
      <c r="AU262" s="136" t="s">
        <v>6</v>
      </c>
    </row>
    <row r="263" spans="2:65" s="144" customFormat="1" ht="21.75" customHeight="1">
      <c r="B263" s="214"/>
      <c r="C263" s="251" t="s">
        <v>53</v>
      </c>
      <c r="D263" s="251" t="s">
        <v>3385</v>
      </c>
      <c r="E263" s="252" t="s">
        <v>5225</v>
      </c>
      <c r="F263" s="253" t="s">
        <v>5226</v>
      </c>
      <c r="G263" s="254" t="s">
        <v>1939</v>
      </c>
      <c r="H263" s="255">
        <v>11</v>
      </c>
      <c r="I263" s="746">
        <v>0</v>
      </c>
      <c r="J263" s="256">
        <f>ROUND(I263*H263,2)</f>
        <v>0</v>
      </c>
      <c r="K263" s="253" t="s">
        <v>3341</v>
      </c>
      <c r="L263" s="257"/>
      <c r="M263" s="258" t="s">
        <v>3268</v>
      </c>
      <c r="N263" s="259" t="s">
        <v>3296</v>
      </c>
      <c r="O263" s="223">
        <v>0</v>
      </c>
      <c r="P263" s="223">
        <f>O263*H263</f>
        <v>0</v>
      </c>
      <c r="Q263" s="223">
        <v>1.4999999999999999E-4</v>
      </c>
      <c r="R263" s="223">
        <f>Q263*H263</f>
        <v>1.6499999999999998E-3</v>
      </c>
      <c r="S263" s="223">
        <v>0</v>
      </c>
      <c r="T263" s="224">
        <f>S263*H263</f>
        <v>0</v>
      </c>
      <c r="AR263" s="225" t="s">
        <v>36</v>
      </c>
      <c r="AT263" s="225" t="s">
        <v>3385</v>
      </c>
      <c r="AU263" s="225" t="s">
        <v>6</v>
      </c>
      <c r="AY263" s="136" t="s">
        <v>3337</v>
      </c>
      <c r="BE263" s="226">
        <f>IF(N263="základní",J263,0)</f>
        <v>0</v>
      </c>
      <c r="BF263" s="226">
        <f>IF(N263="snížená",J263,0)</f>
        <v>0</v>
      </c>
      <c r="BG263" s="226">
        <f>IF(N263="zákl. přenesená",J263,0)</f>
        <v>0</v>
      </c>
      <c r="BH263" s="226">
        <f>IF(N263="sníž. přenesená",J263,0)</f>
        <v>0</v>
      </c>
      <c r="BI263" s="226">
        <f>IF(N263="nulová",J263,0)</f>
        <v>0</v>
      </c>
      <c r="BJ263" s="136" t="s">
        <v>5</v>
      </c>
      <c r="BK263" s="226">
        <f>ROUND(I263*H263,2)</f>
        <v>0</v>
      </c>
      <c r="BL263" s="136" t="s">
        <v>20</v>
      </c>
      <c r="BM263" s="225" t="s">
        <v>5227</v>
      </c>
    </row>
    <row r="264" spans="2:65" s="144" customFormat="1">
      <c r="B264" s="145"/>
      <c r="D264" s="227" t="s">
        <v>3343</v>
      </c>
      <c r="F264" s="228" t="s">
        <v>5226</v>
      </c>
      <c r="L264" s="145"/>
      <c r="M264" s="229"/>
      <c r="T264" s="230"/>
      <c r="AT264" s="136" t="s">
        <v>3343</v>
      </c>
      <c r="AU264" s="136" t="s">
        <v>6</v>
      </c>
    </row>
    <row r="265" spans="2:65" s="144" customFormat="1" ht="21.75" customHeight="1">
      <c r="B265" s="214"/>
      <c r="C265" s="251" t="s">
        <v>54</v>
      </c>
      <c r="D265" s="251" t="s">
        <v>3385</v>
      </c>
      <c r="E265" s="252" t="s">
        <v>5228</v>
      </c>
      <c r="F265" s="253" t="s">
        <v>5229</v>
      </c>
      <c r="G265" s="254" t="s">
        <v>1939</v>
      </c>
      <c r="H265" s="255">
        <v>26</v>
      </c>
      <c r="I265" s="746">
        <v>0</v>
      </c>
      <c r="J265" s="256">
        <f>ROUND(I265*H265,2)</f>
        <v>0</v>
      </c>
      <c r="K265" s="253" t="s">
        <v>3341</v>
      </c>
      <c r="L265" s="257"/>
      <c r="M265" s="258" t="s">
        <v>3268</v>
      </c>
      <c r="N265" s="259" t="s">
        <v>3296</v>
      </c>
      <c r="O265" s="223">
        <v>0</v>
      </c>
      <c r="P265" s="223">
        <f>O265*H265</f>
        <v>0</v>
      </c>
      <c r="Q265" s="223">
        <v>1.8000000000000001E-4</v>
      </c>
      <c r="R265" s="223">
        <f>Q265*H265</f>
        <v>4.6800000000000001E-3</v>
      </c>
      <c r="S265" s="223">
        <v>0</v>
      </c>
      <c r="T265" s="224">
        <f>S265*H265</f>
        <v>0</v>
      </c>
      <c r="AR265" s="225" t="s">
        <v>36</v>
      </c>
      <c r="AT265" s="225" t="s">
        <v>3385</v>
      </c>
      <c r="AU265" s="225" t="s">
        <v>6</v>
      </c>
      <c r="AY265" s="136" t="s">
        <v>3337</v>
      </c>
      <c r="BE265" s="226">
        <f>IF(N265="základní",J265,0)</f>
        <v>0</v>
      </c>
      <c r="BF265" s="226">
        <f>IF(N265="snížená",J265,0)</f>
        <v>0</v>
      </c>
      <c r="BG265" s="226">
        <f>IF(N265="zákl. přenesená",J265,0)</f>
        <v>0</v>
      </c>
      <c r="BH265" s="226">
        <f>IF(N265="sníž. přenesená",J265,0)</f>
        <v>0</v>
      </c>
      <c r="BI265" s="226">
        <f>IF(N265="nulová",J265,0)</f>
        <v>0</v>
      </c>
      <c r="BJ265" s="136" t="s">
        <v>5</v>
      </c>
      <c r="BK265" s="226">
        <f>ROUND(I265*H265,2)</f>
        <v>0</v>
      </c>
      <c r="BL265" s="136" t="s">
        <v>20</v>
      </c>
      <c r="BM265" s="225" t="s">
        <v>5230</v>
      </c>
    </row>
    <row r="266" spans="2:65" s="144" customFormat="1">
      <c r="B266" s="145"/>
      <c r="D266" s="227" t="s">
        <v>3343</v>
      </c>
      <c r="F266" s="228" t="s">
        <v>5229</v>
      </c>
      <c r="L266" s="145"/>
      <c r="M266" s="229"/>
      <c r="T266" s="230"/>
      <c r="AT266" s="136" t="s">
        <v>3343</v>
      </c>
      <c r="AU266" s="136" t="s">
        <v>6</v>
      </c>
    </row>
    <row r="267" spans="2:65" s="144" customFormat="1" ht="21.75" customHeight="1">
      <c r="B267" s="214"/>
      <c r="C267" s="215" t="s">
        <v>55</v>
      </c>
      <c r="D267" s="215" t="s">
        <v>3338</v>
      </c>
      <c r="E267" s="216" t="s">
        <v>5231</v>
      </c>
      <c r="F267" s="217" t="s">
        <v>5232</v>
      </c>
      <c r="G267" s="218" t="s">
        <v>1939</v>
      </c>
      <c r="H267" s="219">
        <v>25</v>
      </c>
      <c r="I267" s="745">
        <v>0</v>
      </c>
      <c r="J267" s="220">
        <f>ROUND(I267*H267,2)</f>
        <v>0</v>
      </c>
      <c r="K267" s="217" t="s">
        <v>3341</v>
      </c>
      <c r="L267" s="145"/>
      <c r="M267" s="221" t="s">
        <v>3268</v>
      </c>
      <c r="N267" s="222" t="s">
        <v>3296</v>
      </c>
      <c r="O267" s="223">
        <v>0.13600000000000001</v>
      </c>
      <c r="P267" s="223">
        <f>O267*H267</f>
        <v>3.4000000000000004</v>
      </c>
      <c r="Q267" s="223">
        <v>2.7E-4</v>
      </c>
      <c r="R267" s="223">
        <f>Q267*H267</f>
        <v>6.7499999999999999E-3</v>
      </c>
      <c r="S267" s="223">
        <v>0</v>
      </c>
      <c r="T267" s="224">
        <f>S267*H267</f>
        <v>0</v>
      </c>
      <c r="AR267" s="225" t="s">
        <v>20</v>
      </c>
      <c r="AT267" s="225" t="s">
        <v>3338</v>
      </c>
      <c r="AU267" s="225" t="s">
        <v>6</v>
      </c>
      <c r="AY267" s="136" t="s">
        <v>3337</v>
      </c>
      <c r="BE267" s="226">
        <f>IF(N267="základní",J267,0)</f>
        <v>0</v>
      </c>
      <c r="BF267" s="226">
        <f>IF(N267="snížená",J267,0)</f>
        <v>0</v>
      </c>
      <c r="BG267" s="226">
        <f>IF(N267="zákl. přenesená",J267,0)</f>
        <v>0</v>
      </c>
      <c r="BH267" s="226">
        <f>IF(N267="sníž. přenesená",J267,0)</f>
        <v>0</v>
      </c>
      <c r="BI267" s="226">
        <f>IF(N267="nulová",J267,0)</f>
        <v>0</v>
      </c>
      <c r="BJ267" s="136" t="s">
        <v>5</v>
      </c>
      <c r="BK267" s="226">
        <f>ROUND(I267*H267,2)</f>
        <v>0</v>
      </c>
      <c r="BL267" s="136" t="s">
        <v>20</v>
      </c>
      <c r="BM267" s="225" t="s">
        <v>5233</v>
      </c>
    </row>
    <row r="268" spans="2:65" s="144" customFormat="1" ht="38.4">
      <c r="B268" s="145"/>
      <c r="D268" s="227" t="s">
        <v>3343</v>
      </c>
      <c r="F268" s="228" t="s">
        <v>5234</v>
      </c>
      <c r="L268" s="145"/>
      <c r="M268" s="229"/>
      <c r="T268" s="230"/>
      <c r="AT268" s="136" t="s">
        <v>3343</v>
      </c>
      <c r="AU268" s="136" t="s">
        <v>6</v>
      </c>
    </row>
    <row r="269" spans="2:65" s="144" customFormat="1" ht="21.75" customHeight="1">
      <c r="B269" s="214"/>
      <c r="C269" s="251" t="s">
        <v>56</v>
      </c>
      <c r="D269" s="251" t="s">
        <v>3385</v>
      </c>
      <c r="E269" s="252" t="s">
        <v>5235</v>
      </c>
      <c r="F269" s="253" t="s">
        <v>5236</v>
      </c>
      <c r="G269" s="254" t="s">
        <v>1939</v>
      </c>
      <c r="H269" s="255">
        <v>25</v>
      </c>
      <c r="I269" s="746">
        <v>0</v>
      </c>
      <c r="J269" s="256">
        <f>ROUND(I269*H269,2)</f>
        <v>0</v>
      </c>
      <c r="K269" s="253" t="s">
        <v>3341</v>
      </c>
      <c r="L269" s="257"/>
      <c r="M269" s="258" t="s">
        <v>3268</v>
      </c>
      <c r="N269" s="259" t="s">
        <v>3296</v>
      </c>
      <c r="O269" s="223">
        <v>0</v>
      </c>
      <c r="P269" s="223">
        <f>O269*H269</f>
        <v>0</v>
      </c>
      <c r="Q269" s="223">
        <v>7.2999999999999996E-4</v>
      </c>
      <c r="R269" s="223">
        <f>Q269*H269</f>
        <v>1.8249999999999999E-2</v>
      </c>
      <c r="S269" s="223">
        <v>0</v>
      </c>
      <c r="T269" s="224">
        <f>S269*H269</f>
        <v>0</v>
      </c>
      <c r="AR269" s="225" t="s">
        <v>36</v>
      </c>
      <c r="AT269" s="225" t="s">
        <v>3385</v>
      </c>
      <c r="AU269" s="225" t="s">
        <v>6</v>
      </c>
      <c r="AY269" s="136" t="s">
        <v>3337</v>
      </c>
      <c r="BE269" s="226">
        <f>IF(N269="základní",J269,0)</f>
        <v>0</v>
      </c>
      <c r="BF269" s="226">
        <f>IF(N269="snížená",J269,0)</f>
        <v>0</v>
      </c>
      <c r="BG269" s="226">
        <f>IF(N269="zákl. přenesená",J269,0)</f>
        <v>0</v>
      </c>
      <c r="BH269" s="226">
        <f>IF(N269="sníž. přenesená",J269,0)</f>
        <v>0</v>
      </c>
      <c r="BI269" s="226">
        <f>IF(N269="nulová",J269,0)</f>
        <v>0</v>
      </c>
      <c r="BJ269" s="136" t="s">
        <v>5</v>
      </c>
      <c r="BK269" s="226">
        <f>ROUND(I269*H269,2)</f>
        <v>0</v>
      </c>
      <c r="BL269" s="136" t="s">
        <v>20</v>
      </c>
      <c r="BM269" s="225" t="s">
        <v>5237</v>
      </c>
    </row>
    <row r="270" spans="2:65" s="144" customFormat="1" ht="19.2">
      <c r="B270" s="145"/>
      <c r="D270" s="227" t="s">
        <v>3343</v>
      </c>
      <c r="F270" s="228" t="s">
        <v>5236</v>
      </c>
      <c r="L270" s="145"/>
      <c r="M270" s="229"/>
      <c r="T270" s="230"/>
      <c r="AT270" s="136" t="s">
        <v>3343</v>
      </c>
      <c r="AU270" s="136" t="s">
        <v>6</v>
      </c>
    </row>
    <row r="271" spans="2:65" s="144" customFormat="1" ht="21.75" customHeight="1">
      <c r="B271" s="214"/>
      <c r="C271" s="215" t="s">
        <v>57</v>
      </c>
      <c r="D271" s="215" t="s">
        <v>3338</v>
      </c>
      <c r="E271" s="216" t="s">
        <v>5238</v>
      </c>
      <c r="F271" s="217" t="s">
        <v>5239</v>
      </c>
      <c r="G271" s="218" t="s">
        <v>1945</v>
      </c>
      <c r="H271" s="747">
        <v>0</v>
      </c>
      <c r="I271" s="745">
        <v>0</v>
      </c>
      <c r="J271" s="220">
        <f>ROUND(I271*H271,2)</f>
        <v>0</v>
      </c>
      <c r="K271" s="217" t="s">
        <v>3341</v>
      </c>
      <c r="L271" s="145"/>
      <c r="M271" s="221" t="s">
        <v>3268</v>
      </c>
      <c r="N271" s="222" t="s">
        <v>3296</v>
      </c>
      <c r="O271" s="223">
        <v>0</v>
      </c>
      <c r="P271" s="223">
        <f>O271*H271</f>
        <v>0</v>
      </c>
      <c r="Q271" s="223">
        <v>0</v>
      </c>
      <c r="R271" s="223">
        <f>Q271*H271</f>
        <v>0</v>
      </c>
      <c r="S271" s="223">
        <v>0</v>
      </c>
      <c r="T271" s="224">
        <f>S271*H271</f>
        <v>0</v>
      </c>
      <c r="AR271" s="225" t="s">
        <v>20</v>
      </c>
      <c r="AT271" s="225" t="s">
        <v>3338</v>
      </c>
      <c r="AU271" s="225" t="s">
        <v>6</v>
      </c>
      <c r="AY271" s="136" t="s">
        <v>3337</v>
      </c>
      <c r="BE271" s="226">
        <f>IF(N271="základní",J271,0)</f>
        <v>0</v>
      </c>
      <c r="BF271" s="226">
        <f>IF(N271="snížená",J271,0)</f>
        <v>0</v>
      </c>
      <c r="BG271" s="226">
        <f>IF(N271="zákl. přenesená",J271,0)</f>
        <v>0</v>
      </c>
      <c r="BH271" s="226">
        <f>IF(N271="sníž. přenesená",J271,0)</f>
        <v>0</v>
      </c>
      <c r="BI271" s="226">
        <f>IF(N271="nulová",J271,0)</f>
        <v>0</v>
      </c>
      <c r="BJ271" s="136" t="s">
        <v>5</v>
      </c>
      <c r="BK271" s="226">
        <f>ROUND(I271*H271,2)</f>
        <v>0</v>
      </c>
      <c r="BL271" s="136" t="s">
        <v>20</v>
      </c>
      <c r="BM271" s="225" t="s">
        <v>5240</v>
      </c>
    </row>
    <row r="272" spans="2:65" s="144" customFormat="1" ht="28.8">
      <c r="B272" s="145"/>
      <c r="D272" s="227" t="s">
        <v>3343</v>
      </c>
      <c r="F272" s="228" t="s">
        <v>5241</v>
      </c>
      <c r="L272" s="145"/>
      <c r="M272" s="229"/>
      <c r="T272" s="230"/>
      <c r="AT272" s="136" t="s">
        <v>3343</v>
      </c>
      <c r="AU272" s="136" t="s">
        <v>6</v>
      </c>
    </row>
    <row r="273" spans="2:65" s="202" customFormat="1" ht="22.95" customHeight="1">
      <c r="B273" s="203"/>
      <c r="D273" s="204" t="s">
        <v>3334</v>
      </c>
      <c r="E273" s="212" t="s">
        <v>921</v>
      </c>
      <c r="F273" s="212" t="s">
        <v>5242</v>
      </c>
      <c r="J273" s="213">
        <f>BK273</f>
        <v>0</v>
      </c>
      <c r="L273" s="203"/>
      <c r="M273" s="207"/>
      <c r="P273" s="208">
        <f>SUM(P274:P333)</f>
        <v>440.24299999999994</v>
      </c>
      <c r="R273" s="208">
        <f>SUM(R274:R333)</f>
        <v>2.2046999999999994</v>
      </c>
      <c r="T273" s="209">
        <f>SUM(T274:T333)</f>
        <v>0</v>
      </c>
      <c r="AR273" s="204" t="s">
        <v>6</v>
      </c>
      <c r="AT273" s="210" t="s">
        <v>3334</v>
      </c>
      <c r="AU273" s="210" t="s">
        <v>5</v>
      </c>
      <c r="AY273" s="204" t="s">
        <v>3337</v>
      </c>
      <c r="BK273" s="211">
        <f>SUM(BK274:BK333)</f>
        <v>0</v>
      </c>
    </row>
    <row r="274" spans="2:65" s="144" customFormat="1" ht="16.5" customHeight="1">
      <c r="B274" s="214"/>
      <c r="C274" s="215" t="s">
        <v>58</v>
      </c>
      <c r="D274" s="215" t="s">
        <v>3338</v>
      </c>
      <c r="E274" s="216" t="s">
        <v>5243</v>
      </c>
      <c r="F274" s="217" t="s">
        <v>5244</v>
      </c>
      <c r="G274" s="218" t="s">
        <v>1939</v>
      </c>
      <c r="H274" s="219">
        <v>73</v>
      </c>
      <c r="I274" s="745">
        <v>0</v>
      </c>
      <c r="J274" s="220">
        <f>ROUND(I274*H274,2)</f>
        <v>0</v>
      </c>
      <c r="K274" s="217" t="s">
        <v>3341</v>
      </c>
      <c r="L274" s="145"/>
      <c r="M274" s="221" t="s">
        <v>3268</v>
      </c>
      <c r="N274" s="222" t="s">
        <v>3296</v>
      </c>
      <c r="O274" s="223">
        <v>0.57399999999999995</v>
      </c>
      <c r="P274" s="223">
        <f>O274*H274</f>
        <v>41.901999999999994</v>
      </c>
      <c r="Q274" s="223">
        <v>3.0799999999999998E-3</v>
      </c>
      <c r="R274" s="223">
        <f>Q274*H274</f>
        <v>0.22483999999999998</v>
      </c>
      <c r="S274" s="223">
        <v>0</v>
      </c>
      <c r="T274" s="224">
        <f>S274*H274</f>
        <v>0</v>
      </c>
      <c r="AR274" s="225" t="s">
        <v>20</v>
      </c>
      <c r="AT274" s="225" t="s">
        <v>3338</v>
      </c>
      <c r="AU274" s="225" t="s">
        <v>6</v>
      </c>
      <c r="AY274" s="136" t="s">
        <v>3337</v>
      </c>
      <c r="BE274" s="226">
        <f>IF(N274="základní",J274,0)</f>
        <v>0</v>
      </c>
      <c r="BF274" s="226">
        <f>IF(N274="snížená",J274,0)</f>
        <v>0</v>
      </c>
      <c r="BG274" s="226">
        <f>IF(N274="zákl. přenesená",J274,0)</f>
        <v>0</v>
      </c>
      <c r="BH274" s="226">
        <f>IF(N274="sníž. přenesená",J274,0)</f>
        <v>0</v>
      </c>
      <c r="BI274" s="226">
        <f>IF(N274="nulová",J274,0)</f>
        <v>0</v>
      </c>
      <c r="BJ274" s="136" t="s">
        <v>5</v>
      </c>
      <c r="BK274" s="226">
        <f>ROUND(I274*H274,2)</f>
        <v>0</v>
      </c>
      <c r="BL274" s="136" t="s">
        <v>20</v>
      </c>
      <c r="BM274" s="225" t="s">
        <v>5245</v>
      </c>
    </row>
    <row r="275" spans="2:65" s="144" customFormat="1">
      <c r="B275" s="145"/>
      <c r="D275" s="227" t="s">
        <v>3343</v>
      </c>
      <c r="F275" s="228" t="s">
        <v>5246</v>
      </c>
      <c r="L275" s="145"/>
      <c r="M275" s="229"/>
      <c r="T275" s="230"/>
      <c r="AT275" s="136" t="s">
        <v>3343</v>
      </c>
      <c r="AU275" s="136" t="s">
        <v>6</v>
      </c>
    </row>
    <row r="276" spans="2:65" s="144" customFormat="1" ht="16.5" customHeight="1">
      <c r="B276" s="214"/>
      <c r="C276" s="215" t="s">
        <v>59</v>
      </c>
      <c r="D276" s="215" t="s">
        <v>3338</v>
      </c>
      <c r="E276" s="216" t="s">
        <v>5247</v>
      </c>
      <c r="F276" s="217" t="s">
        <v>5248</v>
      </c>
      <c r="G276" s="218" t="s">
        <v>1939</v>
      </c>
      <c r="H276" s="219">
        <v>154</v>
      </c>
      <c r="I276" s="745">
        <v>0</v>
      </c>
      <c r="J276" s="220">
        <f>ROUND(I276*H276,2)</f>
        <v>0</v>
      </c>
      <c r="K276" s="217" t="s">
        <v>3341</v>
      </c>
      <c r="L276" s="145"/>
      <c r="M276" s="221" t="s">
        <v>3268</v>
      </c>
      <c r="N276" s="222" t="s">
        <v>3296</v>
      </c>
      <c r="O276" s="223">
        <v>0.36299999999999999</v>
      </c>
      <c r="P276" s="223">
        <f>O276*H276</f>
        <v>55.902000000000001</v>
      </c>
      <c r="Q276" s="223">
        <v>1.42E-3</v>
      </c>
      <c r="R276" s="223">
        <f>Q276*H276</f>
        <v>0.21868000000000001</v>
      </c>
      <c r="S276" s="223">
        <v>0</v>
      </c>
      <c r="T276" s="224">
        <f>S276*H276</f>
        <v>0</v>
      </c>
      <c r="AR276" s="225" t="s">
        <v>20</v>
      </c>
      <c r="AT276" s="225" t="s">
        <v>3338</v>
      </c>
      <c r="AU276" s="225" t="s">
        <v>6</v>
      </c>
      <c r="AY276" s="136" t="s">
        <v>3337</v>
      </c>
      <c r="BE276" s="226">
        <f>IF(N276="základní",J276,0)</f>
        <v>0</v>
      </c>
      <c r="BF276" s="226">
        <f>IF(N276="snížená",J276,0)</f>
        <v>0</v>
      </c>
      <c r="BG276" s="226">
        <f>IF(N276="zákl. přenesená",J276,0)</f>
        <v>0</v>
      </c>
      <c r="BH276" s="226">
        <f>IF(N276="sníž. přenesená",J276,0)</f>
        <v>0</v>
      </c>
      <c r="BI276" s="226">
        <f>IF(N276="nulová",J276,0)</f>
        <v>0</v>
      </c>
      <c r="BJ276" s="136" t="s">
        <v>5</v>
      </c>
      <c r="BK276" s="226">
        <f>ROUND(I276*H276,2)</f>
        <v>0</v>
      </c>
      <c r="BL276" s="136" t="s">
        <v>20</v>
      </c>
      <c r="BM276" s="225" t="s">
        <v>5249</v>
      </c>
    </row>
    <row r="277" spans="2:65" s="144" customFormat="1">
      <c r="B277" s="145"/>
      <c r="D277" s="227" t="s">
        <v>3343</v>
      </c>
      <c r="F277" s="228" t="s">
        <v>5250</v>
      </c>
      <c r="L277" s="145"/>
      <c r="M277" s="229"/>
      <c r="T277" s="230"/>
      <c r="AT277" s="136" t="s">
        <v>3343</v>
      </c>
      <c r="AU277" s="136" t="s">
        <v>6</v>
      </c>
    </row>
    <row r="278" spans="2:65" s="144" customFormat="1" ht="16.5" customHeight="1">
      <c r="B278" s="214"/>
      <c r="C278" s="215" t="s">
        <v>60</v>
      </c>
      <c r="D278" s="215" t="s">
        <v>3338</v>
      </c>
      <c r="E278" s="216" t="s">
        <v>5251</v>
      </c>
      <c r="F278" s="217" t="s">
        <v>5252</v>
      </c>
      <c r="G278" s="218" t="s">
        <v>1939</v>
      </c>
      <c r="H278" s="219">
        <v>101</v>
      </c>
      <c r="I278" s="745">
        <v>0</v>
      </c>
      <c r="J278" s="220">
        <f>ROUND(I278*H278,2)</f>
        <v>0</v>
      </c>
      <c r="K278" s="217" t="s">
        <v>3341</v>
      </c>
      <c r="L278" s="145"/>
      <c r="M278" s="221" t="s">
        <v>3268</v>
      </c>
      <c r="N278" s="222" t="s">
        <v>3296</v>
      </c>
      <c r="O278" s="223">
        <v>0.38300000000000001</v>
      </c>
      <c r="P278" s="223">
        <f>O278*H278</f>
        <v>38.683</v>
      </c>
      <c r="Q278" s="223">
        <v>7.4400000000000004E-3</v>
      </c>
      <c r="R278" s="223">
        <f>Q278*H278</f>
        <v>0.75144</v>
      </c>
      <c r="S278" s="223">
        <v>0</v>
      </c>
      <c r="T278" s="224">
        <f>S278*H278</f>
        <v>0</v>
      </c>
      <c r="AR278" s="225" t="s">
        <v>20</v>
      </c>
      <c r="AT278" s="225" t="s">
        <v>3338</v>
      </c>
      <c r="AU278" s="225" t="s">
        <v>6</v>
      </c>
      <c r="AY278" s="136" t="s">
        <v>3337</v>
      </c>
      <c r="BE278" s="226">
        <f>IF(N278="základní",J278,0)</f>
        <v>0</v>
      </c>
      <c r="BF278" s="226">
        <f>IF(N278="snížená",J278,0)</f>
        <v>0</v>
      </c>
      <c r="BG278" s="226">
        <f>IF(N278="zákl. přenesená",J278,0)</f>
        <v>0</v>
      </c>
      <c r="BH278" s="226">
        <f>IF(N278="sníž. přenesená",J278,0)</f>
        <v>0</v>
      </c>
      <c r="BI278" s="226">
        <f>IF(N278="nulová",J278,0)</f>
        <v>0</v>
      </c>
      <c r="BJ278" s="136" t="s">
        <v>5</v>
      </c>
      <c r="BK278" s="226">
        <f>ROUND(I278*H278,2)</f>
        <v>0</v>
      </c>
      <c r="BL278" s="136" t="s">
        <v>20</v>
      </c>
      <c r="BM278" s="225" t="s">
        <v>5253</v>
      </c>
    </row>
    <row r="279" spans="2:65" s="144" customFormat="1">
      <c r="B279" s="145"/>
      <c r="D279" s="227" t="s">
        <v>3343</v>
      </c>
      <c r="F279" s="228" t="s">
        <v>5254</v>
      </c>
      <c r="L279" s="145"/>
      <c r="M279" s="229"/>
      <c r="T279" s="230"/>
      <c r="AT279" s="136" t="s">
        <v>3343</v>
      </c>
      <c r="AU279" s="136" t="s">
        <v>6</v>
      </c>
    </row>
    <row r="280" spans="2:65" s="144" customFormat="1" ht="16.5" customHeight="1">
      <c r="B280" s="214"/>
      <c r="C280" s="215" t="s">
        <v>61</v>
      </c>
      <c r="D280" s="215" t="s">
        <v>3338</v>
      </c>
      <c r="E280" s="216" t="s">
        <v>3591</v>
      </c>
      <c r="F280" s="217" t="s">
        <v>3592</v>
      </c>
      <c r="G280" s="218" t="s">
        <v>1939</v>
      </c>
      <c r="H280" s="219">
        <v>50</v>
      </c>
      <c r="I280" s="745">
        <v>0</v>
      </c>
      <c r="J280" s="220">
        <f>ROUND(I280*H280,2)</f>
        <v>0</v>
      </c>
      <c r="K280" s="217" t="s">
        <v>3341</v>
      </c>
      <c r="L280" s="145"/>
      <c r="M280" s="221" t="s">
        <v>3268</v>
      </c>
      <c r="N280" s="222" t="s">
        <v>3296</v>
      </c>
      <c r="O280" s="223">
        <v>0.40400000000000003</v>
      </c>
      <c r="P280" s="223">
        <f>O280*H280</f>
        <v>20.200000000000003</v>
      </c>
      <c r="Q280" s="223">
        <v>1.2319999999999999E-2</v>
      </c>
      <c r="R280" s="223">
        <f>Q280*H280</f>
        <v>0.61599999999999999</v>
      </c>
      <c r="S280" s="223">
        <v>0</v>
      </c>
      <c r="T280" s="224">
        <f>S280*H280</f>
        <v>0</v>
      </c>
      <c r="AR280" s="225" t="s">
        <v>20</v>
      </c>
      <c r="AT280" s="225" t="s">
        <v>3338</v>
      </c>
      <c r="AU280" s="225" t="s">
        <v>6</v>
      </c>
      <c r="AY280" s="136" t="s">
        <v>3337</v>
      </c>
      <c r="BE280" s="226">
        <f>IF(N280="základní",J280,0)</f>
        <v>0</v>
      </c>
      <c r="BF280" s="226">
        <f>IF(N280="snížená",J280,0)</f>
        <v>0</v>
      </c>
      <c r="BG280" s="226">
        <f>IF(N280="zákl. přenesená",J280,0)</f>
        <v>0</v>
      </c>
      <c r="BH280" s="226">
        <f>IF(N280="sníž. přenesená",J280,0)</f>
        <v>0</v>
      </c>
      <c r="BI280" s="226">
        <f>IF(N280="nulová",J280,0)</f>
        <v>0</v>
      </c>
      <c r="BJ280" s="136" t="s">
        <v>5</v>
      </c>
      <c r="BK280" s="226">
        <f>ROUND(I280*H280,2)</f>
        <v>0</v>
      </c>
      <c r="BL280" s="136" t="s">
        <v>20</v>
      </c>
      <c r="BM280" s="225" t="s">
        <v>5255</v>
      </c>
    </row>
    <row r="281" spans="2:65" s="144" customFormat="1">
      <c r="B281" s="145"/>
      <c r="D281" s="227" t="s">
        <v>3343</v>
      </c>
      <c r="F281" s="228" t="s">
        <v>3594</v>
      </c>
      <c r="L281" s="145"/>
      <c r="M281" s="229"/>
      <c r="T281" s="230"/>
      <c r="AT281" s="136" t="s">
        <v>3343</v>
      </c>
      <c r="AU281" s="136" t="s">
        <v>6</v>
      </c>
    </row>
    <row r="282" spans="2:65" s="144" customFormat="1" ht="16.5" customHeight="1">
      <c r="B282" s="214"/>
      <c r="C282" s="215" t="s">
        <v>62</v>
      </c>
      <c r="D282" s="215" t="s">
        <v>3338</v>
      </c>
      <c r="E282" s="216" t="s">
        <v>5256</v>
      </c>
      <c r="F282" s="217" t="s">
        <v>5257</v>
      </c>
      <c r="G282" s="218" t="s">
        <v>1939</v>
      </c>
      <c r="H282" s="219">
        <v>21</v>
      </c>
      <c r="I282" s="745">
        <v>0</v>
      </c>
      <c r="J282" s="220">
        <f>ROUND(I282*H282,2)</f>
        <v>0</v>
      </c>
      <c r="K282" s="217" t="s">
        <v>3341</v>
      </c>
      <c r="L282" s="145"/>
      <c r="M282" s="221" t="s">
        <v>3268</v>
      </c>
      <c r="N282" s="222" t="s">
        <v>3296</v>
      </c>
      <c r="O282" s="223">
        <v>0.78</v>
      </c>
      <c r="P282" s="223">
        <f>O282*H282</f>
        <v>16.38</v>
      </c>
      <c r="Q282" s="223">
        <v>5.9000000000000003E-4</v>
      </c>
      <c r="R282" s="223">
        <f>Q282*H282</f>
        <v>1.239E-2</v>
      </c>
      <c r="S282" s="223">
        <v>0</v>
      </c>
      <c r="T282" s="224">
        <f>S282*H282</f>
        <v>0</v>
      </c>
      <c r="AR282" s="225" t="s">
        <v>20</v>
      </c>
      <c r="AT282" s="225" t="s">
        <v>3338</v>
      </c>
      <c r="AU282" s="225" t="s">
        <v>6</v>
      </c>
      <c r="AY282" s="136" t="s">
        <v>3337</v>
      </c>
      <c r="BE282" s="226">
        <f>IF(N282="základní",J282,0)</f>
        <v>0</v>
      </c>
      <c r="BF282" s="226">
        <f>IF(N282="snížená",J282,0)</f>
        <v>0</v>
      </c>
      <c r="BG282" s="226">
        <f>IF(N282="zákl. přenesená",J282,0)</f>
        <v>0</v>
      </c>
      <c r="BH282" s="226">
        <f>IF(N282="sníž. přenesená",J282,0)</f>
        <v>0</v>
      </c>
      <c r="BI282" s="226">
        <f>IF(N282="nulová",J282,0)</f>
        <v>0</v>
      </c>
      <c r="BJ282" s="136" t="s">
        <v>5</v>
      </c>
      <c r="BK282" s="226">
        <f>ROUND(I282*H282,2)</f>
        <v>0</v>
      </c>
      <c r="BL282" s="136" t="s">
        <v>20</v>
      </c>
      <c r="BM282" s="225" t="s">
        <v>5258</v>
      </c>
    </row>
    <row r="283" spans="2:65" s="144" customFormat="1">
      <c r="B283" s="145"/>
      <c r="D283" s="227" t="s">
        <v>3343</v>
      </c>
      <c r="F283" s="228" t="s">
        <v>5259</v>
      </c>
      <c r="L283" s="145"/>
      <c r="M283" s="229"/>
      <c r="T283" s="230"/>
      <c r="AT283" s="136" t="s">
        <v>3343</v>
      </c>
      <c r="AU283" s="136" t="s">
        <v>6</v>
      </c>
    </row>
    <row r="284" spans="2:65" s="144" customFormat="1" ht="16.5" customHeight="1">
      <c r="B284" s="214"/>
      <c r="C284" s="215" t="s">
        <v>63</v>
      </c>
      <c r="D284" s="215" t="s">
        <v>3338</v>
      </c>
      <c r="E284" s="216" t="s">
        <v>5260</v>
      </c>
      <c r="F284" s="217" t="s">
        <v>5261</v>
      </c>
      <c r="G284" s="218" t="s">
        <v>1939</v>
      </c>
      <c r="H284" s="219">
        <v>83</v>
      </c>
      <c r="I284" s="745">
        <v>0</v>
      </c>
      <c r="J284" s="220">
        <f>ROUND(I284*H284,2)</f>
        <v>0</v>
      </c>
      <c r="K284" s="217" t="s">
        <v>3341</v>
      </c>
      <c r="L284" s="145"/>
      <c r="M284" s="221" t="s">
        <v>3268</v>
      </c>
      <c r="N284" s="222" t="s">
        <v>3296</v>
      </c>
      <c r="O284" s="223">
        <v>0.82699999999999996</v>
      </c>
      <c r="P284" s="223">
        <f>O284*H284</f>
        <v>68.640999999999991</v>
      </c>
      <c r="Q284" s="223">
        <v>2.0100000000000001E-3</v>
      </c>
      <c r="R284" s="223">
        <f>Q284*H284</f>
        <v>0.16683000000000001</v>
      </c>
      <c r="S284" s="223">
        <v>0</v>
      </c>
      <c r="T284" s="224">
        <f>S284*H284</f>
        <v>0</v>
      </c>
      <c r="AR284" s="225" t="s">
        <v>20</v>
      </c>
      <c r="AT284" s="225" t="s">
        <v>3338</v>
      </c>
      <c r="AU284" s="225" t="s">
        <v>6</v>
      </c>
      <c r="AY284" s="136" t="s">
        <v>3337</v>
      </c>
      <c r="BE284" s="226">
        <f>IF(N284="základní",J284,0)</f>
        <v>0</v>
      </c>
      <c r="BF284" s="226">
        <f>IF(N284="snížená",J284,0)</f>
        <v>0</v>
      </c>
      <c r="BG284" s="226">
        <f>IF(N284="zákl. přenesená",J284,0)</f>
        <v>0</v>
      </c>
      <c r="BH284" s="226">
        <f>IF(N284="sníž. přenesená",J284,0)</f>
        <v>0</v>
      </c>
      <c r="BI284" s="226">
        <f>IF(N284="nulová",J284,0)</f>
        <v>0</v>
      </c>
      <c r="BJ284" s="136" t="s">
        <v>5</v>
      </c>
      <c r="BK284" s="226">
        <f>ROUND(I284*H284,2)</f>
        <v>0</v>
      </c>
      <c r="BL284" s="136" t="s">
        <v>20</v>
      </c>
      <c r="BM284" s="225" t="s">
        <v>5262</v>
      </c>
    </row>
    <row r="285" spans="2:65" s="144" customFormat="1">
      <c r="B285" s="145"/>
      <c r="D285" s="227" t="s">
        <v>3343</v>
      </c>
      <c r="F285" s="228" t="s">
        <v>5263</v>
      </c>
      <c r="L285" s="145"/>
      <c r="M285" s="229"/>
      <c r="T285" s="230"/>
      <c r="AT285" s="136" t="s">
        <v>3343</v>
      </c>
      <c r="AU285" s="136" t="s">
        <v>6</v>
      </c>
    </row>
    <row r="286" spans="2:65" s="144" customFormat="1" ht="16.5" customHeight="1">
      <c r="B286" s="214"/>
      <c r="C286" s="215" t="s">
        <v>64</v>
      </c>
      <c r="D286" s="215" t="s">
        <v>3338</v>
      </c>
      <c r="E286" s="216" t="s">
        <v>5264</v>
      </c>
      <c r="F286" s="217" t="s">
        <v>5265</v>
      </c>
      <c r="G286" s="218" t="s">
        <v>1939</v>
      </c>
      <c r="H286" s="219">
        <v>10</v>
      </c>
      <c r="I286" s="745">
        <v>0</v>
      </c>
      <c r="J286" s="220">
        <f>ROUND(I286*H286,2)</f>
        <v>0</v>
      </c>
      <c r="K286" s="217" t="s">
        <v>3341</v>
      </c>
      <c r="L286" s="145"/>
      <c r="M286" s="221" t="s">
        <v>3268</v>
      </c>
      <c r="N286" s="222" t="s">
        <v>3296</v>
      </c>
      <c r="O286" s="223">
        <v>0.83099999999999996</v>
      </c>
      <c r="P286" s="223">
        <f>O286*H286</f>
        <v>8.3099999999999987</v>
      </c>
      <c r="Q286" s="223">
        <v>1.4499999999999999E-3</v>
      </c>
      <c r="R286" s="223">
        <f>Q286*H286</f>
        <v>1.4499999999999999E-2</v>
      </c>
      <c r="S286" s="223">
        <v>0</v>
      </c>
      <c r="T286" s="224">
        <f>S286*H286</f>
        <v>0</v>
      </c>
      <c r="AR286" s="225" t="s">
        <v>20</v>
      </c>
      <c r="AT286" s="225" t="s">
        <v>3338</v>
      </c>
      <c r="AU286" s="225" t="s">
        <v>6</v>
      </c>
      <c r="AY286" s="136" t="s">
        <v>3337</v>
      </c>
      <c r="BE286" s="226">
        <f>IF(N286="základní",J286,0)</f>
        <v>0</v>
      </c>
      <c r="BF286" s="226">
        <f>IF(N286="snížená",J286,0)</f>
        <v>0</v>
      </c>
      <c r="BG286" s="226">
        <f>IF(N286="zákl. přenesená",J286,0)</f>
        <v>0</v>
      </c>
      <c r="BH286" s="226">
        <f>IF(N286="sníž. přenesená",J286,0)</f>
        <v>0</v>
      </c>
      <c r="BI286" s="226">
        <f>IF(N286="nulová",J286,0)</f>
        <v>0</v>
      </c>
      <c r="BJ286" s="136" t="s">
        <v>5</v>
      </c>
      <c r="BK286" s="226">
        <f>ROUND(I286*H286,2)</f>
        <v>0</v>
      </c>
      <c r="BL286" s="136" t="s">
        <v>20</v>
      </c>
      <c r="BM286" s="225" t="s">
        <v>5266</v>
      </c>
    </row>
    <row r="287" spans="2:65" s="144" customFormat="1">
      <c r="B287" s="145"/>
      <c r="D287" s="227" t="s">
        <v>3343</v>
      </c>
      <c r="F287" s="228" t="s">
        <v>5267</v>
      </c>
      <c r="L287" s="145"/>
      <c r="M287" s="229"/>
      <c r="T287" s="230"/>
      <c r="AT287" s="136" t="s">
        <v>3343</v>
      </c>
      <c r="AU287" s="136" t="s">
        <v>6</v>
      </c>
    </row>
    <row r="288" spans="2:65" s="144" customFormat="1" ht="16.5" customHeight="1">
      <c r="B288" s="214"/>
      <c r="C288" s="215" t="s">
        <v>65</v>
      </c>
      <c r="D288" s="215" t="s">
        <v>3338</v>
      </c>
      <c r="E288" s="216" t="s">
        <v>5268</v>
      </c>
      <c r="F288" s="217" t="s">
        <v>5269</v>
      </c>
      <c r="G288" s="218" t="s">
        <v>1939</v>
      </c>
      <c r="H288" s="219">
        <v>15</v>
      </c>
      <c r="I288" s="745">
        <v>0</v>
      </c>
      <c r="J288" s="220">
        <f>ROUND(I288*H288,2)</f>
        <v>0</v>
      </c>
      <c r="K288" s="217" t="s">
        <v>3268</v>
      </c>
      <c r="L288" s="145"/>
      <c r="M288" s="221" t="s">
        <v>3268</v>
      </c>
      <c r="N288" s="222" t="s">
        <v>3296</v>
      </c>
      <c r="O288" s="223">
        <v>0.65900000000000003</v>
      </c>
      <c r="P288" s="223">
        <f>O288*H288</f>
        <v>9.8849999999999998</v>
      </c>
      <c r="Q288" s="223">
        <v>4.0999999999999999E-4</v>
      </c>
      <c r="R288" s="223">
        <f>Q288*H288</f>
        <v>6.1500000000000001E-3</v>
      </c>
      <c r="S288" s="223">
        <v>0</v>
      </c>
      <c r="T288" s="224">
        <f>S288*H288</f>
        <v>0</v>
      </c>
      <c r="AR288" s="225" t="s">
        <v>20</v>
      </c>
      <c r="AT288" s="225" t="s">
        <v>3338</v>
      </c>
      <c r="AU288" s="225" t="s">
        <v>6</v>
      </c>
      <c r="AY288" s="136" t="s">
        <v>3337</v>
      </c>
      <c r="BE288" s="226">
        <f>IF(N288="základní",J288,0)</f>
        <v>0</v>
      </c>
      <c r="BF288" s="226">
        <f>IF(N288="snížená",J288,0)</f>
        <v>0</v>
      </c>
      <c r="BG288" s="226">
        <f>IF(N288="zákl. přenesená",J288,0)</f>
        <v>0</v>
      </c>
      <c r="BH288" s="226">
        <f>IF(N288="sníž. přenesená",J288,0)</f>
        <v>0</v>
      </c>
      <c r="BI288" s="226">
        <f>IF(N288="nulová",J288,0)</f>
        <v>0</v>
      </c>
      <c r="BJ288" s="136" t="s">
        <v>5</v>
      </c>
      <c r="BK288" s="226">
        <f>ROUND(I288*H288,2)</f>
        <v>0</v>
      </c>
      <c r="BL288" s="136" t="s">
        <v>20</v>
      </c>
      <c r="BM288" s="225" t="s">
        <v>5270</v>
      </c>
    </row>
    <row r="289" spans="2:65" s="144" customFormat="1">
      <c r="B289" s="145"/>
      <c r="D289" s="227" t="s">
        <v>3343</v>
      </c>
      <c r="F289" s="228" t="s">
        <v>5271</v>
      </c>
      <c r="L289" s="145"/>
      <c r="M289" s="229"/>
      <c r="T289" s="230"/>
      <c r="AT289" s="136" t="s">
        <v>3343</v>
      </c>
      <c r="AU289" s="136" t="s">
        <v>6</v>
      </c>
    </row>
    <row r="290" spans="2:65" s="144" customFormat="1" ht="16.5" customHeight="1">
      <c r="B290" s="214"/>
      <c r="C290" s="215" t="s">
        <v>66</v>
      </c>
      <c r="D290" s="215" t="s">
        <v>3338</v>
      </c>
      <c r="E290" s="216" t="s">
        <v>5272</v>
      </c>
      <c r="F290" s="217" t="s">
        <v>5273</v>
      </c>
      <c r="G290" s="218" t="s">
        <v>1939</v>
      </c>
      <c r="H290" s="219">
        <v>21</v>
      </c>
      <c r="I290" s="745">
        <v>0</v>
      </c>
      <c r="J290" s="220">
        <f>ROUND(I290*H290,2)</f>
        <v>0</v>
      </c>
      <c r="K290" s="217" t="s">
        <v>3341</v>
      </c>
      <c r="L290" s="145"/>
      <c r="M290" s="221" t="s">
        <v>3268</v>
      </c>
      <c r="N290" s="222" t="s">
        <v>3296</v>
      </c>
      <c r="O290" s="223">
        <v>0.65900000000000003</v>
      </c>
      <c r="P290" s="223">
        <f>O290*H290</f>
        <v>13.839</v>
      </c>
      <c r="Q290" s="223">
        <v>4.0999999999999999E-4</v>
      </c>
      <c r="R290" s="223">
        <f>Q290*H290</f>
        <v>8.6099999999999996E-3</v>
      </c>
      <c r="S290" s="223">
        <v>0</v>
      </c>
      <c r="T290" s="224">
        <f>S290*H290</f>
        <v>0</v>
      </c>
      <c r="AR290" s="225" t="s">
        <v>20</v>
      </c>
      <c r="AT290" s="225" t="s">
        <v>3338</v>
      </c>
      <c r="AU290" s="225" t="s">
        <v>6</v>
      </c>
      <c r="AY290" s="136" t="s">
        <v>3337</v>
      </c>
      <c r="BE290" s="226">
        <f>IF(N290="základní",J290,0)</f>
        <v>0</v>
      </c>
      <c r="BF290" s="226">
        <f>IF(N290="snížená",J290,0)</f>
        <v>0</v>
      </c>
      <c r="BG290" s="226">
        <f>IF(N290="zákl. přenesená",J290,0)</f>
        <v>0</v>
      </c>
      <c r="BH290" s="226">
        <f>IF(N290="sníž. přenesená",J290,0)</f>
        <v>0</v>
      </c>
      <c r="BI290" s="226">
        <f>IF(N290="nulová",J290,0)</f>
        <v>0</v>
      </c>
      <c r="BJ290" s="136" t="s">
        <v>5</v>
      </c>
      <c r="BK290" s="226">
        <f>ROUND(I290*H290,2)</f>
        <v>0</v>
      </c>
      <c r="BL290" s="136" t="s">
        <v>20</v>
      </c>
      <c r="BM290" s="225" t="s">
        <v>5274</v>
      </c>
    </row>
    <row r="291" spans="2:65" s="144" customFormat="1">
      <c r="B291" s="145"/>
      <c r="D291" s="227" t="s">
        <v>3343</v>
      </c>
      <c r="F291" s="228" t="s">
        <v>5275</v>
      </c>
      <c r="L291" s="145"/>
      <c r="M291" s="229"/>
      <c r="T291" s="230"/>
      <c r="AT291" s="136" t="s">
        <v>3343</v>
      </c>
      <c r="AU291" s="136" t="s">
        <v>6</v>
      </c>
    </row>
    <row r="292" spans="2:65" s="144" customFormat="1" ht="16.5" customHeight="1">
      <c r="B292" s="214"/>
      <c r="C292" s="215" t="s">
        <v>67</v>
      </c>
      <c r="D292" s="215" t="s">
        <v>3338</v>
      </c>
      <c r="E292" s="216" t="s">
        <v>5276</v>
      </c>
      <c r="F292" s="217" t="s">
        <v>5277</v>
      </c>
      <c r="G292" s="218" t="s">
        <v>1939</v>
      </c>
      <c r="H292" s="219">
        <v>92</v>
      </c>
      <c r="I292" s="745">
        <v>0</v>
      </c>
      <c r="J292" s="220">
        <f>ROUND(I292*H292,2)</f>
        <v>0</v>
      </c>
      <c r="K292" s="217" t="s">
        <v>3341</v>
      </c>
      <c r="L292" s="145"/>
      <c r="M292" s="221" t="s">
        <v>3268</v>
      </c>
      <c r="N292" s="222" t="s">
        <v>3296</v>
      </c>
      <c r="O292" s="223">
        <v>0.72799999999999998</v>
      </c>
      <c r="P292" s="223">
        <f>O292*H292</f>
        <v>66.975999999999999</v>
      </c>
      <c r="Q292" s="223">
        <v>4.8000000000000001E-4</v>
      </c>
      <c r="R292" s="223">
        <f>Q292*H292</f>
        <v>4.4159999999999998E-2</v>
      </c>
      <c r="S292" s="223">
        <v>0</v>
      </c>
      <c r="T292" s="224">
        <f>S292*H292</f>
        <v>0</v>
      </c>
      <c r="AR292" s="225" t="s">
        <v>20</v>
      </c>
      <c r="AT292" s="225" t="s">
        <v>3338</v>
      </c>
      <c r="AU292" s="225" t="s">
        <v>6</v>
      </c>
      <c r="AY292" s="136" t="s">
        <v>3337</v>
      </c>
      <c r="BE292" s="226">
        <f>IF(N292="základní",J292,0)</f>
        <v>0</v>
      </c>
      <c r="BF292" s="226">
        <f>IF(N292="snížená",J292,0)</f>
        <v>0</v>
      </c>
      <c r="BG292" s="226">
        <f>IF(N292="zákl. přenesená",J292,0)</f>
        <v>0</v>
      </c>
      <c r="BH292" s="226">
        <f>IF(N292="sníž. přenesená",J292,0)</f>
        <v>0</v>
      </c>
      <c r="BI292" s="226">
        <f>IF(N292="nulová",J292,0)</f>
        <v>0</v>
      </c>
      <c r="BJ292" s="136" t="s">
        <v>5</v>
      </c>
      <c r="BK292" s="226">
        <f>ROUND(I292*H292,2)</f>
        <v>0</v>
      </c>
      <c r="BL292" s="136" t="s">
        <v>20</v>
      </c>
      <c r="BM292" s="225" t="s">
        <v>5278</v>
      </c>
    </row>
    <row r="293" spans="2:65" s="144" customFormat="1">
      <c r="B293" s="145"/>
      <c r="D293" s="227" t="s">
        <v>3343</v>
      </c>
      <c r="F293" s="228" t="s">
        <v>5279</v>
      </c>
      <c r="L293" s="145"/>
      <c r="M293" s="229"/>
      <c r="T293" s="230"/>
      <c r="AT293" s="136" t="s">
        <v>3343</v>
      </c>
      <c r="AU293" s="136" t="s">
        <v>6</v>
      </c>
    </row>
    <row r="294" spans="2:65" s="144" customFormat="1" ht="16.5" customHeight="1">
      <c r="B294" s="214"/>
      <c r="C294" s="215" t="s">
        <v>68</v>
      </c>
      <c r="D294" s="215" t="s">
        <v>3338</v>
      </c>
      <c r="E294" s="216" t="s">
        <v>5280</v>
      </c>
      <c r="F294" s="217" t="s">
        <v>5281</v>
      </c>
      <c r="G294" s="218" t="s">
        <v>1939</v>
      </c>
      <c r="H294" s="219">
        <v>4</v>
      </c>
      <c r="I294" s="745">
        <v>0</v>
      </c>
      <c r="J294" s="220">
        <f>ROUND(I294*H294,2)</f>
        <v>0</v>
      </c>
      <c r="K294" s="217" t="s">
        <v>3341</v>
      </c>
      <c r="L294" s="145"/>
      <c r="M294" s="221" t="s">
        <v>3268</v>
      </c>
      <c r="N294" s="222" t="s">
        <v>3296</v>
      </c>
      <c r="O294" s="223">
        <v>0.79700000000000004</v>
      </c>
      <c r="P294" s="223">
        <f>O294*H294</f>
        <v>3.1880000000000002</v>
      </c>
      <c r="Q294" s="223">
        <v>7.1000000000000002E-4</v>
      </c>
      <c r="R294" s="223">
        <f>Q294*H294</f>
        <v>2.8400000000000001E-3</v>
      </c>
      <c r="S294" s="223">
        <v>0</v>
      </c>
      <c r="T294" s="224">
        <f>S294*H294</f>
        <v>0</v>
      </c>
      <c r="AR294" s="225" t="s">
        <v>20</v>
      </c>
      <c r="AT294" s="225" t="s">
        <v>3338</v>
      </c>
      <c r="AU294" s="225" t="s">
        <v>6</v>
      </c>
      <c r="AY294" s="136" t="s">
        <v>3337</v>
      </c>
      <c r="BE294" s="226">
        <f>IF(N294="základní",J294,0)</f>
        <v>0</v>
      </c>
      <c r="BF294" s="226">
        <f>IF(N294="snížená",J294,0)</f>
        <v>0</v>
      </c>
      <c r="BG294" s="226">
        <f>IF(N294="zákl. přenesená",J294,0)</f>
        <v>0</v>
      </c>
      <c r="BH294" s="226">
        <f>IF(N294="sníž. přenesená",J294,0)</f>
        <v>0</v>
      </c>
      <c r="BI294" s="226">
        <f>IF(N294="nulová",J294,0)</f>
        <v>0</v>
      </c>
      <c r="BJ294" s="136" t="s">
        <v>5</v>
      </c>
      <c r="BK294" s="226">
        <f>ROUND(I294*H294,2)</f>
        <v>0</v>
      </c>
      <c r="BL294" s="136" t="s">
        <v>20</v>
      </c>
      <c r="BM294" s="225" t="s">
        <v>5282</v>
      </c>
    </row>
    <row r="295" spans="2:65" s="144" customFormat="1">
      <c r="B295" s="145"/>
      <c r="D295" s="227" t="s">
        <v>3343</v>
      </c>
      <c r="F295" s="228" t="s">
        <v>5283</v>
      </c>
      <c r="L295" s="145"/>
      <c r="M295" s="229"/>
      <c r="T295" s="230"/>
      <c r="AT295" s="136" t="s">
        <v>3343</v>
      </c>
      <c r="AU295" s="136" t="s">
        <v>6</v>
      </c>
    </row>
    <row r="296" spans="2:65" s="144" customFormat="1" ht="16.5" customHeight="1">
      <c r="B296" s="214"/>
      <c r="C296" s="215" t="s">
        <v>69</v>
      </c>
      <c r="D296" s="215" t="s">
        <v>3338</v>
      </c>
      <c r="E296" s="216" t="s">
        <v>5284</v>
      </c>
      <c r="F296" s="217" t="s">
        <v>5285</v>
      </c>
      <c r="G296" s="218" t="s">
        <v>1939</v>
      </c>
      <c r="H296" s="219">
        <v>11</v>
      </c>
      <c r="I296" s="745">
        <v>0</v>
      </c>
      <c r="J296" s="220">
        <f>ROUND(I296*H296,2)</f>
        <v>0</v>
      </c>
      <c r="K296" s="217" t="s">
        <v>3341</v>
      </c>
      <c r="L296" s="145"/>
      <c r="M296" s="221" t="s">
        <v>3268</v>
      </c>
      <c r="N296" s="222" t="s">
        <v>3296</v>
      </c>
      <c r="O296" s="223">
        <v>0.83199999999999996</v>
      </c>
      <c r="P296" s="223">
        <f>O296*H296</f>
        <v>9.1519999999999992</v>
      </c>
      <c r="Q296" s="223">
        <v>2.2399999999999998E-3</v>
      </c>
      <c r="R296" s="223">
        <f>Q296*H296</f>
        <v>2.4639999999999999E-2</v>
      </c>
      <c r="S296" s="223">
        <v>0</v>
      </c>
      <c r="T296" s="224">
        <f>S296*H296</f>
        <v>0</v>
      </c>
      <c r="AR296" s="225" t="s">
        <v>20</v>
      </c>
      <c r="AT296" s="225" t="s">
        <v>3338</v>
      </c>
      <c r="AU296" s="225" t="s">
        <v>6</v>
      </c>
      <c r="AY296" s="136" t="s">
        <v>3337</v>
      </c>
      <c r="BE296" s="226">
        <f>IF(N296="základní",J296,0)</f>
        <v>0</v>
      </c>
      <c r="BF296" s="226">
        <f>IF(N296="snížená",J296,0)</f>
        <v>0</v>
      </c>
      <c r="BG296" s="226">
        <f>IF(N296="zákl. přenesená",J296,0)</f>
        <v>0</v>
      </c>
      <c r="BH296" s="226">
        <f>IF(N296="sníž. přenesená",J296,0)</f>
        <v>0</v>
      </c>
      <c r="BI296" s="226">
        <f>IF(N296="nulová",J296,0)</f>
        <v>0</v>
      </c>
      <c r="BJ296" s="136" t="s">
        <v>5</v>
      </c>
      <c r="BK296" s="226">
        <f>ROUND(I296*H296,2)</f>
        <v>0</v>
      </c>
      <c r="BL296" s="136" t="s">
        <v>20</v>
      </c>
      <c r="BM296" s="225" t="s">
        <v>5286</v>
      </c>
    </row>
    <row r="297" spans="2:65" s="144" customFormat="1">
      <c r="B297" s="145"/>
      <c r="D297" s="227" t="s">
        <v>3343</v>
      </c>
      <c r="F297" s="228" t="s">
        <v>5287</v>
      </c>
      <c r="L297" s="145"/>
      <c r="M297" s="229"/>
      <c r="T297" s="230"/>
      <c r="AT297" s="136" t="s">
        <v>3343</v>
      </c>
      <c r="AU297" s="136" t="s">
        <v>6</v>
      </c>
    </row>
    <row r="298" spans="2:65" s="144" customFormat="1" ht="16.5" customHeight="1">
      <c r="B298" s="214"/>
      <c r="C298" s="215" t="s">
        <v>70</v>
      </c>
      <c r="D298" s="215" t="s">
        <v>3338</v>
      </c>
      <c r="E298" s="216" t="s">
        <v>5288</v>
      </c>
      <c r="F298" s="217" t="s">
        <v>5289</v>
      </c>
      <c r="G298" s="218" t="s">
        <v>1939</v>
      </c>
      <c r="H298" s="219">
        <v>25</v>
      </c>
      <c r="I298" s="745">
        <v>0</v>
      </c>
      <c r="J298" s="220">
        <f>ROUND(I298*H298,2)</f>
        <v>0</v>
      </c>
      <c r="K298" s="217" t="s">
        <v>3341</v>
      </c>
      <c r="L298" s="145"/>
      <c r="M298" s="221" t="s">
        <v>3268</v>
      </c>
      <c r="N298" s="222" t="s">
        <v>3296</v>
      </c>
      <c r="O298" s="223">
        <v>0.46800000000000003</v>
      </c>
      <c r="P298" s="223">
        <f>O298*H298</f>
        <v>11.700000000000001</v>
      </c>
      <c r="Q298" s="223">
        <v>1.9300000000000001E-3</v>
      </c>
      <c r="R298" s="223">
        <f>Q298*H298</f>
        <v>4.8250000000000001E-2</v>
      </c>
      <c r="S298" s="223">
        <v>0</v>
      </c>
      <c r="T298" s="224">
        <f>S298*H298</f>
        <v>0</v>
      </c>
      <c r="AR298" s="225" t="s">
        <v>20</v>
      </c>
      <c r="AT298" s="225" t="s">
        <v>3338</v>
      </c>
      <c r="AU298" s="225" t="s">
        <v>6</v>
      </c>
      <c r="AY298" s="136" t="s">
        <v>3337</v>
      </c>
      <c r="BE298" s="226">
        <f>IF(N298="základní",J298,0)</f>
        <v>0</v>
      </c>
      <c r="BF298" s="226">
        <f>IF(N298="snížená",J298,0)</f>
        <v>0</v>
      </c>
      <c r="BG298" s="226">
        <f>IF(N298="zákl. přenesená",J298,0)</f>
        <v>0</v>
      </c>
      <c r="BH298" s="226">
        <f>IF(N298="sníž. přenesená",J298,0)</f>
        <v>0</v>
      </c>
      <c r="BI298" s="226">
        <f>IF(N298="nulová",J298,0)</f>
        <v>0</v>
      </c>
      <c r="BJ298" s="136" t="s">
        <v>5</v>
      </c>
      <c r="BK298" s="226">
        <f>ROUND(I298*H298,2)</f>
        <v>0</v>
      </c>
      <c r="BL298" s="136" t="s">
        <v>20</v>
      </c>
      <c r="BM298" s="225" t="s">
        <v>5290</v>
      </c>
    </row>
    <row r="299" spans="2:65" s="144" customFormat="1">
      <c r="B299" s="145"/>
      <c r="D299" s="227" t="s">
        <v>3343</v>
      </c>
      <c r="F299" s="228" t="s">
        <v>5291</v>
      </c>
      <c r="L299" s="145"/>
      <c r="M299" s="229"/>
      <c r="T299" s="230"/>
      <c r="AT299" s="136" t="s">
        <v>3343</v>
      </c>
      <c r="AU299" s="136" t="s">
        <v>6</v>
      </c>
    </row>
    <row r="300" spans="2:65" s="144" customFormat="1" ht="16.5" customHeight="1">
      <c r="B300" s="214"/>
      <c r="C300" s="215" t="s">
        <v>71</v>
      </c>
      <c r="D300" s="215" t="s">
        <v>3338</v>
      </c>
      <c r="E300" s="216" t="s">
        <v>5292</v>
      </c>
      <c r="F300" s="217" t="s">
        <v>5293</v>
      </c>
      <c r="G300" s="218" t="s">
        <v>1939</v>
      </c>
      <c r="H300" s="219">
        <v>15</v>
      </c>
      <c r="I300" s="745">
        <v>0</v>
      </c>
      <c r="J300" s="220">
        <f>ROUND(I300*H300,2)</f>
        <v>0</v>
      </c>
      <c r="K300" s="217" t="s">
        <v>3268</v>
      </c>
      <c r="L300" s="145"/>
      <c r="M300" s="221" t="s">
        <v>3268</v>
      </c>
      <c r="N300" s="222" t="s">
        <v>3296</v>
      </c>
      <c r="O300" s="223">
        <v>0.46800000000000003</v>
      </c>
      <c r="P300" s="223">
        <f>O300*H300</f>
        <v>7.0200000000000005</v>
      </c>
      <c r="Q300" s="223">
        <v>1.9300000000000001E-3</v>
      </c>
      <c r="R300" s="223">
        <f>Q300*H300</f>
        <v>2.895E-2</v>
      </c>
      <c r="S300" s="223">
        <v>0</v>
      </c>
      <c r="T300" s="224">
        <f>S300*H300</f>
        <v>0</v>
      </c>
      <c r="AR300" s="225" t="s">
        <v>20</v>
      </c>
      <c r="AT300" s="225" t="s">
        <v>3338</v>
      </c>
      <c r="AU300" s="225" t="s">
        <v>6</v>
      </c>
      <c r="AY300" s="136" t="s">
        <v>3337</v>
      </c>
      <c r="BE300" s="226">
        <f>IF(N300="základní",J300,0)</f>
        <v>0</v>
      </c>
      <c r="BF300" s="226">
        <f>IF(N300="snížená",J300,0)</f>
        <v>0</v>
      </c>
      <c r="BG300" s="226">
        <f>IF(N300="zákl. přenesená",J300,0)</f>
        <v>0</v>
      </c>
      <c r="BH300" s="226">
        <f>IF(N300="sníž. přenesená",J300,0)</f>
        <v>0</v>
      </c>
      <c r="BI300" s="226">
        <f>IF(N300="nulová",J300,0)</f>
        <v>0</v>
      </c>
      <c r="BJ300" s="136" t="s">
        <v>5</v>
      </c>
      <c r="BK300" s="226">
        <f>ROUND(I300*H300,2)</f>
        <v>0</v>
      </c>
      <c r="BL300" s="136" t="s">
        <v>20</v>
      </c>
      <c r="BM300" s="225" t="s">
        <v>5294</v>
      </c>
    </row>
    <row r="301" spans="2:65" s="144" customFormat="1">
      <c r="B301" s="145"/>
      <c r="D301" s="227" t="s">
        <v>3343</v>
      </c>
      <c r="F301" s="228" t="s">
        <v>5293</v>
      </c>
      <c r="L301" s="145"/>
      <c r="M301" s="229"/>
      <c r="T301" s="230"/>
      <c r="AT301" s="136" t="s">
        <v>3343</v>
      </c>
      <c r="AU301" s="136" t="s">
        <v>6</v>
      </c>
    </row>
    <row r="302" spans="2:65" s="144" customFormat="1" ht="16.5" customHeight="1">
      <c r="B302" s="214"/>
      <c r="C302" s="215" t="s">
        <v>72</v>
      </c>
      <c r="D302" s="215" t="s">
        <v>3338</v>
      </c>
      <c r="E302" s="216" t="s">
        <v>5295</v>
      </c>
      <c r="F302" s="217" t="s">
        <v>5296</v>
      </c>
      <c r="G302" s="218" t="s">
        <v>1943</v>
      </c>
      <c r="H302" s="219">
        <v>43</v>
      </c>
      <c r="I302" s="745">
        <v>0</v>
      </c>
      <c r="J302" s="220">
        <f>ROUND(I302*H302,2)</f>
        <v>0</v>
      </c>
      <c r="K302" s="217" t="s">
        <v>3341</v>
      </c>
      <c r="L302" s="145"/>
      <c r="M302" s="221" t="s">
        <v>3268</v>
      </c>
      <c r="N302" s="222" t="s">
        <v>3296</v>
      </c>
      <c r="O302" s="223">
        <v>0.17399999999999999</v>
      </c>
      <c r="P302" s="223">
        <f>O302*H302</f>
        <v>7.4819999999999993</v>
      </c>
      <c r="Q302" s="223">
        <v>0</v>
      </c>
      <c r="R302" s="223">
        <f>Q302*H302</f>
        <v>0</v>
      </c>
      <c r="S302" s="223">
        <v>0</v>
      </c>
      <c r="T302" s="224">
        <f>S302*H302</f>
        <v>0</v>
      </c>
      <c r="AR302" s="225" t="s">
        <v>20</v>
      </c>
      <c r="AT302" s="225" t="s">
        <v>3338</v>
      </c>
      <c r="AU302" s="225" t="s">
        <v>6</v>
      </c>
      <c r="AY302" s="136" t="s">
        <v>3337</v>
      </c>
      <c r="BE302" s="226">
        <f>IF(N302="základní",J302,0)</f>
        <v>0</v>
      </c>
      <c r="BF302" s="226">
        <f>IF(N302="snížená",J302,0)</f>
        <v>0</v>
      </c>
      <c r="BG302" s="226">
        <f>IF(N302="zákl. přenesená",J302,0)</f>
        <v>0</v>
      </c>
      <c r="BH302" s="226">
        <f>IF(N302="sníž. přenesená",J302,0)</f>
        <v>0</v>
      </c>
      <c r="BI302" s="226">
        <f>IF(N302="nulová",J302,0)</f>
        <v>0</v>
      </c>
      <c r="BJ302" s="136" t="s">
        <v>5</v>
      </c>
      <c r="BK302" s="226">
        <f>ROUND(I302*H302,2)</f>
        <v>0</v>
      </c>
      <c r="BL302" s="136" t="s">
        <v>20</v>
      </c>
      <c r="BM302" s="225" t="s">
        <v>5297</v>
      </c>
    </row>
    <row r="303" spans="2:65" s="144" customFormat="1" ht="19.2">
      <c r="B303" s="145"/>
      <c r="D303" s="227" t="s">
        <v>3343</v>
      </c>
      <c r="F303" s="228" t="s">
        <v>5298</v>
      </c>
      <c r="L303" s="145"/>
      <c r="M303" s="229"/>
      <c r="T303" s="230"/>
      <c r="AT303" s="136" t="s">
        <v>3343</v>
      </c>
      <c r="AU303" s="136" t="s">
        <v>6</v>
      </c>
    </row>
    <row r="304" spans="2:65" s="144" customFormat="1" ht="16.5" customHeight="1">
      <c r="B304" s="214"/>
      <c r="C304" s="215" t="s">
        <v>73</v>
      </c>
      <c r="D304" s="215" t="s">
        <v>3338</v>
      </c>
      <c r="E304" s="216" t="s">
        <v>5299</v>
      </c>
      <c r="F304" s="217" t="s">
        <v>5300</v>
      </c>
      <c r="G304" s="218" t="s">
        <v>1943</v>
      </c>
      <c r="H304" s="219">
        <v>11</v>
      </c>
      <c r="I304" s="745">
        <v>0</v>
      </c>
      <c r="J304" s="220">
        <f>ROUND(I304*H304,2)</f>
        <v>0</v>
      </c>
      <c r="K304" s="217" t="s">
        <v>3341</v>
      </c>
      <c r="L304" s="145"/>
      <c r="M304" s="221" t="s">
        <v>3268</v>
      </c>
      <c r="N304" s="222" t="s">
        <v>3296</v>
      </c>
      <c r="O304" s="223">
        <v>0.25900000000000001</v>
      </c>
      <c r="P304" s="223">
        <f>O304*H304</f>
        <v>2.8490000000000002</v>
      </c>
      <c r="Q304" s="223">
        <v>0</v>
      </c>
      <c r="R304" s="223">
        <f>Q304*H304</f>
        <v>0</v>
      </c>
      <c r="S304" s="223">
        <v>0</v>
      </c>
      <c r="T304" s="224">
        <f>S304*H304</f>
        <v>0</v>
      </c>
      <c r="AR304" s="225" t="s">
        <v>20</v>
      </c>
      <c r="AT304" s="225" t="s">
        <v>3338</v>
      </c>
      <c r="AU304" s="225" t="s">
        <v>6</v>
      </c>
      <c r="AY304" s="136" t="s">
        <v>3337</v>
      </c>
      <c r="BE304" s="226">
        <f>IF(N304="základní",J304,0)</f>
        <v>0</v>
      </c>
      <c r="BF304" s="226">
        <f>IF(N304="snížená",J304,0)</f>
        <v>0</v>
      </c>
      <c r="BG304" s="226">
        <f>IF(N304="zákl. přenesená",J304,0)</f>
        <v>0</v>
      </c>
      <c r="BH304" s="226">
        <f>IF(N304="sníž. přenesená",J304,0)</f>
        <v>0</v>
      </c>
      <c r="BI304" s="226">
        <f>IF(N304="nulová",J304,0)</f>
        <v>0</v>
      </c>
      <c r="BJ304" s="136" t="s">
        <v>5</v>
      </c>
      <c r="BK304" s="226">
        <f>ROUND(I304*H304,2)</f>
        <v>0</v>
      </c>
      <c r="BL304" s="136" t="s">
        <v>20</v>
      </c>
      <c r="BM304" s="225" t="s">
        <v>5301</v>
      </c>
    </row>
    <row r="305" spans="2:65" s="144" customFormat="1" ht="19.2">
      <c r="B305" s="145"/>
      <c r="D305" s="227" t="s">
        <v>3343</v>
      </c>
      <c r="F305" s="228" t="s">
        <v>5302</v>
      </c>
      <c r="L305" s="145"/>
      <c r="M305" s="229"/>
      <c r="T305" s="230"/>
      <c r="AT305" s="136" t="s">
        <v>3343</v>
      </c>
      <c r="AU305" s="136" t="s">
        <v>6</v>
      </c>
    </row>
    <row r="306" spans="2:65" s="144" customFormat="1" ht="16.5" customHeight="1">
      <c r="B306" s="214"/>
      <c r="C306" s="215" t="s">
        <v>74</v>
      </c>
      <c r="D306" s="215" t="s">
        <v>3338</v>
      </c>
      <c r="E306" s="216" t="s">
        <v>5303</v>
      </c>
      <c r="F306" s="217" t="s">
        <v>5304</v>
      </c>
      <c r="G306" s="218" t="s">
        <v>1943</v>
      </c>
      <c r="H306" s="219">
        <v>62</v>
      </c>
      <c r="I306" s="745">
        <v>0</v>
      </c>
      <c r="J306" s="220">
        <f>ROUND(I306*H306,2)</f>
        <v>0</v>
      </c>
      <c r="K306" s="217" t="s">
        <v>3268</v>
      </c>
      <c r="L306" s="145"/>
      <c r="M306" s="221" t="s">
        <v>3268</v>
      </c>
      <c r="N306" s="222" t="s">
        <v>3296</v>
      </c>
      <c r="O306" s="223">
        <v>0.17399999999999999</v>
      </c>
      <c r="P306" s="223">
        <f>O306*H306</f>
        <v>10.787999999999998</v>
      </c>
      <c r="Q306" s="223">
        <v>0</v>
      </c>
      <c r="R306" s="223">
        <f>Q306*H306</f>
        <v>0</v>
      </c>
      <c r="S306" s="223">
        <v>0</v>
      </c>
      <c r="T306" s="224">
        <f>S306*H306</f>
        <v>0</v>
      </c>
      <c r="AR306" s="225" t="s">
        <v>20</v>
      </c>
      <c r="AT306" s="225" t="s">
        <v>3338</v>
      </c>
      <c r="AU306" s="225" t="s">
        <v>6</v>
      </c>
      <c r="AY306" s="136" t="s">
        <v>3337</v>
      </c>
      <c r="BE306" s="226">
        <f>IF(N306="základní",J306,0)</f>
        <v>0</v>
      </c>
      <c r="BF306" s="226">
        <f>IF(N306="snížená",J306,0)</f>
        <v>0</v>
      </c>
      <c r="BG306" s="226">
        <f>IF(N306="zákl. přenesená",J306,0)</f>
        <v>0</v>
      </c>
      <c r="BH306" s="226">
        <f>IF(N306="sníž. přenesená",J306,0)</f>
        <v>0</v>
      </c>
      <c r="BI306" s="226">
        <f>IF(N306="nulová",J306,0)</f>
        <v>0</v>
      </c>
      <c r="BJ306" s="136" t="s">
        <v>5</v>
      </c>
      <c r="BK306" s="226">
        <f>ROUND(I306*H306,2)</f>
        <v>0</v>
      </c>
      <c r="BL306" s="136" t="s">
        <v>20</v>
      </c>
      <c r="BM306" s="225" t="s">
        <v>5305</v>
      </c>
    </row>
    <row r="307" spans="2:65" s="144" customFormat="1">
      <c r="B307" s="145"/>
      <c r="D307" s="227" t="s">
        <v>3343</v>
      </c>
      <c r="F307" s="228" t="s">
        <v>5304</v>
      </c>
      <c r="L307" s="145"/>
      <c r="M307" s="229"/>
      <c r="T307" s="230"/>
      <c r="AT307" s="136" t="s">
        <v>3343</v>
      </c>
      <c r="AU307" s="136" t="s">
        <v>6</v>
      </c>
    </row>
    <row r="308" spans="2:65" s="144" customFormat="1" ht="21.75" customHeight="1">
      <c r="B308" s="214"/>
      <c r="C308" s="215" t="s">
        <v>75</v>
      </c>
      <c r="D308" s="215" t="s">
        <v>3338</v>
      </c>
      <c r="E308" s="216" t="s">
        <v>5306</v>
      </c>
      <c r="F308" s="217" t="s">
        <v>5307</v>
      </c>
      <c r="G308" s="218" t="s">
        <v>1943</v>
      </c>
      <c r="H308" s="219">
        <v>21</v>
      </c>
      <c r="I308" s="745">
        <v>0</v>
      </c>
      <c r="J308" s="220">
        <f>ROUND(I308*H308,2)</f>
        <v>0</v>
      </c>
      <c r="K308" s="217" t="s">
        <v>3268</v>
      </c>
      <c r="L308" s="145"/>
      <c r="M308" s="221" t="s">
        <v>3268</v>
      </c>
      <c r="N308" s="222" t="s">
        <v>3296</v>
      </c>
      <c r="O308" s="223">
        <v>0.17399999999999999</v>
      </c>
      <c r="P308" s="223">
        <f>O308*H308</f>
        <v>3.6539999999999999</v>
      </c>
      <c r="Q308" s="223">
        <v>0</v>
      </c>
      <c r="R308" s="223">
        <f>Q308*H308</f>
        <v>0</v>
      </c>
      <c r="S308" s="223">
        <v>0</v>
      </c>
      <c r="T308" s="224">
        <f>S308*H308</f>
        <v>0</v>
      </c>
      <c r="AR308" s="225" t="s">
        <v>20</v>
      </c>
      <c r="AT308" s="225" t="s">
        <v>3338</v>
      </c>
      <c r="AU308" s="225" t="s">
        <v>6</v>
      </c>
      <c r="AY308" s="136" t="s">
        <v>3337</v>
      </c>
      <c r="BE308" s="226">
        <f>IF(N308="základní",J308,0)</f>
        <v>0</v>
      </c>
      <c r="BF308" s="226">
        <f>IF(N308="snížená",J308,0)</f>
        <v>0</v>
      </c>
      <c r="BG308" s="226">
        <f>IF(N308="zákl. přenesená",J308,0)</f>
        <v>0</v>
      </c>
      <c r="BH308" s="226">
        <f>IF(N308="sníž. přenesená",J308,0)</f>
        <v>0</v>
      </c>
      <c r="BI308" s="226">
        <f>IF(N308="nulová",J308,0)</f>
        <v>0</v>
      </c>
      <c r="BJ308" s="136" t="s">
        <v>5</v>
      </c>
      <c r="BK308" s="226">
        <f>ROUND(I308*H308,2)</f>
        <v>0</v>
      </c>
      <c r="BL308" s="136" t="s">
        <v>20</v>
      </c>
      <c r="BM308" s="225" t="s">
        <v>5308</v>
      </c>
    </row>
    <row r="309" spans="2:65" s="144" customFormat="1">
      <c r="B309" s="145"/>
      <c r="D309" s="227" t="s">
        <v>3343</v>
      </c>
      <c r="F309" s="228" t="s">
        <v>5307</v>
      </c>
      <c r="L309" s="145"/>
      <c r="M309" s="229"/>
      <c r="T309" s="230"/>
      <c r="AT309" s="136" t="s">
        <v>3343</v>
      </c>
      <c r="AU309" s="136" t="s">
        <v>6</v>
      </c>
    </row>
    <row r="310" spans="2:65" s="144" customFormat="1" ht="21.75" customHeight="1">
      <c r="B310" s="214"/>
      <c r="C310" s="215" t="s">
        <v>76</v>
      </c>
      <c r="D310" s="215" t="s">
        <v>3338</v>
      </c>
      <c r="E310" s="216" t="s">
        <v>5309</v>
      </c>
      <c r="F310" s="217" t="s">
        <v>5310</v>
      </c>
      <c r="G310" s="218" t="s">
        <v>1943</v>
      </c>
      <c r="H310" s="219">
        <v>3</v>
      </c>
      <c r="I310" s="745">
        <v>0</v>
      </c>
      <c r="J310" s="220">
        <f>ROUND(I310*H310,2)</f>
        <v>0</v>
      </c>
      <c r="K310" s="217" t="s">
        <v>3341</v>
      </c>
      <c r="L310" s="145"/>
      <c r="M310" s="221" t="s">
        <v>3268</v>
      </c>
      <c r="N310" s="222" t="s">
        <v>3296</v>
      </c>
      <c r="O310" s="223">
        <v>0.46500000000000002</v>
      </c>
      <c r="P310" s="223">
        <f>O310*H310</f>
        <v>1.395</v>
      </c>
      <c r="Q310" s="223">
        <v>1.48E-3</v>
      </c>
      <c r="R310" s="223">
        <f>Q310*H310</f>
        <v>4.4399999999999995E-3</v>
      </c>
      <c r="S310" s="223">
        <v>0</v>
      </c>
      <c r="T310" s="224">
        <f>S310*H310</f>
        <v>0</v>
      </c>
      <c r="AR310" s="225" t="s">
        <v>20</v>
      </c>
      <c r="AT310" s="225" t="s">
        <v>3338</v>
      </c>
      <c r="AU310" s="225" t="s">
        <v>6</v>
      </c>
      <c r="AY310" s="136" t="s">
        <v>3337</v>
      </c>
      <c r="BE310" s="226">
        <f>IF(N310="základní",J310,0)</f>
        <v>0</v>
      </c>
      <c r="BF310" s="226">
        <f>IF(N310="snížená",J310,0)</f>
        <v>0</v>
      </c>
      <c r="BG310" s="226">
        <f>IF(N310="zákl. přenesená",J310,0)</f>
        <v>0</v>
      </c>
      <c r="BH310" s="226">
        <f>IF(N310="sníž. přenesená",J310,0)</f>
        <v>0</v>
      </c>
      <c r="BI310" s="226">
        <f>IF(N310="nulová",J310,0)</f>
        <v>0</v>
      </c>
      <c r="BJ310" s="136" t="s">
        <v>5</v>
      </c>
      <c r="BK310" s="226">
        <f>ROUND(I310*H310,2)</f>
        <v>0</v>
      </c>
      <c r="BL310" s="136" t="s">
        <v>20</v>
      </c>
      <c r="BM310" s="225" t="s">
        <v>5311</v>
      </c>
    </row>
    <row r="311" spans="2:65" s="144" customFormat="1" ht="19.2">
      <c r="B311" s="145"/>
      <c r="D311" s="227" t="s">
        <v>3343</v>
      </c>
      <c r="F311" s="228" t="s">
        <v>5312</v>
      </c>
      <c r="L311" s="145"/>
      <c r="M311" s="229"/>
      <c r="T311" s="230"/>
      <c r="AT311" s="136" t="s">
        <v>3343</v>
      </c>
      <c r="AU311" s="136" t="s">
        <v>6</v>
      </c>
    </row>
    <row r="312" spans="2:65" s="144" customFormat="1" ht="16.5" customHeight="1">
      <c r="B312" s="214"/>
      <c r="C312" s="215" t="s">
        <v>77</v>
      </c>
      <c r="D312" s="215" t="s">
        <v>3338</v>
      </c>
      <c r="E312" s="216" t="s">
        <v>5313</v>
      </c>
      <c r="F312" s="217" t="s">
        <v>5314</v>
      </c>
      <c r="G312" s="218" t="s">
        <v>1943</v>
      </c>
      <c r="H312" s="219">
        <v>2</v>
      </c>
      <c r="I312" s="745">
        <v>0</v>
      </c>
      <c r="J312" s="220">
        <f>ROUND(I312*H312,2)</f>
        <v>0</v>
      </c>
      <c r="K312" s="217" t="s">
        <v>3268</v>
      </c>
      <c r="L312" s="145"/>
      <c r="M312" s="221" t="s">
        <v>3268</v>
      </c>
      <c r="N312" s="222" t="s">
        <v>3296</v>
      </c>
      <c r="O312" s="223">
        <v>0.46500000000000002</v>
      </c>
      <c r="P312" s="223">
        <f>O312*H312</f>
        <v>0.93</v>
      </c>
      <c r="Q312" s="223">
        <v>1.48E-3</v>
      </c>
      <c r="R312" s="223">
        <f>Q312*H312</f>
        <v>2.96E-3</v>
      </c>
      <c r="S312" s="223">
        <v>0</v>
      </c>
      <c r="T312" s="224">
        <f>S312*H312</f>
        <v>0</v>
      </c>
      <c r="AR312" s="225" t="s">
        <v>20</v>
      </c>
      <c r="AT312" s="225" t="s">
        <v>3338</v>
      </c>
      <c r="AU312" s="225" t="s">
        <v>6</v>
      </c>
      <c r="AY312" s="136" t="s">
        <v>3337</v>
      </c>
      <c r="BE312" s="226">
        <f>IF(N312="základní",J312,0)</f>
        <v>0</v>
      </c>
      <c r="BF312" s="226">
        <f>IF(N312="snížená",J312,0)</f>
        <v>0</v>
      </c>
      <c r="BG312" s="226">
        <f>IF(N312="zákl. přenesená",J312,0)</f>
        <v>0</v>
      </c>
      <c r="BH312" s="226">
        <f>IF(N312="sníž. přenesená",J312,0)</f>
        <v>0</v>
      </c>
      <c r="BI312" s="226">
        <f>IF(N312="nulová",J312,0)</f>
        <v>0</v>
      </c>
      <c r="BJ312" s="136" t="s">
        <v>5</v>
      </c>
      <c r="BK312" s="226">
        <f>ROUND(I312*H312,2)</f>
        <v>0</v>
      </c>
      <c r="BL312" s="136" t="s">
        <v>20</v>
      </c>
      <c r="BM312" s="225" t="s">
        <v>5315</v>
      </c>
    </row>
    <row r="313" spans="2:65" s="144" customFormat="1" ht="38.4">
      <c r="B313" s="145"/>
      <c r="D313" s="227" t="s">
        <v>3343</v>
      </c>
      <c r="F313" s="228" t="s">
        <v>5316</v>
      </c>
      <c r="L313" s="145"/>
      <c r="M313" s="229"/>
      <c r="T313" s="230"/>
      <c r="AT313" s="136" t="s">
        <v>3343</v>
      </c>
      <c r="AU313" s="136" t="s">
        <v>6</v>
      </c>
    </row>
    <row r="314" spans="2:65" s="144" customFormat="1" ht="21.75" customHeight="1">
      <c r="B314" s="214"/>
      <c r="C314" s="215" t="s">
        <v>78</v>
      </c>
      <c r="D314" s="215" t="s">
        <v>3338</v>
      </c>
      <c r="E314" s="216" t="s">
        <v>5317</v>
      </c>
      <c r="F314" s="217" t="s">
        <v>5318</v>
      </c>
      <c r="G314" s="218" t="s">
        <v>1943</v>
      </c>
      <c r="H314" s="219">
        <v>2</v>
      </c>
      <c r="I314" s="745">
        <v>0</v>
      </c>
      <c r="J314" s="220">
        <f>ROUND(I314*H314,2)</f>
        <v>0</v>
      </c>
      <c r="K314" s="217" t="s">
        <v>3268</v>
      </c>
      <c r="L314" s="145"/>
      <c r="M314" s="221" t="s">
        <v>3268</v>
      </c>
      <c r="N314" s="222" t="s">
        <v>3296</v>
      </c>
      <c r="O314" s="223">
        <v>2.54</v>
      </c>
      <c r="P314" s="223">
        <f>O314*H314</f>
        <v>5.08</v>
      </c>
      <c r="Q314" s="223">
        <v>5.9500000000000004E-3</v>
      </c>
      <c r="R314" s="223">
        <f>Q314*H314</f>
        <v>1.1900000000000001E-2</v>
      </c>
      <c r="S314" s="223">
        <v>0</v>
      </c>
      <c r="T314" s="224">
        <f>S314*H314</f>
        <v>0</v>
      </c>
      <c r="AR314" s="225" t="s">
        <v>20</v>
      </c>
      <c r="AT314" s="225" t="s">
        <v>3338</v>
      </c>
      <c r="AU314" s="225" t="s">
        <v>6</v>
      </c>
      <c r="AY314" s="136" t="s">
        <v>3337</v>
      </c>
      <c r="BE314" s="226">
        <f>IF(N314="základní",J314,0)</f>
        <v>0</v>
      </c>
      <c r="BF314" s="226">
        <f>IF(N314="snížená",J314,0)</f>
        <v>0</v>
      </c>
      <c r="BG314" s="226">
        <f>IF(N314="zákl. přenesená",J314,0)</f>
        <v>0</v>
      </c>
      <c r="BH314" s="226">
        <f>IF(N314="sníž. přenesená",J314,0)</f>
        <v>0</v>
      </c>
      <c r="BI314" s="226">
        <f>IF(N314="nulová",J314,0)</f>
        <v>0</v>
      </c>
      <c r="BJ314" s="136" t="s">
        <v>5</v>
      </c>
      <c r="BK314" s="226">
        <f>ROUND(I314*H314,2)</f>
        <v>0</v>
      </c>
      <c r="BL314" s="136" t="s">
        <v>20</v>
      </c>
      <c r="BM314" s="225" t="s">
        <v>5319</v>
      </c>
    </row>
    <row r="315" spans="2:65" s="144" customFormat="1" ht="19.2">
      <c r="B315" s="145"/>
      <c r="D315" s="227" t="s">
        <v>3343</v>
      </c>
      <c r="F315" s="228" t="s">
        <v>5318</v>
      </c>
      <c r="L315" s="145"/>
      <c r="M315" s="229"/>
      <c r="T315" s="230"/>
      <c r="AT315" s="136" t="s">
        <v>3343</v>
      </c>
      <c r="AU315" s="136" t="s">
        <v>6</v>
      </c>
    </row>
    <row r="316" spans="2:65" s="144" customFormat="1" ht="21.75" customHeight="1">
      <c r="B316" s="214"/>
      <c r="C316" s="215" t="s">
        <v>79</v>
      </c>
      <c r="D316" s="215" t="s">
        <v>3338</v>
      </c>
      <c r="E316" s="216" t="s">
        <v>5320</v>
      </c>
      <c r="F316" s="217" t="s">
        <v>5321</v>
      </c>
      <c r="G316" s="218" t="s">
        <v>1943</v>
      </c>
      <c r="H316" s="219">
        <v>3</v>
      </c>
      <c r="I316" s="745">
        <v>0</v>
      </c>
      <c r="J316" s="220">
        <f>ROUND(I316*H316,2)</f>
        <v>0</v>
      </c>
      <c r="K316" s="217" t="s">
        <v>3341</v>
      </c>
      <c r="L316" s="145"/>
      <c r="M316" s="221" t="s">
        <v>3268</v>
      </c>
      <c r="N316" s="222" t="s">
        <v>3296</v>
      </c>
      <c r="O316" s="223">
        <v>0.113</v>
      </c>
      <c r="P316" s="223">
        <f>O316*H316</f>
        <v>0.33900000000000002</v>
      </c>
      <c r="Q316" s="223">
        <v>3.4000000000000002E-4</v>
      </c>
      <c r="R316" s="223">
        <f>Q316*H316</f>
        <v>1.0200000000000001E-3</v>
      </c>
      <c r="S316" s="223">
        <v>0</v>
      </c>
      <c r="T316" s="224">
        <f>S316*H316</f>
        <v>0</v>
      </c>
      <c r="AR316" s="225" t="s">
        <v>20</v>
      </c>
      <c r="AT316" s="225" t="s">
        <v>3338</v>
      </c>
      <c r="AU316" s="225" t="s">
        <v>6</v>
      </c>
      <c r="AY316" s="136" t="s">
        <v>3337</v>
      </c>
      <c r="BE316" s="226">
        <f>IF(N316="základní",J316,0)</f>
        <v>0</v>
      </c>
      <c r="BF316" s="226">
        <f>IF(N316="snížená",J316,0)</f>
        <v>0</v>
      </c>
      <c r="BG316" s="226">
        <f>IF(N316="zákl. přenesená",J316,0)</f>
        <v>0</v>
      </c>
      <c r="BH316" s="226">
        <f>IF(N316="sníž. přenesená",J316,0)</f>
        <v>0</v>
      </c>
      <c r="BI316" s="226">
        <f>IF(N316="nulová",J316,0)</f>
        <v>0</v>
      </c>
      <c r="BJ316" s="136" t="s">
        <v>5</v>
      </c>
      <c r="BK316" s="226">
        <f>ROUND(I316*H316,2)</f>
        <v>0</v>
      </c>
      <c r="BL316" s="136" t="s">
        <v>20</v>
      </c>
      <c r="BM316" s="225" t="s">
        <v>5322</v>
      </c>
    </row>
    <row r="317" spans="2:65" s="144" customFormat="1" ht="19.2">
      <c r="B317" s="145"/>
      <c r="D317" s="227" t="s">
        <v>3343</v>
      </c>
      <c r="F317" s="228" t="s">
        <v>5323</v>
      </c>
      <c r="L317" s="145"/>
      <c r="M317" s="229"/>
      <c r="T317" s="230"/>
      <c r="AT317" s="136" t="s">
        <v>3343</v>
      </c>
      <c r="AU317" s="136" t="s">
        <v>6</v>
      </c>
    </row>
    <row r="318" spans="2:65" s="144" customFormat="1" ht="21.75" customHeight="1">
      <c r="B318" s="214"/>
      <c r="C318" s="215" t="s">
        <v>80</v>
      </c>
      <c r="D318" s="215" t="s">
        <v>3338</v>
      </c>
      <c r="E318" s="216" t="s">
        <v>5324</v>
      </c>
      <c r="F318" s="217" t="s">
        <v>5325</v>
      </c>
      <c r="G318" s="218" t="s">
        <v>1943</v>
      </c>
      <c r="H318" s="219">
        <v>7</v>
      </c>
      <c r="I318" s="745">
        <v>0</v>
      </c>
      <c r="J318" s="220">
        <f>ROUND(I318*H318,2)</f>
        <v>0</v>
      </c>
      <c r="K318" s="217" t="s">
        <v>3268</v>
      </c>
      <c r="L318" s="145"/>
      <c r="M318" s="221" t="s">
        <v>3268</v>
      </c>
      <c r="N318" s="222" t="s">
        <v>3296</v>
      </c>
      <c r="O318" s="223">
        <v>0.113</v>
      </c>
      <c r="P318" s="223">
        <f>O318*H318</f>
        <v>0.79100000000000004</v>
      </c>
      <c r="Q318" s="223">
        <v>5.0000000000000001E-4</v>
      </c>
      <c r="R318" s="223">
        <f>Q318*H318</f>
        <v>3.5000000000000001E-3</v>
      </c>
      <c r="S318" s="223">
        <v>0</v>
      </c>
      <c r="T318" s="224">
        <f>S318*H318</f>
        <v>0</v>
      </c>
      <c r="AR318" s="225" t="s">
        <v>20</v>
      </c>
      <c r="AT318" s="225" t="s">
        <v>3338</v>
      </c>
      <c r="AU318" s="225" t="s">
        <v>6</v>
      </c>
      <c r="AY318" s="136" t="s">
        <v>3337</v>
      </c>
      <c r="BE318" s="226">
        <f>IF(N318="základní",J318,0)</f>
        <v>0</v>
      </c>
      <c r="BF318" s="226">
        <f>IF(N318="snížená",J318,0)</f>
        <v>0</v>
      </c>
      <c r="BG318" s="226">
        <f>IF(N318="zákl. přenesená",J318,0)</f>
        <v>0</v>
      </c>
      <c r="BH318" s="226">
        <f>IF(N318="sníž. přenesená",J318,0)</f>
        <v>0</v>
      </c>
      <c r="BI318" s="226">
        <f>IF(N318="nulová",J318,0)</f>
        <v>0</v>
      </c>
      <c r="BJ318" s="136" t="s">
        <v>5</v>
      </c>
      <c r="BK318" s="226">
        <f>ROUND(I318*H318,2)</f>
        <v>0</v>
      </c>
      <c r="BL318" s="136" t="s">
        <v>20</v>
      </c>
      <c r="BM318" s="225" t="s">
        <v>5326</v>
      </c>
    </row>
    <row r="319" spans="2:65" s="144" customFormat="1" ht="38.4">
      <c r="B319" s="145"/>
      <c r="D319" s="227" t="s">
        <v>3343</v>
      </c>
      <c r="F319" s="228" t="s">
        <v>5327</v>
      </c>
      <c r="L319" s="145"/>
      <c r="M319" s="229"/>
      <c r="T319" s="230"/>
      <c r="AT319" s="136" t="s">
        <v>3343</v>
      </c>
      <c r="AU319" s="136" t="s">
        <v>6</v>
      </c>
    </row>
    <row r="320" spans="2:65" s="144" customFormat="1" ht="16.5" customHeight="1">
      <c r="B320" s="214"/>
      <c r="C320" s="215" t="s">
        <v>81</v>
      </c>
      <c r="D320" s="215" t="s">
        <v>3338</v>
      </c>
      <c r="E320" s="216" t="s">
        <v>5328</v>
      </c>
      <c r="F320" s="217" t="s">
        <v>5329</v>
      </c>
      <c r="G320" s="218" t="s">
        <v>1943</v>
      </c>
      <c r="H320" s="219">
        <v>2</v>
      </c>
      <c r="I320" s="745">
        <v>0</v>
      </c>
      <c r="J320" s="220">
        <f>ROUND(I320*H320,2)</f>
        <v>0</v>
      </c>
      <c r="K320" s="217" t="s">
        <v>3268</v>
      </c>
      <c r="L320" s="145"/>
      <c r="M320" s="221" t="s">
        <v>3268</v>
      </c>
      <c r="N320" s="222" t="s">
        <v>3296</v>
      </c>
      <c r="O320" s="223">
        <v>0.113</v>
      </c>
      <c r="P320" s="223">
        <f>O320*H320</f>
        <v>0.22600000000000001</v>
      </c>
      <c r="Q320" s="223">
        <v>5.0000000000000001E-4</v>
      </c>
      <c r="R320" s="223">
        <f>Q320*H320</f>
        <v>1E-3</v>
      </c>
      <c r="S320" s="223">
        <v>0</v>
      </c>
      <c r="T320" s="224">
        <f>S320*H320</f>
        <v>0</v>
      </c>
      <c r="AR320" s="225" t="s">
        <v>20</v>
      </c>
      <c r="AT320" s="225" t="s">
        <v>3338</v>
      </c>
      <c r="AU320" s="225" t="s">
        <v>6</v>
      </c>
      <c r="AY320" s="136" t="s">
        <v>3337</v>
      </c>
      <c r="BE320" s="226">
        <f>IF(N320="základní",J320,0)</f>
        <v>0</v>
      </c>
      <c r="BF320" s="226">
        <f>IF(N320="snížená",J320,0)</f>
        <v>0</v>
      </c>
      <c r="BG320" s="226">
        <f>IF(N320="zákl. přenesená",J320,0)</f>
        <v>0</v>
      </c>
      <c r="BH320" s="226">
        <f>IF(N320="sníž. přenesená",J320,0)</f>
        <v>0</v>
      </c>
      <c r="BI320" s="226">
        <f>IF(N320="nulová",J320,0)</f>
        <v>0</v>
      </c>
      <c r="BJ320" s="136" t="s">
        <v>5</v>
      </c>
      <c r="BK320" s="226">
        <f>ROUND(I320*H320,2)</f>
        <v>0</v>
      </c>
      <c r="BL320" s="136" t="s">
        <v>20</v>
      </c>
      <c r="BM320" s="225" t="s">
        <v>5330</v>
      </c>
    </row>
    <row r="321" spans="2:65" s="144" customFormat="1" ht="19.2">
      <c r="B321" s="145"/>
      <c r="D321" s="227" t="s">
        <v>3343</v>
      </c>
      <c r="F321" s="228" t="s">
        <v>5331</v>
      </c>
      <c r="L321" s="145"/>
      <c r="M321" s="229"/>
      <c r="T321" s="230"/>
      <c r="AT321" s="136" t="s">
        <v>3343</v>
      </c>
      <c r="AU321" s="136" t="s">
        <v>6</v>
      </c>
    </row>
    <row r="322" spans="2:65" s="144" customFormat="1" ht="21.75" customHeight="1">
      <c r="B322" s="214"/>
      <c r="C322" s="215" t="s">
        <v>82</v>
      </c>
      <c r="D322" s="215" t="s">
        <v>3338</v>
      </c>
      <c r="E322" s="216" t="s">
        <v>5332</v>
      </c>
      <c r="F322" s="217" t="s">
        <v>5333</v>
      </c>
      <c r="G322" s="218" t="s">
        <v>1943</v>
      </c>
      <c r="H322" s="219">
        <v>4</v>
      </c>
      <c r="I322" s="745">
        <v>0</v>
      </c>
      <c r="J322" s="220">
        <f>ROUND(I322*H322,2)</f>
        <v>0</v>
      </c>
      <c r="K322" s="217" t="s">
        <v>3341</v>
      </c>
      <c r="L322" s="145"/>
      <c r="M322" s="221" t="s">
        <v>3268</v>
      </c>
      <c r="N322" s="222" t="s">
        <v>3296</v>
      </c>
      <c r="O322" s="223">
        <v>0.22500000000000001</v>
      </c>
      <c r="P322" s="223">
        <f>O322*H322</f>
        <v>0.9</v>
      </c>
      <c r="Q322" s="223">
        <v>2.1199999999999999E-3</v>
      </c>
      <c r="R322" s="223">
        <f>Q322*H322</f>
        <v>8.4799999999999997E-3</v>
      </c>
      <c r="S322" s="223">
        <v>0</v>
      </c>
      <c r="T322" s="224">
        <f>S322*H322</f>
        <v>0</v>
      </c>
      <c r="AR322" s="225" t="s">
        <v>20</v>
      </c>
      <c r="AT322" s="225" t="s">
        <v>3338</v>
      </c>
      <c r="AU322" s="225" t="s">
        <v>6</v>
      </c>
      <c r="AY322" s="136" t="s">
        <v>3337</v>
      </c>
      <c r="BE322" s="226">
        <f>IF(N322="základní",J322,0)</f>
        <v>0</v>
      </c>
      <c r="BF322" s="226">
        <f>IF(N322="snížená",J322,0)</f>
        <v>0</v>
      </c>
      <c r="BG322" s="226">
        <f>IF(N322="zákl. přenesená",J322,0)</f>
        <v>0</v>
      </c>
      <c r="BH322" s="226">
        <f>IF(N322="sníž. přenesená",J322,0)</f>
        <v>0</v>
      </c>
      <c r="BI322" s="226">
        <f>IF(N322="nulová",J322,0)</f>
        <v>0</v>
      </c>
      <c r="BJ322" s="136" t="s">
        <v>5</v>
      </c>
      <c r="BK322" s="226">
        <f>ROUND(I322*H322,2)</f>
        <v>0</v>
      </c>
      <c r="BL322" s="136" t="s">
        <v>20</v>
      </c>
      <c r="BM322" s="225" t="s">
        <v>5334</v>
      </c>
    </row>
    <row r="323" spans="2:65" s="144" customFormat="1" ht="19.2">
      <c r="B323" s="145"/>
      <c r="D323" s="227" t="s">
        <v>3343</v>
      </c>
      <c r="F323" s="228" t="s">
        <v>5335</v>
      </c>
      <c r="L323" s="145"/>
      <c r="M323" s="229"/>
      <c r="T323" s="230"/>
      <c r="AT323" s="136" t="s">
        <v>3343</v>
      </c>
      <c r="AU323" s="136" t="s">
        <v>6</v>
      </c>
    </row>
    <row r="324" spans="2:65" s="144" customFormat="1" ht="21.75" customHeight="1">
      <c r="B324" s="214"/>
      <c r="C324" s="215" t="s">
        <v>83</v>
      </c>
      <c r="D324" s="215" t="s">
        <v>3338</v>
      </c>
      <c r="E324" s="216" t="s">
        <v>5336</v>
      </c>
      <c r="F324" s="217" t="s">
        <v>5337</v>
      </c>
      <c r="G324" s="218" t="s">
        <v>1943</v>
      </c>
      <c r="H324" s="219">
        <v>1</v>
      </c>
      <c r="I324" s="745">
        <v>0</v>
      </c>
      <c r="J324" s="220">
        <f>ROUND(I324*H324,2)</f>
        <v>0</v>
      </c>
      <c r="K324" s="217" t="s">
        <v>3341</v>
      </c>
      <c r="L324" s="145"/>
      <c r="M324" s="221" t="s">
        <v>3268</v>
      </c>
      <c r="N324" s="222" t="s">
        <v>3296</v>
      </c>
      <c r="O324" s="223">
        <v>0.113</v>
      </c>
      <c r="P324" s="223">
        <f>O324*H324</f>
        <v>0.113</v>
      </c>
      <c r="Q324" s="223">
        <v>1.67E-3</v>
      </c>
      <c r="R324" s="223">
        <f>Q324*H324</f>
        <v>1.67E-3</v>
      </c>
      <c r="S324" s="223">
        <v>0</v>
      </c>
      <c r="T324" s="224">
        <f>S324*H324</f>
        <v>0</v>
      </c>
      <c r="AR324" s="225" t="s">
        <v>20</v>
      </c>
      <c r="AT324" s="225" t="s">
        <v>3338</v>
      </c>
      <c r="AU324" s="225" t="s">
        <v>6</v>
      </c>
      <c r="AY324" s="136" t="s">
        <v>3337</v>
      </c>
      <c r="BE324" s="226">
        <f>IF(N324="základní",J324,0)</f>
        <v>0</v>
      </c>
      <c r="BF324" s="226">
        <f>IF(N324="snížená",J324,0)</f>
        <v>0</v>
      </c>
      <c r="BG324" s="226">
        <f>IF(N324="zákl. přenesená",J324,0)</f>
        <v>0</v>
      </c>
      <c r="BH324" s="226">
        <f>IF(N324="sníž. přenesená",J324,0)</f>
        <v>0</v>
      </c>
      <c r="BI324" s="226">
        <f>IF(N324="nulová",J324,0)</f>
        <v>0</v>
      </c>
      <c r="BJ324" s="136" t="s">
        <v>5</v>
      </c>
      <c r="BK324" s="226">
        <f>ROUND(I324*H324,2)</f>
        <v>0</v>
      </c>
      <c r="BL324" s="136" t="s">
        <v>20</v>
      </c>
      <c r="BM324" s="225" t="s">
        <v>5338</v>
      </c>
    </row>
    <row r="325" spans="2:65" s="144" customFormat="1" ht="19.2">
      <c r="B325" s="145"/>
      <c r="D325" s="227" t="s">
        <v>3343</v>
      </c>
      <c r="F325" s="228" t="s">
        <v>5339</v>
      </c>
      <c r="L325" s="145"/>
      <c r="M325" s="229"/>
      <c r="T325" s="230"/>
      <c r="AT325" s="136" t="s">
        <v>3343</v>
      </c>
      <c r="AU325" s="136" t="s">
        <v>6</v>
      </c>
    </row>
    <row r="326" spans="2:65" s="144" customFormat="1" ht="16.5" customHeight="1">
      <c r="B326" s="214"/>
      <c r="C326" s="215" t="s">
        <v>84</v>
      </c>
      <c r="D326" s="215" t="s">
        <v>3338</v>
      </c>
      <c r="E326" s="216" t="s">
        <v>5340</v>
      </c>
      <c r="F326" s="217" t="s">
        <v>5341</v>
      </c>
      <c r="G326" s="218" t="s">
        <v>1943</v>
      </c>
      <c r="H326" s="219">
        <v>5</v>
      </c>
      <c r="I326" s="745">
        <v>0</v>
      </c>
      <c r="J326" s="220">
        <f>ROUND(I326*H326,2)</f>
        <v>0</v>
      </c>
      <c r="K326" s="217" t="s">
        <v>3341</v>
      </c>
      <c r="L326" s="145"/>
      <c r="M326" s="221" t="s">
        <v>3268</v>
      </c>
      <c r="N326" s="222" t="s">
        <v>3296</v>
      </c>
      <c r="O326" s="223">
        <v>0.17699999999999999</v>
      </c>
      <c r="P326" s="223">
        <f>O326*H326</f>
        <v>0.88500000000000001</v>
      </c>
      <c r="Q326" s="223">
        <v>2.9E-4</v>
      </c>
      <c r="R326" s="223">
        <f>Q326*H326</f>
        <v>1.4499999999999999E-3</v>
      </c>
      <c r="S326" s="223">
        <v>0</v>
      </c>
      <c r="T326" s="224">
        <f>S326*H326</f>
        <v>0</v>
      </c>
      <c r="AR326" s="225" t="s">
        <v>20</v>
      </c>
      <c r="AT326" s="225" t="s">
        <v>3338</v>
      </c>
      <c r="AU326" s="225" t="s">
        <v>6</v>
      </c>
      <c r="AY326" s="136" t="s">
        <v>3337</v>
      </c>
      <c r="BE326" s="226">
        <f>IF(N326="základní",J326,0)</f>
        <v>0</v>
      </c>
      <c r="BF326" s="226">
        <f>IF(N326="snížená",J326,0)</f>
        <v>0</v>
      </c>
      <c r="BG326" s="226">
        <f>IF(N326="zákl. přenesená",J326,0)</f>
        <v>0</v>
      </c>
      <c r="BH326" s="226">
        <f>IF(N326="sníž. přenesená",J326,0)</f>
        <v>0</v>
      </c>
      <c r="BI326" s="226">
        <f>IF(N326="nulová",J326,0)</f>
        <v>0</v>
      </c>
      <c r="BJ326" s="136" t="s">
        <v>5</v>
      </c>
      <c r="BK326" s="226">
        <f>ROUND(I326*H326,2)</f>
        <v>0</v>
      </c>
      <c r="BL326" s="136" t="s">
        <v>20</v>
      </c>
      <c r="BM326" s="225" t="s">
        <v>5342</v>
      </c>
    </row>
    <row r="327" spans="2:65" s="144" customFormat="1">
      <c r="B327" s="145"/>
      <c r="D327" s="227" t="s">
        <v>3343</v>
      </c>
      <c r="F327" s="228" t="s">
        <v>5343</v>
      </c>
      <c r="L327" s="145"/>
      <c r="M327" s="229"/>
      <c r="T327" s="230"/>
      <c r="AT327" s="136" t="s">
        <v>3343</v>
      </c>
      <c r="AU327" s="136" t="s">
        <v>6</v>
      </c>
    </row>
    <row r="328" spans="2:65" s="144" customFormat="1" ht="16.5" customHeight="1">
      <c r="B328" s="214"/>
      <c r="C328" s="215" t="s">
        <v>85</v>
      </c>
      <c r="D328" s="215" t="s">
        <v>3338</v>
      </c>
      <c r="E328" s="216" t="s">
        <v>5344</v>
      </c>
      <c r="F328" s="217" t="s">
        <v>5345</v>
      </c>
      <c r="G328" s="218" t="s">
        <v>1939</v>
      </c>
      <c r="H328" s="219">
        <v>537</v>
      </c>
      <c r="I328" s="745">
        <v>0</v>
      </c>
      <c r="J328" s="220">
        <f>ROUND(I328*H328,2)</f>
        <v>0</v>
      </c>
      <c r="K328" s="217" t="s">
        <v>3341</v>
      </c>
      <c r="L328" s="145"/>
      <c r="M328" s="221" t="s">
        <v>3268</v>
      </c>
      <c r="N328" s="222" t="s">
        <v>3296</v>
      </c>
      <c r="O328" s="223">
        <v>4.8000000000000001E-2</v>
      </c>
      <c r="P328" s="223">
        <f>O328*H328</f>
        <v>25.776</v>
      </c>
      <c r="Q328" s="223">
        <v>0</v>
      </c>
      <c r="R328" s="223">
        <f>Q328*H328</f>
        <v>0</v>
      </c>
      <c r="S328" s="223">
        <v>0</v>
      </c>
      <c r="T328" s="224">
        <f>S328*H328</f>
        <v>0</v>
      </c>
      <c r="AR328" s="225" t="s">
        <v>20</v>
      </c>
      <c r="AT328" s="225" t="s">
        <v>3338</v>
      </c>
      <c r="AU328" s="225" t="s">
        <v>6</v>
      </c>
      <c r="AY328" s="136" t="s">
        <v>3337</v>
      </c>
      <c r="BE328" s="226">
        <f>IF(N328="základní",J328,0)</f>
        <v>0</v>
      </c>
      <c r="BF328" s="226">
        <f>IF(N328="snížená",J328,0)</f>
        <v>0</v>
      </c>
      <c r="BG328" s="226">
        <f>IF(N328="zákl. přenesená",J328,0)</f>
        <v>0</v>
      </c>
      <c r="BH328" s="226">
        <f>IF(N328="sníž. přenesená",J328,0)</f>
        <v>0</v>
      </c>
      <c r="BI328" s="226">
        <f>IF(N328="nulová",J328,0)</f>
        <v>0</v>
      </c>
      <c r="BJ328" s="136" t="s">
        <v>5</v>
      </c>
      <c r="BK328" s="226">
        <f>ROUND(I328*H328,2)</f>
        <v>0</v>
      </c>
      <c r="BL328" s="136" t="s">
        <v>20</v>
      </c>
      <c r="BM328" s="225" t="s">
        <v>5346</v>
      </c>
    </row>
    <row r="329" spans="2:65" s="144" customFormat="1">
      <c r="B329" s="145"/>
      <c r="D329" s="227" t="s">
        <v>3343</v>
      </c>
      <c r="F329" s="228" t="s">
        <v>5347</v>
      </c>
      <c r="L329" s="145"/>
      <c r="M329" s="229"/>
      <c r="T329" s="230"/>
      <c r="AT329" s="136" t="s">
        <v>3343</v>
      </c>
      <c r="AU329" s="136" t="s">
        <v>6</v>
      </c>
    </row>
    <row r="330" spans="2:65" s="144" customFormat="1" ht="16.5" customHeight="1">
      <c r="B330" s="214"/>
      <c r="C330" s="215" t="s">
        <v>86</v>
      </c>
      <c r="D330" s="215" t="s">
        <v>3338</v>
      </c>
      <c r="E330" s="216" t="s">
        <v>5348</v>
      </c>
      <c r="F330" s="217" t="s">
        <v>5349</v>
      </c>
      <c r="G330" s="218" t="s">
        <v>1939</v>
      </c>
      <c r="H330" s="219">
        <v>123</v>
      </c>
      <c r="I330" s="745">
        <v>0</v>
      </c>
      <c r="J330" s="220">
        <f>ROUND(I330*H330,2)</f>
        <v>0</v>
      </c>
      <c r="K330" s="217" t="s">
        <v>3341</v>
      </c>
      <c r="L330" s="145"/>
      <c r="M330" s="221" t="s">
        <v>3268</v>
      </c>
      <c r="N330" s="222" t="s">
        <v>3296</v>
      </c>
      <c r="O330" s="223">
        <v>5.8999999999999997E-2</v>
      </c>
      <c r="P330" s="223">
        <f>O330*H330</f>
        <v>7.2569999999999997</v>
      </c>
      <c r="Q330" s="223">
        <v>0</v>
      </c>
      <c r="R330" s="223">
        <f>Q330*H330</f>
        <v>0</v>
      </c>
      <c r="S330" s="223">
        <v>0</v>
      </c>
      <c r="T330" s="224">
        <f>S330*H330</f>
        <v>0</v>
      </c>
      <c r="AR330" s="225" t="s">
        <v>20</v>
      </c>
      <c r="AT330" s="225" t="s">
        <v>3338</v>
      </c>
      <c r="AU330" s="225" t="s">
        <v>6</v>
      </c>
      <c r="AY330" s="136" t="s">
        <v>3337</v>
      </c>
      <c r="BE330" s="226">
        <f>IF(N330="základní",J330,0)</f>
        <v>0</v>
      </c>
      <c r="BF330" s="226">
        <f>IF(N330="snížená",J330,0)</f>
        <v>0</v>
      </c>
      <c r="BG330" s="226">
        <f>IF(N330="zákl. přenesená",J330,0)</f>
        <v>0</v>
      </c>
      <c r="BH330" s="226">
        <f>IF(N330="sníž. přenesená",J330,0)</f>
        <v>0</v>
      </c>
      <c r="BI330" s="226">
        <f>IF(N330="nulová",J330,0)</f>
        <v>0</v>
      </c>
      <c r="BJ330" s="136" t="s">
        <v>5</v>
      </c>
      <c r="BK330" s="226">
        <f>ROUND(I330*H330,2)</f>
        <v>0</v>
      </c>
      <c r="BL330" s="136" t="s">
        <v>20</v>
      </c>
      <c r="BM330" s="225" t="s">
        <v>5350</v>
      </c>
    </row>
    <row r="331" spans="2:65" s="144" customFormat="1" ht="19.2">
      <c r="B331" s="145"/>
      <c r="D331" s="227" t="s">
        <v>3343</v>
      </c>
      <c r="F331" s="228" t="s">
        <v>5351</v>
      </c>
      <c r="L331" s="145"/>
      <c r="M331" s="229"/>
      <c r="T331" s="230"/>
      <c r="AT331" s="136" t="s">
        <v>3343</v>
      </c>
      <c r="AU331" s="136" t="s">
        <v>6</v>
      </c>
    </row>
    <row r="332" spans="2:65" s="144" customFormat="1" ht="21.75" customHeight="1">
      <c r="B332" s="214"/>
      <c r="C332" s="215" t="s">
        <v>87</v>
      </c>
      <c r="D332" s="215" t="s">
        <v>3338</v>
      </c>
      <c r="E332" s="216" t="s">
        <v>5352</v>
      </c>
      <c r="F332" s="217" t="s">
        <v>5353</v>
      </c>
      <c r="G332" s="218" t="s">
        <v>1945</v>
      </c>
      <c r="H332" s="747">
        <v>0</v>
      </c>
      <c r="I332" s="745">
        <v>0</v>
      </c>
      <c r="J332" s="220">
        <f>ROUND(I332*H332,2)</f>
        <v>0</v>
      </c>
      <c r="K332" s="217" t="s">
        <v>3341</v>
      </c>
      <c r="L332" s="145"/>
      <c r="M332" s="221" t="s">
        <v>3268</v>
      </c>
      <c r="N332" s="222" t="s">
        <v>3296</v>
      </c>
      <c r="O332" s="223">
        <v>0</v>
      </c>
      <c r="P332" s="223">
        <f>O332*H332</f>
        <v>0</v>
      </c>
      <c r="Q332" s="223">
        <v>0</v>
      </c>
      <c r="R332" s="223">
        <f>Q332*H332</f>
        <v>0</v>
      </c>
      <c r="S332" s="223">
        <v>0</v>
      </c>
      <c r="T332" s="224">
        <f>S332*H332</f>
        <v>0</v>
      </c>
      <c r="AR332" s="225" t="s">
        <v>20</v>
      </c>
      <c r="AT332" s="225" t="s">
        <v>3338</v>
      </c>
      <c r="AU332" s="225" t="s">
        <v>6</v>
      </c>
      <c r="AY332" s="136" t="s">
        <v>3337</v>
      </c>
      <c r="BE332" s="226">
        <f>IF(N332="základní",J332,0)</f>
        <v>0</v>
      </c>
      <c r="BF332" s="226">
        <f>IF(N332="snížená",J332,0)</f>
        <v>0</v>
      </c>
      <c r="BG332" s="226">
        <f>IF(N332="zákl. přenesená",J332,0)</f>
        <v>0</v>
      </c>
      <c r="BH332" s="226">
        <f>IF(N332="sníž. přenesená",J332,0)</f>
        <v>0</v>
      </c>
      <c r="BI332" s="226">
        <f>IF(N332="nulová",J332,0)</f>
        <v>0</v>
      </c>
      <c r="BJ332" s="136" t="s">
        <v>5</v>
      </c>
      <c r="BK332" s="226">
        <f>ROUND(I332*H332,2)</f>
        <v>0</v>
      </c>
      <c r="BL332" s="136" t="s">
        <v>20</v>
      </c>
      <c r="BM332" s="225" t="s">
        <v>5354</v>
      </c>
    </row>
    <row r="333" spans="2:65" s="144" customFormat="1" ht="28.8">
      <c r="B333" s="145"/>
      <c r="D333" s="227" t="s">
        <v>3343</v>
      </c>
      <c r="F333" s="228" t="s">
        <v>5355</v>
      </c>
      <c r="L333" s="145"/>
      <c r="M333" s="229"/>
      <c r="T333" s="230"/>
      <c r="AT333" s="136" t="s">
        <v>3343</v>
      </c>
      <c r="AU333" s="136" t="s">
        <v>6</v>
      </c>
    </row>
    <row r="334" spans="2:65" s="202" customFormat="1" ht="22.95" customHeight="1">
      <c r="B334" s="203"/>
      <c r="D334" s="204" t="s">
        <v>3334</v>
      </c>
      <c r="E334" s="212" t="s">
        <v>5356</v>
      </c>
      <c r="F334" s="212" t="s">
        <v>5357</v>
      </c>
      <c r="J334" s="213">
        <f>BK334</f>
        <v>0</v>
      </c>
      <c r="L334" s="203"/>
      <c r="M334" s="207"/>
      <c r="P334" s="208">
        <f>SUM(P335:P416)</f>
        <v>808.80799999999977</v>
      </c>
      <c r="R334" s="208">
        <f>SUM(R335:R416)</f>
        <v>1.6260499999999998</v>
      </c>
      <c r="T334" s="209">
        <f>SUM(T335:T416)</f>
        <v>0</v>
      </c>
      <c r="AR334" s="204" t="s">
        <v>6</v>
      </c>
      <c r="AT334" s="210" t="s">
        <v>3334</v>
      </c>
      <c r="AU334" s="210" t="s">
        <v>5</v>
      </c>
      <c r="AY334" s="204" t="s">
        <v>3337</v>
      </c>
      <c r="BK334" s="211">
        <f>SUM(BK335:BK416)</f>
        <v>0</v>
      </c>
    </row>
    <row r="335" spans="2:65" s="144" customFormat="1" ht="21.75" customHeight="1">
      <c r="B335" s="214"/>
      <c r="C335" s="215" t="s">
        <v>88</v>
      </c>
      <c r="D335" s="215" t="s">
        <v>3338</v>
      </c>
      <c r="E335" s="216" t="s">
        <v>5358</v>
      </c>
      <c r="F335" s="217" t="s">
        <v>5359</v>
      </c>
      <c r="G335" s="218" t="s">
        <v>1939</v>
      </c>
      <c r="H335" s="219">
        <v>46</v>
      </c>
      <c r="I335" s="745">
        <v>0</v>
      </c>
      <c r="J335" s="220">
        <f>ROUND(I335*H335,2)</f>
        <v>0</v>
      </c>
      <c r="K335" s="217" t="s">
        <v>3341</v>
      </c>
      <c r="L335" s="145"/>
      <c r="M335" s="221" t="s">
        <v>3268</v>
      </c>
      <c r="N335" s="222" t="s">
        <v>3296</v>
      </c>
      <c r="O335" s="223">
        <v>0.66800000000000004</v>
      </c>
      <c r="P335" s="223">
        <f>O335*H335</f>
        <v>30.728000000000002</v>
      </c>
      <c r="Q335" s="223">
        <v>3.0899999999999999E-3</v>
      </c>
      <c r="R335" s="223">
        <f>Q335*H335</f>
        <v>0.14213999999999999</v>
      </c>
      <c r="S335" s="223">
        <v>0</v>
      </c>
      <c r="T335" s="224">
        <f>S335*H335</f>
        <v>0</v>
      </c>
      <c r="AR335" s="225" t="s">
        <v>20</v>
      </c>
      <c r="AT335" s="225" t="s">
        <v>3338</v>
      </c>
      <c r="AU335" s="225" t="s">
        <v>6</v>
      </c>
      <c r="AY335" s="136" t="s">
        <v>3337</v>
      </c>
      <c r="BE335" s="226">
        <f>IF(N335="základní",J335,0)</f>
        <v>0</v>
      </c>
      <c r="BF335" s="226">
        <f>IF(N335="snížená",J335,0)</f>
        <v>0</v>
      </c>
      <c r="BG335" s="226">
        <f>IF(N335="zákl. přenesená",J335,0)</f>
        <v>0</v>
      </c>
      <c r="BH335" s="226">
        <f>IF(N335="sníž. přenesená",J335,0)</f>
        <v>0</v>
      </c>
      <c r="BI335" s="226">
        <f>IF(N335="nulová",J335,0)</f>
        <v>0</v>
      </c>
      <c r="BJ335" s="136" t="s">
        <v>5</v>
      </c>
      <c r="BK335" s="226">
        <f>ROUND(I335*H335,2)</f>
        <v>0</v>
      </c>
      <c r="BL335" s="136" t="s">
        <v>20</v>
      </c>
      <c r="BM335" s="225" t="s">
        <v>5360</v>
      </c>
    </row>
    <row r="336" spans="2:65" s="144" customFormat="1" ht="19.2">
      <c r="B336" s="145"/>
      <c r="D336" s="227" t="s">
        <v>3343</v>
      </c>
      <c r="F336" s="228" t="s">
        <v>5361</v>
      </c>
      <c r="L336" s="145"/>
      <c r="M336" s="229"/>
      <c r="T336" s="230"/>
      <c r="AT336" s="136" t="s">
        <v>3343</v>
      </c>
      <c r="AU336" s="136" t="s">
        <v>6</v>
      </c>
    </row>
    <row r="337" spans="2:65" s="144" customFormat="1" ht="21.75" customHeight="1">
      <c r="B337" s="214"/>
      <c r="C337" s="215" t="s">
        <v>89</v>
      </c>
      <c r="D337" s="215" t="s">
        <v>3338</v>
      </c>
      <c r="E337" s="216" t="s">
        <v>5362</v>
      </c>
      <c r="F337" s="217" t="s">
        <v>5363</v>
      </c>
      <c r="G337" s="218" t="s">
        <v>1939</v>
      </c>
      <c r="H337" s="219">
        <v>275</v>
      </c>
      <c r="I337" s="745">
        <v>0</v>
      </c>
      <c r="J337" s="220">
        <f>ROUND(I337*H337,2)</f>
        <v>0</v>
      </c>
      <c r="K337" s="217" t="s">
        <v>3268</v>
      </c>
      <c r="L337" s="145"/>
      <c r="M337" s="221" t="s">
        <v>3268</v>
      </c>
      <c r="N337" s="222" t="s">
        <v>3296</v>
      </c>
      <c r="O337" s="223">
        <v>0.55600000000000005</v>
      </c>
      <c r="P337" s="223">
        <f>O337*H337</f>
        <v>152.9</v>
      </c>
      <c r="Q337" s="223">
        <v>8.4000000000000003E-4</v>
      </c>
      <c r="R337" s="223">
        <f>Q337*H337</f>
        <v>0.23100000000000001</v>
      </c>
      <c r="S337" s="223">
        <v>0</v>
      </c>
      <c r="T337" s="224">
        <f>S337*H337</f>
        <v>0</v>
      </c>
      <c r="AR337" s="225" t="s">
        <v>20</v>
      </c>
      <c r="AT337" s="225" t="s">
        <v>3338</v>
      </c>
      <c r="AU337" s="225" t="s">
        <v>6</v>
      </c>
      <c r="AY337" s="136" t="s">
        <v>3337</v>
      </c>
      <c r="BE337" s="226">
        <f>IF(N337="základní",J337,0)</f>
        <v>0</v>
      </c>
      <c r="BF337" s="226">
        <f>IF(N337="snížená",J337,0)</f>
        <v>0</v>
      </c>
      <c r="BG337" s="226">
        <f>IF(N337="zákl. přenesená",J337,0)</f>
        <v>0</v>
      </c>
      <c r="BH337" s="226">
        <f>IF(N337="sníž. přenesená",J337,0)</f>
        <v>0</v>
      </c>
      <c r="BI337" s="226">
        <f>IF(N337="nulová",J337,0)</f>
        <v>0</v>
      </c>
      <c r="BJ337" s="136" t="s">
        <v>5</v>
      </c>
      <c r="BK337" s="226">
        <f>ROUND(I337*H337,2)</f>
        <v>0</v>
      </c>
      <c r="BL337" s="136" t="s">
        <v>20</v>
      </c>
      <c r="BM337" s="225" t="s">
        <v>5364</v>
      </c>
    </row>
    <row r="338" spans="2:65" s="144" customFormat="1" ht="19.2">
      <c r="B338" s="145"/>
      <c r="D338" s="227" t="s">
        <v>3343</v>
      </c>
      <c r="F338" s="228" t="s">
        <v>5365</v>
      </c>
      <c r="L338" s="145"/>
      <c r="M338" s="229"/>
      <c r="T338" s="230"/>
      <c r="AT338" s="136" t="s">
        <v>3343</v>
      </c>
      <c r="AU338" s="136" t="s">
        <v>6</v>
      </c>
    </row>
    <row r="339" spans="2:65" s="144" customFormat="1" ht="21.75" customHeight="1">
      <c r="B339" s="214"/>
      <c r="C339" s="215" t="s">
        <v>90</v>
      </c>
      <c r="D339" s="215" t="s">
        <v>3338</v>
      </c>
      <c r="E339" s="216" t="s">
        <v>5366</v>
      </c>
      <c r="F339" s="217" t="s">
        <v>5367</v>
      </c>
      <c r="G339" s="218" t="s">
        <v>1939</v>
      </c>
      <c r="H339" s="219">
        <v>296</v>
      </c>
      <c r="I339" s="745">
        <v>0</v>
      </c>
      <c r="J339" s="220">
        <f>ROUND(I339*H339,2)</f>
        <v>0</v>
      </c>
      <c r="K339" s="217" t="s">
        <v>3268</v>
      </c>
      <c r="L339" s="145"/>
      <c r="M339" s="221" t="s">
        <v>3268</v>
      </c>
      <c r="N339" s="222" t="s">
        <v>3296</v>
      </c>
      <c r="O339" s="223">
        <v>0.52900000000000003</v>
      </c>
      <c r="P339" s="223">
        <f>O339*H339</f>
        <v>156.584</v>
      </c>
      <c r="Q339" s="223">
        <v>9.7999999999999997E-4</v>
      </c>
      <c r="R339" s="223">
        <f>Q339*H339</f>
        <v>0.29008</v>
      </c>
      <c r="S339" s="223">
        <v>0</v>
      </c>
      <c r="T339" s="224">
        <f>S339*H339</f>
        <v>0</v>
      </c>
      <c r="AR339" s="225" t="s">
        <v>20</v>
      </c>
      <c r="AT339" s="225" t="s">
        <v>3338</v>
      </c>
      <c r="AU339" s="225" t="s">
        <v>6</v>
      </c>
      <c r="AY339" s="136" t="s">
        <v>3337</v>
      </c>
      <c r="BE339" s="226">
        <f>IF(N339="základní",J339,0)</f>
        <v>0</v>
      </c>
      <c r="BF339" s="226">
        <f>IF(N339="snížená",J339,0)</f>
        <v>0</v>
      </c>
      <c r="BG339" s="226">
        <f>IF(N339="zákl. přenesená",J339,0)</f>
        <v>0</v>
      </c>
      <c r="BH339" s="226">
        <f>IF(N339="sníž. přenesená",J339,0)</f>
        <v>0</v>
      </c>
      <c r="BI339" s="226">
        <f>IF(N339="nulová",J339,0)</f>
        <v>0</v>
      </c>
      <c r="BJ339" s="136" t="s">
        <v>5</v>
      </c>
      <c r="BK339" s="226">
        <f>ROUND(I339*H339,2)</f>
        <v>0</v>
      </c>
      <c r="BL339" s="136" t="s">
        <v>20</v>
      </c>
      <c r="BM339" s="225" t="s">
        <v>5368</v>
      </c>
    </row>
    <row r="340" spans="2:65" s="144" customFormat="1" ht="19.2">
      <c r="B340" s="145"/>
      <c r="D340" s="227" t="s">
        <v>3343</v>
      </c>
      <c r="F340" s="228" t="s">
        <v>5369</v>
      </c>
      <c r="L340" s="145"/>
      <c r="M340" s="229"/>
      <c r="T340" s="230"/>
      <c r="AT340" s="136" t="s">
        <v>3343</v>
      </c>
      <c r="AU340" s="136" t="s">
        <v>6</v>
      </c>
    </row>
    <row r="341" spans="2:65" s="144" customFormat="1" ht="21.75" customHeight="1">
      <c r="B341" s="214"/>
      <c r="C341" s="215" t="s">
        <v>91</v>
      </c>
      <c r="D341" s="215" t="s">
        <v>3338</v>
      </c>
      <c r="E341" s="216" t="s">
        <v>5370</v>
      </c>
      <c r="F341" s="217" t="s">
        <v>5371</v>
      </c>
      <c r="G341" s="218" t="s">
        <v>1939</v>
      </c>
      <c r="H341" s="219">
        <v>165</v>
      </c>
      <c r="I341" s="745">
        <v>0</v>
      </c>
      <c r="J341" s="220">
        <f>ROUND(I341*H341,2)</f>
        <v>0</v>
      </c>
      <c r="K341" s="217" t="s">
        <v>3268</v>
      </c>
      <c r="L341" s="145"/>
      <c r="M341" s="221" t="s">
        <v>3268</v>
      </c>
      <c r="N341" s="222" t="s">
        <v>3296</v>
      </c>
      <c r="O341" s="223">
        <v>0.61599999999999999</v>
      </c>
      <c r="P341" s="223">
        <f>O341*H341</f>
        <v>101.64</v>
      </c>
      <c r="Q341" s="223">
        <v>1.2600000000000001E-3</v>
      </c>
      <c r="R341" s="223">
        <f>Q341*H341</f>
        <v>0.2079</v>
      </c>
      <c r="S341" s="223">
        <v>0</v>
      </c>
      <c r="T341" s="224">
        <f>S341*H341</f>
        <v>0</v>
      </c>
      <c r="AR341" s="225" t="s">
        <v>20</v>
      </c>
      <c r="AT341" s="225" t="s">
        <v>3338</v>
      </c>
      <c r="AU341" s="225" t="s">
        <v>6</v>
      </c>
      <c r="AY341" s="136" t="s">
        <v>3337</v>
      </c>
      <c r="BE341" s="226">
        <f>IF(N341="základní",J341,0)</f>
        <v>0</v>
      </c>
      <c r="BF341" s="226">
        <f>IF(N341="snížená",J341,0)</f>
        <v>0</v>
      </c>
      <c r="BG341" s="226">
        <f>IF(N341="zákl. přenesená",J341,0)</f>
        <v>0</v>
      </c>
      <c r="BH341" s="226">
        <f>IF(N341="sníž. přenesená",J341,0)</f>
        <v>0</v>
      </c>
      <c r="BI341" s="226">
        <f>IF(N341="nulová",J341,0)</f>
        <v>0</v>
      </c>
      <c r="BJ341" s="136" t="s">
        <v>5</v>
      </c>
      <c r="BK341" s="226">
        <f>ROUND(I341*H341,2)</f>
        <v>0</v>
      </c>
      <c r="BL341" s="136" t="s">
        <v>20</v>
      </c>
      <c r="BM341" s="225" t="s">
        <v>5372</v>
      </c>
    </row>
    <row r="342" spans="2:65" s="144" customFormat="1" ht="19.2">
      <c r="B342" s="145"/>
      <c r="D342" s="227" t="s">
        <v>3343</v>
      </c>
      <c r="F342" s="228" t="s">
        <v>5373</v>
      </c>
      <c r="L342" s="145"/>
      <c r="M342" s="229"/>
      <c r="T342" s="230"/>
      <c r="AT342" s="136" t="s">
        <v>3343</v>
      </c>
      <c r="AU342" s="136" t="s">
        <v>6</v>
      </c>
    </row>
    <row r="343" spans="2:65" s="144" customFormat="1" ht="21.75" customHeight="1">
      <c r="B343" s="214"/>
      <c r="C343" s="215" t="s">
        <v>92</v>
      </c>
      <c r="D343" s="215" t="s">
        <v>3338</v>
      </c>
      <c r="E343" s="216" t="s">
        <v>5374</v>
      </c>
      <c r="F343" s="217" t="s">
        <v>5375</v>
      </c>
      <c r="G343" s="218" t="s">
        <v>1939</v>
      </c>
      <c r="H343" s="219">
        <v>65</v>
      </c>
      <c r="I343" s="745">
        <v>0</v>
      </c>
      <c r="J343" s="220">
        <f>ROUND(I343*H343,2)</f>
        <v>0</v>
      </c>
      <c r="K343" s="217" t="s">
        <v>3268</v>
      </c>
      <c r="L343" s="145"/>
      <c r="M343" s="221" t="s">
        <v>3268</v>
      </c>
      <c r="N343" s="222" t="s">
        <v>3296</v>
      </c>
      <c r="O343" s="223">
        <v>0.69599999999999995</v>
      </c>
      <c r="P343" s="223">
        <f>O343*H343</f>
        <v>45.239999999999995</v>
      </c>
      <c r="Q343" s="223">
        <v>1.5299999999999999E-3</v>
      </c>
      <c r="R343" s="223">
        <f>Q343*H343</f>
        <v>9.9449999999999997E-2</v>
      </c>
      <c r="S343" s="223">
        <v>0</v>
      </c>
      <c r="T343" s="224">
        <f>S343*H343</f>
        <v>0</v>
      </c>
      <c r="AR343" s="225" t="s">
        <v>20</v>
      </c>
      <c r="AT343" s="225" t="s">
        <v>3338</v>
      </c>
      <c r="AU343" s="225" t="s">
        <v>6</v>
      </c>
      <c r="AY343" s="136" t="s">
        <v>3337</v>
      </c>
      <c r="BE343" s="226">
        <f>IF(N343="základní",J343,0)</f>
        <v>0</v>
      </c>
      <c r="BF343" s="226">
        <f>IF(N343="snížená",J343,0)</f>
        <v>0</v>
      </c>
      <c r="BG343" s="226">
        <f>IF(N343="zákl. přenesená",J343,0)</f>
        <v>0</v>
      </c>
      <c r="BH343" s="226">
        <f>IF(N343="sníž. přenesená",J343,0)</f>
        <v>0</v>
      </c>
      <c r="BI343" s="226">
        <f>IF(N343="nulová",J343,0)</f>
        <v>0</v>
      </c>
      <c r="BJ343" s="136" t="s">
        <v>5</v>
      </c>
      <c r="BK343" s="226">
        <f>ROUND(I343*H343,2)</f>
        <v>0</v>
      </c>
      <c r="BL343" s="136" t="s">
        <v>20</v>
      </c>
      <c r="BM343" s="225" t="s">
        <v>5376</v>
      </c>
    </row>
    <row r="344" spans="2:65" s="144" customFormat="1" ht="19.2">
      <c r="B344" s="145"/>
      <c r="D344" s="227" t="s">
        <v>3343</v>
      </c>
      <c r="F344" s="228" t="s">
        <v>5377</v>
      </c>
      <c r="L344" s="145"/>
      <c r="M344" s="229"/>
      <c r="T344" s="230"/>
      <c r="AT344" s="136" t="s">
        <v>3343</v>
      </c>
      <c r="AU344" s="136" t="s">
        <v>6</v>
      </c>
    </row>
    <row r="345" spans="2:65" s="144" customFormat="1" ht="21.75" customHeight="1">
      <c r="B345" s="214"/>
      <c r="C345" s="215" t="s">
        <v>93</v>
      </c>
      <c r="D345" s="215" t="s">
        <v>3338</v>
      </c>
      <c r="E345" s="216" t="s">
        <v>5378</v>
      </c>
      <c r="F345" s="217" t="s">
        <v>5379</v>
      </c>
      <c r="G345" s="218" t="s">
        <v>1939</v>
      </c>
      <c r="H345" s="219">
        <v>38</v>
      </c>
      <c r="I345" s="745">
        <v>0</v>
      </c>
      <c r="J345" s="220">
        <f>ROUND(I345*H345,2)</f>
        <v>0</v>
      </c>
      <c r="K345" s="217" t="s">
        <v>3268</v>
      </c>
      <c r="L345" s="145"/>
      <c r="M345" s="221" t="s">
        <v>3268</v>
      </c>
      <c r="N345" s="222" t="s">
        <v>3296</v>
      </c>
      <c r="O345" s="223">
        <v>0.74299999999999999</v>
      </c>
      <c r="P345" s="223">
        <f>O345*H345</f>
        <v>28.233999999999998</v>
      </c>
      <c r="Q345" s="223">
        <v>2.8400000000000001E-3</v>
      </c>
      <c r="R345" s="223">
        <f>Q345*H345</f>
        <v>0.10792</v>
      </c>
      <c r="S345" s="223">
        <v>0</v>
      </c>
      <c r="T345" s="224">
        <f>S345*H345</f>
        <v>0</v>
      </c>
      <c r="AR345" s="225" t="s">
        <v>20</v>
      </c>
      <c r="AT345" s="225" t="s">
        <v>3338</v>
      </c>
      <c r="AU345" s="225" t="s">
        <v>6</v>
      </c>
      <c r="AY345" s="136" t="s">
        <v>3337</v>
      </c>
      <c r="BE345" s="226">
        <f>IF(N345="základní",J345,0)</f>
        <v>0</v>
      </c>
      <c r="BF345" s="226">
        <f>IF(N345="snížená",J345,0)</f>
        <v>0</v>
      </c>
      <c r="BG345" s="226">
        <f>IF(N345="zákl. přenesená",J345,0)</f>
        <v>0</v>
      </c>
      <c r="BH345" s="226">
        <f>IF(N345="sníž. přenesená",J345,0)</f>
        <v>0</v>
      </c>
      <c r="BI345" s="226">
        <f>IF(N345="nulová",J345,0)</f>
        <v>0</v>
      </c>
      <c r="BJ345" s="136" t="s">
        <v>5</v>
      </c>
      <c r="BK345" s="226">
        <f>ROUND(I345*H345,2)</f>
        <v>0</v>
      </c>
      <c r="BL345" s="136" t="s">
        <v>20</v>
      </c>
      <c r="BM345" s="225" t="s">
        <v>5380</v>
      </c>
    </row>
    <row r="346" spans="2:65" s="144" customFormat="1" ht="19.2">
      <c r="B346" s="145"/>
      <c r="D346" s="227" t="s">
        <v>3343</v>
      </c>
      <c r="F346" s="228" t="s">
        <v>5381</v>
      </c>
      <c r="L346" s="145"/>
      <c r="M346" s="229"/>
      <c r="T346" s="230"/>
      <c r="AT346" s="136" t="s">
        <v>3343</v>
      </c>
      <c r="AU346" s="136" t="s">
        <v>6</v>
      </c>
    </row>
    <row r="347" spans="2:65" s="144" customFormat="1" ht="21.75" customHeight="1">
      <c r="B347" s="214"/>
      <c r="C347" s="215" t="s">
        <v>94</v>
      </c>
      <c r="D347" s="215" t="s">
        <v>3338</v>
      </c>
      <c r="E347" s="216" t="s">
        <v>5382</v>
      </c>
      <c r="F347" s="217" t="s">
        <v>5383</v>
      </c>
      <c r="G347" s="218" t="s">
        <v>1939</v>
      </c>
      <c r="H347" s="219">
        <v>70</v>
      </c>
      <c r="I347" s="745">
        <v>0</v>
      </c>
      <c r="J347" s="220">
        <f>ROUND(I347*H347,2)</f>
        <v>0</v>
      </c>
      <c r="K347" s="217" t="s">
        <v>3268</v>
      </c>
      <c r="L347" s="145"/>
      <c r="M347" s="221" t="s">
        <v>3268</v>
      </c>
      <c r="N347" s="222" t="s">
        <v>3296</v>
      </c>
      <c r="O347" s="223">
        <v>0.78900000000000003</v>
      </c>
      <c r="P347" s="223">
        <f>O347*H347</f>
        <v>55.230000000000004</v>
      </c>
      <c r="Q347" s="223">
        <v>3.7299999999999998E-3</v>
      </c>
      <c r="R347" s="223">
        <f>Q347*H347</f>
        <v>0.2611</v>
      </c>
      <c r="S347" s="223">
        <v>0</v>
      </c>
      <c r="T347" s="224">
        <f>S347*H347</f>
        <v>0</v>
      </c>
      <c r="AR347" s="225" t="s">
        <v>20</v>
      </c>
      <c r="AT347" s="225" t="s">
        <v>3338</v>
      </c>
      <c r="AU347" s="225" t="s">
        <v>6</v>
      </c>
      <c r="AY347" s="136" t="s">
        <v>3337</v>
      </c>
      <c r="BE347" s="226">
        <f>IF(N347="základní",J347,0)</f>
        <v>0</v>
      </c>
      <c r="BF347" s="226">
        <f>IF(N347="snížená",J347,0)</f>
        <v>0</v>
      </c>
      <c r="BG347" s="226">
        <f>IF(N347="zákl. přenesená",J347,0)</f>
        <v>0</v>
      </c>
      <c r="BH347" s="226">
        <f>IF(N347="sníž. přenesená",J347,0)</f>
        <v>0</v>
      </c>
      <c r="BI347" s="226">
        <f>IF(N347="nulová",J347,0)</f>
        <v>0</v>
      </c>
      <c r="BJ347" s="136" t="s">
        <v>5</v>
      </c>
      <c r="BK347" s="226">
        <f>ROUND(I347*H347,2)</f>
        <v>0</v>
      </c>
      <c r="BL347" s="136" t="s">
        <v>20</v>
      </c>
      <c r="BM347" s="225" t="s">
        <v>5384</v>
      </c>
    </row>
    <row r="348" spans="2:65" s="144" customFormat="1" ht="19.2">
      <c r="B348" s="145"/>
      <c r="D348" s="227" t="s">
        <v>3343</v>
      </c>
      <c r="F348" s="228" t="s">
        <v>5385</v>
      </c>
      <c r="L348" s="145"/>
      <c r="M348" s="229"/>
      <c r="T348" s="230"/>
      <c r="AT348" s="136" t="s">
        <v>3343</v>
      </c>
      <c r="AU348" s="136" t="s">
        <v>6</v>
      </c>
    </row>
    <row r="349" spans="2:65" s="144" customFormat="1" ht="16.5" customHeight="1">
      <c r="B349" s="214"/>
      <c r="C349" s="215" t="s">
        <v>95</v>
      </c>
      <c r="D349" s="215" t="s">
        <v>3338</v>
      </c>
      <c r="E349" s="216" t="s">
        <v>5386</v>
      </c>
      <c r="F349" s="217" t="s">
        <v>5387</v>
      </c>
      <c r="G349" s="218" t="s">
        <v>1943</v>
      </c>
      <c r="H349" s="219">
        <v>90</v>
      </c>
      <c r="I349" s="745">
        <v>0</v>
      </c>
      <c r="J349" s="220">
        <f>ROUND(I349*H349,2)</f>
        <v>0</v>
      </c>
      <c r="K349" s="217" t="s">
        <v>3341</v>
      </c>
      <c r="L349" s="145"/>
      <c r="M349" s="221" t="s">
        <v>3268</v>
      </c>
      <c r="N349" s="222" t="s">
        <v>3296</v>
      </c>
      <c r="O349" s="223">
        <v>0.42499999999999999</v>
      </c>
      <c r="P349" s="223">
        <f>O349*H349</f>
        <v>38.25</v>
      </c>
      <c r="Q349" s="223">
        <v>0</v>
      </c>
      <c r="R349" s="223">
        <f>Q349*H349</f>
        <v>0</v>
      </c>
      <c r="S349" s="223">
        <v>0</v>
      </c>
      <c r="T349" s="224">
        <f>S349*H349</f>
        <v>0</v>
      </c>
      <c r="AR349" s="225" t="s">
        <v>20</v>
      </c>
      <c r="AT349" s="225" t="s">
        <v>3338</v>
      </c>
      <c r="AU349" s="225" t="s">
        <v>6</v>
      </c>
      <c r="AY349" s="136" t="s">
        <v>3337</v>
      </c>
      <c r="BE349" s="226">
        <f>IF(N349="základní",J349,0)</f>
        <v>0</v>
      </c>
      <c r="BF349" s="226">
        <f>IF(N349="snížená",J349,0)</f>
        <v>0</v>
      </c>
      <c r="BG349" s="226">
        <f>IF(N349="zákl. přenesená",J349,0)</f>
        <v>0</v>
      </c>
      <c r="BH349" s="226">
        <f>IF(N349="sníž. přenesená",J349,0)</f>
        <v>0</v>
      </c>
      <c r="BI349" s="226">
        <f>IF(N349="nulová",J349,0)</f>
        <v>0</v>
      </c>
      <c r="BJ349" s="136" t="s">
        <v>5</v>
      </c>
      <c r="BK349" s="226">
        <f>ROUND(I349*H349,2)</f>
        <v>0</v>
      </c>
      <c r="BL349" s="136" t="s">
        <v>20</v>
      </c>
      <c r="BM349" s="225" t="s">
        <v>5388</v>
      </c>
    </row>
    <row r="350" spans="2:65" s="144" customFormat="1">
      <c r="B350" s="145"/>
      <c r="D350" s="227" t="s">
        <v>3343</v>
      </c>
      <c r="F350" s="228" t="s">
        <v>5389</v>
      </c>
      <c r="L350" s="145"/>
      <c r="M350" s="229"/>
      <c r="T350" s="230"/>
      <c r="AT350" s="136" t="s">
        <v>3343</v>
      </c>
      <c r="AU350" s="136" t="s">
        <v>6</v>
      </c>
    </row>
    <row r="351" spans="2:65" s="144" customFormat="1" ht="16.5" customHeight="1">
      <c r="B351" s="214"/>
      <c r="C351" s="215" t="s">
        <v>96</v>
      </c>
      <c r="D351" s="215" t="s">
        <v>3338</v>
      </c>
      <c r="E351" s="216" t="s">
        <v>5390</v>
      </c>
      <c r="F351" s="217" t="s">
        <v>5391</v>
      </c>
      <c r="G351" s="218" t="s">
        <v>1943</v>
      </c>
      <c r="H351" s="219">
        <v>87</v>
      </c>
      <c r="I351" s="745">
        <v>0</v>
      </c>
      <c r="J351" s="220">
        <f>ROUND(I351*H351,2)</f>
        <v>0</v>
      </c>
      <c r="K351" s="217" t="s">
        <v>3268</v>
      </c>
      <c r="L351" s="145"/>
      <c r="M351" s="221" t="s">
        <v>3268</v>
      </c>
      <c r="N351" s="222" t="s">
        <v>3296</v>
      </c>
      <c r="O351" s="223">
        <v>0.42499999999999999</v>
      </c>
      <c r="P351" s="223">
        <f>O351*H351</f>
        <v>36.975000000000001</v>
      </c>
      <c r="Q351" s="223">
        <v>0</v>
      </c>
      <c r="R351" s="223">
        <f>Q351*H351</f>
        <v>0</v>
      </c>
      <c r="S351" s="223">
        <v>0</v>
      </c>
      <c r="T351" s="224">
        <f>S351*H351</f>
        <v>0</v>
      </c>
      <c r="AR351" s="225" t="s">
        <v>20</v>
      </c>
      <c r="AT351" s="225" t="s">
        <v>3338</v>
      </c>
      <c r="AU351" s="225" t="s">
        <v>6</v>
      </c>
      <c r="AY351" s="136" t="s">
        <v>3337</v>
      </c>
      <c r="BE351" s="226">
        <f>IF(N351="základní",J351,0)</f>
        <v>0</v>
      </c>
      <c r="BF351" s="226">
        <f>IF(N351="snížená",J351,0)</f>
        <v>0</v>
      </c>
      <c r="BG351" s="226">
        <f>IF(N351="zákl. přenesená",J351,0)</f>
        <v>0</v>
      </c>
      <c r="BH351" s="226">
        <f>IF(N351="sníž. přenesená",J351,0)</f>
        <v>0</v>
      </c>
      <c r="BI351" s="226">
        <f>IF(N351="nulová",J351,0)</f>
        <v>0</v>
      </c>
      <c r="BJ351" s="136" t="s">
        <v>5</v>
      </c>
      <c r="BK351" s="226">
        <f>ROUND(I351*H351,2)</f>
        <v>0</v>
      </c>
      <c r="BL351" s="136" t="s">
        <v>20</v>
      </c>
      <c r="BM351" s="225" t="s">
        <v>5392</v>
      </c>
    </row>
    <row r="352" spans="2:65" s="144" customFormat="1">
      <c r="B352" s="145"/>
      <c r="D352" s="227" t="s">
        <v>3343</v>
      </c>
      <c r="F352" s="228" t="s">
        <v>5391</v>
      </c>
      <c r="L352" s="145"/>
      <c r="M352" s="229"/>
      <c r="T352" s="230"/>
      <c r="AT352" s="136" t="s">
        <v>3343</v>
      </c>
      <c r="AU352" s="136" t="s">
        <v>6</v>
      </c>
    </row>
    <row r="353" spans="2:65" s="144" customFormat="1" ht="16.5" customHeight="1">
      <c r="B353" s="214"/>
      <c r="C353" s="215" t="s">
        <v>97</v>
      </c>
      <c r="D353" s="215" t="s">
        <v>3338</v>
      </c>
      <c r="E353" s="216" t="s">
        <v>5393</v>
      </c>
      <c r="F353" s="217" t="s">
        <v>5394</v>
      </c>
      <c r="G353" s="218" t="s">
        <v>1938</v>
      </c>
      <c r="H353" s="219">
        <v>2</v>
      </c>
      <c r="I353" s="745">
        <v>0</v>
      </c>
      <c r="J353" s="220">
        <f>ROUND(I353*H353,2)</f>
        <v>0</v>
      </c>
      <c r="K353" s="217" t="s">
        <v>3341</v>
      </c>
      <c r="L353" s="145"/>
      <c r="M353" s="221" t="s">
        <v>3268</v>
      </c>
      <c r="N353" s="222" t="s">
        <v>3296</v>
      </c>
      <c r="O353" s="223">
        <v>0.14499999999999999</v>
      </c>
      <c r="P353" s="223">
        <f>O353*H353</f>
        <v>0.28999999999999998</v>
      </c>
      <c r="Q353" s="223">
        <v>5.6999999999999998E-4</v>
      </c>
      <c r="R353" s="223">
        <f>Q353*H353</f>
        <v>1.14E-3</v>
      </c>
      <c r="S353" s="223">
        <v>0</v>
      </c>
      <c r="T353" s="224">
        <f>S353*H353</f>
        <v>0</v>
      </c>
      <c r="AR353" s="225" t="s">
        <v>20</v>
      </c>
      <c r="AT353" s="225" t="s">
        <v>3338</v>
      </c>
      <c r="AU353" s="225" t="s">
        <v>6</v>
      </c>
      <c r="AY353" s="136" t="s">
        <v>3337</v>
      </c>
      <c r="BE353" s="226">
        <f>IF(N353="základní",J353,0)</f>
        <v>0</v>
      </c>
      <c r="BF353" s="226">
        <f>IF(N353="snížená",J353,0)</f>
        <v>0</v>
      </c>
      <c r="BG353" s="226">
        <f>IF(N353="zákl. přenesená",J353,0)</f>
        <v>0</v>
      </c>
      <c r="BH353" s="226">
        <f>IF(N353="sníž. přenesená",J353,0)</f>
        <v>0</v>
      </c>
      <c r="BI353" s="226">
        <f>IF(N353="nulová",J353,0)</f>
        <v>0</v>
      </c>
      <c r="BJ353" s="136" t="s">
        <v>5</v>
      </c>
      <c r="BK353" s="226">
        <f>ROUND(I353*H353,2)</f>
        <v>0</v>
      </c>
      <c r="BL353" s="136" t="s">
        <v>20</v>
      </c>
      <c r="BM353" s="225" t="s">
        <v>5395</v>
      </c>
    </row>
    <row r="354" spans="2:65" s="144" customFormat="1" ht="19.2">
      <c r="B354" s="145"/>
      <c r="D354" s="227" t="s">
        <v>3343</v>
      </c>
      <c r="F354" s="228" t="s">
        <v>5396</v>
      </c>
      <c r="L354" s="145"/>
      <c r="M354" s="229"/>
      <c r="T354" s="230"/>
      <c r="AT354" s="136" t="s">
        <v>3343</v>
      </c>
      <c r="AU354" s="136" t="s">
        <v>6</v>
      </c>
    </row>
    <row r="355" spans="2:65" s="144" customFormat="1" ht="21.75" customHeight="1">
      <c r="B355" s="214"/>
      <c r="C355" s="215" t="s">
        <v>98</v>
      </c>
      <c r="D355" s="215" t="s">
        <v>3338</v>
      </c>
      <c r="E355" s="216" t="s">
        <v>5397</v>
      </c>
      <c r="F355" s="217" t="s">
        <v>5398</v>
      </c>
      <c r="G355" s="218" t="s">
        <v>1943</v>
      </c>
      <c r="H355" s="219">
        <v>3</v>
      </c>
      <c r="I355" s="745">
        <v>0</v>
      </c>
      <c r="J355" s="220">
        <f>ROUND(I355*H355,2)</f>
        <v>0</v>
      </c>
      <c r="K355" s="217" t="s">
        <v>3341</v>
      </c>
      <c r="L355" s="145"/>
      <c r="M355" s="221" t="s">
        <v>3268</v>
      </c>
      <c r="N355" s="222" t="s">
        <v>3296</v>
      </c>
      <c r="O355" s="223">
        <v>8.3000000000000004E-2</v>
      </c>
      <c r="P355" s="223">
        <f>O355*H355</f>
        <v>0.249</v>
      </c>
      <c r="Q355" s="223">
        <v>2.2000000000000001E-4</v>
      </c>
      <c r="R355" s="223">
        <f>Q355*H355</f>
        <v>6.6E-4</v>
      </c>
      <c r="S355" s="223">
        <v>0</v>
      </c>
      <c r="T355" s="224">
        <f>S355*H355</f>
        <v>0</v>
      </c>
      <c r="AR355" s="225" t="s">
        <v>20</v>
      </c>
      <c r="AT355" s="225" t="s">
        <v>3338</v>
      </c>
      <c r="AU355" s="225" t="s">
        <v>6</v>
      </c>
      <c r="AY355" s="136" t="s">
        <v>3337</v>
      </c>
      <c r="BE355" s="226">
        <f>IF(N355="základní",J355,0)</f>
        <v>0</v>
      </c>
      <c r="BF355" s="226">
        <f>IF(N355="snížená",J355,0)</f>
        <v>0</v>
      </c>
      <c r="BG355" s="226">
        <f>IF(N355="zákl. přenesená",J355,0)</f>
        <v>0</v>
      </c>
      <c r="BH355" s="226">
        <f>IF(N355="sníž. přenesená",J355,0)</f>
        <v>0</v>
      </c>
      <c r="BI355" s="226">
        <f>IF(N355="nulová",J355,0)</f>
        <v>0</v>
      </c>
      <c r="BJ355" s="136" t="s">
        <v>5</v>
      </c>
      <c r="BK355" s="226">
        <f>ROUND(I355*H355,2)</f>
        <v>0</v>
      </c>
      <c r="BL355" s="136" t="s">
        <v>20</v>
      </c>
      <c r="BM355" s="225" t="s">
        <v>5399</v>
      </c>
    </row>
    <row r="356" spans="2:65" s="144" customFormat="1">
      <c r="B356" s="145"/>
      <c r="D356" s="227" t="s">
        <v>3343</v>
      </c>
      <c r="F356" s="228" t="s">
        <v>5400</v>
      </c>
      <c r="L356" s="145"/>
      <c r="M356" s="229"/>
      <c r="T356" s="230"/>
      <c r="AT356" s="136" t="s">
        <v>3343</v>
      </c>
      <c r="AU356" s="136" t="s">
        <v>6</v>
      </c>
    </row>
    <row r="357" spans="2:65" s="144" customFormat="1" ht="21.75" customHeight="1">
      <c r="B357" s="214"/>
      <c r="C357" s="215" t="s">
        <v>99</v>
      </c>
      <c r="D357" s="215" t="s">
        <v>3338</v>
      </c>
      <c r="E357" s="216" t="s">
        <v>5401</v>
      </c>
      <c r="F357" s="217" t="s">
        <v>5402</v>
      </c>
      <c r="G357" s="218" t="s">
        <v>1943</v>
      </c>
      <c r="H357" s="219">
        <v>1</v>
      </c>
      <c r="I357" s="745">
        <v>0</v>
      </c>
      <c r="J357" s="220">
        <f>ROUND(I357*H357,2)</f>
        <v>0</v>
      </c>
      <c r="K357" s="217" t="s">
        <v>3341</v>
      </c>
      <c r="L357" s="145"/>
      <c r="M357" s="221" t="s">
        <v>3268</v>
      </c>
      <c r="N357" s="222" t="s">
        <v>3296</v>
      </c>
      <c r="O357" s="223">
        <v>0.20699999999999999</v>
      </c>
      <c r="P357" s="223">
        <f>O357*H357</f>
        <v>0.20699999999999999</v>
      </c>
      <c r="Q357" s="223">
        <v>1.7000000000000001E-4</v>
      </c>
      <c r="R357" s="223">
        <f>Q357*H357</f>
        <v>1.7000000000000001E-4</v>
      </c>
      <c r="S357" s="223">
        <v>0</v>
      </c>
      <c r="T357" s="224">
        <f>S357*H357</f>
        <v>0</v>
      </c>
      <c r="AR357" s="225" t="s">
        <v>20</v>
      </c>
      <c r="AT357" s="225" t="s">
        <v>3338</v>
      </c>
      <c r="AU357" s="225" t="s">
        <v>6</v>
      </c>
      <c r="AY357" s="136" t="s">
        <v>3337</v>
      </c>
      <c r="BE357" s="226">
        <f>IF(N357="základní",J357,0)</f>
        <v>0</v>
      </c>
      <c r="BF357" s="226">
        <f>IF(N357="snížená",J357,0)</f>
        <v>0</v>
      </c>
      <c r="BG357" s="226">
        <f>IF(N357="zákl. přenesená",J357,0)</f>
        <v>0</v>
      </c>
      <c r="BH357" s="226">
        <f>IF(N357="sníž. přenesená",J357,0)</f>
        <v>0</v>
      </c>
      <c r="BI357" s="226">
        <f>IF(N357="nulová",J357,0)</f>
        <v>0</v>
      </c>
      <c r="BJ357" s="136" t="s">
        <v>5</v>
      </c>
      <c r="BK357" s="226">
        <f>ROUND(I357*H357,2)</f>
        <v>0</v>
      </c>
      <c r="BL357" s="136" t="s">
        <v>20</v>
      </c>
      <c r="BM357" s="225" t="s">
        <v>5403</v>
      </c>
    </row>
    <row r="358" spans="2:65" s="144" customFormat="1" ht="19.2">
      <c r="B358" s="145"/>
      <c r="D358" s="227" t="s">
        <v>3343</v>
      </c>
      <c r="F358" s="228" t="s">
        <v>5404</v>
      </c>
      <c r="L358" s="145"/>
      <c r="M358" s="229"/>
      <c r="T358" s="230"/>
      <c r="AT358" s="136" t="s">
        <v>3343</v>
      </c>
      <c r="AU358" s="136" t="s">
        <v>6</v>
      </c>
    </row>
    <row r="359" spans="2:65" s="144" customFormat="1" ht="21.75" customHeight="1">
      <c r="B359" s="214"/>
      <c r="C359" s="215" t="s">
        <v>100</v>
      </c>
      <c r="D359" s="215" t="s">
        <v>3338</v>
      </c>
      <c r="E359" s="216" t="s">
        <v>5405</v>
      </c>
      <c r="F359" s="217" t="s">
        <v>5406</v>
      </c>
      <c r="G359" s="218" t="s">
        <v>1943</v>
      </c>
      <c r="H359" s="219">
        <v>2</v>
      </c>
      <c r="I359" s="745">
        <v>0</v>
      </c>
      <c r="J359" s="220">
        <f>ROUND(I359*H359,2)</f>
        <v>0</v>
      </c>
      <c r="K359" s="217" t="s">
        <v>3341</v>
      </c>
      <c r="L359" s="145"/>
      <c r="M359" s="221" t="s">
        <v>3268</v>
      </c>
      <c r="N359" s="222" t="s">
        <v>3296</v>
      </c>
      <c r="O359" s="223">
        <v>0.35199999999999998</v>
      </c>
      <c r="P359" s="223">
        <f>O359*H359</f>
        <v>0.70399999999999996</v>
      </c>
      <c r="Q359" s="223">
        <v>5.0000000000000001E-4</v>
      </c>
      <c r="R359" s="223">
        <f>Q359*H359</f>
        <v>1E-3</v>
      </c>
      <c r="S359" s="223">
        <v>0</v>
      </c>
      <c r="T359" s="224">
        <f>S359*H359</f>
        <v>0</v>
      </c>
      <c r="AR359" s="225" t="s">
        <v>20</v>
      </c>
      <c r="AT359" s="225" t="s">
        <v>3338</v>
      </c>
      <c r="AU359" s="225" t="s">
        <v>6</v>
      </c>
      <c r="AY359" s="136" t="s">
        <v>3337</v>
      </c>
      <c r="BE359" s="226">
        <f>IF(N359="základní",J359,0)</f>
        <v>0</v>
      </c>
      <c r="BF359" s="226">
        <f>IF(N359="snížená",J359,0)</f>
        <v>0</v>
      </c>
      <c r="BG359" s="226">
        <f>IF(N359="zákl. přenesená",J359,0)</f>
        <v>0</v>
      </c>
      <c r="BH359" s="226">
        <f>IF(N359="sníž. přenesená",J359,0)</f>
        <v>0</v>
      </c>
      <c r="BI359" s="226">
        <f>IF(N359="nulová",J359,0)</f>
        <v>0</v>
      </c>
      <c r="BJ359" s="136" t="s">
        <v>5</v>
      </c>
      <c r="BK359" s="226">
        <f>ROUND(I359*H359,2)</f>
        <v>0</v>
      </c>
      <c r="BL359" s="136" t="s">
        <v>20</v>
      </c>
      <c r="BM359" s="225" t="s">
        <v>5407</v>
      </c>
    </row>
    <row r="360" spans="2:65" s="144" customFormat="1" ht="19.2">
      <c r="B360" s="145"/>
      <c r="D360" s="227" t="s">
        <v>3343</v>
      </c>
      <c r="F360" s="228" t="s">
        <v>5408</v>
      </c>
      <c r="L360" s="145"/>
      <c r="M360" s="229"/>
      <c r="T360" s="230"/>
      <c r="AT360" s="136" t="s">
        <v>3343</v>
      </c>
      <c r="AU360" s="136" t="s">
        <v>6</v>
      </c>
    </row>
    <row r="361" spans="2:65" s="144" customFormat="1" ht="16.5" customHeight="1">
      <c r="B361" s="214"/>
      <c r="C361" s="215" t="s">
        <v>101</v>
      </c>
      <c r="D361" s="215" t="s">
        <v>3338</v>
      </c>
      <c r="E361" s="216" t="s">
        <v>5409</v>
      </c>
      <c r="F361" s="217" t="s">
        <v>5410</v>
      </c>
      <c r="G361" s="218" t="s">
        <v>1943</v>
      </c>
      <c r="H361" s="219">
        <v>1</v>
      </c>
      <c r="I361" s="745">
        <v>0</v>
      </c>
      <c r="J361" s="220">
        <f>ROUND(I361*H361,2)</f>
        <v>0</v>
      </c>
      <c r="K361" s="217" t="s">
        <v>3341</v>
      </c>
      <c r="L361" s="145"/>
      <c r="M361" s="221" t="s">
        <v>3268</v>
      </c>
      <c r="N361" s="222" t="s">
        <v>3296</v>
      </c>
      <c r="O361" s="223">
        <v>0.22700000000000001</v>
      </c>
      <c r="P361" s="223">
        <f>O361*H361</f>
        <v>0.22700000000000001</v>
      </c>
      <c r="Q361" s="223">
        <v>7.6999999999999996E-4</v>
      </c>
      <c r="R361" s="223">
        <f>Q361*H361</f>
        <v>7.6999999999999996E-4</v>
      </c>
      <c r="S361" s="223">
        <v>0</v>
      </c>
      <c r="T361" s="224">
        <f>S361*H361</f>
        <v>0</v>
      </c>
      <c r="AR361" s="225" t="s">
        <v>20</v>
      </c>
      <c r="AT361" s="225" t="s">
        <v>3338</v>
      </c>
      <c r="AU361" s="225" t="s">
        <v>6</v>
      </c>
      <c r="AY361" s="136" t="s">
        <v>3337</v>
      </c>
      <c r="BE361" s="226">
        <f>IF(N361="základní",J361,0)</f>
        <v>0</v>
      </c>
      <c r="BF361" s="226">
        <f>IF(N361="snížená",J361,0)</f>
        <v>0</v>
      </c>
      <c r="BG361" s="226">
        <f>IF(N361="zákl. přenesená",J361,0)</f>
        <v>0</v>
      </c>
      <c r="BH361" s="226">
        <f>IF(N361="sníž. přenesená",J361,0)</f>
        <v>0</v>
      </c>
      <c r="BI361" s="226">
        <f>IF(N361="nulová",J361,0)</f>
        <v>0</v>
      </c>
      <c r="BJ361" s="136" t="s">
        <v>5</v>
      </c>
      <c r="BK361" s="226">
        <f>ROUND(I361*H361,2)</f>
        <v>0</v>
      </c>
      <c r="BL361" s="136" t="s">
        <v>20</v>
      </c>
      <c r="BM361" s="225" t="s">
        <v>5411</v>
      </c>
    </row>
    <row r="362" spans="2:65" s="144" customFormat="1">
      <c r="B362" s="145"/>
      <c r="D362" s="227" t="s">
        <v>3343</v>
      </c>
      <c r="F362" s="228" t="s">
        <v>5412</v>
      </c>
      <c r="L362" s="145"/>
      <c r="M362" s="229"/>
      <c r="T362" s="230"/>
      <c r="AT362" s="136" t="s">
        <v>3343</v>
      </c>
      <c r="AU362" s="136" t="s">
        <v>6</v>
      </c>
    </row>
    <row r="363" spans="2:65" s="144" customFormat="1" ht="21.75" customHeight="1">
      <c r="B363" s="214"/>
      <c r="C363" s="215" t="s">
        <v>102</v>
      </c>
      <c r="D363" s="215" t="s">
        <v>3338</v>
      </c>
      <c r="E363" s="216" t="s">
        <v>5413</v>
      </c>
      <c r="F363" s="217" t="s">
        <v>5414</v>
      </c>
      <c r="G363" s="218" t="s">
        <v>1943</v>
      </c>
      <c r="H363" s="219">
        <v>1</v>
      </c>
      <c r="I363" s="745">
        <v>0</v>
      </c>
      <c r="J363" s="220">
        <f>ROUND(I363*H363,2)</f>
        <v>0</v>
      </c>
      <c r="K363" s="217" t="s">
        <v>3341</v>
      </c>
      <c r="L363" s="145"/>
      <c r="M363" s="221" t="s">
        <v>3268</v>
      </c>
      <c r="N363" s="222" t="s">
        <v>3296</v>
      </c>
      <c r="O363" s="223">
        <v>0.34</v>
      </c>
      <c r="P363" s="223">
        <f>O363*H363</f>
        <v>0.34</v>
      </c>
      <c r="Q363" s="223">
        <v>3.47E-3</v>
      </c>
      <c r="R363" s="223">
        <f>Q363*H363</f>
        <v>3.47E-3</v>
      </c>
      <c r="S363" s="223">
        <v>0</v>
      </c>
      <c r="T363" s="224">
        <f>S363*H363</f>
        <v>0</v>
      </c>
      <c r="AR363" s="225" t="s">
        <v>20</v>
      </c>
      <c r="AT363" s="225" t="s">
        <v>3338</v>
      </c>
      <c r="AU363" s="225" t="s">
        <v>6</v>
      </c>
      <c r="AY363" s="136" t="s">
        <v>3337</v>
      </c>
      <c r="BE363" s="226">
        <f>IF(N363="základní",J363,0)</f>
        <v>0</v>
      </c>
      <c r="BF363" s="226">
        <f>IF(N363="snížená",J363,0)</f>
        <v>0</v>
      </c>
      <c r="BG363" s="226">
        <f>IF(N363="zákl. přenesená",J363,0)</f>
        <v>0</v>
      </c>
      <c r="BH363" s="226">
        <f>IF(N363="sníž. přenesená",J363,0)</f>
        <v>0</v>
      </c>
      <c r="BI363" s="226">
        <f>IF(N363="nulová",J363,0)</f>
        <v>0</v>
      </c>
      <c r="BJ363" s="136" t="s">
        <v>5</v>
      </c>
      <c r="BK363" s="226">
        <f>ROUND(I363*H363,2)</f>
        <v>0</v>
      </c>
      <c r="BL363" s="136" t="s">
        <v>20</v>
      </c>
      <c r="BM363" s="225" t="s">
        <v>5415</v>
      </c>
    </row>
    <row r="364" spans="2:65" s="144" customFormat="1" ht="19.2">
      <c r="B364" s="145"/>
      <c r="D364" s="227" t="s">
        <v>3343</v>
      </c>
      <c r="F364" s="228" t="s">
        <v>5416</v>
      </c>
      <c r="L364" s="145"/>
      <c r="M364" s="229"/>
      <c r="T364" s="230"/>
      <c r="AT364" s="136" t="s">
        <v>3343</v>
      </c>
      <c r="AU364" s="136" t="s">
        <v>6</v>
      </c>
    </row>
    <row r="365" spans="2:65" s="144" customFormat="1" ht="21.75" customHeight="1">
      <c r="B365" s="214"/>
      <c r="C365" s="215" t="s">
        <v>103</v>
      </c>
      <c r="D365" s="215" t="s">
        <v>3338</v>
      </c>
      <c r="E365" s="216" t="s">
        <v>5417</v>
      </c>
      <c r="F365" s="217" t="s">
        <v>5418</v>
      </c>
      <c r="G365" s="218" t="s">
        <v>1943</v>
      </c>
      <c r="H365" s="219">
        <v>1</v>
      </c>
      <c r="I365" s="745">
        <v>0</v>
      </c>
      <c r="J365" s="220">
        <f>ROUND(I365*H365,2)</f>
        <v>0</v>
      </c>
      <c r="K365" s="217" t="s">
        <v>3341</v>
      </c>
      <c r="L365" s="145"/>
      <c r="M365" s="221" t="s">
        <v>3268</v>
      </c>
      <c r="N365" s="222" t="s">
        <v>3296</v>
      </c>
      <c r="O365" s="223">
        <v>0.35099999999999998</v>
      </c>
      <c r="P365" s="223">
        <f>O365*H365</f>
        <v>0.35099999999999998</v>
      </c>
      <c r="Q365" s="223">
        <v>2.5699999999999998E-3</v>
      </c>
      <c r="R365" s="223">
        <f>Q365*H365</f>
        <v>2.5699999999999998E-3</v>
      </c>
      <c r="S365" s="223">
        <v>0</v>
      </c>
      <c r="T365" s="224">
        <f>S365*H365</f>
        <v>0</v>
      </c>
      <c r="AR365" s="225" t="s">
        <v>20</v>
      </c>
      <c r="AT365" s="225" t="s">
        <v>3338</v>
      </c>
      <c r="AU365" s="225" t="s">
        <v>6</v>
      </c>
      <c r="AY365" s="136" t="s">
        <v>3337</v>
      </c>
      <c r="BE365" s="226">
        <f>IF(N365="základní",J365,0)</f>
        <v>0</v>
      </c>
      <c r="BF365" s="226">
        <f>IF(N365="snížená",J365,0)</f>
        <v>0</v>
      </c>
      <c r="BG365" s="226">
        <f>IF(N365="zákl. přenesená",J365,0)</f>
        <v>0</v>
      </c>
      <c r="BH365" s="226">
        <f>IF(N365="sníž. přenesená",J365,0)</f>
        <v>0</v>
      </c>
      <c r="BI365" s="226">
        <f>IF(N365="nulová",J365,0)</f>
        <v>0</v>
      </c>
      <c r="BJ365" s="136" t="s">
        <v>5</v>
      </c>
      <c r="BK365" s="226">
        <f>ROUND(I365*H365,2)</f>
        <v>0</v>
      </c>
      <c r="BL365" s="136" t="s">
        <v>20</v>
      </c>
      <c r="BM365" s="225" t="s">
        <v>5419</v>
      </c>
    </row>
    <row r="366" spans="2:65" s="144" customFormat="1" ht="19.2">
      <c r="B366" s="145"/>
      <c r="D366" s="227" t="s">
        <v>3343</v>
      </c>
      <c r="F366" s="228" t="s">
        <v>5420</v>
      </c>
      <c r="L366" s="145"/>
      <c r="M366" s="229"/>
      <c r="T366" s="230"/>
      <c r="AT366" s="136" t="s">
        <v>3343</v>
      </c>
      <c r="AU366" s="136" t="s">
        <v>6</v>
      </c>
    </row>
    <row r="367" spans="2:65" s="144" customFormat="1" ht="16.5" customHeight="1">
      <c r="B367" s="214"/>
      <c r="C367" s="215" t="s">
        <v>104</v>
      </c>
      <c r="D367" s="215" t="s">
        <v>3338</v>
      </c>
      <c r="E367" s="216" t="s">
        <v>5421</v>
      </c>
      <c r="F367" s="217" t="s">
        <v>5422</v>
      </c>
      <c r="G367" s="218" t="s">
        <v>1943</v>
      </c>
      <c r="H367" s="219">
        <v>23</v>
      </c>
      <c r="I367" s="745">
        <v>0</v>
      </c>
      <c r="J367" s="220">
        <f>ROUND(I367*H367,2)</f>
        <v>0</v>
      </c>
      <c r="K367" s="217" t="s">
        <v>3341</v>
      </c>
      <c r="L367" s="145"/>
      <c r="M367" s="221" t="s">
        <v>3268</v>
      </c>
      <c r="N367" s="222" t="s">
        <v>3296</v>
      </c>
      <c r="O367" s="223">
        <v>0.16</v>
      </c>
      <c r="P367" s="223">
        <f>O367*H367</f>
        <v>3.68</v>
      </c>
      <c r="Q367" s="223">
        <v>2.1000000000000001E-4</v>
      </c>
      <c r="R367" s="223">
        <f>Q367*H367</f>
        <v>4.8300000000000001E-3</v>
      </c>
      <c r="S367" s="223">
        <v>0</v>
      </c>
      <c r="T367" s="224">
        <f>S367*H367</f>
        <v>0</v>
      </c>
      <c r="AR367" s="225" t="s">
        <v>20</v>
      </c>
      <c r="AT367" s="225" t="s">
        <v>3338</v>
      </c>
      <c r="AU367" s="225" t="s">
        <v>6</v>
      </c>
      <c r="AY367" s="136" t="s">
        <v>3337</v>
      </c>
      <c r="BE367" s="226">
        <f>IF(N367="základní",J367,0)</f>
        <v>0</v>
      </c>
      <c r="BF367" s="226">
        <f>IF(N367="snížená",J367,0)</f>
        <v>0</v>
      </c>
      <c r="BG367" s="226">
        <f>IF(N367="zákl. přenesená",J367,0)</f>
        <v>0</v>
      </c>
      <c r="BH367" s="226">
        <f>IF(N367="sníž. přenesená",J367,0)</f>
        <v>0</v>
      </c>
      <c r="BI367" s="226">
        <f>IF(N367="nulová",J367,0)</f>
        <v>0</v>
      </c>
      <c r="BJ367" s="136" t="s">
        <v>5</v>
      </c>
      <c r="BK367" s="226">
        <f>ROUND(I367*H367,2)</f>
        <v>0</v>
      </c>
      <c r="BL367" s="136" t="s">
        <v>20</v>
      </c>
      <c r="BM367" s="225" t="s">
        <v>5423</v>
      </c>
    </row>
    <row r="368" spans="2:65" s="144" customFormat="1" ht="19.2">
      <c r="B368" s="145"/>
      <c r="D368" s="227" t="s">
        <v>3343</v>
      </c>
      <c r="F368" s="228" t="s">
        <v>5424</v>
      </c>
      <c r="L368" s="145"/>
      <c r="M368" s="229"/>
      <c r="T368" s="230"/>
      <c r="AT368" s="136" t="s">
        <v>3343</v>
      </c>
      <c r="AU368" s="136" t="s">
        <v>6</v>
      </c>
    </row>
    <row r="369" spans="2:65" s="144" customFormat="1" ht="16.5" customHeight="1">
      <c r="B369" s="214"/>
      <c r="C369" s="215" t="s">
        <v>105</v>
      </c>
      <c r="D369" s="215" t="s">
        <v>3338</v>
      </c>
      <c r="E369" s="216" t="s">
        <v>5425</v>
      </c>
      <c r="F369" s="217" t="s">
        <v>5426</v>
      </c>
      <c r="G369" s="218" t="s">
        <v>1943</v>
      </c>
      <c r="H369" s="219">
        <v>13</v>
      </c>
      <c r="I369" s="745">
        <v>0</v>
      </c>
      <c r="J369" s="220">
        <f>ROUND(I369*H369,2)</f>
        <v>0</v>
      </c>
      <c r="K369" s="217" t="s">
        <v>3341</v>
      </c>
      <c r="L369" s="145"/>
      <c r="M369" s="221" t="s">
        <v>3268</v>
      </c>
      <c r="N369" s="222" t="s">
        <v>3296</v>
      </c>
      <c r="O369" s="223">
        <v>0.2</v>
      </c>
      <c r="P369" s="223">
        <f>O369*H369</f>
        <v>2.6</v>
      </c>
      <c r="Q369" s="223">
        <v>3.4000000000000002E-4</v>
      </c>
      <c r="R369" s="223">
        <f>Q369*H369</f>
        <v>4.4200000000000003E-3</v>
      </c>
      <c r="S369" s="223">
        <v>0</v>
      </c>
      <c r="T369" s="224">
        <f>S369*H369</f>
        <v>0</v>
      </c>
      <c r="AR369" s="225" t="s">
        <v>20</v>
      </c>
      <c r="AT369" s="225" t="s">
        <v>3338</v>
      </c>
      <c r="AU369" s="225" t="s">
        <v>6</v>
      </c>
      <c r="AY369" s="136" t="s">
        <v>3337</v>
      </c>
      <c r="BE369" s="226">
        <f>IF(N369="základní",J369,0)</f>
        <v>0</v>
      </c>
      <c r="BF369" s="226">
        <f>IF(N369="snížená",J369,0)</f>
        <v>0</v>
      </c>
      <c r="BG369" s="226">
        <f>IF(N369="zákl. přenesená",J369,0)</f>
        <v>0</v>
      </c>
      <c r="BH369" s="226">
        <f>IF(N369="sníž. přenesená",J369,0)</f>
        <v>0</v>
      </c>
      <c r="BI369" s="226">
        <f>IF(N369="nulová",J369,0)</f>
        <v>0</v>
      </c>
      <c r="BJ369" s="136" t="s">
        <v>5</v>
      </c>
      <c r="BK369" s="226">
        <f>ROUND(I369*H369,2)</f>
        <v>0</v>
      </c>
      <c r="BL369" s="136" t="s">
        <v>20</v>
      </c>
      <c r="BM369" s="225" t="s">
        <v>5427</v>
      </c>
    </row>
    <row r="370" spans="2:65" s="144" customFormat="1" ht="19.2">
      <c r="B370" s="145"/>
      <c r="D370" s="227" t="s">
        <v>3343</v>
      </c>
      <c r="F370" s="228" t="s">
        <v>5428</v>
      </c>
      <c r="L370" s="145"/>
      <c r="M370" s="229"/>
      <c r="T370" s="230"/>
      <c r="AT370" s="136" t="s">
        <v>3343</v>
      </c>
      <c r="AU370" s="136" t="s">
        <v>6</v>
      </c>
    </row>
    <row r="371" spans="2:65" s="144" customFormat="1" ht="16.5" customHeight="1">
      <c r="B371" s="214"/>
      <c r="C371" s="215" t="s">
        <v>106</v>
      </c>
      <c r="D371" s="215" t="s">
        <v>3338</v>
      </c>
      <c r="E371" s="216" t="s">
        <v>5429</v>
      </c>
      <c r="F371" s="217" t="s">
        <v>5430</v>
      </c>
      <c r="G371" s="218" t="s">
        <v>1943</v>
      </c>
      <c r="H371" s="219">
        <v>3</v>
      </c>
      <c r="I371" s="745">
        <v>0</v>
      </c>
      <c r="J371" s="220">
        <f>ROUND(I371*H371,2)</f>
        <v>0</v>
      </c>
      <c r="K371" s="217" t="s">
        <v>3341</v>
      </c>
      <c r="L371" s="145"/>
      <c r="M371" s="221" t="s">
        <v>3268</v>
      </c>
      <c r="N371" s="222" t="s">
        <v>3296</v>
      </c>
      <c r="O371" s="223">
        <v>0.22</v>
      </c>
      <c r="P371" s="223">
        <f>O371*H371</f>
        <v>0.66</v>
      </c>
      <c r="Q371" s="223">
        <v>5.0000000000000001E-4</v>
      </c>
      <c r="R371" s="223">
        <f>Q371*H371</f>
        <v>1.5E-3</v>
      </c>
      <c r="S371" s="223">
        <v>0</v>
      </c>
      <c r="T371" s="224">
        <f>S371*H371</f>
        <v>0</v>
      </c>
      <c r="AR371" s="225" t="s">
        <v>20</v>
      </c>
      <c r="AT371" s="225" t="s">
        <v>3338</v>
      </c>
      <c r="AU371" s="225" t="s">
        <v>6</v>
      </c>
      <c r="AY371" s="136" t="s">
        <v>3337</v>
      </c>
      <c r="BE371" s="226">
        <f>IF(N371="základní",J371,0)</f>
        <v>0</v>
      </c>
      <c r="BF371" s="226">
        <f>IF(N371="snížená",J371,0)</f>
        <v>0</v>
      </c>
      <c r="BG371" s="226">
        <f>IF(N371="zákl. přenesená",J371,0)</f>
        <v>0</v>
      </c>
      <c r="BH371" s="226">
        <f>IF(N371="sníž. přenesená",J371,0)</f>
        <v>0</v>
      </c>
      <c r="BI371" s="226">
        <f>IF(N371="nulová",J371,0)</f>
        <v>0</v>
      </c>
      <c r="BJ371" s="136" t="s">
        <v>5</v>
      </c>
      <c r="BK371" s="226">
        <f>ROUND(I371*H371,2)</f>
        <v>0</v>
      </c>
      <c r="BL371" s="136" t="s">
        <v>20</v>
      </c>
      <c r="BM371" s="225" t="s">
        <v>5431</v>
      </c>
    </row>
    <row r="372" spans="2:65" s="144" customFormat="1" ht="19.2">
      <c r="B372" s="145"/>
      <c r="D372" s="227" t="s">
        <v>3343</v>
      </c>
      <c r="F372" s="228" t="s">
        <v>5432</v>
      </c>
      <c r="L372" s="145"/>
      <c r="M372" s="229"/>
      <c r="T372" s="230"/>
      <c r="AT372" s="136" t="s">
        <v>3343</v>
      </c>
      <c r="AU372" s="136" t="s">
        <v>6</v>
      </c>
    </row>
    <row r="373" spans="2:65" s="144" customFormat="1" ht="16.5" customHeight="1">
      <c r="B373" s="214"/>
      <c r="C373" s="215" t="s">
        <v>107</v>
      </c>
      <c r="D373" s="215" t="s">
        <v>3338</v>
      </c>
      <c r="E373" s="216" t="s">
        <v>5433</v>
      </c>
      <c r="F373" s="217" t="s">
        <v>5434</v>
      </c>
      <c r="G373" s="218" t="s">
        <v>1943</v>
      </c>
      <c r="H373" s="219">
        <v>2</v>
      </c>
      <c r="I373" s="745">
        <v>0</v>
      </c>
      <c r="J373" s="220">
        <f>ROUND(I373*H373,2)</f>
        <v>0</v>
      </c>
      <c r="K373" s="217" t="s">
        <v>3341</v>
      </c>
      <c r="L373" s="145"/>
      <c r="M373" s="221" t="s">
        <v>3268</v>
      </c>
      <c r="N373" s="222" t="s">
        <v>3296</v>
      </c>
      <c r="O373" s="223">
        <v>0.26</v>
      </c>
      <c r="P373" s="223">
        <f>O373*H373</f>
        <v>0.52</v>
      </c>
      <c r="Q373" s="223">
        <v>6.9999999999999999E-4</v>
      </c>
      <c r="R373" s="223">
        <f>Q373*H373</f>
        <v>1.4E-3</v>
      </c>
      <c r="S373" s="223">
        <v>0</v>
      </c>
      <c r="T373" s="224">
        <f>S373*H373</f>
        <v>0</v>
      </c>
      <c r="AR373" s="225" t="s">
        <v>20</v>
      </c>
      <c r="AT373" s="225" t="s">
        <v>3338</v>
      </c>
      <c r="AU373" s="225" t="s">
        <v>6</v>
      </c>
      <c r="AY373" s="136" t="s">
        <v>3337</v>
      </c>
      <c r="BE373" s="226">
        <f>IF(N373="základní",J373,0)</f>
        <v>0</v>
      </c>
      <c r="BF373" s="226">
        <f>IF(N373="snížená",J373,0)</f>
        <v>0</v>
      </c>
      <c r="BG373" s="226">
        <f>IF(N373="zákl. přenesená",J373,0)</f>
        <v>0</v>
      </c>
      <c r="BH373" s="226">
        <f>IF(N373="sníž. přenesená",J373,0)</f>
        <v>0</v>
      </c>
      <c r="BI373" s="226">
        <f>IF(N373="nulová",J373,0)</f>
        <v>0</v>
      </c>
      <c r="BJ373" s="136" t="s">
        <v>5</v>
      </c>
      <c r="BK373" s="226">
        <f>ROUND(I373*H373,2)</f>
        <v>0</v>
      </c>
      <c r="BL373" s="136" t="s">
        <v>20</v>
      </c>
      <c r="BM373" s="225" t="s">
        <v>5435</v>
      </c>
    </row>
    <row r="374" spans="2:65" s="144" customFormat="1" ht="19.2">
      <c r="B374" s="145"/>
      <c r="D374" s="227" t="s">
        <v>3343</v>
      </c>
      <c r="F374" s="228" t="s">
        <v>5436</v>
      </c>
      <c r="L374" s="145"/>
      <c r="M374" s="229"/>
      <c r="T374" s="230"/>
      <c r="AT374" s="136" t="s">
        <v>3343</v>
      </c>
      <c r="AU374" s="136" t="s">
        <v>6</v>
      </c>
    </row>
    <row r="375" spans="2:65" s="144" customFormat="1" ht="16.5" customHeight="1">
      <c r="B375" s="214"/>
      <c r="C375" s="215" t="s">
        <v>108</v>
      </c>
      <c r="D375" s="215" t="s">
        <v>3338</v>
      </c>
      <c r="E375" s="216" t="s">
        <v>5437</v>
      </c>
      <c r="F375" s="217" t="s">
        <v>5438</v>
      </c>
      <c r="G375" s="218" t="s">
        <v>1943</v>
      </c>
      <c r="H375" s="219">
        <v>9</v>
      </c>
      <c r="I375" s="745">
        <v>0</v>
      </c>
      <c r="J375" s="220">
        <f>ROUND(I375*H375,2)</f>
        <v>0</v>
      </c>
      <c r="K375" s="217" t="s">
        <v>3341</v>
      </c>
      <c r="L375" s="145"/>
      <c r="M375" s="221" t="s">
        <v>3268</v>
      </c>
      <c r="N375" s="222" t="s">
        <v>3296</v>
      </c>
      <c r="O375" s="223">
        <v>0.34</v>
      </c>
      <c r="P375" s="223">
        <f>O375*H375</f>
        <v>3.06</v>
      </c>
      <c r="Q375" s="223">
        <v>1.07E-3</v>
      </c>
      <c r="R375" s="223">
        <f>Q375*H375</f>
        <v>9.6299999999999997E-3</v>
      </c>
      <c r="S375" s="223">
        <v>0</v>
      </c>
      <c r="T375" s="224">
        <f>S375*H375</f>
        <v>0</v>
      </c>
      <c r="AR375" s="225" t="s">
        <v>20</v>
      </c>
      <c r="AT375" s="225" t="s">
        <v>3338</v>
      </c>
      <c r="AU375" s="225" t="s">
        <v>6</v>
      </c>
      <c r="AY375" s="136" t="s">
        <v>3337</v>
      </c>
      <c r="BE375" s="226">
        <f>IF(N375="základní",J375,0)</f>
        <v>0</v>
      </c>
      <c r="BF375" s="226">
        <f>IF(N375="snížená",J375,0)</f>
        <v>0</v>
      </c>
      <c r="BG375" s="226">
        <f>IF(N375="zákl. přenesená",J375,0)</f>
        <v>0</v>
      </c>
      <c r="BH375" s="226">
        <f>IF(N375="sníž. přenesená",J375,0)</f>
        <v>0</v>
      </c>
      <c r="BI375" s="226">
        <f>IF(N375="nulová",J375,0)</f>
        <v>0</v>
      </c>
      <c r="BJ375" s="136" t="s">
        <v>5</v>
      </c>
      <c r="BK375" s="226">
        <f>ROUND(I375*H375,2)</f>
        <v>0</v>
      </c>
      <c r="BL375" s="136" t="s">
        <v>20</v>
      </c>
      <c r="BM375" s="225" t="s">
        <v>5439</v>
      </c>
    </row>
    <row r="376" spans="2:65" s="144" customFormat="1" ht="19.2">
      <c r="B376" s="145"/>
      <c r="D376" s="227" t="s">
        <v>3343</v>
      </c>
      <c r="F376" s="228" t="s">
        <v>5440</v>
      </c>
      <c r="L376" s="145"/>
      <c r="M376" s="229"/>
      <c r="T376" s="230"/>
      <c r="AT376" s="136" t="s">
        <v>3343</v>
      </c>
      <c r="AU376" s="136" t="s">
        <v>6</v>
      </c>
    </row>
    <row r="377" spans="2:65" s="144" customFormat="1" ht="21.75" customHeight="1">
      <c r="B377" s="214"/>
      <c r="C377" s="215" t="s">
        <v>109</v>
      </c>
      <c r="D377" s="215" t="s">
        <v>3338</v>
      </c>
      <c r="E377" s="216" t="s">
        <v>5441</v>
      </c>
      <c r="F377" s="217" t="s">
        <v>5442</v>
      </c>
      <c r="G377" s="218" t="s">
        <v>1943</v>
      </c>
      <c r="H377" s="219">
        <v>3</v>
      </c>
      <c r="I377" s="745">
        <v>0</v>
      </c>
      <c r="J377" s="220">
        <f>ROUND(I377*H377,2)</f>
        <v>0</v>
      </c>
      <c r="K377" s="217" t="s">
        <v>3341</v>
      </c>
      <c r="L377" s="145"/>
      <c r="M377" s="221" t="s">
        <v>3268</v>
      </c>
      <c r="N377" s="222" t="s">
        <v>3296</v>
      </c>
      <c r="O377" s="223">
        <v>0.16</v>
      </c>
      <c r="P377" s="223">
        <f>O377*H377</f>
        <v>0.48</v>
      </c>
      <c r="Q377" s="223">
        <v>2.7E-4</v>
      </c>
      <c r="R377" s="223">
        <f>Q377*H377</f>
        <v>8.0999999999999996E-4</v>
      </c>
      <c r="S377" s="223">
        <v>0</v>
      </c>
      <c r="T377" s="224">
        <f>S377*H377</f>
        <v>0</v>
      </c>
      <c r="AR377" s="225" t="s">
        <v>20</v>
      </c>
      <c r="AT377" s="225" t="s">
        <v>3338</v>
      </c>
      <c r="AU377" s="225" t="s">
        <v>6</v>
      </c>
      <c r="AY377" s="136" t="s">
        <v>3337</v>
      </c>
      <c r="BE377" s="226">
        <f>IF(N377="základní",J377,0)</f>
        <v>0</v>
      </c>
      <c r="BF377" s="226">
        <f>IF(N377="snížená",J377,0)</f>
        <v>0</v>
      </c>
      <c r="BG377" s="226">
        <f>IF(N377="zákl. přenesená",J377,0)</f>
        <v>0</v>
      </c>
      <c r="BH377" s="226">
        <f>IF(N377="sníž. přenesená",J377,0)</f>
        <v>0</v>
      </c>
      <c r="BI377" s="226">
        <f>IF(N377="nulová",J377,0)</f>
        <v>0</v>
      </c>
      <c r="BJ377" s="136" t="s">
        <v>5</v>
      </c>
      <c r="BK377" s="226">
        <f>ROUND(I377*H377,2)</f>
        <v>0</v>
      </c>
      <c r="BL377" s="136" t="s">
        <v>20</v>
      </c>
      <c r="BM377" s="225" t="s">
        <v>5443</v>
      </c>
    </row>
    <row r="378" spans="2:65" s="144" customFormat="1" ht="19.2">
      <c r="B378" s="145"/>
      <c r="D378" s="227" t="s">
        <v>3343</v>
      </c>
      <c r="F378" s="228" t="s">
        <v>5444</v>
      </c>
      <c r="L378" s="145"/>
      <c r="M378" s="229"/>
      <c r="T378" s="230"/>
      <c r="AT378" s="136" t="s">
        <v>3343</v>
      </c>
      <c r="AU378" s="136" t="s">
        <v>6</v>
      </c>
    </row>
    <row r="379" spans="2:65" s="144" customFormat="1" ht="21.75" customHeight="1">
      <c r="B379" s="214"/>
      <c r="C379" s="215" t="s">
        <v>110</v>
      </c>
      <c r="D379" s="215" t="s">
        <v>3338</v>
      </c>
      <c r="E379" s="216" t="s">
        <v>5445</v>
      </c>
      <c r="F379" s="217" t="s">
        <v>5446</v>
      </c>
      <c r="G379" s="218" t="s">
        <v>1943</v>
      </c>
      <c r="H379" s="219">
        <v>4</v>
      </c>
      <c r="I379" s="745">
        <v>0</v>
      </c>
      <c r="J379" s="220">
        <f>ROUND(I379*H379,2)</f>
        <v>0</v>
      </c>
      <c r="K379" s="217" t="s">
        <v>3341</v>
      </c>
      <c r="L379" s="145"/>
      <c r="M379" s="221" t="s">
        <v>3268</v>
      </c>
      <c r="N379" s="222" t="s">
        <v>3296</v>
      </c>
      <c r="O379" s="223">
        <v>0.2</v>
      </c>
      <c r="P379" s="223">
        <f>O379*H379</f>
        <v>0.8</v>
      </c>
      <c r="Q379" s="223">
        <v>4.0000000000000002E-4</v>
      </c>
      <c r="R379" s="223">
        <f>Q379*H379</f>
        <v>1.6000000000000001E-3</v>
      </c>
      <c r="S379" s="223">
        <v>0</v>
      </c>
      <c r="T379" s="224">
        <f>S379*H379</f>
        <v>0</v>
      </c>
      <c r="AR379" s="225" t="s">
        <v>20</v>
      </c>
      <c r="AT379" s="225" t="s">
        <v>3338</v>
      </c>
      <c r="AU379" s="225" t="s">
        <v>6</v>
      </c>
      <c r="AY379" s="136" t="s">
        <v>3337</v>
      </c>
      <c r="BE379" s="226">
        <f>IF(N379="základní",J379,0)</f>
        <v>0</v>
      </c>
      <c r="BF379" s="226">
        <f>IF(N379="snížená",J379,0)</f>
        <v>0</v>
      </c>
      <c r="BG379" s="226">
        <f>IF(N379="zákl. přenesená",J379,0)</f>
        <v>0</v>
      </c>
      <c r="BH379" s="226">
        <f>IF(N379="sníž. přenesená",J379,0)</f>
        <v>0</v>
      </c>
      <c r="BI379" s="226">
        <f>IF(N379="nulová",J379,0)</f>
        <v>0</v>
      </c>
      <c r="BJ379" s="136" t="s">
        <v>5</v>
      </c>
      <c r="BK379" s="226">
        <f>ROUND(I379*H379,2)</f>
        <v>0</v>
      </c>
      <c r="BL379" s="136" t="s">
        <v>20</v>
      </c>
      <c r="BM379" s="225" t="s">
        <v>5447</v>
      </c>
    </row>
    <row r="380" spans="2:65" s="144" customFormat="1" ht="19.2">
      <c r="B380" s="145"/>
      <c r="D380" s="227" t="s">
        <v>3343</v>
      </c>
      <c r="F380" s="228" t="s">
        <v>5448</v>
      </c>
      <c r="L380" s="145"/>
      <c r="M380" s="229"/>
      <c r="T380" s="230"/>
      <c r="AT380" s="136" t="s">
        <v>3343</v>
      </c>
      <c r="AU380" s="136" t="s">
        <v>6</v>
      </c>
    </row>
    <row r="381" spans="2:65" s="144" customFormat="1" ht="21.75" customHeight="1">
      <c r="B381" s="214"/>
      <c r="C381" s="215" t="s">
        <v>111</v>
      </c>
      <c r="D381" s="215" t="s">
        <v>3338</v>
      </c>
      <c r="E381" s="216" t="s">
        <v>5449</v>
      </c>
      <c r="F381" s="217" t="s">
        <v>5450</v>
      </c>
      <c r="G381" s="218" t="s">
        <v>1943</v>
      </c>
      <c r="H381" s="219">
        <v>3</v>
      </c>
      <c r="I381" s="745">
        <v>0</v>
      </c>
      <c r="J381" s="220">
        <f>ROUND(I381*H381,2)</f>
        <v>0</v>
      </c>
      <c r="K381" s="217" t="s">
        <v>3341</v>
      </c>
      <c r="L381" s="145"/>
      <c r="M381" s="221" t="s">
        <v>3268</v>
      </c>
      <c r="N381" s="222" t="s">
        <v>3296</v>
      </c>
      <c r="O381" s="223">
        <v>0.22</v>
      </c>
      <c r="P381" s="223">
        <f>O381*H381</f>
        <v>0.66</v>
      </c>
      <c r="Q381" s="223">
        <v>5.6999999999999998E-4</v>
      </c>
      <c r="R381" s="223">
        <f>Q381*H381</f>
        <v>1.7099999999999999E-3</v>
      </c>
      <c r="S381" s="223">
        <v>0</v>
      </c>
      <c r="T381" s="224">
        <f>S381*H381</f>
        <v>0</v>
      </c>
      <c r="AR381" s="225" t="s">
        <v>20</v>
      </c>
      <c r="AT381" s="225" t="s">
        <v>3338</v>
      </c>
      <c r="AU381" s="225" t="s">
        <v>6</v>
      </c>
      <c r="AY381" s="136" t="s">
        <v>3337</v>
      </c>
      <c r="BE381" s="226">
        <f>IF(N381="základní",J381,0)</f>
        <v>0</v>
      </c>
      <c r="BF381" s="226">
        <f>IF(N381="snížená",J381,0)</f>
        <v>0</v>
      </c>
      <c r="BG381" s="226">
        <f>IF(N381="zákl. přenesená",J381,0)</f>
        <v>0</v>
      </c>
      <c r="BH381" s="226">
        <f>IF(N381="sníž. přenesená",J381,0)</f>
        <v>0</v>
      </c>
      <c r="BI381" s="226">
        <f>IF(N381="nulová",J381,0)</f>
        <v>0</v>
      </c>
      <c r="BJ381" s="136" t="s">
        <v>5</v>
      </c>
      <c r="BK381" s="226">
        <f>ROUND(I381*H381,2)</f>
        <v>0</v>
      </c>
      <c r="BL381" s="136" t="s">
        <v>20</v>
      </c>
      <c r="BM381" s="225" t="s">
        <v>5451</v>
      </c>
    </row>
    <row r="382" spans="2:65" s="144" customFormat="1" ht="19.2">
      <c r="B382" s="145"/>
      <c r="D382" s="227" t="s">
        <v>3343</v>
      </c>
      <c r="F382" s="228" t="s">
        <v>5452</v>
      </c>
      <c r="L382" s="145"/>
      <c r="M382" s="229"/>
      <c r="T382" s="230"/>
      <c r="AT382" s="136" t="s">
        <v>3343</v>
      </c>
      <c r="AU382" s="136" t="s">
        <v>6</v>
      </c>
    </row>
    <row r="383" spans="2:65" s="144" customFormat="1" ht="21.75" customHeight="1">
      <c r="B383" s="214"/>
      <c r="C383" s="215" t="s">
        <v>112</v>
      </c>
      <c r="D383" s="215" t="s">
        <v>3338</v>
      </c>
      <c r="E383" s="216" t="s">
        <v>5453</v>
      </c>
      <c r="F383" s="217" t="s">
        <v>5454</v>
      </c>
      <c r="G383" s="218" t="s">
        <v>1943</v>
      </c>
      <c r="H383" s="219">
        <v>1</v>
      </c>
      <c r="I383" s="745">
        <v>0</v>
      </c>
      <c r="J383" s="220">
        <f>ROUND(I383*H383,2)</f>
        <v>0</v>
      </c>
      <c r="K383" s="217" t="s">
        <v>3341</v>
      </c>
      <c r="L383" s="145"/>
      <c r="M383" s="221" t="s">
        <v>3268</v>
      </c>
      <c r="N383" s="222" t="s">
        <v>3296</v>
      </c>
      <c r="O383" s="223">
        <v>0.26</v>
      </c>
      <c r="P383" s="223">
        <f>O383*H383</f>
        <v>0.26</v>
      </c>
      <c r="Q383" s="223">
        <v>8.0000000000000004E-4</v>
      </c>
      <c r="R383" s="223">
        <f>Q383*H383</f>
        <v>8.0000000000000004E-4</v>
      </c>
      <c r="S383" s="223">
        <v>0</v>
      </c>
      <c r="T383" s="224">
        <f>S383*H383</f>
        <v>0</v>
      </c>
      <c r="AR383" s="225" t="s">
        <v>20</v>
      </c>
      <c r="AT383" s="225" t="s">
        <v>3338</v>
      </c>
      <c r="AU383" s="225" t="s">
        <v>6</v>
      </c>
      <c r="AY383" s="136" t="s">
        <v>3337</v>
      </c>
      <c r="BE383" s="226">
        <f>IF(N383="základní",J383,0)</f>
        <v>0</v>
      </c>
      <c r="BF383" s="226">
        <f>IF(N383="snížená",J383,0)</f>
        <v>0</v>
      </c>
      <c r="BG383" s="226">
        <f>IF(N383="zákl. přenesená",J383,0)</f>
        <v>0</v>
      </c>
      <c r="BH383" s="226">
        <f>IF(N383="sníž. přenesená",J383,0)</f>
        <v>0</v>
      </c>
      <c r="BI383" s="226">
        <f>IF(N383="nulová",J383,0)</f>
        <v>0</v>
      </c>
      <c r="BJ383" s="136" t="s">
        <v>5</v>
      </c>
      <c r="BK383" s="226">
        <f>ROUND(I383*H383,2)</f>
        <v>0</v>
      </c>
      <c r="BL383" s="136" t="s">
        <v>20</v>
      </c>
      <c r="BM383" s="225" t="s">
        <v>5455</v>
      </c>
    </row>
    <row r="384" spans="2:65" s="144" customFormat="1" ht="19.2">
      <c r="B384" s="145"/>
      <c r="D384" s="227" t="s">
        <v>3343</v>
      </c>
      <c r="F384" s="228" t="s">
        <v>5456</v>
      </c>
      <c r="L384" s="145"/>
      <c r="M384" s="229"/>
      <c r="T384" s="230"/>
      <c r="AT384" s="136" t="s">
        <v>3343</v>
      </c>
      <c r="AU384" s="136" t="s">
        <v>6</v>
      </c>
    </row>
    <row r="385" spans="2:65" s="144" customFormat="1" ht="21.75" customHeight="1">
      <c r="B385" s="214"/>
      <c r="C385" s="215" t="s">
        <v>113</v>
      </c>
      <c r="D385" s="215" t="s">
        <v>3338</v>
      </c>
      <c r="E385" s="216" t="s">
        <v>5457</v>
      </c>
      <c r="F385" s="217" t="s">
        <v>5458</v>
      </c>
      <c r="G385" s="218" t="s">
        <v>1943</v>
      </c>
      <c r="H385" s="219">
        <v>1</v>
      </c>
      <c r="I385" s="745">
        <v>0</v>
      </c>
      <c r="J385" s="220">
        <f>ROUND(I385*H385,2)</f>
        <v>0</v>
      </c>
      <c r="K385" s="217" t="s">
        <v>3341</v>
      </c>
      <c r="L385" s="145"/>
      <c r="M385" s="221" t="s">
        <v>3268</v>
      </c>
      <c r="N385" s="222" t="s">
        <v>3296</v>
      </c>
      <c r="O385" s="223">
        <v>0.34</v>
      </c>
      <c r="P385" s="223">
        <f>O385*H385</f>
        <v>0.34</v>
      </c>
      <c r="Q385" s="223">
        <v>1.1999999999999999E-3</v>
      </c>
      <c r="R385" s="223">
        <f>Q385*H385</f>
        <v>1.1999999999999999E-3</v>
      </c>
      <c r="S385" s="223">
        <v>0</v>
      </c>
      <c r="T385" s="224">
        <f>S385*H385</f>
        <v>0</v>
      </c>
      <c r="AR385" s="225" t="s">
        <v>20</v>
      </c>
      <c r="AT385" s="225" t="s">
        <v>3338</v>
      </c>
      <c r="AU385" s="225" t="s">
        <v>6</v>
      </c>
      <c r="AY385" s="136" t="s">
        <v>3337</v>
      </c>
      <c r="BE385" s="226">
        <f>IF(N385="základní",J385,0)</f>
        <v>0</v>
      </c>
      <c r="BF385" s="226">
        <f>IF(N385="snížená",J385,0)</f>
        <v>0</v>
      </c>
      <c r="BG385" s="226">
        <f>IF(N385="zákl. přenesená",J385,0)</f>
        <v>0</v>
      </c>
      <c r="BH385" s="226">
        <f>IF(N385="sníž. přenesená",J385,0)</f>
        <v>0</v>
      </c>
      <c r="BI385" s="226">
        <f>IF(N385="nulová",J385,0)</f>
        <v>0</v>
      </c>
      <c r="BJ385" s="136" t="s">
        <v>5</v>
      </c>
      <c r="BK385" s="226">
        <f>ROUND(I385*H385,2)</f>
        <v>0</v>
      </c>
      <c r="BL385" s="136" t="s">
        <v>20</v>
      </c>
      <c r="BM385" s="225" t="s">
        <v>5459</v>
      </c>
    </row>
    <row r="386" spans="2:65" s="144" customFormat="1" ht="19.2">
      <c r="B386" s="145"/>
      <c r="D386" s="227" t="s">
        <v>3343</v>
      </c>
      <c r="F386" s="228" t="s">
        <v>5460</v>
      </c>
      <c r="L386" s="145"/>
      <c r="M386" s="229"/>
      <c r="T386" s="230"/>
      <c r="AT386" s="136" t="s">
        <v>3343</v>
      </c>
      <c r="AU386" s="136" t="s">
        <v>6</v>
      </c>
    </row>
    <row r="387" spans="2:65" s="144" customFormat="1" ht="16.5" customHeight="1">
      <c r="B387" s="214"/>
      <c r="C387" s="215" t="s">
        <v>114</v>
      </c>
      <c r="D387" s="215" t="s">
        <v>3338</v>
      </c>
      <c r="E387" s="216" t="s">
        <v>5461</v>
      </c>
      <c r="F387" s="217" t="s">
        <v>5462</v>
      </c>
      <c r="G387" s="218" t="s">
        <v>1943</v>
      </c>
      <c r="H387" s="219">
        <v>1</v>
      </c>
      <c r="I387" s="745">
        <v>0</v>
      </c>
      <c r="J387" s="220">
        <f>ROUND(I387*H387,2)</f>
        <v>0</v>
      </c>
      <c r="K387" s="217" t="s">
        <v>3341</v>
      </c>
      <c r="L387" s="145"/>
      <c r="M387" s="221" t="s">
        <v>3268</v>
      </c>
      <c r="N387" s="222" t="s">
        <v>3296</v>
      </c>
      <c r="O387" s="223">
        <v>0.22700000000000001</v>
      </c>
      <c r="P387" s="223">
        <f>O387*H387</f>
        <v>0.22700000000000001</v>
      </c>
      <c r="Q387" s="223">
        <v>2.32E-3</v>
      </c>
      <c r="R387" s="223">
        <f>Q387*H387</f>
        <v>2.32E-3</v>
      </c>
      <c r="S387" s="223">
        <v>0</v>
      </c>
      <c r="T387" s="224">
        <f>S387*H387</f>
        <v>0</v>
      </c>
      <c r="AR387" s="225" t="s">
        <v>20</v>
      </c>
      <c r="AT387" s="225" t="s">
        <v>3338</v>
      </c>
      <c r="AU387" s="225" t="s">
        <v>6</v>
      </c>
      <c r="AY387" s="136" t="s">
        <v>3337</v>
      </c>
      <c r="BE387" s="226">
        <f>IF(N387="základní",J387,0)</f>
        <v>0</v>
      </c>
      <c r="BF387" s="226">
        <f>IF(N387="snížená",J387,0)</f>
        <v>0</v>
      </c>
      <c r="BG387" s="226">
        <f>IF(N387="zákl. přenesená",J387,0)</f>
        <v>0</v>
      </c>
      <c r="BH387" s="226">
        <f>IF(N387="sníž. přenesená",J387,0)</f>
        <v>0</v>
      </c>
      <c r="BI387" s="226">
        <f>IF(N387="nulová",J387,0)</f>
        <v>0</v>
      </c>
      <c r="BJ387" s="136" t="s">
        <v>5</v>
      </c>
      <c r="BK387" s="226">
        <f>ROUND(I387*H387,2)</f>
        <v>0</v>
      </c>
      <c r="BL387" s="136" t="s">
        <v>20</v>
      </c>
      <c r="BM387" s="225" t="s">
        <v>5463</v>
      </c>
    </row>
    <row r="388" spans="2:65" s="144" customFormat="1" ht="19.2">
      <c r="B388" s="145"/>
      <c r="D388" s="227" t="s">
        <v>3343</v>
      </c>
      <c r="F388" s="228" t="s">
        <v>5464</v>
      </c>
      <c r="L388" s="145"/>
      <c r="M388" s="229"/>
      <c r="T388" s="230"/>
      <c r="AT388" s="136" t="s">
        <v>3343</v>
      </c>
      <c r="AU388" s="136" t="s">
        <v>6</v>
      </c>
    </row>
    <row r="389" spans="2:65" s="144" customFormat="1" ht="21.75" customHeight="1">
      <c r="B389" s="214"/>
      <c r="C389" s="215" t="s">
        <v>115</v>
      </c>
      <c r="D389" s="215" t="s">
        <v>3338</v>
      </c>
      <c r="E389" s="216" t="s">
        <v>5465</v>
      </c>
      <c r="F389" s="217" t="s">
        <v>5466</v>
      </c>
      <c r="G389" s="218" t="s">
        <v>1943</v>
      </c>
      <c r="H389" s="219">
        <v>1</v>
      </c>
      <c r="I389" s="745">
        <v>0</v>
      </c>
      <c r="J389" s="220">
        <f>ROUND(I389*H389,2)</f>
        <v>0</v>
      </c>
      <c r="K389" s="217" t="s">
        <v>3341</v>
      </c>
      <c r="L389" s="145"/>
      <c r="M389" s="221" t="s">
        <v>3268</v>
      </c>
      <c r="N389" s="222" t="s">
        <v>3296</v>
      </c>
      <c r="O389" s="223">
        <v>0.2</v>
      </c>
      <c r="P389" s="223">
        <f>O389*H389</f>
        <v>0.2</v>
      </c>
      <c r="Q389" s="223">
        <v>2.2000000000000001E-4</v>
      </c>
      <c r="R389" s="223">
        <f>Q389*H389</f>
        <v>2.2000000000000001E-4</v>
      </c>
      <c r="S389" s="223">
        <v>0</v>
      </c>
      <c r="T389" s="224">
        <f>S389*H389</f>
        <v>0</v>
      </c>
      <c r="AR389" s="225" t="s">
        <v>20</v>
      </c>
      <c r="AT389" s="225" t="s">
        <v>3338</v>
      </c>
      <c r="AU389" s="225" t="s">
        <v>6</v>
      </c>
      <c r="AY389" s="136" t="s">
        <v>3337</v>
      </c>
      <c r="BE389" s="226">
        <f>IF(N389="základní",J389,0)</f>
        <v>0</v>
      </c>
      <c r="BF389" s="226">
        <f>IF(N389="snížená",J389,0)</f>
        <v>0</v>
      </c>
      <c r="BG389" s="226">
        <f>IF(N389="zákl. přenesená",J389,0)</f>
        <v>0</v>
      </c>
      <c r="BH389" s="226">
        <f>IF(N389="sníž. přenesená",J389,0)</f>
        <v>0</v>
      </c>
      <c r="BI389" s="226">
        <f>IF(N389="nulová",J389,0)</f>
        <v>0</v>
      </c>
      <c r="BJ389" s="136" t="s">
        <v>5</v>
      </c>
      <c r="BK389" s="226">
        <f>ROUND(I389*H389,2)</f>
        <v>0</v>
      </c>
      <c r="BL389" s="136" t="s">
        <v>20</v>
      </c>
      <c r="BM389" s="225" t="s">
        <v>5467</v>
      </c>
    </row>
    <row r="390" spans="2:65" s="144" customFormat="1">
      <c r="B390" s="145"/>
      <c r="D390" s="227" t="s">
        <v>3343</v>
      </c>
      <c r="F390" s="228" t="s">
        <v>5468</v>
      </c>
      <c r="L390" s="145"/>
      <c r="M390" s="229"/>
      <c r="T390" s="230"/>
      <c r="AT390" s="136" t="s">
        <v>3343</v>
      </c>
      <c r="AU390" s="136" t="s">
        <v>6</v>
      </c>
    </row>
    <row r="391" spans="2:65" s="144" customFormat="1" ht="21.75" customHeight="1">
      <c r="B391" s="214"/>
      <c r="C391" s="215" t="s">
        <v>116</v>
      </c>
      <c r="D391" s="215" t="s">
        <v>3338</v>
      </c>
      <c r="E391" s="216" t="s">
        <v>5469</v>
      </c>
      <c r="F391" s="217" t="s">
        <v>5470</v>
      </c>
      <c r="G391" s="218" t="s">
        <v>1938</v>
      </c>
      <c r="H391" s="219">
        <v>1</v>
      </c>
      <c r="I391" s="745">
        <v>0</v>
      </c>
      <c r="J391" s="220">
        <f>ROUND(I391*H391,2)</f>
        <v>0</v>
      </c>
      <c r="K391" s="217" t="s">
        <v>3268</v>
      </c>
      <c r="L391" s="145"/>
      <c r="M391" s="221" t="s">
        <v>3268</v>
      </c>
      <c r="N391" s="222" t="s">
        <v>3296</v>
      </c>
      <c r="O391" s="223">
        <v>1.03</v>
      </c>
      <c r="P391" s="223">
        <f>O391*H391</f>
        <v>1.03</v>
      </c>
      <c r="Q391" s="223">
        <v>2.92E-2</v>
      </c>
      <c r="R391" s="223">
        <f>Q391*H391</f>
        <v>2.92E-2</v>
      </c>
      <c r="S391" s="223">
        <v>0</v>
      </c>
      <c r="T391" s="224">
        <f>S391*H391</f>
        <v>0</v>
      </c>
      <c r="AR391" s="225" t="s">
        <v>20</v>
      </c>
      <c r="AT391" s="225" t="s">
        <v>3338</v>
      </c>
      <c r="AU391" s="225" t="s">
        <v>6</v>
      </c>
      <c r="AY391" s="136" t="s">
        <v>3337</v>
      </c>
      <c r="BE391" s="226">
        <f>IF(N391="základní",J391,0)</f>
        <v>0</v>
      </c>
      <c r="BF391" s="226">
        <f>IF(N391="snížená",J391,0)</f>
        <v>0</v>
      </c>
      <c r="BG391" s="226">
        <f>IF(N391="zákl. přenesená",J391,0)</f>
        <v>0</v>
      </c>
      <c r="BH391" s="226">
        <f>IF(N391="sníž. přenesená",J391,0)</f>
        <v>0</v>
      </c>
      <c r="BI391" s="226">
        <f>IF(N391="nulová",J391,0)</f>
        <v>0</v>
      </c>
      <c r="BJ391" s="136" t="s">
        <v>5</v>
      </c>
      <c r="BK391" s="226">
        <f>ROUND(I391*H391,2)</f>
        <v>0</v>
      </c>
      <c r="BL391" s="136" t="s">
        <v>20</v>
      </c>
      <c r="BM391" s="225" t="s">
        <v>5471</v>
      </c>
    </row>
    <row r="392" spans="2:65" s="144" customFormat="1" ht="19.2">
      <c r="B392" s="145"/>
      <c r="D392" s="227" t="s">
        <v>3343</v>
      </c>
      <c r="F392" s="228" t="s">
        <v>5472</v>
      </c>
      <c r="L392" s="145"/>
      <c r="M392" s="229"/>
      <c r="T392" s="230"/>
      <c r="AT392" s="136" t="s">
        <v>3343</v>
      </c>
      <c r="AU392" s="136" t="s">
        <v>6</v>
      </c>
    </row>
    <row r="393" spans="2:65" s="144" customFormat="1" ht="21.75" customHeight="1">
      <c r="B393" s="214"/>
      <c r="C393" s="215" t="s">
        <v>117</v>
      </c>
      <c r="D393" s="215" t="s">
        <v>3338</v>
      </c>
      <c r="E393" s="216" t="s">
        <v>5473</v>
      </c>
      <c r="F393" s="217" t="s">
        <v>5474</v>
      </c>
      <c r="G393" s="218" t="s">
        <v>1938</v>
      </c>
      <c r="H393" s="219">
        <v>1</v>
      </c>
      <c r="I393" s="745">
        <v>0</v>
      </c>
      <c r="J393" s="220">
        <f>ROUND(I393*H393,2)</f>
        <v>0</v>
      </c>
      <c r="K393" s="217" t="s">
        <v>3341</v>
      </c>
      <c r="L393" s="145"/>
      <c r="M393" s="221" t="s">
        <v>3268</v>
      </c>
      <c r="N393" s="222" t="s">
        <v>3296</v>
      </c>
      <c r="O393" s="223">
        <v>0.8</v>
      </c>
      <c r="P393" s="223">
        <f>O393*H393</f>
        <v>0.8</v>
      </c>
      <c r="Q393" s="223">
        <v>1.3270000000000001E-2</v>
      </c>
      <c r="R393" s="223">
        <f>Q393*H393</f>
        <v>1.3270000000000001E-2</v>
      </c>
      <c r="S393" s="223">
        <v>0</v>
      </c>
      <c r="T393" s="224">
        <f>S393*H393</f>
        <v>0</v>
      </c>
      <c r="AR393" s="225" t="s">
        <v>20</v>
      </c>
      <c r="AT393" s="225" t="s">
        <v>3338</v>
      </c>
      <c r="AU393" s="225" t="s">
        <v>6</v>
      </c>
      <c r="AY393" s="136" t="s">
        <v>3337</v>
      </c>
      <c r="BE393" s="226">
        <f>IF(N393="základní",J393,0)</f>
        <v>0</v>
      </c>
      <c r="BF393" s="226">
        <f>IF(N393="snížená",J393,0)</f>
        <v>0</v>
      </c>
      <c r="BG393" s="226">
        <f>IF(N393="zákl. přenesená",J393,0)</f>
        <v>0</v>
      </c>
      <c r="BH393" s="226">
        <f>IF(N393="sníž. přenesená",J393,0)</f>
        <v>0</v>
      </c>
      <c r="BI393" s="226">
        <f>IF(N393="nulová",J393,0)</f>
        <v>0</v>
      </c>
      <c r="BJ393" s="136" t="s">
        <v>5</v>
      </c>
      <c r="BK393" s="226">
        <f>ROUND(I393*H393,2)</f>
        <v>0</v>
      </c>
      <c r="BL393" s="136" t="s">
        <v>20</v>
      </c>
      <c r="BM393" s="225" t="s">
        <v>5475</v>
      </c>
    </row>
    <row r="394" spans="2:65" s="144" customFormat="1" ht="19.2">
      <c r="B394" s="145"/>
      <c r="D394" s="227" t="s">
        <v>3343</v>
      </c>
      <c r="F394" s="228" t="s">
        <v>5476</v>
      </c>
      <c r="L394" s="145"/>
      <c r="M394" s="229"/>
      <c r="T394" s="230"/>
      <c r="AT394" s="136" t="s">
        <v>3343</v>
      </c>
      <c r="AU394" s="136" t="s">
        <v>6</v>
      </c>
    </row>
    <row r="395" spans="2:65" s="144" customFormat="1" ht="21.75" customHeight="1">
      <c r="B395" s="214"/>
      <c r="C395" s="215" t="s">
        <v>118</v>
      </c>
      <c r="D395" s="215" t="s">
        <v>3338</v>
      </c>
      <c r="E395" s="216" t="s">
        <v>5477</v>
      </c>
      <c r="F395" s="217" t="s">
        <v>5478</v>
      </c>
      <c r="G395" s="218" t="s">
        <v>1938</v>
      </c>
      <c r="H395" s="219">
        <v>1</v>
      </c>
      <c r="I395" s="745">
        <v>0</v>
      </c>
      <c r="J395" s="220">
        <f>ROUND(I395*H395,2)</f>
        <v>0</v>
      </c>
      <c r="K395" s="217" t="s">
        <v>3341</v>
      </c>
      <c r="L395" s="145"/>
      <c r="M395" s="221" t="s">
        <v>3268</v>
      </c>
      <c r="N395" s="222" t="s">
        <v>3296</v>
      </c>
      <c r="O395" s="223">
        <v>0.51200000000000001</v>
      </c>
      <c r="P395" s="223">
        <f>O395*H395</f>
        <v>0.51200000000000001</v>
      </c>
      <c r="Q395" s="223">
        <v>3.2799999999999999E-3</v>
      </c>
      <c r="R395" s="223">
        <f>Q395*H395</f>
        <v>3.2799999999999999E-3</v>
      </c>
      <c r="S395" s="223">
        <v>0</v>
      </c>
      <c r="T395" s="224">
        <f>S395*H395</f>
        <v>0</v>
      </c>
      <c r="AR395" s="225" t="s">
        <v>20</v>
      </c>
      <c r="AT395" s="225" t="s">
        <v>3338</v>
      </c>
      <c r="AU395" s="225" t="s">
        <v>6</v>
      </c>
      <c r="AY395" s="136" t="s">
        <v>3337</v>
      </c>
      <c r="BE395" s="226">
        <f>IF(N395="základní",J395,0)</f>
        <v>0</v>
      </c>
      <c r="BF395" s="226">
        <f>IF(N395="snížená",J395,0)</f>
        <v>0</v>
      </c>
      <c r="BG395" s="226">
        <f>IF(N395="zákl. přenesená",J395,0)</f>
        <v>0</v>
      </c>
      <c r="BH395" s="226">
        <f>IF(N395="sníž. přenesená",J395,0)</f>
        <v>0</v>
      </c>
      <c r="BI395" s="226">
        <f>IF(N395="nulová",J395,0)</f>
        <v>0</v>
      </c>
      <c r="BJ395" s="136" t="s">
        <v>5</v>
      </c>
      <c r="BK395" s="226">
        <f>ROUND(I395*H395,2)</f>
        <v>0</v>
      </c>
      <c r="BL395" s="136" t="s">
        <v>20</v>
      </c>
      <c r="BM395" s="225" t="s">
        <v>5479</v>
      </c>
    </row>
    <row r="396" spans="2:65" s="144" customFormat="1" ht="28.8">
      <c r="B396" s="145"/>
      <c r="D396" s="227" t="s">
        <v>3343</v>
      </c>
      <c r="F396" s="228" t="s">
        <v>5480</v>
      </c>
      <c r="L396" s="145"/>
      <c r="M396" s="229"/>
      <c r="T396" s="230"/>
      <c r="AT396" s="136" t="s">
        <v>3343</v>
      </c>
      <c r="AU396" s="136" t="s">
        <v>6</v>
      </c>
    </row>
    <row r="397" spans="2:65" s="144" customFormat="1" ht="21.75" customHeight="1">
      <c r="B397" s="214"/>
      <c r="C397" s="215" t="s">
        <v>119</v>
      </c>
      <c r="D397" s="215" t="s">
        <v>3338</v>
      </c>
      <c r="E397" s="216" t="s">
        <v>5481</v>
      </c>
      <c r="F397" s="217" t="s">
        <v>5482</v>
      </c>
      <c r="G397" s="218" t="s">
        <v>1943</v>
      </c>
      <c r="H397" s="219">
        <v>3</v>
      </c>
      <c r="I397" s="745">
        <v>0</v>
      </c>
      <c r="J397" s="220">
        <f>ROUND(I397*H397,2)</f>
        <v>0</v>
      </c>
      <c r="K397" s="217" t="s">
        <v>3268</v>
      </c>
      <c r="L397" s="145"/>
      <c r="M397" s="221" t="s">
        <v>3268</v>
      </c>
      <c r="N397" s="222" t="s">
        <v>3296</v>
      </c>
      <c r="O397" s="223">
        <v>0.20599999999999999</v>
      </c>
      <c r="P397" s="223">
        <f>O397*H397</f>
        <v>0.61799999999999999</v>
      </c>
      <c r="Q397" s="223">
        <v>5.1999999999999995E-4</v>
      </c>
      <c r="R397" s="223">
        <f>Q397*H397</f>
        <v>1.5599999999999998E-3</v>
      </c>
      <c r="S397" s="223">
        <v>0</v>
      </c>
      <c r="T397" s="224">
        <f>S397*H397</f>
        <v>0</v>
      </c>
      <c r="AR397" s="225" t="s">
        <v>20</v>
      </c>
      <c r="AT397" s="225" t="s">
        <v>3338</v>
      </c>
      <c r="AU397" s="225" t="s">
        <v>6</v>
      </c>
      <c r="AY397" s="136" t="s">
        <v>3337</v>
      </c>
      <c r="BE397" s="226">
        <f>IF(N397="základní",J397,0)</f>
        <v>0</v>
      </c>
      <c r="BF397" s="226">
        <f>IF(N397="snížená",J397,0)</f>
        <v>0</v>
      </c>
      <c r="BG397" s="226">
        <f>IF(N397="zákl. přenesená",J397,0)</f>
        <v>0</v>
      </c>
      <c r="BH397" s="226">
        <f>IF(N397="sníž. přenesená",J397,0)</f>
        <v>0</v>
      </c>
      <c r="BI397" s="226">
        <f>IF(N397="nulová",J397,0)</f>
        <v>0</v>
      </c>
      <c r="BJ397" s="136" t="s">
        <v>5</v>
      </c>
      <c r="BK397" s="226">
        <f>ROUND(I397*H397,2)</f>
        <v>0</v>
      </c>
      <c r="BL397" s="136" t="s">
        <v>20</v>
      </c>
      <c r="BM397" s="225" t="s">
        <v>5483</v>
      </c>
    </row>
    <row r="398" spans="2:65" s="144" customFormat="1">
      <c r="B398" s="145"/>
      <c r="D398" s="227" t="s">
        <v>3343</v>
      </c>
      <c r="F398" s="228" t="s">
        <v>5484</v>
      </c>
      <c r="L398" s="145"/>
      <c r="M398" s="229"/>
      <c r="T398" s="230"/>
      <c r="AT398" s="136" t="s">
        <v>3343</v>
      </c>
      <c r="AU398" s="136" t="s">
        <v>6</v>
      </c>
    </row>
    <row r="399" spans="2:65" s="144" customFormat="1" ht="21.75" customHeight="1">
      <c r="B399" s="214"/>
      <c r="C399" s="215" t="s">
        <v>120</v>
      </c>
      <c r="D399" s="215" t="s">
        <v>3338</v>
      </c>
      <c r="E399" s="216" t="s">
        <v>5485</v>
      </c>
      <c r="F399" s="217" t="s">
        <v>5486</v>
      </c>
      <c r="G399" s="218" t="s">
        <v>1943</v>
      </c>
      <c r="H399" s="219">
        <v>1</v>
      </c>
      <c r="I399" s="745">
        <v>0</v>
      </c>
      <c r="J399" s="220">
        <f>ROUND(I399*H399,2)</f>
        <v>0</v>
      </c>
      <c r="K399" s="217" t="s">
        <v>3341</v>
      </c>
      <c r="L399" s="145"/>
      <c r="M399" s="221" t="s">
        <v>3268</v>
      </c>
      <c r="N399" s="222" t="s">
        <v>3296</v>
      </c>
      <c r="O399" s="223">
        <v>0.20599999999999999</v>
      </c>
      <c r="P399" s="223">
        <f>O399*H399</f>
        <v>0.20599999999999999</v>
      </c>
      <c r="Q399" s="223">
        <v>5.1999999999999995E-4</v>
      </c>
      <c r="R399" s="223">
        <f>Q399*H399</f>
        <v>5.1999999999999995E-4</v>
      </c>
      <c r="S399" s="223">
        <v>0</v>
      </c>
      <c r="T399" s="224">
        <f>S399*H399</f>
        <v>0</v>
      </c>
      <c r="AR399" s="225" t="s">
        <v>20</v>
      </c>
      <c r="AT399" s="225" t="s">
        <v>3338</v>
      </c>
      <c r="AU399" s="225" t="s">
        <v>6</v>
      </c>
      <c r="AY399" s="136" t="s">
        <v>3337</v>
      </c>
      <c r="BE399" s="226">
        <f>IF(N399="základní",J399,0)</f>
        <v>0</v>
      </c>
      <c r="BF399" s="226">
        <f>IF(N399="snížená",J399,0)</f>
        <v>0</v>
      </c>
      <c r="BG399" s="226">
        <f>IF(N399="zákl. přenesená",J399,0)</f>
        <v>0</v>
      </c>
      <c r="BH399" s="226">
        <f>IF(N399="sníž. přenesená",J399,0)</f>
        <v>0</v>
      </c>
      <c r="BI399" s="226">
        <f>IF(N399="nulová",J399,0)</f>
        <v>0</v>
      </c>
      <c r="BJ399" s="136" t="s">
        <v>5</v>
      </c>
      <c r="BK399" s="226">
        <f>ROUND(I399*H399,2)</f>
        <v>0</v>
      </c>
      <c r="BL399" s="136" t="s">
        <v>20</v>
      </c>
      <c r="BM399" s="225" t="s">
        <v>5487</v>
      </c>
    </row>
    <row r="400" spans="2:65" s="144" customFormat="1">
      <c r="B400" s="145"/>
      <c r="D400" s="227" t="s">
        <v>3343</v>
      </c>
      <c r="F400" s="228" t="s">
        <v>5488</v>
      </c>
      <c r="L400" s="145"/>
      <c r="M400" s="229"/>
      <c r="T400" s="230"/>
      <c r="AT400" s="136" t="s">
        <v>3343</v>
      </c>
      <c r="AU400" s="136" t="s">
        <v>6</v>
      </c>
    </row>
    <row r="401" spans="2:65" s="144" customFormat="1" ht="21.75" customHeight="1">
      <c r="B401" s="214"/>
      <c r="C401" s="215" t="s">
        <v>121</v>
      </c>
      <c r="D401" s="215" t="s">
        <v>3338</v>
      </c>
      <c r="E401" s="216" t="s">
        <v>5489</v>
      </c>
      <c r="F401" s="217" t="s">
        <v>5490</v>
      </c>
      <c r="G401" s="218" t="s">
        <v>1943</v>
      </c>
      <c r="H401" s="219">
        <v>1</v>
      </c>
      <c r="I401" s="745">
        <v>0</v>
      </c>
      <c r="J401" s="220">
        <f>ROUND(I401*H401,2)</f>
        <v>0</v>
      </c>
      <c r="K401" s="217" t="s">
        <v>3268</v>
      </c>
      <c r="L401" s="145"/>
      <c r="M401" s="221" t="s">
        <v>3268</v>
      </c>
      <c r="N401" s="222" t="s">
        <v>3296</v>
      </c>
      <c r="O401" s="223">
        <v>0.433</v>
      </c>
      <c r="P401" s="223">
        <f>O401*H401</f>
        <v>0.433</v>
      </c>
      <c r="Q401" s="223">
        <v>3.1800000000000001E-3</v>
      </c>
      <c r="R401" s="223">
        <f>Q401*H401</f>
        <v>3.1800000000000001E-3</v>
      </c>
      <c r="S401" s="223">
        <v>0</v>
      </c>
      <c r="T401" s="224">
        <f>S401*H401</f>
        <v>0</v>
      </c>
      <c r="AR401" s="225" t="s">
        <v>20</v>
      </c>
      <c r="AT401" s="225" t="s">
        <v>3338</v>
      </c>
      <c r="AU401" s="225" t="s">
        <v>6</v>
      </c>
      <c r="AY401" s="136" t="s">
        <v>3337</v>
      </c>
      <c r="BE401" s="226">
        <f>IF(N401="základní",J401,0)</f>
        <v>0</v>
      </c>
      <c r="BF401" s="226">
        <f>IF(N401="snížená",J401,0)</f>
        <v>0</v>
      </c>
      <c r="BG401" s="226">
        <f>IF(N401="zákl. přenesená",J401,0)</f>
        <v>0</v>
      </c>
      <c r="BH401" s="226">
        <f>IF(N401="sníž. přenesená",J401,0)</f>
        <v>0</v>
      </c>
      <c r="BI401" s="226">
        <f>IF(N401="nulová",J401,0)</f>
        <v>0</v>
      </c>
      <c r="BJ401" s="136" t="s">
        <v>5</v>
      </c>
      <c r="BK401" s="226">
        <f>ROUND(I401*H401,2)</f>
        <v>0</v>
      </c>
      <c r="BL401" s="136" t="s">
        <v>20</v>
      </c>
      <c r="BM401" s="225" t="s">
        <v>5491</v>
      </c>
    </row>
    <row r="402" spans="2:65" s="144" customFormat="1">
      <c r="B402" s="145"/>
      <c r="D402" s="227" t="s">
        <v>3343</v>
      </c>
      <c r="F402" s="228" t="s">
        <v>5492</v>
      </c>
      <c r="L402" s="145"/>
      <c r="M402" s="229"/>
      <c r="T402" s="230"/>
      <c r="AT402" s="136" t="s">
        <v>3343</v>
      </c>
      <c r="AU402" s="136" t="s">
        <v>6</v>
      </c>
    </row>
    <row r="403" spans="2:65" s="144" customFormat="1" ht="21.75" customHeight="1">
      <c r="B403" s="214"/>
      <c r="C403" s="215" t="s">
        <v>122</v>
      </c>
      <c r="D403" s="215" t="s">
        <v>3338</v>
      </c>
      <c r="E403" s="216" t="s">
        <v>5493</v>
      </c>
      <c r="F403" s="217" t="s">
        <v>5494</v>
      </c>
      <c r="G403" s="218" t="s">
        <v>1943</v>
      </c>
      <c r="H403" s="219">
        <v>1</v>
      </c>
      <c r="I403" s="745">
        <v>0</v>
      </c>
      <c r="J403" s="220">
        <f>ROUND(I403*H403,2)</f>
        <v>0</v>
      </c>
      <c r="K403" s="217" t="s">
        <v>3268</v>
      </c>
      <c r="L403" s="145"/>
      <c r="M403" s="221" t="s">
        <v>3268</v>
      </c>
      <c r="N403" s="222" t="s">
        <v>3296</v>
      </c>
      <c r="O403" s="223">
        <v>0.25800000000000001</v>
      </c>
      <c r="P403" s="223">
        <f>O403*H403</f>
        <v>0.25800000000000001</v>
      </c>
      <c r="Q403" s="223">
        <v>1.4499999999999999E-3</v>
      </c>
      <c r="R403" s="223">
        <f>Q403*H403</f>
        <v>1.4499999999999999E-3</v>
      </c>
      <c r="S403" s="223">
        <v>0</v>
      </c>
      <c r="T403" s="224">
        <f>S403*H403</f>
        <v>0</v>
      </c>
      <c r="AR403" s="225" t="s">
        <v>20</v>
      </c>
      <c r="AT403" s="225" t="s">
        <v>3338</v>
      </c>
      <c r="AU403" s="225" t="s">
        <v>6</v>
      </c>
      <c r="AY403" s="136" t="s">
        <v>3337</v>
      </c>
      <c r="BE403" s="226">
        <f>IF(N403="základní",J403,0)</f>
        <v>0</v>
      </c>
      <c r="BF403" s="226">
        <f>IF(N403="snížená",J403,0)</f>
        <v>0</v>
      </c>
      <c r="BG403" s="226">
        <f>IF(N403="zákl. přenesená",J403,0)</f>
        <v>0</v>
      </c>
      <c r="BH403" s="226">
        <f>IF(N403="sníž. přenesená",J403,0)</f>
        <v>0</v>
      </c>
      <c r="BI403" s="226">
        <f>IF(N403="nulová",J403,0)</f>
        <v>0</v>
      </c>
      <c r="BJ403" s="136" t="s">
        <v>5</v>
      </c>
      <c r="BK403" s="226">
        <f>ROUND(I403*H403,2)</f>
        <v>0</v>
      </c>
      <c r="BL403" s="136" t="s">
        <v>20</v>
      </c>
      <c r="BM403" s="225" t="s">
        <v>5495</v>
      </c>
    </row>
    <row r="404" spans="2:65" s="144" customFormat="1" ht="19.2">
      <c r="B404" s="145"/>
      <c r="D404" s="227" t="s">
        <v>3343</v>
      </c>
      <c r="F404" s="228" t="s">
        <v>5496</v>
      </c>
      <c r="L404" s="145"/>
      <c r="M404" s="229"/>
      <c r="T404" s="230"/>
      <c r="AT404" s="136" t="s">
        <v>3343</v>
      </c>
      <c r="AU404" s="136" t="s">
        <v>6</v>
      </c>
    </row>
    <row r="405" spans="2:65" s="144" customFormat="1" ht="21.75" customHeight="1">
      <c r="B405" s="214"/>
      <c r="C405" s="215" t="s">
        <v>123</v>
      </c>
      <c r="D405" s="215" t="s">
        <v>3338</v>
      </c>
      <c r="E405" s="216" t="s">
        <v>5497</v>
      </c>
      <c r="F405" s="217" t="s">
        <v>5498</v>
      </c>
      <c r="G405" s="218" t="s">
        <v>1943</v>
      </c>
      <c r="H405" s="219">
        <v>1</v>
      </c>
      <c r="I405" s="745">
        <v>0</v>
      </c>
      <c r="J405" s="220">
        <f>ROUND(I405*H405,2)</f>
        <v>0</v>
      </c>
      <c r="K405" s="217" t="s">
        <v>3341</v>
      </c>
      <c r="L405" s="145"/>
      <c r="M405" s="221" t="s">
        <v>3268</v>
      </c>
      <c r="N405" s="222" t="s">
        <v>3296</v>
      </c>
      <c r="O405" s="223">
        <v>0.38100000000000001</v>
      </c>
      <c r="P405" s="223">
        <f>O405*H405</f>
        <v>0.38100000000000001</v>
      </c>
      <c r="Q405" s="223">
        <v>5.5999999999999995E-4</v>
      </c>
      <c r="R405" s="223">
        <f>Q405*H405</f>
        <v>5.5999999999999995E-4</v>
      </c>
      <c r="S405" s="223">
        <v>0</v>
      </c>
      <c r="T405" s="224">
        <f>S405*H405</f>
        <v>0</v>
      </c>
      <c r="AR405" s="225" t="s">
        <v>20</v>
      </c>
      <c r="AT405" s="225" t="s">
        <v>3338</v>
      </c>
      <c r="AU405" s="225" t="s">
        <v>6</v>
      </c>
      <c r="AY405" s="136" t="s">
        <v>3337</v>
      </c>
      <c r="BE405" s="226">
        <f>IF(N405="základní",J405,0)</f>
        <v>0</v>
      </c>
      <c r="BF405" s="226">
        <f>IF(N405="snížená",J405,0)</f>
        <v>0</v>
      </c>
      <c r="BG405" s="226">
        <f>IF(N405="zákl. přenesená",J405,0)</f>
        <v>0</v>
      </c>
      <c r="BH405" s="226">
        <f>IF(N405="sníž. přenesená",J405,0)</f>
        <v>0</v>
      </c>
      <c r="BI405" s="226">
        <f>IF(N405="nulová",J405,0)</f>
        <v>0</v>
      </c>
      <c r="BJ405" s="136" t="s">
        <v>5</v>
      </c>
      <c r="BK405" s="226">
        <f>ROUND(I405*H405,2)</f>
        <v>0</v>
      </c>
      <c r="BL405" s="136" t="s">
        <v>20</v>
      </c>
      <c r="BM405" s="225" t="s">
        <v>5499</v>
      </c>
    </row>
    <row r="406" spans="2:65" s="144" customFormat="1" ht="19.2">
      <c r="B406" s="145"/>
      <c r="D406" s="227" t="s">
        <v>3343</v>
      </c>
      <c r="F406" s="228" t="s">
        <v>5500</v>
      </c>
      <c r="L406" s="145"/>
      <c r="M406" s="229"/>
      <c r="T406" s="230"/>
      <c r="AT406" s="136" t="s">
        <v>3343</v>
      </c>
      <c r="AU406" s="136" t="s">
        <v>6</v>
      </c>
    </row>
    <row r="407" spans="2:65" s="144" customFormat="1" ht="21.75" customHeight="1">
      <c r="B407" s="214"/>
      <c r="C407" s="215" t="s">
        <v>124</v>
      </c>
      <c r="D407" s="215" t="s">
        <v>3338</v>
      </c>
      <c r="E407" s="216" t="s">
        <v>5501</v>
      </c>
      <c r="F407" s="217" t="s">
        <v>5502</v>
      </c>
      <c r="G407" s="218" t="s">
        <v>1943</v>
      </c>
      <c r="H407" s="219">
        <v>1</v>
      </c>
      <c r="I407" s="745">
        <v>0</v>
      </c>
      <c r="J407" s="220">
        <f>ROUND(I407*H407,2)</f>
        <v>0</v>
      </c>
      <c r="K407" s="217" t="s">
        <v>3341</v>
      </c>
      <c r="L407" s="145"/>
      <c r="M407" s="221" t="s">
        <v>3268</v>
      </c>
      <c r="N407" s="222" t="s">
        <v>3296</v>
      </c>
      <c r="O407" s="223">
        <v>0.433</v>
      </c>
      <c r="P407" s="223">
        <f>O407*H407</f>
        <v>0.433</v>
      </c>
      <c r="Q407" s="223">
        <v>1.47E-3</v>
      </c>
      <c r="R407" s="223">
        <f>Q407*H407</f>
        <v>1.47E-3</v>
      </c>
      <c r="S407" s="223">
        <v>0</v>
      </c>
      <c r="T407" s="224">
        <f>S407*H407</f>
        <v>0</v>
      </c>
      <c r="AR407" s="225" t="s">
        <v>20</v>
      </c>
      <c r="AT407" s="225" t="s">
        <v>3338</v>
      </c>
      <c r="AU407" s="225" t="s">
        <v>6</v>
      </c>
      <c r="AY407" s="136" t="s">
        <v>3337</v>
      </c>
      <c r="BE407" s="226">
        <f>IF(N407="základní",J407,0)</f>
        <v>0</v>
      </c>
      <c r="BF407" s="226">
        <f>IF(N407="snížená",J407,0)</f>
        <v>0</v>
      </c>
      <c r="BG407" s="226">
        <f>IF(N407="zákl. přenesená",J407,0)</f>
        <v>0</v>
      </c>
      <c r="BH407" s="226">
        <f>IF(N407="sníž. přenesená",J407,0)</f>
        <v>0</v>
      </c>
      <c r="BI407" s="226">
        <f>IF(N407="nulová",J407,0)</f>
        <v>0</v>
      </c>
      <c r="BJ407" s="136" t="s">
        <v>5</v>
      </c>
      <c r="BK407" s="226">
        <f>ROUND(I407*H407,2)</f>
        <v>0</v>
      </c>
      <c r="BL407" s="136" t="s">
        <v>20</v>
      </c>
      <c r="BM407" s="225" t="s">
        <v>5503</v>
      </c>
    </row>
    <row r="408" spans="2:65" s="144" customFormat="1" ht="19.2">
      <c r="B408" s="145"/>
      <c r="D408" s="227" t="s">
        <v>3343</v>
      </c>
      <c r="F408" s="228" t="s">
        <v>5504</v>
      </c>
      <c r="L408" s="145"/>
      <c r="M408" s="229"/>
      <c r="T408" s="230"/>
      <c r="AT408" s="136" t="s">
        <v>3343</v>
      </c>
      <c r="AU408" s="136" t="s">
        <v>6</v>
      </c>
    </row>
    <row r="409" spans="2:65" s="144" customFormat="1" ht="21.75" customHeight="1">
      <c r="B409" s="214"/>
      <c r="C409" s="215" t="s">
        <v>125</v>
      </c>
      <c r="D409" s="215" t="s">
        <v>3338</v>
      </c>
      <c r="E409" s="216" t="s">
        <v>5505</v>
      </c>
      <c r="F409" s="217" t="s">
        <v>5506</v>
      </c>
      <c r="G409" s="218" t="s">
        <v>1943</v>
      </c>
      <c r="H409" s="219">
        <v>1</v>
      </c>
      <c r="I409" s="745">
        <v>0</v>
      </c>
      <c r="J409" s="220">
        <f>ROUND(I409*H409,2)</f>
        <v>0</v>
      </c>
      <c r="K409" s="217" t="s">
        <v>3341</v>
      </c>
      <c r="L409" s="145"/>
      <c r="M409" s="221" t="s">
        <v>3268</v>
      </c>
      <c r="N409" s="222" t="s">
        <v>3296</v>
      </c>
      <c r="O409" s="223">
        <v>0.20599999999999999</v>
      </c>
      <c r="P409" s="223">
        <f>O409*H409</f>
        <v>0.20599999999999999</v>
      </c>
      <c r="Q409" s="223">
        <v>7.5000000000000002E-4</v>
      </c>
      <c r="R409" s="223">
        <f>Q409*H409</f>
        <v>7.5000000000000002E-4</v>
      </c>
      <c r="S409" s="223">
        <v>0</v>
      </c>
      <c r="T409" s="224">
        <f>S409*H409</f>
        <v>0</v>
      </c>
      <c r="AR409" s="225" t="s">
        <v>20</v>
      </c>
      <c r="AT409" s="225" t="s">
        <v>3338</v>
      </c>
      <c r="AU409" s="225" t="s">
        <v>6</v>
      </c>
      <c r="AY409" s="136" t="s">
        <v>3337</v>
      </c>
      <c r="BE409" s="226">
        <f>IF(N409="základní",J409,0)</f>
        <v>0</v>
      </c>
      <c r="BF409" s="226">
        <f>IF(N409="snížená",J409,0)</f>
        <v>0</v>
      </c>
      <c r="BG409" s="226">
        <f>IF(N409="zákl. přenesená",J409,0)</f>
        <v>0</v>
      </c>
      <c r="BH409" s="226">
        <f>IF(N409="sníž. přenesená",J409,0)</f>
        <v>0</v>
      </c>
      <c r="BI409" s="226">
        <f>IF(N409="nulová",J409,0)</f>
        <v>0</v>
      </c>
      <c r="BJ409" s="136" t="s">
        <v>5</v>
      </c>
      <c r="BK409" s="226">
        <f>ROUND(I409*H409,2)</f>
        <v>0</v>
      </c>
      <c r="BL409" s="136" t="s">
        <v>20</v>
      </c>
      <c r="BM409" s="225" t="s">
        <v>5507</v>
      </c>
    </row>
    <row r="410" spans="2:65" s="144" customFormat="1" ht="19.2">
      <c r="B410" s="145"/>
      <c r="D410" s="227" t="s">
        <v>3343</v>
      </c>
      <c r="F410" s="228" t="s">
        <v>5508</v>
      </c>
      <c r="L410" s="145"/>
      <c r="M410" s="229"/>
      <c r="T410" s="230"/>
      <c r="AT410" s="136" t="s">
        <v>3343</v>
      </c>
      <c r="AU410" s="136" t="s">
        <v>6</v>
      </c>
    </row>
    <row r="411" spans="2:65" s="144" customFormat="1" ht="21.75" customHeight="1">
      <c r="B411" s="214"/>
      <c r="C411" s="215" t="s">
        <v>126</v>
      </c>
      <c r="D411" s="215" t="s">
        <v>3338</v>
      </c>
      <c r="E411" s="216" t="s">
        <v>5509</v>
      </c>
      <c r="F411" s="217" t="s">
        <v>5510</v>
      </c>
      <c r="G411" s="218" t="s">
        <v>1939</v>
      </c>
      <c r="H411" s="219">
        <v>955</v>
      </c>
      <c r="I411" s="745">
        <v>0</v>
      </c>
      <c r="J411" s="220">
        <f>ROUND(I411*H411,2)</f>
        <v>0</v>
      </c>
      <c r="K411" s="217" t="s">
        <v>3341</v>
      </c>
      <c r="L411" s="145"/>
      <c r="M411" s="221" t="s">
        <v>3268</v>
      </c>
      <c r="N411" s="222" t="s">
        <v>3296</v>
      </c>
      <c r="O411" s="223">
        <v>6.7000000000000004E-2</v>
      </c>
      <c r="P411" s="223">
        <f>O411*H411</f>
        <v>63.985000000000007</v>
      </c>
      <c r="Q411" s="223">
        <v>1.9000000000000001E-4</v>
      </c>
      <c r="R411" s="223">
        <f>Q411*H411</f>
        <v>0.18145</v>
      </c>
      <c r="S411" s="223">
        <v>0</v>
      </c>
      <c r="T411" s="224">
        <f>S411*H411</f>
        <v>0</v>
      </c>
      <c r="AR411" s="225" t="s">
        <v>20</v>
      </c>
      <c r="AT411" s="225" t="s">
        <v>3338</v>
      </c>
      <c r="AU411" s="225" t="s">
        <v>6</v>
      </c>
      <c r="AY411" s="136" t="s">
        <v>3337</v>
      </c>
      <c r="BE411" s="226">
        <f>IF(N411="základní",J411,0)</f>
        <v>0</v>
      </c>
      <c r="BF411" s="226">
        <f>IF(N411="snížená",J411,0)</f>
        <v>0</v>
      </c>
      <c r="BG411" s="226">
        <f>IF(N411="zákl. přenesená",J411,0)</f>
        <v>0</v>
      </c>
      <c r="BH411" s="226">
        <f>IF(N411="sníž. přenesená",J411,0)</f>
        <v>0</v>
      </c>
      <c r="BI411" s="226">
        <f>IF(N411="nulová",J411,0)</f>
        <v>0</v>
      </c>
      <c r="BJ411" s="136" t="s">
        <v>5</v>
      </c>
      <c r="BK411" s="226">
        <f>ROUND(I411*H411,2)</f>
        <v>0</v>
      </c>
      <c r="BL411" s="136" t="s">
        <v>20</v>
      </c>
      <c r="BM411" s="225" t="s">
        <v>5511</v>
      </c>
    </row>
    <row r="412" spans="2:65" s="144" customFormat="1" ht="19.2">
      <c r="B412" s="145"/>
      <c r="D412" s="227" t="s">
        <v>3343</v>
      </c>
      <c r="F412" s="228" t="s">
        <v>5512</v>
      </c>
      <c r="L412" s="145"/>
      <c r="M412" s="229"/>
      <c r="T412" s="230"/>
      <c r="AT412" s="136" t="s">
        <v>3343</v>
      </c>
      <c r="AU412" s="136" t="s">
        <v>6</v>
      </c>
    </row>
    <row r="413" spans="2:65" s="144" customFormat="1" ht="16.5" customHeight="1">
      <c r="B413" s="214"/>
      <c r="C413" s="215" t="s">
        <v>127</v>
      </c>
      <c r="D413" s="215" t="s">
        <v>3338</v>
      </c>
      <c r="E413" s="216" t="s">
        <v>5513</v>
      </c>
      <c r="F413" s="217" t="s">
        <v>5514</v>
      </c>
      <c r="G413" s="218" t="s">
        <v>1939</v>
      </c>
      <c r="H413" s="219">
        <v>955</v>
      </c>
      <c r="I413" s="745">
        <v>0</v>
      </c>
      <c r="J413" s="220">
        <f>ROUND(I413*H413,2)</f>
        <v>0</v>
      </c>
      <c r="K413" s="217" t="s">
        <v>3341</v>
      </c>
      <c r="L413" s="145"/>
      <c r="M413" s="221" t="s">
        <v>3268</v>
      </c>
      <c r="N413" s="222" t="s">
        <v>3296</v>
      </c>
      <c r="O413" s="223">
        <v>8.2000000000000003E-2</v>
      </c>
      <c r="P413" s="223">
        <f>O413*H413</f>
        <v>78.31</v>
      </c>
      <c r="Q413" s="223">
        <v>1.0000000000000001E-5</v>
      </c>
      <c r="R413" s="223">
        <f>Q413*H413</f>
        <v>9.5500000000000012E-3</v>
      </c>
      <c r="S413" s="223">
        <v>0</v>
      </c>
      <c r="T413" s="224">
        <f>S413*H413</f>
        <v>0</v>
      </c>
      <c r="AR413" s="225" t="s">
        <v>20</v>
      </c>
      <c r="AT413" s="225" t="s">
        <v>3338</v>
      </c>
      <c r="AU413" s="225" t="s">
        <v>6</v>
      </c>
      <c r="AY413" s="136" t="s">
        <v>3337</v>
      </c>
      <c r="BE413" s="226">
        <f>IF(N413="základní",J413,0)</f>
        <v>0</v>
      </c>
      <c r="BF413" s="226">
        <f>IF(N413="snížená",J413,0)</f>
        <v>0</v>
      </c>
      <c r="BG413" s="226">
        <f>IF(N413="zákl. přenesená",J413,0)</f>
        <v>0</v>
      </c>
      <c r="BH413" s="226">
        <f>IF(N413="sníž. přenesená",J413,0)</f>
        <v>0</v>
      </c>
      <c r="BI413" s="226">
        <f>IF(N413="nulová",J413,0)</f>
        <v>0</v>
      </c>
      <c r="BJ413" s="136" t="s">
        <v>5</v>
      </c>
      <c r="BK413" s="226">
        <f>ROUND(I413*H413,2)</f>
        <v>0</v>
      </c>
      <c r="BL413" s="136" t="s">
        <v>20</v>
      </c>
      <c r="BM413" s="225" t="s">
        <v>5515</v>
      </c>
    </row>
    <row r="414" spans="2:65" s="144" customFormat="1" ht="19.2">
      <c r="B414" s="145"/>
      <c r="D414" s="227" t="s">
        <v>3343</v>
      </c>
      <c r="F414" s="228" t="s">
        <v>5516</v>
      </c>
      <c r="L414" s="145"/>
      <c r="M414" s="229"/>
      <c r="T414" s="230"/>
      <c r="AT414" s="136" t="s">
        <v>3343</v>
      </c>
      <c r="AU414" s="136" t="s">
        <v>6</v>
      </c>
    </row>
    <row r="415" spans="2:65" s="144" customFormat="1" ht="21.75" customHeight="1">
      <c r="B415" s="214"/>
      <c r="C415" s="215" t="s">
        <v>128</v>
      </c>
      <c r="D415" s="215" t="s">
        <v>3338</v>
      </c>
      <c r="E415" s="216" t="s">
        <v>5517</v>
      </c>
      <c r="F415" s="217" t="s">
        <v>5518</v>
      </c>
      <c r="G415" s="218" t="s">
        <v>1945</v>
      </c>
      <c r="H415" s="747">
        <v>0</v>
      </c>
      <c r="I415" s="745">
        <v>0</v>
      </c>
      <c r="J415" s="220">
        <f>ROUND(I415*H415,2)</f>
        <v>0</v>
      </c>
      <c r="K415" s="217" t="s">
        <v>3341</v>
      </c>
      <c r="L415" s="145"/>
      <c r="M415" s="221" t="s">
        <v>3268</v>
      </c>
      <c r="N415" s="222" t="s">
        <v>3296</v>
      </c>
      <c r="O415" s="223">
        <v>0</v>
      </c>
      <c r="P415" s="223">
        <f>O415*H415</f>
        <v>0</v>
      </c>
      <c r="Q415" s="223">
        <v>0</v>
      </c>
      <c r="R415" s="223">
        <f>Q415*H415</f>
        <v>0</v>
      </c>
      <c r="S415" s="223">
        <v>0</v>
      </c>
      <c r="T415" s="224">
        <f>S415*H415</f>
        <v>0</v>
      </c>
      <c r="AR415" s="225" t="s">
        <v>20</v>
      </c>
      <c r="AT415" s="225" t="s">
        <v>3338</v>
      </c>
      <c r="AU415" s="225" t="s">
        <v>6</v>
      </c>
      <c r="AY415" s="136" t="s">
        <v>3337</v>
      </c>
      <c r="BE415" s="226">
        <f>IF(N415="základní",J415,0)</f>
        <v>0</v>
      </c>
      <c r="BF415" s="226">
        <f>IF(N415="snížená",J415,0)</f>
        <v>0</v>
      </c>
      <c r="BG415" s="226">
        <f>IF(N415="zákl. přenesená",J415,0)</f>
        <v>0</v>
      </c>
      <c r="BH415" s="226">
        <f>IF(N415="sníž. přenesená",J415,0)</f>
        <v>0</v>
      </c>
      <c r="BI415" s="226">
        <f>IF(N415="nulová",J415,0)</f>
        <v>0</v>
      </c>
      <c r="BJ415" s="136" t="s">
        <v>5</v>
      </c>
      <c r="BK415" s="226">
        <f>ROUND(I415*H415,2)</f>
        <v>0</v>
      </c>
      <c r="BL415" s="136" t="s">
        <v>20</v>
      </c>
      <c r="BM415" s="225" t="s">
        <v>5519</v>
      </c>
    </row>
    <row r="416" spans="2:65" s="144" customFormat="1" ht="28.8">
      <c r="B416" s="145"/>
      <c r="D416" s="227" t="s">
        <v>3343</v>
      </c>
      <c r="F416" s="228" t="s">
        <v>5520</v>
      </c>
      <c r="L416" s="145"/>
      <c r="M416" s="229"/>
      <c r="T416" s="230"/>
      <c r="AT416" s="136" t="s">
        <v>3343</v>
      </c>
      <c r="AU416" s="136" t="s">
        <v>6</v>
      </c>
    </row>
    <row r="417" spans="2:65" s="202" customFormat="1" ht="22.95" customHeight="1">
      <c r="B417" s="203"/>
      <c r="D417" s="204" t="s">
        <v>3334</v>
      </c>
      <c r="E417" s="212" t="s">
        <v>5521</v>
      </c>
      <c r="F417" s="212" t="s">
        <v>5522</v>
      </c>
      <c r="J417" s="213">
        <f>BK417</f>
        <v>0</v>
      </c>
      <c r="L417" s="203"/>
      <c r="M417" s="207"/>
      <c r="P417" s="208">
        <f>SUM(P418:P457)</f>
        <v>72.41700000000003</v>
      </c>
      <c r="R417" s="208">
        <f>SUM(R418:R457)</f>
        <v>0.32097999999999999</v>
      </c>
      <c r="T417" s="209">
        <f>SUM(T418:T457)</f>
        <v>0</v>
      </c>
      <c r="AR417" s="204" t="s">
        <v>6</v>
      </c>
      <c r="AT417" s="210" t="s">
        <v>3334</v>
      </c>
      <c r="AU417" s="210" t="s">
        <v>5</v>
      </c>
      <c r="AY417" s="204" t="s">
        <v>3337</v>
      </c>
      <c r="BK417" s="211">
        <f>SUM(BK418:BK457)</f>
        <v>0</v>
      </c>
    </row>
    <row r="418" spans="2:65" s="144" customFormat="1" ht="21.75" customHeight="1">
      <c r="B418" s="214"/>
      <c r="C418" s="215" t="s">
        <v>129</v>
      </c>
      <c r="D418" s="215" t="s">
        <v>3338</v>
      </c>
      <c r="E418" s="216" t="s">
        <v>5523</v>
      </c>
      <c r="F418" s="217" t="s">
        <v>5524</v>
      </c>
      <c r="G418" s="218" t="s">
        <v>1939</v>
      </c>
      <c r="H418" s="219">
        <v>52</v>
      </c>
      <c r="I418" s="745">
        <v>0</v>
      </c>
      <c r="J418" s="220">
        <f>ROUND(I418*H418,2)</f>
        <v>0</v>
      </c>
      <c r="K418" s="217" t="s">
        <v>3341</v>
      </c>
      <c r="L418" s="145"/>
      <c r="M418" s="221" t="s">
        <v>3268</v>
      </c>
      <c r="N418" s="222" t="s">
        <v>3296</v>
      </c>
      <c r="O418" s="223">
        <v>0.58899999999999997</v>
      </c>
      <c r="P418" s="223">
        <f>O418*H418</f>
        <v>30.628</v>
      </c>
      <c r="Q418" s="223">
        <v>1.8500000000000001E-3</v>
      </c>
      <c r="R418" s="223">
        <f>Q418*H418</f>
        <v>9.6200000000000008E-2</v>
      </c>
      <c r="S418" s="223">
        <v>0</v>
      </c>
      <c r="T418" s="224">
        <f>S418*H418</f>
        <v>0</v>
      </c>
      <c r="AR418" s="225" t="s">
        <v>20</v>
      </c>
      <c r="AT418" s="225" t="s">
        <v>3338</v>
      </c>
      <c r="AU418" s="225" t="s">
        <v>6</v>
      </c>
      <c r="AY418" s="136" t="s">
        <v>3337</v>
      </c>
      <c r="BE418" s="226">
        <f>IF(N418="základní",J418,0)</f>
        <v>0</v>
      </c>
      <c r="BF418" s="226">
        <f>IF(N418="snížená",J418,0)</f>
        <v>0</v>
      </c>
      <c r="BG418" s="226">
        <f>IF(N418="zákl. přenesená",J418,0)</f>
        <v>0</v>
      </c>
      <c r="BH418" s="226">
        <f>IF(N418="sníž. přenesená",J418,0)</f>
        <v>0</v>
      </c>
      <c r="BI418" s="226">
        <f>IF(N418="nulová",J418,0)</f>
        <v>0</v>
      </c>
      <c r="BJ418" s="136" t="s">
        <v>5</v>
      </c>
      <c r="BK418" s="226">
        <f>ROUND(I418*H418,2)</f>
        <v>0</v>
      </c>
      <c r="BL418" s="136" t="s">
        <v>20</v>
      </c>
      <c r="BM418" s="225" t="s">
        <v>5525</v>
      </c>
    </row>
    <row r="419" spans="2:65" s="144" customFormat="1" ht="19.2">
      <c r="B419" s="145"/>
      <c r="D419" s="227" t="s">
        <v>3343</v>
      </c>
      <c r="F419" s="228" t="s">
        <v>5526</v>
      </c>
      <c r="L419" s="145"/>
      <c r="M419" s="229"/>
      <c r="T419" s="230"/>
      <c r="AT419" s="136" t="s">
        <v>3343</v>
      </c>
      <c r="AU419" s="136" t="s">
        <v>6</v>
      </c>
    </row>
    <row r="420" spans="2:65" s="144" customFormat="1" ht="21.75" customHeight="1">
      <c r="B420" s="214"/>
      <c r="C420" s="215" t="s">
        <v>130</v>
      </c>
      <c r="D420" s="215" t="s">
        <v>3338</v>
      </c>
      <c r="E420" s="216" t="s">
        <v>5527</v>
      </c>
      <c r="F420" s="217" t="s">
        <v>5528</v>
      </c>
      <c r="G420" s="218" t="s">
        <v>1939</v>
      </c>
      <c r="H420" s="219">
        <v>23</v>
      </c>
      <c r="I420" s="745">
        <v>0</v>
      </c>
      <c r="J420" s="220">
        <f>ROUND(I420*H420,2)</f>
        <v>0</v>
      </c>
      <c r="K420" s="217" t="s">
        <v>3341</v>
      </c>
      <c r="L420" s="145"/>
      <c r="M420" s="221" t="s">
        <v>3268</v>
      </c>
      <c r="N420" s="222" t="s">
        <v>3296</v>
      </c>
      <c r="O420" s="223">
        <v>0.60099999999999998</v>
      </c>
      <c r="P420" s="223">
        <f>O420*H420</f>
        <v>13.823</v>
      </c>
      <c r="Q420" s="223">
        <v>2.7000000000000001E-3</v>
      </c>
      <c r="R420" s="223">
        <f>Q420*H420</f>
        <v>6.2100000000000002E-2</v>
      </c>
      <c r="S420" s="223">
        <v>0</v>
      </c>
      <c r="T420" s="224">
        <f>S420*H420</f>
        <v>0</v>
      </c>
      <c r="AR420" s="225" t="s">
        <v>20</v>
      </c>
      <c r="AT420" s="225" t="s">
        <v>3338</v>
      </c>
      <c r="AU420" s="225" t="s">
        <v>6</v>
      </c>
      <c r="AY420" s="136" t="s">
        <v>3337</v>
      </c>
      <c r="BE420" s="226">
        <f>IF(N420="základní",J420,0)</f>
        <v>0</v>
      </c>
      <c r="BF420" s="226">
        <f>IF(N420="snížená",J420,0)</f>
        <v>0</v>
      </c>
      <c r="BG420" s="226">
        <f>IF(N420="zákl. přenesená",J420,0)</f>
        <v>0</v>
      </c>
      <c r="BH420" s="226">
        <f>IF(N420="sníž. přenesená",J420,0)</f>
        <v>0</v>
      </c>
      <c r="BI420" s="226">
        <f>IF(N420="nulová",J420,0)</f>
        <v>0</v>
      </c>
      <c r="BJ420" s="136" t="s">
        <v>5</v>
      </c>
      <c r="BK420" s="226">
        <f>ROUND(I420*H420,2)</f>
        <v>0</v>
      </c>
      <c r="BL420" s="136" t="s">
        <v>20</v>
      </c>
      <c r="BM420" s="225" t="s">
        <v>5529</v>
      </c>
    </row>
    <row r="421" spans="2:65" s="144" customFormat="1" ht="19.2">
      <c r="B421" s="145"/>
      <c r="D421" s="227" t="s">
        <v>3343</v>
      </c>
      <c r="F421" s="228" t="s">
        <v>5530</v>
      </c>
      <c r="L421" s="145"/>
      <c r="M421" s="229"/>
      <c r="T421" s="230"/>
      <c r="AT421" s="136" t="s">
        <v>3343</v>
      </c>
      <c r="AU421" s="136" t="s">
        <v>6</v>
      </c>
    </row>
    <row r="422" spans="2:65" s="144" customFormat="1" ht="21.75" customHeight="1">
      <c r="B422" s="214"/>
      <c r="C422" s="215" t="s">
        <v>131</v>
      </c>
      <c r="D422" s="215" t="s">
        <v>3338</v>
      </c>
      <c r="E422" s="216" t="s">
        <v>5531</v>
      </c>
      <c r="F422" s="217" t="s">
        <v>5532</v>
      </c>
      <c r="G422" s="218" t="s">
        <v>1939</v>
      </c>
      <c r="H422" s="219">
        <v>6</v>
      </c>
      <c r="I422" s="745">
        <v>0</v>
      </c>
      <c r="J422" s="220">
        <f>ROUND(I422*H422,2)</f>
        <v>0</v>
      </c>
      <c r="K422" s="217" t="s">
        <v>3341</v>
      </c>
      <c r="L422" s="145"/>
      <c r="M422" s="221" t="s">
        <v>3268</v>
      </c>
      <c r="N422" s="222" t="s">
        <v>3296</v>
      </c>
      <c r="O422" s="223">
        <v>0.65</v>
      </c>
      <c r="P422" s="223">
        <f>O422*H422</f>
        <v>3.9000000000000004</v>
      </c>
      <c r="Q422" s="223">
        <v>3.48E-3</v>
      </c>
      <c r="R422" s="223">
        <f>Q422*H422</f>
        <v>2.0879999999999999E-2</v>
      </c>
      <c r="S422" s="223">
        <v>0</v>
      </c>
      <c r="T422" s="224">
        <f>S422*H422</f>
        <v>0</v>
      </c>
      <c r="AR422" s="225" t="s">
        <v>20</v>
      </c>
      <c r="AT422" s="225" t="s">
        <v>3338</v>
      </c>
      <c r="AU422" s="225" t="s">
        <v>6</v>
      </c>
      <c r="AY422" s="136" t="s">
        <v>3337</v>
      </c>
      <c r="BE422" s="226">
        <f>IF(N422="základní",J422,0)</f>
        <v>0</v>
      </c>
      <c r="BF422" s="226">
        <f>IF(N422="snížená",J422,0)</f>
        <v>0</v>
      </c>
      <c r="BG422" s="226">
        <f>IF(N422="zákl. přenesená",J422,0)</f>
        <v>0</v>
      </c>
      <c r="BH422" s="226">
        <f>IF(N422="sníž. přenesená",J422,0)</f>
        <v>0</v>
      </c>
      <c r="BI422" s="226">
        <f>IF(N422="nulová",J422,0)</f>
        <v>0</v>
      </c>
      <c r="BJ422" s="136" t="s">
        <v>5</v>
      </c>
      <c r="BK422" s="226">
        <f>ROUND(I422*H422,2)</f>
        <v>0</v>
      </c>
      <c r="BL422" s="136" t="s">
        <v>20</v>
      </c>
      <c r="BM422" s="225" t="s">
        <v>5533</v>
      </c>
    </row>
    <row r="423" spans="2:65" s="144" customFormat="1" ht="19.2">
      <c r="B423" s="145"/>
      <c r="D423" s="227" t="s">
        <v>3343</v>
      </c>
      <c r="F423" s="228" t="s">
        <v>5534</v>
      </c>
      <c r="L423" s="145"/>
      <c r="M423" s="229"/>
      <c r="T423" s="230"/>
      <c r="AT423" s="136" t="s">
        <v>3343</v>
      </c>
      <c r="AU423" s="136" t="s">
        <v>6</v>
      </c>
    </row>
    <row r="424" spans="2:65" s="144" customFormat="1" ht="21.75" customHeight="1">
      <c r="B424" s="214"/>
      <c r="C424" s="215" t="s">
        <v>132</v>
      </c>
      <c r="D424" s="215" t="s">
        <v>3338</v>
      </c>
      <c r="E424" s="216" t="s">
        <v>5535</v>
      </c>
      <c r="F424" s="217" t="s">
        <v>5536</v>
      </c>
      <c r="G424" s="218" t="s">
        <v>1939</v>
      </c>
      <c r="H424" s="219">
        <v>11</v>
      </c>
      <c r="I424" s="745">
        <v>0</v>
      </c>
      <c r="J424" s="220">
        <f>ROUND(I424*H424,2)</f>
        <v>0</v>
      </c>
      <c r="K424" s="217" t="s">
        <v>3341</v>
      </c>
      <c r="L424" s="145"/>
      <c r="M424" s="221" t="s">
        <v>3268</v>
      </c>
      <c r="N424" s="222" t="s">
        <v>3296</v>
      </c>
      <c r="O424" s="223">
        <v>0.69</v>
      </c>
      <c r="P424" s="223">
        <f>O424*H424</f>
        <v>7.59</v>
      </c>
      <c r="Q424" s="223">
        <v>3.96E-3</v>
      </c>
      <c r="R424" s="223">
        <f>Q424*H424</f>
        <v>4.3560000000000001E-2</v>
      </c>
      <c r="S424" s="223">
        <v>0</v>
      </c>
      <c r="T424" s="224">
        <f>S424*H424</f>
        <v>0</v>
      </c>
      <c r="AR424" s="225" t="s">
        <v>20</v>
      </c>
      <c r="AT424" s="225" t="s">
        <v>3338</v>
      </c>
      <c r="AU424" s="225" t="s">
        <v>6</v>
      </c>
      <c r="AY424" s="136" t="s">
        <v>3337</v>
      </c>
      <c r="BE424" s="226">
        <f>IF(N424="základní",J424,0)</f>
        <v>0</v>
      </c>
      <c r="BF424" s="226">
        <f>IF(N424="snížená",J424,0)</f>
        <v>0</v>
      </c>
      <c r="BG424" s="226">
        <f>IF(N424="zákl. přenesená",J424,0)</f>
        <v>0</v>
      </c>
      <c r="BH424" s="226">
        <f>IF(N424="sníž. přenesená",J424,0)</f>
        <v>0</v>
      </c>
      <c r="BI424" s="226">
        <f>IF(N424="nulová",J424,0)</f>
        <v>0</v>
      </c>
      <c r="BJ424" s="136" t="s">
        <v>5</v>
      </c>
      <c r="BK424" s="226">
        <f>ROUND(I424*H424,2)</f>
        <v>0</v>
      </c>
      <c r="BL424" s="136" t="s">
        <v>20</v>
      </c>
      <c r="BM424" s="225" t="s">
        <v>5537</v>
      </c>
    </row>
    <row r="425" spans="2:65" s="144" customFormat="1" ht="19.2">
      <c r="B425" s="145"/>
      <c r="D425" s="227" t="s">
        <v>3343</v>
      </c>
      <c r="F425" s="228" t="s">
        <v>5538</v>
      </c>
      <c r="L425" s="145"/>
      <c r="M425" s="229"/>
      <c r="T425" s="230"/>
      <c r="AT425" s="136" t="s">
        <v>3343</v>
      </c>
      <c r="AU425" s="136" t="s">
        <v>6</v>
      </c>
    </row>
    <row r="426" spans="2:65" s="144" customFormat="1" ht="21.75" customHeight="1">
      <c r="B426" s="214"/>
      <c r="C426" s="215" t="s">
        <v>133</v>
      </c>
      <c r="D426" s="215" t="s">
        <v>3338</v>
      </c>
      <c r="E426" s="216" t="s">
        <v>5539</v>
      </c>
      <c r="F426" s="217" t="s">
        <v>5540</v>
      </c>
      <c r="G426" s="218" t="s">
        <v>1939</v>
      </c>
      <c r="H426" s="219">
        <v>10</v>
      </c>
      <c r="I426" s="745">
        <v>0</v>
      </c>
      <c r="J426" s="220">
        <f>ROUND(I426*H426,2)</f>
        <v>0</v>
      </c>
      <c r="K426" s="217" t="s">
        <v>3268</v>
      </c>
      <c r="L426" s="145"/>
      <c r="M426" s="221" t="s">
        <v>3268</v>
      </c>
      <c r="N426" s="222" t="s">
        <v>3296</v>
      </c>
      <c r="O426" s="223">
        <v>0.69</v>
      </c>
      <c r="P426" s="223">
        <f>O426*H426</f>
        <v>6.8999999999999995</v>
      </c>
      <c r="Q426" s="223">
        <v>3.96E-3</v>
      </c>
      <c r="R426" s="223">
        <f>Q426*H426</f>
        <v>3.9599999999999996E-2</v>
      </c>
      <c r="S426" s="223">
        <v>0</v>
      </c>
      <c r="T426" s="224">
        <f>S426*H426</f>
        <v>0</v>
      </c>
      <c r="AR426" s="225" t="s">
        <v>20</v>
      </c>
      <c r="AT426" s="225" t="s">
        <v>3338</v>
      </c>
      <c r="AU426" s="225" t="s">
        <v>6</v>
      </c>
      <c r="AY426" s="136" t="s">
        <v>3337</v>
      </c>
      <c r="BE426" s="226">
        <f>IF(N426="základní",J426,0)</f>
        <v>0</v>
      </c>
      <c r="BF426" s="226">
        <f>IF(N426="snížená",J426,0)</f>
        <v>0</v>
      </c>
      <c r="BG426" s="226">
        <f>IF(N426="zákl. přenesená",J426,0)</f>
        <v>0</v>
      </c>
      <c r="BH426" s="226">
        <f>IF(N426="sníž. přenesená",J426,0)</f>
        <v>0</v>
      </c>
      <c r="BI426" s="226">
        <f>IF(N426="nulová",J426,0)</f>
        <v>0</v>
      </c>
      <c r="BJ426" s="136" t="s">
        <v>5</v>
      </c>
      <c r="BK426" s="226">
        <f>ROUND(I426*H426,2)</f>
        <v>0</v>
      </c>
      <c r="BL426" s="136" t="s">
        <v>20</v>
      </c>
      <c r="BM426" s="225" t="s">
        <v>5541</v>
      </c>
    </row>
    <row r="427" spans="2:65" s="144" customFormat="1" ht="19.2">
      <c r="B427" s="145"/>
      <c r="D427" s="227" t="s">
        <v>3343</v>
      </c>
      <c r="F427" s="228" t="s">
        <v>5542</v>
      </c>
      <c r="L427" s="145"/>
      <c r="M427" s="229"/>
      <c r="T427" s="230"/>
      <c r="AT427" s="136" t="s">
        <v>3343</v>
      </c>
      <c r="AU427" s="136" t="s">
        <v>6</v>
      </c>
    </row>
    <row r="428" spans="2:65" s="144" customFormat="1" ht="21.75" customHeight="1">
      <c r="B428" s="214"/>
      <c r="C428" s="215" t="s">
        <v>134</v>
      </c>
      <c r="D428" s="215" t="s">
        <v>3338</v>
      </c>
      <c r="E428" s="216" t="s">
        <v>5543</v>
      </c>
      <c r="F428" s="217" t="s">
        <v>5544</v>
      </c>
      <c r="G428" s="218" t="s">
        <v>1939</v>
      </c>
      <c r="H428" s="219">
        <v>2</v>
      </c>
      <c r="I428" s="745">
        <v>0</v>
      </c>
      <c r="J428" s="220">
        <f>ROUND(I428*H428,2)</f>
        <v>0</v>
      </c>
      <c r="K428" s="217" t="s">
        <v>3268</v>
      </c>
      <c r="L428" s="145"/>
      <c r="M428" s="221" t="s">
        <v>3268</v>
      </c>
      <c r="N428" s="222" t="s">
        <v>3296</v>
      </c>
      <c r="O428" s="223">
        <v>0.69</v>
      </c>
      <c r="P428" s="223">
        <f>O428*H428</f>
        <v>1.38</v>
      </c>
      <c r="Q428" s="223">
        <v>3.96E-3</v>
      </c>
      <c r="R428" s="223">
        <f>Q428*H428</f>
        <v>7.92E-3</v>
      </c>
      <c r="S428" s="223">
        <v>0</v>
      </c>
      <c r="T428" s="224">
        <f>S428*H428</f>
        <v>0</v>
      </c>
      <c r="AR428" s="225" t="s">
        <v>20</v>
      </c>
      <c r="AT428" s="225" t="s">
        <v>3338</v>
      </c>
      <c r="AU428" s="225" t="s">
        <v>6</v>
      </c>
      <c r="AY428" s="136" t="s">
        <v>3337</v>
      </c>
      <c r="BE428" s="226">
        <f>IF(N428="základní",J428,0)</f>
        <v>0</v>
      </c>
      <c r="BF428" s="226">
        <f>IF(N428="snížená",J428,0)</f>
        <v>0</v>
      </c>
      <c r="BG428" s="226">
        <f>IF(N428="zákl. přenesená",J428,0)</f>
        <v>0</v>
      </c>
      <c r="BH428" s="226">
        <f>IF(N428="sníž. přenesená",J428,0)</f>
        <v>0</v>
      </c>
      <c r="BI428" s="226">
        <f>IF(N428="nulová",J428,0)</f>
        <v>0</v>
      </c>
      <c r="BJ428" s="136" t="s">
        <v>5</v>
      </c>
      <c r="BK428" s="226">
        <f>ROUND(I428*H428,2)</f>
        <v>0</v>
      </c>
      <c r="BL428" s="136" t="s">
        <v>20</v>
      </c>
      <c r="BM428" s="225" t="s">
        <v>5545</v>
      </c>
    </row>
    <row r="429" spans="2:65" s="144" customFormat="1" ht="19.2">
      <c r="B429" s="145"/>
      <c r="D429" s="227" t="s">
        <v>3343</v>
      </c>
      <c r="F429" s="228" t="s">
        <v>5546</v>
      </c>
      <c r="L429" s="145"/>
      <c r="M429" s="229"/>
      <c r="T429" s="230"/>
      <c r="AT429" s="136" t="s">
        <v>3343</v>
      </c>
      <c r="AU429" s="136" t="s">
        <v>6</v>
      </c>
    </row>
    <row r="430" spans="2:65" s="144" customFormat="1" ht="16.5" customHeight="1">
      <c r="B430" s="214"/>
      <c r="C430" s="215" t="s">
        <v>135</v>
      </c>
      <c r="D430" s="215" t="s">
        <v>3338</v>
      </c>
      <c r="E430" s="216" t="s">
        <v>5547</v>
      </c>
      <c r="F430" s="217" t="s">
        <v>5548</v>
      </c>
      <c r="G430" s="218" t="s">
        <v>1939</v>
      </c>
      <c r="H430" s="219">
        <v>3</v>
      </c>
      <c r="I430" s="745">
        <v>0</v>
      </c>
      <c r="J430" s="220">
        <f>ROUND(I430*H430,2)</f>
        <v>0</v>
      </c>
      <c r="K430" s="217" t="s">
        <v>3341</v>
      </c>
      <c r="L430" s="145"/>
      <c r="M430" s="221" t="s">
        <v>3268</v>
      </c>
      <c r="N430" s="222" t="s">
        <v>3296</v>
      </c>
      <c r="O430" s="223">
        <v>0.28999999999999998</v>
      </c>
      <c r="P430" s="223">
        <f>O430*H430</f>
        <v>0.86999999999999988</v>
      </c>
      <c r="Q430" s="223">
        <v>3.7799999999999999E-3</v>
      </c>
      <c r="R430" s="223">
        <f>Q430*H430</f>
        <v>1.1339999999999999E-2</v>
      </c>
      <c r="S430" s="223">
        <v>0</v>
      </c>
      <c r="T430" s="224">
        <f>S430*H430</f>
        <v>0</v>
      </c>
      <c r="AR430" s="225" t="s">
        <v>20</v>
      </c>
      <c r="AT430" s="225" t="s">
        <v>3338</v>
      </c>
      <c r="AU430" s="225" t="s">
        <v>6</v>
      </c>
      <c r="AY430" s="136" t="s">
        <v>3337</v>
      </c>
      <c r="BE430" s="226">
        <f>IF(N430="základní",J430,0)</f>
        <v>0</v>
      </c>
      <c r="BF430" s="226">
        <f>IF(N430="snížená",J430,0)</f>
        <v>0</v>
      </c>
      <c r="BG430" s="226">
        <f>IF(N430="zákl. přenesená",J430,0)</f>
        <v>0</v>
      </c>
      <c r="BH430" s="226">
        <f>IF(N430="sníž. přenesená",J430,0)</f>
        <v>0</v>
      </c>
      <c r="BI430" s="226">
        <f>IF(N430="nulová",J430,0)</f>
        <v>0</v>
      </c>
      <c r="BJ430" s="136" t="s">
        <v>5</v>
      </c>
      <c r="BK430" s="226">
        <f>ROUND(I430*H430,2)</f>
        <v>0</v>
      </c>
      <c r="BL430" s="136" t="s">
        <v>20</v>
      </c>
      <c r="BM430" s="225" t="s">
        <v>5549</v>
      </c>
    </row>
    <row r="431" spans="2:65" s="144" customFormat="1">
      <c r="B431" s="145"/>
      <c r="D431" s="227" t="s">
        <v>3343</v>
      </c>
      <c r="F431" s="228" t="s">
        <v>5550</v>
      </c>
      <c r="L431" s="145"/>
      <c r="M431" s="229"/>
      <c r="T431" s="230"/>
      <c r="AT431" s="136" t="s">
        <v>3343</v>
      </c>
      <c r="AU431" s="136" t="s">
        <v>6</v>
      </c>
    </row>
    <row r="432" spans="2:65" s="144" customFormat="1" ht="16.5" customHeight="1">
      <c r="B432" s="214"/>
      <c r="C432" s="215" t="s">
        <v>136</v>
      </c>
      <c r="D432" s="215" t="s">
        <v>3338</v>
      </c>
      <c r="E432" s="216" t="s">
        <v>5551</v>
      </c>
      <c r="F432" s="217" t="s">
        <v>5552</v>
      </c>
      <c r="G432" s="218" t="s">
        <v>1939</v>
      </c>
      <c r="H432" s="219">
        <v>1</v>
      </c>
      <c r="I432" s="745">
        <v>0</v>
      </c>
      <c r="J432" s="220">
        <f>ROUND(I432*H432,2)</f>
        <v>0</v>
      </c>
      <c r="K432" s="217" t="s">
        <v>3341</v>
      </c>
      <c r="L432" s="145"/>
      <c r="M432" s="221" t="s">
        <v>3268</v>
      </c>
      <c r="N432" s="222" t="s">
        <v>3296</v>
      </c>
      <c r="O432" s="223">
        <v>0.36199999999999999</v>
      </c>
      <c r="P432" s="223">
        <f>O432*H432</f>
        <v>0.36199999999999999</v>
      </c>
      <c r="Q432" s="223">
        <v>4.6800000000000001E-3</v>
      </c>
      <c r="R432" s="223">
        <f>Q432*H432</f>
        <v>4.6800000000000001E-3</v>
      </c>
      <c r="S432" s="223">
        <v>0</v>
      </c>
      <c r="T432" s="224">
        <f>S432*H432</f>
        <v>0</v>
      </c>
      <c r="AR432" s="225" t="s">
        <v>20</v>
      </c>
      <c r="AT432" s="225" t="s">
        <v>3338</v>
      </c>
      <c r="AU432" s="225" t="s">
        <v>6</v>
      </c>
      <c r="AY432" s="136" t="s">
        <v>3337</v>
      </c>
      <c r="BE432" s="226">
        <f>IF(N432="základní",J432,0)</f>
        <v>0</v>
      </c>
      <c r="BF432" s="226">
        <f>IF(N432="snížená",J432,0)</f>
        <v>0</v>
      </c>
      <c r="BG432" s="226">
        <f>IF(N432="zákl. přenesená",J432,0)</f>
        <v>0</v>
      </c>
      <c r="BH432" s="226">
        <f>IF(N432="sníž. přenesená",J432,0)</f>
        <v>0</v>
      </c>
      <c r="BI432" s="226">
        <f>IF(N432="nulová",J432,0)</f>
        <v>0</v>
      </c>
      <c r="BJ432" s="136" t="s">
        <v>5</v>
      </c>
      <c r="BK432" s="226">
        <f>ROUND(I432*H432,2)</f>
        <v>0</v>
      </c>
      <c r="BL432" s="136" t="s">
        <v>20</v>
      </c>
      <c r="BM432" s="225" t="s">
        <v>5553</v>
      </c>
    </row>
    <row r="433" spans="2:65" s="144" customFormat="1">
      <c r="B433" s="145"/>
      <c r="D433" s="227" t="s">
        <v>3343</v>
      </c>
      <c r="F433" s="228" t="s">
        <v>5554</v>
      </c>
      <c r="L433" s="145"/>
      <c r="M433" s="229"/>
      <c r="T433" s="230"/>
      <c r="AT433" s="136" t="s">
        <v>3343</v>
      </c>
      <c r="AU433" s="136" t="s">
        <v>6</v>
      </c>
    </row>
    <row r="434" spans="2:65" s="144" customFormat="1" ht="16.5" customHeight="1">
      <c r="B434" s="214"/>
      <c r="C434" s="215" t="s">
        <v>137</v>
      </c>
      <c r="D434" s="215" t="s">
        <v>3338</v>
      </c>
      <c r="E434" s="216" t="s">
        <v>5555</v>
      </c>
      <c r="F434" s="217" t="s">
        <v>5556</v>
      </c>
      <c r="G434" s="218" t="s">
        <v>1939</v>
      </c>
      <c r="H434" s="219">
        <v>3</v>
      </c>
      <c r="I434" s="745">
        <v>0</v>
      </c>
      <c r="J434" s="220">
        <f>ROUND(I434*H434,2)</f>
        <v>0</v>
      </c>
      <c r="K434" s="217" t="s">
        <v>3341</v>
      </c>
      <c r="L434" s="145"/>
      <c r="M434" s="221" t="s">
        <v>3268</v>
      </c>
      <c r="N434" s="222" t="s">
        <v>3296</v>
      </c>
      <c r="O434" s="223">
        <v>0.40300000000000002</v>
      </c>
      <c r="P434" s="223">
        <f>O434*H434</f>
        <v>1.2090000000000001</v>
      </c>
      <c r="Q434" s="223">
        <v>6.5300000000000002E-3</v>
      </c>
      <c r="R434" s="223">
        <f>Q434*H434</f>
        <v>1.959E-2</v>
      </c>
      <c r="S434" s="223">
        <v>0</v>
      </c>
      <c r="T434" s="224">
        <f>S434*H434</f>
        <v>0</v>
      </c>
      <c r="AR434" s="225" t="s">
        <v>20</v>
      </c>
      <c r="AT434" s="225" t="s">
        <v>3338</v>
      </c>
      <c r="AU434" s="225" t="s">
        <v>6</v>
      </c>
      <c r="AY434" s="136" t="s">
        <v>3337</v>
      </c>
      <c r="BE434" s="226">
        <f>IF(N434="základní",J434,0)</f>
        <v>0</v>
      </c>
      <c r="BF434" s="226">
        <f>IF(N434="snížená",J434,0)</f>
        <v>0</v>
      </c>
      <c r="BG434" s="226">
        <f>IF(N434="zákl. přenesená",J434,0)</f>
        <v>0</v>
      </c>
      <c r="BH434" s="226">
        <f>IF(N434="sníž. přenesená",J434,0)</f>
        <v>0</v>
      </c>
      <c r="BI434" s="226">
        <f>IF(N434="nulová",J434,0)</f>
        <v>0</v>
      </c>
      <c r="BJ434" s="136" t="s">
        <v>5</v>
      </c>
      <c r="BK434" s="226">
        <f>ROUND(I434*H434,2)</f>
        <v>0</v>
      </c>
      <c r="BL434" s="136" t="s">
        <v>20</v>
      </c>
      <c r="BM434" s="225" t="s">
        <v>5557</v>
      </c>
    </row>
    <row r="435" spans="2:65" s="144" customFormat="1">
      <c r="B435" s="145"/>
      <c r="D435" s="227" t="s">
        <v>3343</v>
      </c>
      <c r="F435" s="228" t="s">
        <v>5558</v>
      </c>
      <c r="L435" s="145"/>
      <c r="M435" s="229"/>
      <c r="T435" s="230"/>
      <c r="AT435" s="136" t="s">
        <v>3343</v>
      </c>
      <c r="AU435" s="136" t="s">
        <v>6</v>
      </c>
    </row>
    <row r="436" spans="2:65" s="144" customFormat="1" ht="16.5" customHeight="1">
      <c r="B436" s="214"/>
      <c r="C436" s="215" t="s">
        <v>138</v>
      </c>
      <c r="D436" s="215" t="s">
        <v>3338</v>
      </c>
      <c r="E436" s="216" t="s">
        <v>5559</v>
      </c>
      <c r="F436" s="217" t="s">
        <v>5560</v>
      </c>
      <c r="G436" s="218" t="s">
        <v>1943</v>
      </c>
      <c r="H436" s="219">
        <v>2</v>
      </c>
      <c r="I436" s="745">
        <v>0</v>
      </c>
      <c r="J436" s="220">
        <f>ROUND(I436*H436,2)</f>
        <v>0</v>
      </c>
      <c r="K436" s="217" t="s">
        <v>3341</v>
      </c>
      <c r="L436" s="145"/>
      <c r="M436" s="221" t="s">
        <v>3268</v>
      </c>
      <c r="N436" s="222" t="s">
        <v>3296</v>
      </c>
      <c r="O436" s="223">
        <v>0.2</v>
      </c>
      <c r="P436" s="223">
        <f>O436*H436</f>
        <v>0.4</v>
      </c>
      <c r="Q436" s="223">
        <v>1.8000000000000001E-4</v>
      </c>
      <c r="R436" s="223">
        <f>Q436*H436</f>
        <v>3.6000000000000002E-4</v>
      </c>
      <c r="S436" s="223">
        <v>0</v>
      </c>
      <c r="T436" s="224">
        <f>S436*H436</f>
        <v>0</v>
      </c>
      <c r="AR436" s="225" t="s">
        <v>20</v>
      </c>
      <c r="AT436" s="225" t="s">
        <v>3338</v>
      </c>
      <c r="AU436" s="225" t="s">
        <v>6</v>
      </c>
      <c r="AY436" s="136" t="s">
        <v>3337</v>
      </c>
      <c r="BE436" s="226">
        <f>IF(N436="základní",J436,0)</f>
        <v>0</v>
      </c>
      <c r="BF436" s="226">
        <f>IF(N436="snížená",J436,0)</f>
        <v>0</v>
      </c>
      <c r="BG436" s="226">
        <f>IF(N436="zákl. přenesená",J436,0)</f>
        <v>0</v>
      </c>
      <c r="BH436" s="226">
        <f>IF(N436="sníž. přenesená",J436,0)</f>
        <v>0</v>
      </c>
      <c r="BI436" s="226">
        <f>IF(N436="nulová",J436,0)</f>
        <v>0</v>
      </c>
      <c r="BJ436" s="136" t="s">
        <v>5</v>
      </c>
      <c r="BK436" s="226">
        <f>ROUND(I436*H436,2)</f>
        <v>0</v>
      </c>
      <c r="BL436" s="136" t="s">
        <v>20</v>
      </c>
      <c r="BM436" s="225" t="s">
        <v>5561</v>
      </c>
    </row>
    <row r="437" spans="2:65" s="144" customFormat="1" ht="19.2">
      <c r="B437" s="145"/>
      <c r="D437" s="227" t="s">
        <v>3343</v>
      </c>
      <c r="F437" s="228" t="s">
        <v>5562</v>
      </c>
      <c r="L437" s="145"/>
      <c r="M437" s="229"/>
      <c r="T437" s="230"/>
      <c r="AT437" s="136" t="s">
        <v>3343</v>
      </c>
      <c r="AU437" s="136" t="s">
        <v>6</v>
      </c>
    </row>
    <row r="438" spans="2:65" s="144" customFormat="1" ht="21.75" customHeight="1">
      <c r="B438" s="214"/>
      <c r="C438" s="215" t="s">
        <v>139</v>
      </c>
      <c r="D438" s="215" t="s">
        <v>3338</v>
      </c>
      <c r="E438" s="216" t="s">
        <v>5563</v>
      </c>
      <c r="F438" s="217" t="s">
        <v>5564</v>
      </c>
      <c r="G438" s="218" t="s">
        <v>1943</v>
      </c>
      <c r="H438" s="219">
        <v>5</v>
      </c>
      <c r="I438" s="745">
        <v>0</v>
      </c>
      <c r="J438" s="220">
        <f>ROUND(I438*H438,2)</f>
        <v>0</v>
      </c>
      <c r="K438" s="217" t="s">
        <v>3341</v>
      </c>
      <c r="L438" s="145"/>
      <c r="M438" s="221" t="s">
        <v>3268</v>
      </c>
      <c r="N438" s="222" t="s">
        <v>3296</v>
      </c>
      <c r="O438" s="223">
        <v>0.14499999999999999</v>
      </c>
      <c r="P438" s="223">
        <f>O438*H438</f>
        <v>0.72499999999999998</v>
      </c>
      <c r="Q438" s="223">
        <v>2.4000000000000001E-4</v>
      </c>
      <c r="R438" s="223">
        <f>Q438*H438</f>
        <v>1.2000000000000001E-3</v>
      </c>
      <c r="S438" s="223">
        <v>0</v>
      </c>
      <c r="T438" s="224">
        <f>S438*H438</f>
        <v>0</v>
      </c>
      <c r="AR438" s="225" t="s">
        <v>20</v>
      </c>
      <c r="AT438" s="225" t="s">
        <v>3338</v>
      </c>
      <c r="AU438" s="225" t="s">
        <v>6</v>
      </c>
      <c r="AY438" s="136" t="s">
        <v>3337</v>
      </c>
      <c r="BE438" s="226">
        <f>IF(N438="základní",J438,0)</f>
        <v>0</v>
      </c>
      <c r="BF438" s="226">
        <f>IF(N438="snížená",J438,0)</f>
        <v>0</v>
      </c>
      <c r="BG438" s="226">
        <f>IF(N438="zákl. přenesená",J438,0)</f>
        <v>0</v>
      </c>
      <c r="BH438" s="226">
        <f>IF(N438="sníž. přenesená",J438,0)</f>
        <v>0</v>
      </c>
      <c r="BI438" s="226">
        <f>IF(N438="nulová",J438,0)</f>
        <v>0</v>
      </c>
      <c r="BJ438" s="136" t="s">
        <v>5</v>
      </c>
      <c r="BK438" s="226">
        <f>ROUND(I438*H438,2)</f>
        <v>0</v>
      </c>
      <c r="BL438" s="136" t="s">
        <v>20</v>
      </c>
      <c r="BM438" s="225" t="s">
        <v>5565</v>
      </c>
    </row>
    <row r="439" spans="2:65" s="144" customFormat="1" ht="19.2">
      <c r="B439" s="145"/>
      <c r="D439" s="227" t="s">
        <v>3343</v>
      </c>
      <c r="F439" s="228" t="s">
        <v>5566</v>
      </c>
      <c r="L439" s="145"/>
      <c r="M439" s="229"/>
      <c r="T439" s="230"/>
      <c r="AT439" s="136" t="s">
        <v>3343</v>
      </c>
      <c r="AU439" s="136" t="s">
        <v>6</v>
      </c>
    </row>
    <row r="440" spans="2:65" s="144" customFormat="1" ht="21.75" customHeight="1">
      <c r="B440" s="214"/>
      <c r="C440" s="215" t="s">
        <v>140</v>
      </c>
      <c r="D440" s="215" t="s">
        <v>3338</v>
      </c>
      <c r="E440" s="216" t="s">
        <v>5567</v>
      </c>
      <c r="F440" s="217" t="s">
        <v>5568</v>
      </c>
      <c r="G440" s="218" t="s">
        <v>1943</v>
      </c>
      <c r="H440" s="219">
        <v>1</v>
      </c>
      <c r="I440" s="745">
        <v>0</v>
      </c>
      <c r="J440" s="220">
        <f>ROUND(I440*H440,2)</f>
        <v>0</v>
      </c>
      <c r="K440" s="217" t="s">
        <v>3341</v>
      </c>
      <c r="L440" s="145"/>
      <c r="M440" s="221" t="s">
        <v>3268</v>
      </c>
      <c r="N440" s="222" t="s">
        <v>3296</v>
      </c>
      <c r="O440" s="223">
        <v>0.22700000000000001</v>
      </c>
      <c r="P440" s="223">
        <f>O440*H440</f>
        <v>0.22700000000000001</v>
      </c>
      <c r="Q440" s="223">
        <v>9.8999999999999999E-4</v>
      </c>
      <c r="R440" s="223">
        <f>Q440*H440</f>
        <v>9.8999999999999999E-4</v>
      </c>
      <c r="S440" s="223">
        <v>0</v>
      </c>
      <c r="T440" s="224">
        <f>S440*H440</f>
        <v>0</v>
      </c>
      <c r="AR440" s="225" t="s">
        <v>20</v>
      </c>
      <c r="AT440" s="225" t="s">
        <v>3338</v>
      </c>
      <c r="AU440" s="225" t="s">
        <v>6</v>
      </c>
      <c r="AY440" s="136" t="s">
        <v>3337</v>
      </c>
      <c r="BE440" s="226">
        <f>IF(N440="základní",J440,0)</f>
        <v>0</v>
      </c>
      <c r="BF440" s="226">
        <f>IF(N440="snížená",J440,0)</f>
        <v>0</v>
      </c>
      <c r="BG440" s="226">
        <f>IF(N440="zákl. přenesená",J440,0)</f>
        <v>0</v>
      </c>
      <c r="BH440" s="226">
        <f>IF(N440="sníž. přenesená",J440,0)</f>
        <v>0</v>
      </c>
      <c r="BI440" s="226">
        <f>IF(N440="nulová",J440,0)</f>
        <v>0</v>
      </c>
      <c r="BJ440" s="136" t="s">
        <v>5</v>
      </c>
      <c r="BK440" s="226">
        <f>ROUND(I440*H440,2)</f>
        <v>0</v>
      </c>
      <c r="BL440" s="136" t="s">
        <v>20</v>
      </c>
      <c r="BM440" s="225" t="s">
        <v>5569</v>
      </c>
    </row>
    <row r="441" spans="2:65" s="144" customFormat="1" ht="19.2">
      <c r="B441" s="145"/>
      <c r="D441" s="227" t="s">
        <v>3343</v>
      </c>
      <c r="F441" s="228" t="s">
        <v>5570</v>
      </c>
      <c r="L441" s="145"/>
      <c r="M441" s="229"/>
      <c r="T441" s="230"/>
      <c r="AT441" s="136" t="s">
        <v>3343</v>
      </c>
      <c r="AU441" s="136" t="s">
        <v>6</v>
      </c>
    </row>
    <row r="442" spans="2:65" s="144" customFormat="1" ht="21.75" customHeight="1">
      <c r="B442" s="214"/>
      <c r="C442" s="215" t="s">
        <v>141</v>
      </c>
      <c r="D442" s="215" t="s">
        <v>3338</v>
      </c>
      <c r="E442" s="216" t="s">
        <v>5571</v>
      </c>
      <c r="F442" s="217" t="s">
        <v>5572</v>
      </c>
      <c r="G442" s="218" t="s">
        <v>1943</v>
      </c>
      <c r="H442" s="219">
        <v>5</v>
      </c>
      <c r="I442" s="745">
        <v>0</v>
      </c>
      <c r="J442" s="220">
        <f>ROUND(I442*H442,2)</f>
        <v>0</v>
      </c>
      <c r="K442" s="217" t="s">
        <v>3341</v>
      </c>
      <c r="L442" s="145"/>
      <c r="M442" s="221" t="s">
        <v>3268</v>
      </c>
      <c r="N442" s="222" t="s">
        <v>3296</v>
      </c>
      <c r="O442" s="223">
        <v>0.16600000000000001</v>
      </c>
      <c r="P442" s="223">
        <f>O442*H442</f>
        <v>0.83000000000000007</v>
      </c>
      <c r="Q442" s="223">
        <v>2.4000000000000001E-4</v>
      </c>
      <c r="R442" s="223">
        <f>Q442*H442</f>
        <v>1.2000000000000001E-3</v>
      </c>
      <c r="S442" s="223">
        <v>0</v>
      </c>
      <c r="T442" s="224">
        <f>S442*H442</f>
        <v>0</v>
      </c>
      <c r="AR442" s="225" t="s">
        <v>20</v>
      </c>
      <c r="AT442" s="225" t="s">
        <v>3338</v>
      </c>
      <c r="AU442" s="225" t="s">
        <v>6</v>
      </c>
      <c r="AY442" s="136" t="s">
        <v>3337</v>
      </c>
      <c r="BE442" s="226">
        <f>IF(N442="základní",J442,0)</f>
        <v>0</v>
      </c>
      <c r="BF442" s="226">
        <f>IF(N442="snížená",J442,0)</f>
        <v>0</v>
      </c>
      <c r="BG442" s="226">
        <f>IF(N442="zákl. přenesená",J442,0)</f>
        <v>0</v>
      </c>
      <c r="BH442" s="226">
        <f>IF(N442="sníž. přenesená",J442,0)</f>
        <v>0</v>
      </c>
      <c r="BI442" s="226">
        <f>IF(N442="nulová",J442,0)</f>
        <v>0</v>
      </c>
      <c r="BJ442" s="136" t="s">
        <v>5</v>
      </c>
      <c r="BK442" s="226">
        <f>ROUND(I442*H442,2)</f>
        <v>0</v>
      </c>
      <c r="BL442" s="136" t="s">
        <v>20</v>
      </c>
      <c r="BM442" s="225" t="s">
        <v>5573</v>
      </c>
    </row>
    <row r="443" spans="2:65" s="144" customFormat="1" ht="19.2">
      <c r="B443" s="145"/>
      <c r="D443" s="227" t="s">
        <v>3343</v>
      </c>
      <c r="F443" s="228" t="s">
        <v>5574</v>
      </c>
      <c r="L443" s="145"/>
      <c r="M443" s="229"/>
      <c r="T443" s="230"/>
      <c r="AT443" s="136" t="s">
        <v>3343</v>
      </c>
      <c r="AU443" s="136" t="s">
        <v>6</v>
      </c>
    </row>
    <row r="444" spans="2:65" s="144" customFormat="1" ht="21.75" customHeight="1">
      <c r="B444" s="214"/>
      <c r="C444" s="215" t="s">
        <v>142</v>
      </c>
      <c r="D444" s="215" t="s">
        <v>3338</v>
      </c>
      <c r="E444" s="216" t="s">
        <v>5575</v>
      </c>
      <c r="F444" s="217" t="s">
        <v>5576</v>
      </c>
      <c r="G444" s="218" t="s">
        <v>1943</v>
      </c>
      <c r="H444" s="219">
        <v>2</v>
      </c>
      <c r="I444" s="745">
        <v>0</v>
      </c>
      <c r="J444" s="220">
        <f>ROUND(I444*H444,2)</f>
        <v>0</v>
      </c>
      <c r="K444" s="217" t="s">
        <v>3341</v>
      </c>
      <c r="L444" s="145"/>
      <c r="M444" s="221" t="s">
        <v>3268</v>
      </c>
      <c r="N444" s="222" t="s">
        <v>3296</v>
      </c>
      <c r="O444" s="223">
        <v>0.20599999999999999</v>
      </c>
      <c r="P444" s="223">
        <f>O444*H444</f>
        <v>0.41199999999999998</v>
      </c>
      <c r="Q444" s="223">
        <v>3.8000000000000002E-4</v>
      </c>
      <c r="R444" s="223">
        <f>Q444*H444</f>
        <v>7.6000000000000004E-4</v>
      </c>
      <c r="S444" s="223">
        <v>0</v>
      </c>
      <c r="T444" s="224">
        <f>S444*H444</f>
        <v>0</v>
      </c>
      <c r="AR444" s="225" t="s">
        <v>20</v>
      </c>
      <c r="AT444" s="225" t="s">
        <v>3338</v>
      </c>
      <c r="AU444" s="225" t="s">
        <v>6</v>
      </c>
      <c r="AY444" s="136" t="s">
        <v>3337</v>
      </c>
      <c r="BE444" s="226">
        <f>IF(N444="základní",J444,0)</f>
        <v>0</v>
      </c>
      <c r="BF444" s="226">
        <f>IF(N444="snížená",J444,0)</f>
        <v>0</v>
      </c>
      <c r="BG444" s="226">
        <f>IF(N444="zákl. přenesená",J444,0)</f>
        <v>0</v>
      </c>
      <c r="BH444" s="226">
        <f>IF(N444="sníž. přenesená",J444,0)</f>
        <v>0</v>
      </c>
      <c r="BI444" s="226">
        <f>IF(N444="nulová",J444,0)</f>
        <v>0</v>
      </c>
      <c r="BJ444" s="136" t="s">
        <v>5</v>
      </c>
      <c r="BK444" s="226">
        <f>ROUND(I444*H444,2)</f>
        <v>0</v>
      </c>
      <c r="BL444" s="136" t="s">
        <v>20</v>
      </c>
      <c r="BM444" s="225" t="s">
        <v>5577</v>
      </c>
    </row>
    <row r="445" spans="2:65" s="144" customFormat="1" ht="19.2">
      <c r="B445" s="145"/>
      <c r="D445" s="227" t="s">
        <v>3343</v>
      </c>
      <c r="F445" s="228" t="s">
        <v>5578</v>
      </c>
      <c r="L445" s="145"/>
      <c r="M445" s="229"/>
      <c r="T445" s="230"/>
      <c r="AT445" s="136" t="s">
        <v>3343</v>
      </c>
      <c r="AU445" s="136" t="s">
        <v>6</v>
      </c>
    </row>
    <row r="446" spans="2:65" s="144" customFormat="1" ht="21.75" customHeight="1">
      <c r="B446" s="214"/>
      <c r="C446" s="215" t="s">
        <v>143</v>
      </c>
      <c r="D446" s="215" t="s">
        <v>3338</v>
      </c>
      <c r="E446" s="216" t="s">
        <v>5579</v>
      </c>
      <c r="F446" s="217" t="s">
        <v>5580</v>
      </c>
      <c r="G446" s="218" t="s">
        <v>1943</v>
      </c>
      <c r="H446" s="219">
        <v>5</v>
      </c>
      <c r="I446" s="745">
        <v>0</v>
      </c>
      <c r="J446" s="220">
        <f>ROUND(I446*H446,2)</f>
        <v>0</v>
      </c>
      <c r="K446" s="217" t="s">
        <v>3341</v>
      </c>
      <c r="L446" s="145"/>
      <c r="M446" s="221" t="s">
        <v>3268</v>
      </c>
      <c r="N446" s="222" t="s">
        <v>3296</v>
      </c>
      <c r="O446" s="223">
        <v>0.26900000000000002</v>
      </c>
      <c r="P446" s="223">
        <f>O446*H446</f>
        <v>1.3450000000000002</v>
      </c>
      <c r="Q446" s="223">
        <v>8.8000000000000003E-4</v>
      </c>
      <c r="R446" s="223">
        <f>Q446*H446</f>
        <v>4.4000000000000003E-3</v>
      </c>
      <c r="S446" s="223">
        <v>0</v>
      </c>
      <c r="T446" s="224">
        <f>S446*H446</f>
        <v>0</v>
      </c>
      <c r="AR446" s="225" t="s">
        <v>20</v>
      </c>
      <c r="AT446" s="225" t="s">
        <v>3338</v>
      </c>
      <c r="AU446" s="225" t="s">
        <v>6</v>
      </c>
      <c r="AY446" s="136" t="s">
        <v>3337</v>
      </c>
      <c r="BE446" s="226">
        <f>IF(N446="základní",J446,0)</f>
        <v>0</v>
      </c>
      <c r="BF446" s="226">
        <f>IF(N446="snížená",J446,0)</f>
        <v>0</v>
      </c>
      <c r="BG446" s="226">
        <f>IF(N446="zákl. přenesená",J446,0)</f>
        <v>0</v>
      </c>
      <c r="BH446" s="226">
        <f>IF(N446="sníž. přenesená",J446,0)</f>
        <v>0</v>
      </c>
      <c r="BI446" s="226">
        <f>IF(N446="nulová",J446,0)</f>
        <v>0</v>
      </c>
      <c r="BJ446" s="136" t="s">
        <v>5</v>
      </c>
      <c r="BK446" s="226">
        <f>ROUND(I446*H446,2)</f>
        <v>0</v>
      </c>
      <c r="BL446" s="136" t="s">
        <v>20</v>
      </c>
      <c r="BM446" s="225" t="s">
        <v>5581</v>
      </c>
    </row>
    <row r="447" spans="2:65" s="144" customFormat="1" ht="19.2">
      <c r="B447" s="145"/>
      <c r="D447" s="227" t="s">
        <v>3343</v>
      </c>
      <c r="F447" s="228" t="s">
        <v>5582</v>
      </c>
      <c r="L447" s="145"/>
      <c r="M447" s="229"/>
      <c r="T447" s="230"/>
      <c r="AT447" s="136" t="s">
        <v>3343</v>
      </c>
      <c r="AU447" s="136" t="s">
        <v>6</v>
      </c>
    </row>
    <row r="448" spans="2:65" s="144" customFormat="1" ht="16.5" customHeight="1">
      <c r="B448" s="214"/>
      <c r="C448" s="215" t="s">
        <v>144</v>
      </c>
      <c r="D448" s="215" t="s">
        <v>3338</v>
      </c>
      <c r="E448" s="216" t="s">
        <v>5583</v>
      </c>
      <c r="F448" s="217" t="s">
        <v>5584</v>
      </c>
      <c r="G448" s="218" t="s">
        <v>1943</v>
      </c>
      <c r="H448" s="219">
        <v>1</v>
      </c>
      <c r="I448" s="745">
        <v>0</v>
      </c>
      <c r="J448" s="220">
        <f>ROUND(I448*H448,2)</f>
        <v>0</v>
      </c>
      <c r="K448" s="217" t="s">
        <v>3268</v>
      </c>
      <c r="L448" s="145"/>
      <c r="M448" s="221" t="s">
        <v>3268</v>
      </c>
      <c r="N448" s="222" t="s">
        <v>3296</v>
      </c>
      <c r="O448" s="223">
        <v>0.26900000000000002</v>
      </c>
      <c r="P448" s="223">
        <f>O448*H448</f>
        <v>0.26900000000000002</v>
      </c>
      <c r="Q448" s="223">
        <v>8.8000000000000003E-4</v>
      </c>
      <c r="R448" s="223">
        <f>Q448*H448</f>
        <v>8.8000000000000003E-4</v>
      </c>
      <c r="S448" s="223">
        <v>0</v>
      </c>
      <c r="T448" s="224">
        <f>S448*H448</f>
        <v>0</v>
      </c>
      <c r="AR448" s="225" t="s">
        <v>20</v>
      </c>
      <c r="AT448" s="225" t="s">
        <v>3338</v>
      </c>
      <c r="AU448" s="225" t="s">
        <v>6</v>
      </c>
      <c r="AY448" s="136" t="s">
        <v>3337</v>
      </c>
      <c r="BE448" s="226">
        <f>IF(N448="základní",J448,0)</f>
        <v>0</v>
      </c>
      <c r="BF448" s="226">
        <f>IF(N448="snížená",J448,0)</f>
        <v>0</v>
      </c>
      <c r="BG448" s="226">
        <f>IF(N448="zákl. přenesená",J448,0)</f>
        <v>0</v>
      </c>
      <c r="BH448" s="226">
        <f>IF(N448="sníž. přenesená",J448,0)</f>
        <v>0</v>
      </c>
      <c r="BI448" s="226">
        <f>IF(N448="nulová",J448,0)</f>
        <v>0</v>
      </c>
      <c r="BJ448" s="136" t="s">
        <v>5</v>
      </c>
      <c r="BK448" s="226">
        <f>ROUND(I448*H448,2)</f>
        <v>0</v>
      </c>
      <c r="BL448" s="136" t="s">
        <v>20</v>
      </c>
      <c r="BM448" s="225" t="s">
        <v>5585</v>
      </c>
    </row>
    <row r="449" spans="2:65" s="144" customFormat="1">
      <c r="B449" s="145"/>
      <c r="D449" s="227" t="s">
        <v>3343</v>
      </c>
      <c r="F449" s="228" t="s">
        <v>5584</v>
      </c>
      <c r="L449" s="145"/>
      <c r="M449" s="229"/>
      <c r="T449" s="230"/>
      <c r="AT449" s="136" t="s">
        <v>3343</v>
      </c>
      <c r="AU449" s="136" t="s">
        <v>6</v>
      </c>
    </row>
    <row r="450" spans="2:65" s="144" customFormat="1" ht="16.5" customHeight="1">
      <c r="B450" s="214"/>
      <c r="C450" s="215" t="s">
        <v>145</v>
      </c>
      <c r="D450" s="215" t="s">
        <v>3338</v>
      </c>
      <c r="E450" s="216" t="s">
        <v>5586</v>
      </c>
      <c r="F450" s="217" t="s">
        <v>5587</v>
      </c>
      <c r="G450" s="218" t="s">
        <v>1943</v>
      </c>
      <c r="H450" s="219">
        <v>1</v>
      </c>
      <c r="I450" s="745">
        <v>0</v>
      </c>
      <c r="J450" s="220">
        <f>ROUND(I450*H450,2)</f>
        <v>0</v>
      </c>
      <c r="K450" s="217" t="s">
        <v>3268</v>
      </c>
      <c r="L450" s="145"/>
      <c r="M450" s="221" t="s">
        <v>3268</v>
      </c>
      <c r="N450" s="222" t="s">
        <v>3296</v>
      </c>
      <c r="O450" s="223">
        <v>0.26900000000000002</v>
      </c>
      <c r="P450" s="223">
        <f>O450*H450</f>
        <v>0.26900000000000002</v>
      </c>
      <c r="Q450" s="223">
        <v>8.8000000000000003E-4</v>
      </c>
      <c r="R450" s="223">
        <f>Q450*H450</f>
        <v>8.8000000000000003E-4</v>
      </c>
      <c r="S450" s="223">
        <v>0</v>
      </c>
      <c r="T450" s="224">
        <f>S450*H450</f>
        <v>0</v>
      </c>
      <c r="AR450" s="225" t="s">
        <v>20</v>
      </c>
      <c r="AT450" s="225" t="s">
        <v>3338</v>
      </c>
      <c r="AU450" s="225" t="s">
        <v>6</v>
      </c>
      <c r="AY450" s="136" t="s">
        <v>3337</v>
      </c>
      <c r="BE450" s="226">
        <f>IF(N450="základní",J450,0)</f>
        <v>0</v>
      </c>
      <c r="BF450" s="226">
        <f>IF(N450="snížená",J450,0)</f>
        <v>0</v>
      </c>
      <c r="BG450" s="226">
        <f>IF(N450="zákl. přenesená",J450,0)</f>
        <v>0</v>
      </c>
      <c r="BH450" s="226">
        <f>IF(N450="sníž. přenesená",J450,0)</f>
        <v>0</v>
      </c>
      <c r="BI450" s="226">
        <f>IF(N450="nulová",J450,0)</f>
        <v>0</v>
      </c>
      <c r="BJ450" s="136" t="s">
        <v>5</v>
      </c>
      <c r="BK450" s="226">
        <f>ROUND(I450*H450,2)</f>
        <v>0</v>
      </c>
      <c r="BL450" s="136" t="s">
        <v>20</v>
      </c>
      <c r="BM450" s="225" t="s">
        <v>5588</v>
      </c>
    </row>
    <row r="451" spans="2:65" s="144" customFormat="1">
      <c r="B451" s="145"/>
      <c r="D451" s="227" t="s">
        <v>3343</v>
      </c>
      <c r="F451" s="228" t="s">
        <v>5587</v>
      </c>
      <c r="L451" s="145"/>
      <c r="M451" s="229"/>
      <c r="T451" s="230"/>
      <c r="AT451" s="136" t="s">
        <v>3343</v>
      </c>
      <c r="AU451" s="136" t="s">
        <v>6</v>
      </c>
    </row>
    <row r="452" spans="2:65" s="144" customFormat="1" ht="21.75" customHeight="1">
      <c r="B452" s="214"/>
      <c r="C452" s="215" t="s">
        <v>146</v>
      </c>
      <c r="D452" s="215" t="s">
        <v>3338</v>
      </c>
      <c r="E452" s="216" t="s">
        <v>5501</v>
      </c>
      <c r="F452" s="217" t="s">
        <v>5502</v>
      </c>
      <c r="G452" s="218" t="s">
        <v>1943</v>
      </c>
      <c r="H452" s="219">
        <v>2</v>
      </c>
      <c r="I452" s="745">
        <v>0</v>
      </c>
      <c r="J452" s="220">
        <f>ROUND(I452*H452,2)</f>
        <v>0</v>
      </c>
      <c r="K452" s="217" t="s">
        <v>3341</v>
      </c>
      <c r="L452" s="145"/>
      <c r="M452" s="221" t="s">
        <v>3268</v>
      </c>
      <c r="N452" s="222" t="s">
        <v>3296</v>
      </c>
      <c r="O452" s="223">
        <v>0.433</v>
      </c>
      <c r="P452" s="223">
        <f>O452*H452</f>
        <v>0.86599999999999999</v>
      </c>
      <c r="Q452" s="223">
        <v>1.47E-3</v>
      </c>
      <c r="R452" s="223">
        <f>Q452*H452</f>
        <v>2.9399999999999999E-3</v>
      </c>
      <c r="S452" s="223">
        <v>0</v>
      </c>
      <c r="T452" s="224">
        <f>S452*H452</f>
        <v>0</v>
      </c>
      <c r="AR452" s="225" t="s">
        <v>20</v>
      </c>
      <c r="AT452" s="225" t="s">
        <v>3338</v>
      </c>
      <c r="AU452" s="225" t="s">
        <v>6</v>
      </c>
      <c r="AY452" s="136" t="s">
        <v>3337</v>
      </c>
      <c r="BE452" s="226">
        <f>IF(N452="základní",J452,0)</f>
        <v>0</v>
      </c>
      <c r="BF452" s="226">
        <f>IF(N452="snížená",J452,0)</f>
        <v>0</v>
      </c>
      <c r="BG452" s="226">
        <f>IF(N452="zákl. přenesená",J452,0)</f>
        <v>0</v>
      </c>
      <c r="BH452" s="226">
        <f>IF(N452="sníž. přenesená",J452,0)</f>
        <v>0</v>
      </c>
      <c r="BI452" s="226">
        <f>IF(N452="nulová",J452,0)</f>
        <v>0</v>
      </c>
      <c r="BJ452" s="136" t="s">
        <v>5</v>
      </c>
      <c r="BK452" s="226">
        <f>ROUND(I452*H452,2)</f>
        <v>0</v>
      </c>
      <c r="BL452" s="136" t="s">
        <v>20</v>
      </c>
      <c r="BM452" s="225" t="s">
        <v>5589</v>
      </c>
    </row>
    <row r="453" spans="2:65" s="144" customFormat="1" ht="19.2">
      <c r="B453" s="145"/>
      <c r="D453" s="227" t="s">
        <v>3343</v>
      </c>
      <c r="F453" s="228" t="s">
        <v>5504</v>
      </c>
      <c r="L453" s="145"/>
      <c r="M453" s="229"/>
      <c r="T453" s="230"/>
      <c r="AT453" s="136" t="s">
        <v>3343</v>
      </c>
      <c r="AU453" s="136" t="s">
        <v>6</v>
      </c>
    </row>
    <row r="454" spans="2:65" s="144" customFormat="1" ht="21.75" customHeight="1">
      <c r="B454" s="214"/>
      <c r="C454" s="215" t="s">
        <v>147</v>
      </c>
      <c r="D454" s="215" t="s">
        <v>3338</v>
      </c>
      <c r="E454" s="216" t="s">
        <v>5505</v>
      </c>
      <c r="F454" s="217" t="s">
        <v>5506</v>
      </c>
      <c r="G454" s="218" t="s">
        <v>1943</v>
      </c>
      <c r="H454" s="219">
        <v>2</v>
      </c>
      <c r="I454" s="745">
        <v>0</v>
      </c>
      <c r="J454" s="220">
        <f>ROUND(I454*H454,2)</f>
        <v>0</v>
      </c>
      <c r="K454" s="217" t="s">
        <v>3341</v>
      </c>
      <c r="L454" s="145"/>
      <c r="M454" s="221" t="s">
        <v>3268</v>
      </c>
      <c r="N454" s="222" t="s">
        <v>3296</v>
      </c>
      <c r="O454" s="223">
        <v>0.20599999999999999</v>
      </c>
      <c r="P454" s="223">
        <f>O454*H454</f>
        <v>0.41199999999999998</v>
      </c>
      <c r="Q454" s="223">
        <v>7.5000000000000002E-4</v>
      </c>
      <c r="R454" s="223">
        <f>Q454*H454</f>
        <v>1.5E-3</v>
      </c>
      <c r="S454" s="223">
        <v>0</v>
      </c>
      <c r="T454" s="224">
        <f>S454*H454</f>
        <v>0</v>
      </c>
      <c r="AR454" s="225" t="s">
        <v>20</v>
      </c>
      <c r="AT454" s="225" t="s">
        <v>3338</v>
      </c>
      <c r="AU454" s="225" t="s">
        <v>6</v>
      </c>
      <c r="AY454" s="136" t="s">
        <v>3337</v>
      </c>
      <c r="BE454" s="226">
        <f>IF(N454="základní",J454,0)</f>
        <v>0</v>
      </c>
      <c r="BF454" s="226">
        <f>IF(N454="snížená",J454,0)</f>
        <v>0</v>
      </c>
      <c r="BG454" s="226">
        <f>IF(N454="zákl. přenesená",J454,0)</f>
        <v>0</v>
      </c>
      <c r="BH454" s="226">
        <f>IF(N454="sníž. přenesená",J454,0)</f>
        <v>0</v>
      </c>
      <c r="BI454" s="226">
        <f>IF(N454="nulová",J454,0)</f>
        <v>0</v>
      </c>
      <c r="BJ454" s="136" t="s">
        <v>5</v>
      </c>
      <c r="BK454" s="226">
        <f>ROUND(I454*H454,2)</f>
        <v>0</v>
      </c>
      <c r="BL454" s="136" t="s">
        <v>20</v>
      </c>
      <c r="BM454" s="225" t="s">
        <v>5590</v>
      </c>
    </row>
    <row r="455" spans="2:65" s="144" customFormat="1" ht="19.2">
      <c r="B455" s="145"/>
      <c r="D455" s="227" t="s">
        <v>3343</v>
      </c>
      <c r="F455" s="228" t="s">
        <v>5508</v>
      </c>
      <c r="L455" s="145"/>
      <c r="M455" s="229"/>
      <c r="T455" s="230"/>
      <c r="AT455" s="136" t="s">
        <v>3343</v>
      </c>
      <c r="AU455" s="136" t="s">
        <v>6</v>
      </c>
    </row>
    <row r="456" spans="2:65" s="144" customFormat="1" ht="21.75" customHeight="1">
      <c r="B456" s="214"/>
      <c r="C456" s="215" t="s">
        <v>148</v>
      </c>
      <c r="D456" s="215" t="s">
        <v>3338</v>
      </c>
      <c r="E456" s="216" t="s">
        <v>5591</v>
      </c>
      <c r="F456" s="217" t="s">
        <v>5592</v>
      </c>
      <c r="G456" s="218" t="s">
        <v>1945</v>
      </c>
      <c r="H456" s="747">
        <v>0</v>
      </c>
      <c r="I456" s="745">
        <v>0</v>
      </c>
      <c r="J456" s="220">
        <f>ROUND(I456*H456,2)</f>
        <v>0</v>
      </c>
      <c r="K456" s="217" t="s">
        <v>3341</v>
      </c>
      <c r="L456" s="145"/>
      <c r="M456" s="221" t="s">
        <v>3268</v>
      </c>
      <c r="N456" s="222" t="s">
        <v>3296</v>
      </c>
      <c r="O456" s="223">
        <v>0</v>
      </c>
      <c r="P456" s="223">
        <f>O456*H456</f>
        <v>0</v>
      </c>
      <c r="Q456" s="223">
        <v>0</v>
      </c>
      <c r="R456" s="223">
        <f>Q456*H456</f>
        <v>0</v>
      </c>
      <c r="S456" s="223">
        <v>0</v>
      </c>
      <c r="T456" s="224">
        <f>S456*H456</f>
        <v>0</v>
      </c>
      <c r="AR456" s="225" t="s">
        <v>20</v>
      </c>
      <c r="AT456" s="225" t="s">
        <v>3338</v>
      </c>
      <c r="AU456" s="225" t="s">
        <v>6</v>
      </c>
      <c r="AY456" s="136" t="s">
        <v>3337</v>
      </c>
      <c r="BE456" s="226">
        <f>IF(N456="základní",J456,0)</f>
        <v>0</v>
      </c>
      <c r="BF456" s="226">
        <f>IF(N456="snížená",J456,0)</f>
        <v>0</v>
      </c>
      <c r="BG456" s="226">
        <f>IF(N456="zákl. přenesená",J456,0)</f>
        <v>0</v>
      </c>
      <c r="BH456" s="226">
        <f>IF(N456="sníž. přenesená",J456,0)</f>
        <v>0</v>
      </c>
      <c r="BI456" s="226">
        <f>IF(N456="nulová",J456,0)</f>
        <v>0</v>
      </c>
      <c r="BJ456" s="136" t="s">
        <v>5</v>
      </c>
      <c r="BK456" s="226">
        <f>ROUND(I456*H456,2)</f>
        <v>0</v>
      </c>
      <c r="BL456" s="136" t="s">
        <v>20</v>
      </c>
      <c r="BM456" s="225" t="s">
        <v>5593</v>
      </c>
    </row>
    <row r="457" spans="2:65" s="144" customFormat="1" ht="28.8">
      <c r="B457" s="145"/>
      <c r="D457" s="227" t="s">
        <v>3343</v>
      </c>
      <c r="F457" s="228" t="s">
        <v>5594</v>
      </c>
      <c r="L457" s="145"/>
      <c r="M457" s="229"/>
      <c r="T457" s="230"/>
      <c r="AT457" s="136" t="s">
        <v>3343</v>
      </c>
      <c r="AU457" s="136" t="s">
        <v>6</v>
      </c>
    </row>
    <row r="458" spans="2:65" s="202" customFormat="1" ht="22.95" customHeight="1">
      <c r="B458" s="203"/>
      <c r="D458" s="204" t="s">
        <v>3334</v>
      </c>
      <c r="E458" s="212" t="s">
        <v>5595</v>
      </c>
      <c r="F458" s="212" t="s">
        <v>5596</v>
      </c>
      <c r="J458" s="213">
        <f>BK458</f>
        <v>0</v>
      </c>
      <c r="L458" s="203"/>
      <c r="M458" s="207"/>
      <c r="P458" s="208">
        <f>SUM(P459:P462)</f>
        <v>0.95599999999999996</v>
      </c>
      <c r="R458" s="208">
        <f>SUM(R459:R462)</f>
        <v>4.4560000000000002E-2</v>
      </c>
      <c r="T458" s="209">
        <f>SUM(T459:T462)</f>
        <v>0</v>
      </c>
      <c r="AR458" s="204" t="s">
        <v>6</v>
      </c>
      <c r="AT458" s="210" t="s">
        <v>3334</v>
      </c>
      <c r="AU458" s="210" t="s">
        <v>5</v>
      </c>
      <c r="AY458" s="204" t="s">
        <v>3337</v>
      </c>
      <c r="BK458" s="211">
        <f>SUM(BK459:BK462)</f>
        <v>0</v>
      </c>
    </row>
    <row r="459" spans="2:65" s="144" customFormat="1" ht="33" customHeight="1">
      <c r="B459" s="214"/>
      <c r="C459" s="215" t="s">
        <v>149</v>
      </c>
      <c r="D459" s="215" t="s">
        <v>3338</v>
      </c>
      <c r="E459" s="216" t="s">
        <v>5597</v>
      </c>
      <c r="F459" s="217" t="s">
        <v>5598</v>
      </c>
      <c r="G459" s="218" t="s">
        <v>1938</v>
      </c>
      <c r="H459" s="219">
        <v>1</v>
      </c>
      <c r="I459" s="745">
        <v>0</v>
      </c>
      <c r="J459" s="220">
        <f>ROUND(I459*H459,2)</f>
        <v>0</v>
      </c>
      <c r="K459" s="217" t="s">
        <v>3341</v>
      </c>
      <c r="L459" s="145"/>
      <c r="M459" s="221" t="s">
        <v>3268</v>
      </c>
      <c r="N459" s="222" t="s">
        <v>3296</v>
      </c>
      <c r="O459" s="223">
        <v>0.95599999999999996</v>
      </c>
      <c r="P459" s="223">
        <f>O459*H459</f>
        <v>0.95599999999999996</v>
      </c>
      <c r="Q459" s="223">
        <v>4.4560000000000002E-2</v>
      </c>
      <c r="R459" s="223">
        <f>Q459*H459</f>
        <v>4.4560000000000002E-2</v>
      </c>
      <c r="S459" s="223">
        <v>0</v>
      </c>
      <c r="T459" s="224">
        <f>S459*H459</f>
        <v>0</v>
      </c>
      <c r="AR459" s="225" t="s">
        <v>20</v>
      </c>
      <c r="AT459" s="225" t="s">
        <v>3338</v>
      </c>
      <c r="AU459" s="225" t="s">
        <v>6</v>
      </c>
      <c r="AY459" s="136" t="s">
        <v>3337</v>
      </c>
      <c r="BE459" s="226">
        <f>IF(N459="základní",J459,0)</f>
        <v>0</v>
      </c>
      <c r="BF459" s="226">
        <f>IF(N459="snížená",J459,0)</f>
        <v>0</v>
      </c>
      <c r="BG459" s="226">
        <f>IF(N459="zákl. přenesená",J459,0)</f>
        <v>0</v>
      </c>
      <c r="BH459" s="226">
        <f>IF(N459="sníž. přenesená",J459,0)</f>
        <v>0</v>
      </c>
      <c r="BI459" s="226">
        <f>IF(N459="nulová",J459,0)</f>
        <v>0</v>
      </c>
      <c r="BJ459" s="136" t="s">
        <v>5</v>
      </c>
      <c r="BK459" s="226">
        <f>ROUND(I459*H459,2)</f>
        <v>0</v>
      </c>
      <c r="BL459" s="136" t="s">
        <v>20</v>
      </c>
      <c r="BM459" s="225" t="s">
        <v>5599</v>
      </c>
    </row>
    <row r="460" spans="2:65" s="144" customFormat="1" ht="28.8">
      <c r="B460" s="145"/>
      <c r="D460" s="227" t="s">
        <v>3343</v>
      </c>
      <c r="F460" s="228" t="s">
        <v>5600</v>
      </c>
      <c r="L460" s="145"/>
      <c r="M460" s="229"/>
      <c r="T460" s="230"/>
      <c r="AT460" s="136" t="s">
        <v>3343</v>
      </c>
      <c r="AU460" s="136" t="s">
        <v>6</v>
      </c>
    </row>
    <row r="461" spans="2:65" s="144" customFormat="1" ht="21.75" customHeight="1">
      <c r="B461" s="214"/>
      <c r="C461" s="215" t="s">
        <v>150</v>
      </c>
      <c r="D461" s="215" t="s">
        <v>3338</v>
      </c>
      <c r="E461" s="216" t="s">
        <v>5601</v>
      </c>
      <c r="F461" s="217" t="s">
        <v>5602</v>
      </c>
      <c r="G461" s="218" t="s">
        <v>1945</v>
      </c>
      <c r="H461" s="747">
        <v>0</v>
      </c>
      <c r="I461" s="745">
        <v>0</v>
      </c>
      <c r="J461" s="220">
        <f>ROUND(I461*H461,2)</f>
        <v>0</v>
      </c>
      <c r="K461" s="217" t="s">
        <v>3341</v>
      </c>
      <c r="L461" s="145"/>
      <c r="M461" s="221" t="s">
        <v>3268</v>
      </c>
      <c r="N461" s="222" t="s">
        <v>3296</v>
      </c>
      <c r="O461" s="223">
        <v>0</v>
      </c>
      <c r="P461" s="223">
        <f>O461*H461</f>
        <v>0</v>
      </c>
      <c r="Q461" s="223">
        <v>0</v>
      </c>
      <c r="R461" s="223">
        <f>Q461*H461</f>
        <v>0</v>
      </c>
      <c r="S461" s="223">
        <v>0</v>
      </c>
      <c r="T461" s="224">
        <f>S461*H461</f>
        <v>0</v>
      </c>
      <c r="AR461" s="225" t="s">
        <v>20</v>
      </c>
      <c r="AT461" s="225" t="s">
        <v>3338</v>
      </c>
      <c r="AU461" s="225" t="s">
        <v>6</v>
      </c>
      <c r="AY461" s="136" t="s">
        <v>3337</v>
      </c>
      <c r="BE461" s="226">
        <f>IF(N461="základní",J461,0)</f>
        <v>0</v>
      </c>
      <c r="BF461" s="226">
        <f>IF(N461="snížená",J461,0)</f>
        <v>0</v>
      </c>
      <c r="BG461" s="226">
        <f>IF(N461="zákl. přenesená",J461,0)</f>
        <v>0</v>
      </c>
      <c r="BH461" s="226">
        <f>IF(N461="sníž. přenesená",J461,0)</f>
        <v>0</v>
      </c>
      <c r="BI461" s="226">
        <f>IF(N461="nulová",J461,0)</f>
        <v>0</v>
      </c>
      <c r="BJ461" s="136" t="s">
        <v>5</v>
      </c>
      <c r="BK461" s="226">
        <f>ROUND(I461*H461,2)</f>
        <v>0</v>
      </c>
      <c r="BL461" s="136" t="s">
        <v>20</v>
      </c>
      <c r="BM461" s="225" t="s">
        <v>5603</v>
      </c>
    </row>
    <row r="462" spans="2:65" s="144" customFormat="1" ht="28.8">
      <c r="B462" s="145"/>
      <c r="D462" s="227" t="s">
        <v>3343</v>
      </c>
      <c r="F462" s="228" t="s">
        <v>5604</v>
      </c>
      <c r="L462" s="145"/>
      <c r="M462" s="229"/>
      <c r="T462" s="230"/>
      <c r="AT462" s="136" t="s">
        <v>3343</v>
      </c>
      <c r="AU462" s="136" t="s">
        <v>6</v>
      </c>
    </row>
    <row r="463" spans="2:65" s="202" customFormat="1" ht="22.95" customHeight="1">
      <c r="B463" s="203"/>
      <c r="D463" s="204" t="s">
        <v>3334</v>
      </c>
      <c r="E463" s="212" t="s">
        <v>929</v>
      </c>
      <c r="F463" s="212" t="s">
        <v>5605</v>
      </c>
      <c r="J463" s="213">
        <f>BK463</f>
        <v>0</v>
      </c>
      <c r="L463" s="203"/>
      <c r="M463" s="207"/>
      <c r="P463" s="208">
        <f>SUM(P464:P520)</f>
        <v>104.559</v>
      </c>
      <c r="R463" s="208">
        <f>SUM(R464:R520)</f>
        <v>0.91722999999999988</v>
      </c>
      <c r="T463" s="209">
        <f>SUM(T464:T520)</f>
        <v>0</v>
      </c>
      <c r="AR463" s="204" t="s">
        <v>6</v>
      </c>
      <c r="AT463" s="210" t="s">
        <v>3334</v>
      </c>
      <c r="AU463" s="210" t="s">
        <v>5</v>
      </c>
      <c r="AY463" s="204" t="s">
        <v>3337</v>
      </c>
      <c r="BK463" s="211">
        <f>SUM(BK464:BK520)</f>
        <v>0</v>
      </c>
    </row>
    <row r="464" spans="2:65" s="144" customFormat="1" ht="21.75" customHeight="1">
      <c r="B464" s="214"/>
      <c r="C464" s="215" t="s">
        <v>151</v>
      </c>
      <c r="D464" s="215" t="s">
        <v>3338</v>
      </c>
      <c r="E464" s="216" t="s">
        <v>5606</v>
      </c>
      <c r="F464" s="217" t="s">
        <v>5607</v>
      </c>
      <c r="G464" s="218" t="s">
        <v>3268</v>
      </c>
      <c r="H464" s="219">
        <v>0</v>
      </c>
      <c r="I464" s="745">
        <v>0</v>
      </c>
      <c r="J464" s="220">
        <f>ROUND(I464*H464,2)</f>
        <v>0</v>
      </c>
      <c r="K464" s="217" t="s">
        <v>3268</v>
      </c>
      <c r="L464" s="145"/>
      <c r="M464" s="221" t="s">
        <v>3268</v>
      </c>
      <c r="N464" s="222" t="s">
        <v>3296</v>
      </c>
      <c r="O464" s="223">
        <v>1.1000000000000001</v>
      </c>
      <c r="P464" s="223">
        <f>O464*H464</f>
        <v>0</v>
      </c>
      <c r="Q464" s="223">
        <v>1.6969999999999999E-2</v>
      </c>
      <c r="R464" s="223">
        <f>Q464*H464</f>
        <v>0</v>
      </c>
      <c r="S464" s="223">
        <v>0</v>
      </c>
      <c r="T464" s="224">
        <f>S464*H464</f>
        <v>0</v>
      </c>
      <c r="AR464" s="225" t="s">
        <v>20</v>
      </c>
      <c r="AT464" s="225" t="s">
        <v>3338</v>
      </c>
      <c r="AU464" s="225" t="s">
        <v>6</v>
      </c>
      <c r="AY464" s="136" t="s">
        <v>3337</v>
      </c>
      <c r="BE464" s="226">
        <f>IF(N464="základní",J464,0)</f>
        <v>0</v>
      </c>
      <c r="BF464" s="226">
        <f>IF(N464="snížená",J464,0)</f>
        <v>0</v>
      </c>
      <c r="BG464" s="226">
        <f>IF(N464="zákl. přenesená",J464,0)</f>
        <v>0</v>
      </c>
      <c r="BH464" s="226">
        <f>IF(N464="sníž. přenesená",J464,0)</f>
        <v>0</v>
      </c>
      <c r="BI464" s="226">
        <f>IF(N464="nulová",J464,0)</f>
        <v>0</v>
      </c>
      <c r="BJ464" s="136" t="s">
        <v>5</v>
      </c>
      <c r="BK464" s="226">
        <f>ROUND(I464*H464,2)</f>
        <v>0</v>
      </c>
      <c r="BL464" s="136" t="s">
        <v>20</v>
      </c>
      <c r="BM464" s="225" t="s">
        <v>5608</v>
      </c>
    </row>
    <row r="465" spans="2:65" s="144" customFormat="1" ht="19.2">
      <c r="B465" s="145"/>
      <c r="D465" s="227" t="s">
        <v>3343</v>
      </c>
      <c r="F465" s="228" t="s">
        <v>5607</v>
      </c>
      <c r="L465" s="145"/>
      <c r="M465" s="229"/>
      <c r="T465" s="230"/>
      <c r="AT465" s="136" t="s">
        <v>3343</v>
      </c>
      <c r="AU465" s="136" t="s">
        <v>6</v>
      </c>
    </row>
    <row r="466" spans="2:65" s="231" customFormat="1">
      <c r="B466" s="232"/>
      <c r="D466" s="227" t="s">
        <v>3345</v>
      </c>
      <c r="F466" s="234" t="s">
        <v>5609</v>
      </c>
      <c r="H466" s="235">
        <v>0</v>
      </c>
      <c r="L466" s="232"/>
      <c r="M466" s="236"/>
      <c r="T466" s="237"/>
      <c r="AT466" s="233" t="s">
        <v>3345</v>
      </c>
      <c r="AU466" s="233" t="s">
        <v>6</v>
      </c>
      <c r="AV466" s="231" t="s">
        <v>6</v>
      </c>
      <c r="AW466" s="231" t="s">
        <v>3274</v>
      </c>
      <c r="AX466" s="231" t="s">
        <v>5</v>
      </c>
      <c r="AY466" s="233" t="s">
        <v>3337</v>
      </c>
    </row>
    <row r="467" spans="2:65" s="144" customFormat="1" ht="21.75" customHeight="1">
      <c r="B467" s="214"/>
      <c r="C467" s="215" t="s">
        <v>152</v>
      </c>
      <c r="D467" s="215" t="s">
        <v>3338</v>
      </c>
      <c r="E467" s="216" t="s">
        <v>5610</v>
      </c>
      <c r="F467" s="217" t="s">
        <v>5611</v>
      </c>
      <c r="G467" s="218" t="s">
        <v>1938</v>
      </c>
      <c r="H467" s="219">
        <v>10</v>
      </c>
      <c r="I467" s="745">
        <v>0</v>
      </c>
      <c r="J467" s="220">
        <f>ROUND(I467*H467,2)</f>
        <v>0</v>
      </c>
      <c r="K467" s="217" t="s">
        <v>3341</v>
      </c>
      <c r="L467" s="145"/>
      <c r="M467" s="221" t="s">
        <v>3268</v>
      </c>
      <c r="N467" s="222" t="s">
        <v>3296</v>
      </c>
      <c r="O467" s="223">
        <v>1.1000000000000001</v>
      </c>
      <c r="P467" s="223">
        <f>O467*H467</f>
        <v>11</v>
      </c>
      <c r="Q467" s="223">
        <v>1.6969999999999999E-2</v>
      </c>
      <c r="R467" s="223">
        <f>Q467*H467</f>
        <v>0.16969999999999999</v>
      </c>
      <c r="S467" s="223">
        <v>0</v>
      </c>
      <c r="T467" s="224">
        <f>S467*H467</f>
        <v>0</v>
      </c>
      <c r="AR467" s="225" t="s">
        <v>20</v>
      </c>
      <c r="AT467" s="225" t="s">
        <v>3338</v>
      </c>
      <c r="AU467" s="225" t="s">
        <v>6</v>
      </c>
      <c r="AY467" s="136" t="s">
        <v>3337</v>
      </c>
      <c r="BE467" s="226">
        <f>IF(N467="základní",J467,0)</f>
        <v>0</v>
      </c>
      <c r="BF467" s="226">
        <f>IF(N467="snížená",J467,0)</f>
        <v>0</v>
      </c>
      <c r="BG467" s="226">
        <f>IF(N467="zákl. přenesená",J467,0)</f>
        <v>0</v>
      </c>
      <c r="BH467" s="226">
        <f>IF(N467="sníž. přenesená",J467,0)</f>
        <v>0</v>
      </c>
      <c r="BI467" s="226">
        <f>IF(N467="nulová",J467,0)</f>
        <v>0</v>
      </c>
      <c r="BJ467" s="136" t="s">
        <v>5</v>
      </c>
      <c r="BK467" s="226">
        <f>ROUND(I467*H467,2)</f>
        <v>0</v>
      </c>
      <c r="BL467" s="136" t="s">
        <v>20</v>
      </c>
      <c r="BM467" s="225" t="s">
        <v>5612</v>
      </c>
    </row>
    <row r="468" spans="2:65" s="144" customFormat="1" ht="19.2">
      <c r="B468" s="145"/>
      <c r="D468" s="227" t="s">
        <v>3343</v>
      </c>
      <c r="F468" s="228" t="s">
        <v>5613</v>
      </c>
      <c r="L468" s="145"/>
      <c r="M468" s="229"/>
      <c r="T468" s="230"/>
      <c r="AT468" s="136" t="s">
        <v>3343</v>
      </c>
      <c r="AU468" s="136" t="s">
        <v>6</v>
      </c>
    </row>
    <row r="469" spans="2:65" s="144" customFormat="1" ht="21.75" customHeight="1">
      <c r="B469" s="214"/>
      <c r="C469" s="215" t="s">
        <v>153</v>
      </c>
      <c r="D469" s="215" t="s">
        <v>3338</v>
      </c>
      <c r="E469" s="216" t="s">
        <v>5614</v>
      </c>
      <c r="F469" s="217" t="s">
        <v>5615</v>
      </c>
      <c r="G469" s="218" t="s">
        <v>1938</v>
      </c>
      <c r="H469" s="219">
        <v>1</v>
      </c>
      <c r="I469" s="745">
        <v>0</v>
      </c>
      <c r="J469" s="220">
        <f>ROUND(I469*H469,2)</f>
        <v>0</v>
      </c>
      <c r="K469" s="217" t="s">
        <v>3268</v>
      </c>
      <c r="L469" s="145"/>
      <c r="M469" s="221" t="s">
        <v>3268</v>
      </c>
      <c r="N469" s="222" t="s">
        <v>3296</v>
      </c>
      <c r="O469" s="223">
        <v>1.1000000000000001</v>
      </c>
      <c r="P469" s="223">
        <f>O469*H469</f>
        <v>1.1000000000000001</v>
      </c>
      <c r="Q469" s="223">
        <v>1.6969999999999999E-2</v>
      </c>
      <c r="R469" s="223">
        <f>Q469*H469</f>
        <v>1.6969999999999999E-2</v>
      </c>
      <c r="S469" s="223">
        <v>0</v>
      </c>
      <c r="T469" s="224">
        <f>S469*H469</f>
        <v>0</v>
      </c>
      <c r="AR469" s="225" t="s">
        <v>20</v>
      </c>
      <c r="AT469" s="225" t="s">
        <v>3338</v>
      </c>
      <c r="AU469" s="225" t="s">
        <v>6</v>
      </c>
      <c r="AY469" s="136" t="s">
        <v>3337</v>
      </c>
      <c r="BE469" s="226">
        <f>IF(N469="základní",J469,0)</f>
        <v>0</v>
      </c>
      <c r="BF469" s="226">
        <f>IF(N469="snížená",J469,0)</f>
        <v>0</v>
      </c>
      <c r="BG469" s="226">
        <f>IF(N469="zákl. přenesená",J469,0)</f>
        <v>0</v>
      </c>
      <c r="BH469" s="226">
        <f>IF(N469="sníž. přenesená",J469,0)</f>
        <v>0</v>
      </c>
      <c r="BI469" s="226">
        <f>IF(N469="nulová",J469,0)</f>
        <v>0</v>
      </c>
      <c r="BJ469" s="136" t="s">
        <v>5</v>
      </c>
      <c r="BK469" s="226">
        <f>ROUND(I469*H469,2)</f>
        <v>0</v>
      </c>
      <c r="BL469" s="136" t="s">
        <v>20</v>
      </c>
      <c r="BM469" s="225" t="s">
        <v>5616</v>
      </c>
    </row>
    <row r="470" spans="2:65" s="144" customFormat="1" ht="19.2">
      <c r="B470" s="145"/>
      <c r="D470" s="227" t="s">
        <v>3343</v>
      </c>
      <c r="F470" s="228" t="s">
        <v>5617</v>
      </c>
      <c r="L470" s="145"/>
      <c r="M470" s="229"/>
      <c r="T470" s="230"/>
      <c r="AT470" s="136" t="s">
        <v>3343</v>
      </c>
      <c r="AU470" s="136" t="s">
        <v>6</v>
      </c>
    </row>
    <row r="471" spans="2:65" s="144" customFormat="1" ht="21.75" customHeight="1">
      <c r="B471" s="214"/>
      <c r="C471" s="215" t="s">
        <v>154</v>
      </c>
      <c r="D471" s="215" t="s">
        <v>3338</v>
      </c>
      <c r="E471" s="216" t="s">
        <v>5618</v>
      </c>
      <c r="F471" s="217" t="s">
        <v>5619</v>
      </c>
      <c r="G471" s="218" t="s">
        <v>1938</v>
      </c>
      <c r="H471" s="219">
        <v>4</v>
      </c>
      <c r="I471" s="745">
        <v>0</v>
      </c>
      <c r="J471" s="220">
        <f>ROUND(I471*H471,2)</f>
        <v>0</v>
      </c>
      <c r="K471" s="217" t="s">
        <v>3341</v>
      </c>
      <c r="L471" s="145"/>
      <c r="M471" s="221" t="s">
        <v>3268</v>
      </c>
      <c r="N471" s="222" t="s">
        <v>3296</v>
      </c>
      <c r="O471" s="223">
        <v>0.9</v>
      </c>
      <c r="P471" s="223">
        <f>O471*H471</f>
        <v>3.6</v>
      </c>
      <c r="Q471" s="223">
        <v>1.3820000000000001E-2</v>
      </c>
      <c r="R471" s="223">
        <f>Q471*H471</f>
        <v>5.5280000000000003E-2</v>
      </c>
      <c r="S471" s="223">
        <v>0</v>
      </c>
      <c r="T471" s="224">
        <f>S471*H471</f>
        <v>0</v>
      </c>
      <c r="AR471" s="225" t="s">
        <v>20</v>
      </c>
      <c r="AT471" s="225" t="s">
        <v>3338</v>
      </c>
      <c r="AU471" s="225" t="s">
        <v>6</v>
      </c>
      <c r="AY471" s="136" t="s">
        <v>3337</v>
      </c>
      <c r="BE471" s="226">
        <f>IF(N471="základní",J471,0)</f>
        <v>0</v>
      </c>
      <c r="BF471" s="226">
        <f>IF(N471="snížená",J471,0)</f>
        <v>0</v>
      </c>
      <c r="BG471" s="226">
        <f>IF(N471="zákl. přenesená",J471,0)</f>
        <v>0</v>
      </c>
      <c r="BH471" s="226">
        <f>IF(N471="sníž. přenesená",J471,0)</f>
        <v>0</v>
      </c>
      <c r="BI471" s="226">
        <f>IF(N471="nulová",J471,0)</f>
        <v>0</v>
      </c>
      <c r="BJ471" s="136" t="s">
        <v>5</v>
      </c>
      <c r="BK471" s="226">
        <f>ROUND(I471*H471,2)</f>
        <v>0</v>
      </c>
      <c r="BL471" s="136" t="s">
        <v>20</v>
      </c>
      <c r="BM471" s="225" t="s">
        <v>5620</v>
      </c>
    </row>
    <row r="472" spans="2:65" s="144" customFormat="1" ht="19.2">
      <c r="B472" s="145"/>
      <c r="D472" s="227" t="s">
        <v>3343</v>
      </c>
      <c r="F472" s="228" t="s">
        <v>5621</v>
      </c>
      <c r="L472" s="145"/>
      <c r="M472" s="229"/>
      <c r="T472" s="230"/>
      <c r="AT472" s="136" t="s">
        <v>3343</v>
      </c>
      <c r="AU472" s="136" t="s">
        <v>6</v>
      </c>
    </row>
    <row r="473" spans="2:65" s="144" customFormat="1" ht="21.75" customHeight="1">
      <c r="B473" s="214"/>
      <c r="C473" s="215" t="s">
        <v>155</v>
      </c>
      <c r="D473" s="215" t="s">
        <v>3338</v>
      </c>
      <c r="E473" s="216" t="s">
        <v>5622</v>
      </c>
      <c r="F473" s="217" t="s">
        <v>5623</v>
      </c>
      <c r="G473" s="218" t="s">
        <v>1938</v>
      </c>
      <c r="H473" s="219">
        <v>15</v>
      </c>
      <c r="I473" s="745">
        <v>0</v>
      </c>
      <c r="J473" s="220">
        <f>ROUND(I473*H473,2)</f>
        <v>0</v>
      </c>
      <c r="K473" s="217" t="s">
        <v>3341</v>
      </c>
      <c r="L473" s="145"/>
      <c r="M473" s="221" t="s">
        <v>3268</v>
      </c>
      <c r="N473" s="222" t="s">
        <v>3296</v>
      </c>
      <c r="O473" s="223">
        <v>1.1000000000000001</v>
      </c>
      <c r="P473" s="223">
        <f>O473*H473</f>
        <v>16.5</v>
      </c>
      <c r="Q473" s="223">
        <v>1.197E-2</v>
      </c>
      <c r="R473" s="223">
        <f>Q473*H473</f>
        <v>0.17954999999999999</v>
      </c>
      <c r="S473" s="223">
        <v>0</v>
      </c>
      <c r="T473" s="224">
        <f>S473*H473</f>
        <v>0</v>
      </c>
      <c r="AR473" s="225" t="s">
        <v>20</v>
      </c>
      <c r="AT473" s="225" t="s">
        <v>3338</v>
      </c>
      <c r="AU473" s="225" t="s">
        <v>6</v>
      </c>
      <c r="AY473" s="136" t="s">
        <v>3337</v>
      </c>
      <c r="BE473" s="226">
        <f>IF(N473="základní",J473,0)</f>
        <v>0</v>
      </c>
      <c r="BF473" s="226">
        <f>IF(N473="snížená",J473,0)</f>
        <v>0</v>
      </c>
      <c r="BG473" s="226">
        <f>IF(N473="zákl. přenesená",J473,0)</f>
        <v>0</v>
      </c>
      <c r="BH473" s="226">
        <f>IF(N473="sníž. přenesená",J473,0)</f>
        <v>0</v>
      </c>
      <c r="BI473" s="226">
        <f>IF(N473="nulová",J473,0)</f>
        <v>0</v>
      </c>
      <c r="BJ473" s="136" t="s">
        <v>5</v>
      </c>
      <c r="BK473" s="226">
        <f>ROUND(I473*H473,2)</f>
        <v>0</v>
      </c>
      <c r="BL473" s="136" t="s">
        <v>20</v>
      </c>
      <c r="BM473" s="225" t="s">
        <v>5624</v>
      </c>
    </row>
    <row r="474" spans="2:65" s="144" customFormat="1" ht="19.2">
      <c r="B474" s="145"/>
      <c r="D474" s="227" t="s">
        <v>3343</v>
      </c>
      <c r="F474" s="228" t="s">
        <v>5625</v>
      </c>
      <c r="L474" s="145"/>
      <c r="M474" s="229"/>
      <c r="T474" s="230"/>
      <c r="AT474" s="136" t="s">
        <v>3343</v>
      </c>
      <c r="AU474" s="136" t="s">
        <v>6</v>
      </c>
    </row>
    <row r="475" spans="2:65" s="144" customFormat="1" ht="21.75" customHeight="1">
      <c r="B475" s="214"/>
      <c r="C475" s="215" t="s">
        <v>156</v>
      </c>
      <c r="D475" s="215" t="s">
        <v>3338</v>
      </c>
      <c r="E475" s="216" t="s">
        <v>5626</v>
      </c>
      <c r="F475" s="217" t="s">
        <v>5627</v>
      </c>
      <c r="G475" s="218" t="s">
        <v>1938</v>
      </c>
      <c r="H475" s="219">
        <v>1</v>
      </c>
      <c r="I475" s="745">
        <v>0</v>
      </c>
      <c r="J475" s="220">
        <f>ROUND(I475*H475,2)</f>
        <v>0</v>
      </c>
      <c r="K475" s="217" t="s">
        <v>3341</v>
      </c>
      <c r="L475" s="145"/>
      <c r="M475" s="221" t="s">
        <v>3268</v>
      </c>
      <c r="N475" s="222" t="s">
        <v>3296</v>
      </c>
      <c r="O475" s="223">
        <v>1.1000000000000001</v>
      </c>
      <c r="P475" s="223">
        <f>O475*H475</f>
        <v>1.1000000000000001</v>
      </c>
      <c r="Q475" s="223">
        <v>1.9210000000000001E-2</v>
      </c>
      <c r="R475" s="223">
        <f>Q475*H475</f>
        <v>1.9210000000000001E-2</v>
      </c>
      <c r="S475" s="223">
        <v>0</v>
      </c>
      <c r="T475" s="224">
        <f>S475*H475</f>
        <v>0</v>
      </c>
      <c r="AR475" s="225" t="s">
        <v>20</v>
      </c>
      <c r="AT475" s="225" t="s">
        <v>3338</v>
      </c>
      <c r="AU475" s="225" t="s">
        <v>6</v>
      </c>
      <c r="AY475" s="136" t="s">
        <v>3337</v>
      </c>
      <c r="BE475" s="226">
        <f>IF(N475="základní",J475,0)</f>
        <v>0</v>
      </c>
      <c r="BF475" s="226">
        <f>IF(N475="snížená",J475,0)</f>
        <v>0</v>
      </c>
      <c r="BG475" s="226">
        <f>IF(N475="zákl. přenesená",J475,0)</f>
        <v>0</v>
      </c>
      <c r="BH475" s="226">
        <f>IF(N475="sníž. přenesená",J475,0)</f>
        <v>0</v>
      </c>
      <c r="BI475" s="226">
        <f>IF(N475="nulová",J475,0)</f>
        <v>0</v>
      </c>
      <c r="BJ475" s="136" t="s">
        <v>5</v>
      </c>
      <c r="BK475" s="226">
        <f>ROUND(I475*H475,2)</f>
        <v>0</v>
      </c>
      <c r="BL475" s="136" t="s">
        <v>20</v>
      </c>
      <c r="BM475" s="225" t="s">
        <v>5628</v>
      </c>
    </row>
    <row r="476" spans="2:65" s="144" customFormat="1" ht="19.2">
      <c r="B476" s="145"/>
      <c r="D476" s="227" t="s">
        <v>3343</v>
      </c>
      <c r="F476" s="228" t="s">
        <v>5629</v>
      </c>
      <c r="L476" s="145"/>
      <c r="M476" s="229"/>
      <c r="T476" s="230"/>
      <c r="AT476" s="136" t="s">
        <v>3343</v>
      </c>
      <c r="AU476" s="136" t="s">
        <v>6</v>
      </c>
    </row>
    <row r="477" spans="2:65" s="144" customFormat="1" ht="16.5" customHeight="1">
      <c r="B477" s="214"/>
      <c r="C477" s="215" t="s">
        <v>157</v>
      </c>
      <c r="D477" s="215" t="s">
        <v>3338</v>
      </c>
      <c r="E477" s="216" t="s">
        <v>5630</v>
      </c>
      <c r="F477" s="217" t="s">
        <v>5631</v>
      </c>
      <c r="G477" s="218" t="s">
        <v>1938</v>
      </c>
      <c r="H477" s="219">
        <v>3</v>
      </c>
      <c r="I477" s="745">
        <v>0</v>
      </c>
      <c r="J477" s="220">
        <f>ROUND(I477*H477,2)</f>
        <v>0</v>
      </c>
      <c r="K477" s="217" t="s">
        <v>3268</v>
      </c>
      <c r="L477" s="145"/>
      <c r="M477" s="221" t="s">
        <v>3268</v>
      </c>
      <c r="N477" s="222" t="s">
        <v>3296</v>
      </c>
      <c r="O477" s="223">
        <v>1.1000000000000001</v>
      </c>
      <c r="P477" s="223">
        <f>O477*H477</f>
        <v>3.3000000000000003</v>
      </c>
      <c r="Q477" s="223">
        <v>1.213E-2</v>
      </c>
      <c r="R477" s="223">
        <f>Q477*H477</f>
        <v>3.6389999999999999E-2</v>
      </c>
      <c r="S477" s="223">
        <v>0</v>
      </c>
      <c r="T477" s="224">
        <f>S477*H477</f>
        <v>0</v>
      </c>
      <c r="AR477" s="225" t="s">
        <v>20</v>
      </c>
      <c r="AT477" s="225" t="s">
        <v>3338</v>
      </c>
      <c r="AU477" s="225" t="s">
        <v>6</v>
      </c>
      <c r="AY477" s="136" t="s">
        <v>3337</v>
      </c>
      <c r="BE477" s="226">
        <f>IF(N477="základní",J477,0)</f>
        <v>0</v>
      </c>
      <c r="BF477" s="226">
        <f>IF(N477="snížená",J477,0)</f>
        <v>0</v>
      </c>
      <c r="BG477" s="226">
        <f>IF(N477="zákl. přenesená",J477,0)</f>
        <v>0</v>
      </c>
      <c r="BH477" s="226">
        <f>IF(N477="sníž. přenesená",J477,0)</f>
        <v>0</v>
      </c>
      <c r="BI477" s="226">
        <f>IF(N477="nulová",J477,0)</f>
        <v>0</v>
      </c>
      <c r="BJ477" s="136" t="s">
        <v>5</v>
      </c>
      <c r="BK477" s="226">
        <f>ROUND(I477*H477,2)</f>
        <v>0</v>
      </c>
      <c r="BL477" s="136" t="s">
        <v>20</v>
      </c>
      <c r="BM477" s="225" t="s">
        <v>5632</v>
      </c>
    </row>
    <row r="478" spans="2:65" s="144" customFormat="1">
      <c r="B478" s="145"/>
      <c r="D478" s="227" t="s">
        <v>3343</v>
      </c>
      <c r="F478" s="228" t="s">
        <v>5633</v>
      </c>
      <c r="L478" s="145"/>
      <c r="M478" s="229"/>
      <c r="T478" s="230"/>
      <c r="AT478" s="136" t="s">
        <v>3343</v>
      </c>
      <c r="AU478" s="136" t="s">
        <v>6</v>
      </c>
    </row>
    <row r="479" spans="2:65" s="144" customFormat="1" ht="21.75" customHeight="1">
      <c r="B479" s="214"/>
      <c r="C479" s="215" t="s">
        <v>158</v>
      </c>
      <c r="D479" s="215" t="s">
        <v>3338</v>
      </c>
      <c r="E479" s="216" t="s">
        <v>5634</v>
      </c>
      <c r="F479" s="217" t="s">
        <v>5635</v>
      </c>
      <c r="G479" s="218" t="s">
        <v>1938</v>
      </c>
      <c r="H479" s="219">
        <v>6</v>
      </c>
      <c r="I479" s="745">
        <v>0</v>
      </c>
      <c r="J479" s="220">
        <f>ROUND(I479*H479,2)</f>
        <v>0</v>
      </c>
      <c r="K479" s="217" t="s">
        <v>3268</v>
      </c>
      <c r="L479" s="145"/>
      <c r="M479" s="221" t="s">
        <v>3268</v>
      </c>
      <c r="N479" s="222" t="s">
        <v>3296</v>
      </c>
      <c r="O479" s="223">
        <v>1.1000000000000001</v>
      </c>
      <c r="P479" s="223">
        <f>O479*H479</f>
        <v>6.6000000000000005</v>
      </c>
      <c r="Q479" s="223">
        <v>9.4599999999999997E-3</v>
      </c>
      <c r="R479" s="223">
        <f>Q479*H479</f>
        <v>5.6759999999999998E-2</v>
      </c>
      <c r="S479" s="223">
        <v>0</v>
      </c>
      <c r="T479" s="224">
        <f>S479*H479</f>
        <v>0</v>
      </c>
      <c r="AR479" s="225" t="s">
        <v>20</v>
      </c>
      <c r="AT479" s="225" t="s">
        <v>3338</v>
      </c>
      <c r="AU479" s="225" t="s">
        <v>6</v>
      </c>
      <c r="AY479" s="136" t="s">
        <v>3337</v>
      </c>
      <c r="BE479" s="226">
        <f>IF(N479="základní",J479,0)</f>
        <v>0</v>
      </c>
      <c r="BF479" s="226">
        <f>IF(N479="snížená",J479,0)</f>
        <v>0</v>
      </c>
      <c r="BG479" s="226">
        <f>IF(N479="zákl. přenesená",J479,0)</f>
        <v>0</v>
      </c>
      <c r="BH479" s="226">
        <f>IF(N479="sníž. přenesená",J479,0)</f>
        <v>0</v>
      </c>
      <c r="BI479" s="226">
        <f>IF(N479="nulová",J479,0)</f>
        <v>0</v>
      </c>
      <c r="BJ479" s="136" t="s">
        <v>5</v>
      </c>
      <c r="BK479" s="226">
        <f>ROUND(I479*H479,2)</f>
        <v>0</v>
      </c>
      <c r="BL479" s="136" t="s">
        <v>20</v>
      </c>
      <c r="BM479" s="225" t="s">
        <v>5636</v>
      </c>
    </row>
    <row r="480" spans="2:65" s="144" customFormat="1" ht="19.2">
      <c r="B480" s="145"/>
      <c r="D480" s="227" t="s">
        <v>3343</v>
      </c>
      <c r="F480" s="228" t="s">
        <v>5637</v>
      </c>
      <c r="L480" s="145"/>
      <c r="M480" s="229"/>
      <c r="T480" s="230"/>
      <c r="AT480" s="136" t="s">
        <v>3343</v>
      </c>
      <c r="AU480" s="136" t="s">
        <v>6</v>
      </c>
    </row>
    <row r="481" spans="2:65" s="144" customFormat="1" ht="33" customHeight="1">
      <c r="B481" s="214"/>
      <c r="C481" s="215" t="s">
        <v>159</v>
      </c>
      <c r="D481" s="215" t="s">
        <v>3338</v>
      </c>
      <c r="E481" s="216" t="s">
        <v>5638</v>
      </c>
      <c r="F481" s="217" t="s">
        <v>5639</v>
      </c>
      <c r="G481" s="218" t="s">
        <v>1938</v>
      </c>
      <c r="H481" s="219">
        <v>2</v>
      </c>
      <c r="I481" s="745">
        <v>0</v>
      </c>
      <c r="J481" s="220">
        <f>ROUND(I481*H481,2)</f>
        <v>0</v>
      </c>
      <c r="K481" s="217" t="s">
        <v>3341</v>
      </c>
      <c r="L481" s="145"/>
      <c r="M481" s="221" t="s">
        <v>3268</v>
      </c>
      <c r="N481" s="222" t="s">
        <v>3296</v>
      </c>
      <c r="O481" s="223">
        <v>1.1499999999999999</v>
      </c>
      <c r="P481" s="223">
        <f>O481*H481</f>
        <v>2.2999999999999998</v>
      </c>
      <c r="Q481" s="223">
        <v>2.0580000000000001E-2</v>
      </c>
      <c r="R481" s="223">
        <f>Q481*H481</f>
        <v>4.1160000000000002E-2</v>
      </c>
      <c r="S481" s="223">
        <v>0</v>
      </c>
      <c r="T481" s="224">
        <f>S481*H481</f>
        <v>0</v>
      </c>
      <c r="AR481" s="225" t="s">
        <v>20</v>
      </c>
      <c r="AT481" s="225" t="s">
        <v>3338</v>
      </c>
      <c r="AU481" s="225" t="s">
        <v>6</v>
      </c>
      <c r="AY481" s="136" t="s">
        <v>3337</v>
      </c>
      <c r="BE481" s="226">
        <f>IF(N481="základní",J481,0)</f>
        <v>0</v>
      </c>
      <c r="BF481" s="226">
        <f>IF(N481="snížená",J481,0)</f>
        <v>0</v>
      </c>
      <c r="BG481" s="226">
        <f>IF(N481="zákl. přenesená",J481,0)</f>
        <v>0</v>
      </c>
      <c r="BH481" s="226">
        <f>IF(N481="sníž. přenesená",J481,0)</f>
        <v>0</v>
      </c>
      <c r="BI481" s="226">
        <f>IF(N481="nulová",J481,0)</f>
        <v>0</v>
      </c>
      <c r="BJ481" s="136" t="s">
        <v>5</v>
      </c>
      <c r="BK481" s="226">
        <f>ROUND(I481*H481,2)</f>
        <v>0</v>
      </c>
      <c r="BL481" s="136" t="s">
        <v>20</v>
      </c>
      <c r="BM481" s="225" t="s">
        <v>5640</v>
      </c>
    </row>
    <row r="482" spans="2:65" s="144" customFormat="1" ht="28.8">
      <c r="B482" s="145"/>
      <c r="D482" s="227" t="s">
        <v>3343</v>
      </c>
      <c r="F482" s="228" t="s">
        <v>5641</v>
      </c>
      <c r="L482" s="145"/>
      <c r="M482" s="229"/>
      <c r="T482" s="230"/>
      <c r="AT482" s="136" t="s">
        <v>3343</v>
      </c>
      <c r="AU482" s="136" t="s">
        <v>6</v>
      </c>
    </row>
    <row r="483" spans="2:65" s="144" customFormat="1" ht="16.5" customHeight="1">
      <c r="B483" s="214"/>
      <c r="C483" s="215" t="s">
        <v>160</v>
      </c>
      <c r="D483" s="215" t="s">
        <v>3338</v>
      </c>
      <c r="E483" s="216" t="s">
        <v>5642</v>
      </c>
      <c r="F483" s="217" t="s">
        <v>5643</v>
      </c>
      <c r="G483" s="218" t="s">
        <v>1938</v>
      </c>
      <c r="H483" s="219">
        <v>2</v>
      </c>
      <c r="I483" s="745">
        <v>0</v>
      </c>
      <c r="J483" s="220">
        <f>ROUND(I483*H483,2)</f>
        <v>0</v>
      </c>
      <c r="K483" s="217" t="s">
        <v>3341</v>
      </c>
      <c r="L483" s="145"/>
      <c r="M483" s="221" t="s">
        <v>3268</v>
      </c>
      <c r="N483" s="222" t="s">
        <v>3296</v>
      </c>
      <c r="O483" s="223">
        <v>2.54</v>
      </c>
      <c r="P483" s="223">
        <f>O483*H483</f>
        <v>5.08</v>
      </c>
      <c r="Q483" s="223">
        <v>1.452E-2</v>
      </c>
      <c r="R483" s="223">
        <f>Q483*H483</f>
        <v>2.904E-2</v>
      </c>
      <c r="S483" s="223">
        <v>0</v>
      </c>
      <c r="T483" s="224">
        <f>S483*H483</f>
        <v>0</v>
      </c>
      <c r="AR483" s="225" t="s">
        <v>20</v>
      </c>
      <c r="AT483" s="225" t="s">
        <v>3338</v>
      </c>
      <c r="AU483" s="225" t="s">
        <v>6</v>
      </c>
      <c r="AY483" s="136" t="s">
        <v>3337</v>
      </c>
      <c r="BE483" s="226">
        <f>IF(N483="základní",J483,0)</f>
        <v>0</v>
      </c>
      <c r="BF483" s="226">
        <f>IF(N483="snížená",J483,0)</f>
        <v>0</v>
      </c>
      <c r="BG483" s="226">
        <f>IF(N483="zákl. přenesená",J483,0)</f>
        <v>0</v>
      </c>
      <c r="BH483" s="226">
        <f>IF(N483="sníž. přenesená",J483,0)</f>
        <v>0</v>
      </c>
      <c r="BI483" s="226">
        <f>IF(N483="nulová",J483,0)</f>
        <v>0</v>
      </c>
      <c r="BJ483" s="136" t="s">
        <v>5</v>
      </c>
      <c r="BK483" s="226">
        <f>ROUND(I483*H483,2)</f>
        <v>0</v>
      </c>
      <c r="BL483" s="136" t="s">
        <v>20</v>
      </c>
      <c r="BM483" s="225" t="s">
        <v>5644</v>
      </c>
    </row>
    <row r="484" spans="2:65" s="144" customFormat="1">
      <c r="B484" s="145"/>
      <c r="D484" s="227" t="s">
        <v>3343</v>
      </c>
      <c r="F484" s="228" t="s">
        <v>5645</v>
      </c>
      <c r="L484" s="145"/>
      <c r="M484" s="229"/>
      <c r="T484" s="230"/>
      <c r="AT484" s="136" t="s">
        <v>3343</v>
      </c>
      <c r="AU484" s="136" t="s">
        <v>6</v>
      </c>
    </row>
    <row r="485" spans="2:65" s="144" customFormat="1" ht="16.5" customHeight="1">
      <c r="B485" s="214"/>
      <c r="C485" s="215" t="s">
        <v>161</v>
      </c>
      <c r="D485" s="215" t="s">
        <v>3338</v>
      </c>
      <c r="E485" s="216" t="s">
        <v>5646</v>
      </c>
      <c r="F485" s="217" t="s">
        <v>5647</v>
      </c>
      <c r="G485" s="218" t="s">
        <v>1938</v>
      </c>
      <c r="H485" s="219">
        <v>2</v>
      </c>
      <c r="I485" s="745">
        <v>0</v>
      </c>
      <c r="J485" s="220">
        <f>ROUND(I485*H485,2)</f>
        <v>0</v>
      </c>
      <c r="K485" s="217" t="s">
        <v>3341</v>
      </c>
      <c r="L485" s="145"/>
      <c r="M485" s="221" t="s">
        <v>3268</v>
      </c>
      <c r="N485" s="222" t="s">
        <v>3296</v>
      </c>
      <c r="O485" s="223">
        <v>2.54</v>
      </c>
      <c r="P485" s="223">
        <f>O485*H485</f>
        <v>5.08</v>
      </c>
      <c r="Q485" s="223">
        <v>1.383E-2</v>
      </c>
      <c r="R485" s="223">
        <f>Q485*H485</f>
        <v>2.7660000000000001E-2</v>
      </c>
      <c r="S485" s="223">
        <v>0</v>
      </c>
      <c r="T485" s="224">
        <f>S485*H485</f>
        <v>0</v>
      </c>
      <c r="AR485" s="225" t="s">
        <v>20</v>
      </c>
      <c r="AT485" s="225" t="s">
        <v>3338</v>
      </c>
      <c r="AU485" s="225" t="s">
        <v>6</v>
      </c>
      <c r="AY485" s="136" t="s">
        <v>3337</v>
      </c>
      <c r="BE485" s="226">
        <f>IF(N485="základní",J485,0)</f>
        <v>0</v>
      </c>
      <c r="BF485" s="226">
        <f>IF(N485="snížená",J485,0)</f>
        <v>0</v>
      </c>
      <c r="BG485" s="226">
        <f>IF(N485="zákl. přenesená",J485,0)</f>
        <v>0</v>
      </c>
      <c r="BH485" s="226">
        <f>IF(N485="sníž. přenesená",J485,0)</f>
        <v>0</v>
      </c>
      <c r="BI485" s="226">
        <f>IF(N485="nulová",J485,0)</f>
        <v>0</v>
      </c>
      <c r="BJ485" s="136" t="s">
        <v>5</v>
      </c>
      <c r="BK485" s="226">
        <f>ROUND(I485*H485,2)</f>
        <v>0</v>
      </c>
      <c r="BL485" s="136" t="s">
        <v>20</v>
      </c>
      <c r="BM485" s="225" t="s">
        <v>5648</v>
      </c>
    </row>
    <row r="486" spans="2:65" s="144" customFormat="1">
      <c r="B486" s="145"/>
      <c r="D486" s="227" t="s">
        <v>3343</v>
      </c>
      <c r="F486" s="228" t="s">
        <v>5649</v>
      </c>
      <c r="L486" s="145"/>
      <c r="M486" s="229"/>
      <c r="T486" s="230"/>
      <c r="AT486" s="136" t="s">
        <v>3343</v>
      </c>
      <c r="AU486" s="136" t="s">
        <v>6</v>
      </c>
    </row>
    <row r="487" spans="2:65" s="144" customFormat="1" ht="21.75" customHeight="1">
      <c r="B487" s="214"/>
      <c r="C487" s="215" t="s">
        <v>162</v>
      </c>
      <c r="D487" s="215" t="s">
        <v>3338</v>
      </c>
      <c r="E487" s="216" t="s">
        <v>5650</v>
      </c>
      <c r="F487" s="217" t="s">
        <v>5651</v>
      </c>
      <c r="G487" s="218" t="s">
        <v>1938</v>
      </c>
      <c r="H487" s="219">
        <v>2</v>
      </c>
      <c r="I487" s="745">
        <v>0</v>
      </c>
      <c r="J487" s="220">
        <f>ROUND(I487*H487,2)</f>
        <v>0</v>
      </c>
      <c r="K487" s="217" t="s">
        <v>3341</v>
      </c>
      <c r="L487" s="145"/>
      <c r="M487" s="221" t="s">
        <v>3268</v>
      </c>
      <c r="N487" s="222" t="s">
        <v>3296</v>
      </c>
      <c r="O487" s="223">
        <v>2.88</v>
      </c>
      <c r="P487" s="223">
        <f>O487*H487</f>
        <v>5.76</v>
      </c>
      <c r="Q487" s="223">
        <v>2.0369999999999999E-2</v>
      </c>
      <c r="R487" s="223">
        <f>Q487*H487</f>
        <v>4.0739999999999998E-2</v>
      </c>
      <c r="S487" s="223">
        <v>0</v>
      </c>
      <c r="T487" s="224">
        <f>S487*H487</f>
        <v>0</v>
      </c>
      <c r="AR487" s="225" t="s">
        <v>20</v>
      </c>
      <c r="AT487" s="225" t="s">
        <v>3338</v>
      </c>
      <c r="AU487" s="225" t="s">
        <v>6</v>
      </c>
      <c r="AY487" s="136" t="s">
        <v>3337</v>
      </c>
      <c r="BE487" s="226">
        <f>IF(N487="základní",J487,0)</f>
        <v>0</v>
      </c>
      <c r="BF487" s="226">
        <f>IF(N487="snížená",J487,0)</f>
        <v>0</v>
      </c>
      <c r="BG487" s="226">
        <f>IF(N487="zákl. přenesená",J487,0)</f>
        <v>0</v>
      </c>
      <c r="BH487" s="226">
        <f>IF(N487="sníž. přenesená",J487,0)</f>
        <v>0</v>
      </c>
      <c r="BI487" s="226">
        <f>IF(N487="nulová",J487,0)</f>
        <v>0</v>
      </c>
      <c r="BJ487" s="136" t="s">
        <v>5</v>
      </c>
      <c r="BK487" s="226">
        <f>ROUND(I487*H487,2)</f>
        <v>0</v>
      </c>
      <c r="BL487" s="136" t="s">
        <v>20</v>
      </c>
      <c r="BM487" s="225" t="s">
        <v>5652</v>
      </c>
    </row>
    <row r="488" spans="2:65" s="144" customFormat="1" ht="28.8">
      <c r="B488" s="145"/>
      <c r="D488" s="227" t="s">
        <v>3343</v>
      </c>
      <c r="F488" s="228" t="s">
        <v>5653</v>
      </c>
      <c r="L488" s="145"/>
      <c r="M488" s="229"/>
      <c r="T488" s="230"/>
      <c r="AT488" s="136" t="s">
        <v>3343</v>
      </c>
      <c r="AU488" s="136" t="s">
        <v>6</v>
      </c>
    </row>
    <row r="489" spans="2:65" s="144" customFormat="1" ht="33" customHeight="1">
      <c r="B489" s="214"/>
      <c r="C489" s="215" t="s">
        <v>163</v>
      </c>
      <c r="D489" s="215" t="s">
        <v>3338</v>
      </c>
      <c r="E489" s="216" t="s">
        <v>5654</v>
      </c>
      <c r="F489" s="217" t="s">
        <v>5655</v>
      </c>
      <c r="G489" s="218" t="s">
        <v>1938</v>
      </c>
      <c r="H489" s="219">
        <v>2</v>
      </c>
      <c r="I489" s="745">
        <v>0</v>
      </c>
      <c r="J489" s="220">
        <f>ROUND(I489*H489,2)</f>
        <v>0</v>
      </c>
      <c r="K489" s="217" t="s">
        <v>3341</v>
      </c>
      <c r="L489" s="145"/>
      <c r="M489" s="221" t="s">
        <v>3268</v>
      </c>
      <c r="N489" s="222" t="s">
        <v>3296</v>
      </c>
      <c r="O489" s="223">
        <v>4.37</v>
      </c>
      <c r="P489" s="223">
        <f>O489*H489</f>
        <v>8.74</v>
      </c>
      <c r="Q489" s="223">
        <v>3.6459999999999999E-2</v>
      </c>
      <c r="R489" s="223">
        <f>Q489*H489</f>
        <v>7.2919999999999999E-2</v>
      </c>
      <c r="S489" s="223">
        <v>0</v>
      </c>
      <c r="T489" s="224">
        <f>S489*H489</f>
        <v>0</v>
      </c>
      <c r="AR489" s="225" t="s">
        <v>20</v>
      </c>
      <c r="AT489" s="225" t="s">
        <v>3338</v>
      </c>
      <c r="AU489" s="225" t="s">
        <v>6</v>
      </c>
      <c r="AY489" s="136" t="s">
        <v>3337</v>
      </c>
      <c r="BE489" s="226">
        <f>IF(N489="základní",J489,0)</f>
        <v>0</v>
      </c>
      <c r="BF489" s="226">
        <f>IF(N489="snížená",J489,0)</f>
        <v>0</v>
      </c>
      <c r="BG489" s="226">
        <f>IF(N489="zákl. přenesená",J489,0)</f>
        <v>0</v>
      </c>
      <c r="BH489" s="226">
        <f>IF(N489="sníž. přenesená",J489,0)</f>
        <v>0</v>
      </c>
      <c r="BI489" s="226">
        <f>IF(N489="nulová",J489,0)</f>
        <v>0</v>
      </c>
      <c r="BJ489" s="136" t="s">
        <v>5</v>
      </c>
      <c r="BK489" s="226">
        <f>ROUND(I489*H489,2)</f>
        <v>0</v>
      </c>
      <c r="BL489" s="136" t="s">
        <v>20</v>
      </c>
      <c r="BM489" s="225" t="s">
        <v>5656</v>
      </c>
    </row>
    <row r="490" spans="2:65" s="144" customFormat="1" ht="28.8">
      <c r="B490" s="145"/>
      <c r="D490" s="227" t="s">
        <v>3343</v>
      </c>
      <c r="F490" s="228" t="s">
        <v>5657</v>
      </c>
      <c r="L490" s="145"/>
      <c r="M490" s="229"/>
      <c r="T490" s="230"/>
      <c r="AT490" s="136" t="s">
        <v>3343</v>
      </c>
      <c r="AU490" s="136" t="s">
        <v>6</v>
      </c>
    </row>
    <row r="491" spans="2:65" s="144" customFormat="1" ht="21.75" customHeight="1">
      <c r="B491" s="214"/>
      <c r="C491" s="215" t="s">
        <v>164</v>
      </c>
      <c r="D491" s="215" t="s">
        <v>3338</v>
      </c>
      <c r="E491" s="216" t="s">
        <v>5658</v>
      </c>
      <c r="F491" s="217" t="s">
        <v>5659</v>
      </c>
      <c r="G491" s="218" t="s">
        <v>1938</v>
      </c>
      <c r="H491" s="219">
        <v>1</v>
      </c>
      <c r="I491" s="745">
        <v>0</v>
      </c>
      <c r="J491" s="220">
        <f>ROUND(I491*H491,2)</f>
        <v>0</v>
      </c>
      <c r="K491" s="217" t="s">
        <v>3341</v>
      </c>
      <c r="L491" s="145"/>
      <c r="M491" s="221" t="s">
        <v>3268</v>
      </c>
      <c r="N491" s="222" t="s">
        <v>3296</v>
      </c>
      <c r="O491" s="223">
        <v>0.25</v>
      </c>
      <c r="P491" s="223">
        <f>O491*H491</f>
        <v>0.25</v>
      </c>
      <c r="Q491" s="223">
        <v>8.4999999999999995E-4</v>
      </c>
      <c r="R491" s="223">
        <f>Q491*H491</f>
        <v>8.4999999999999995E-4</v>
      </c>
      <c r="S491" s="223">
        <v>0</v>
      </c>
      <c r="T491" s="224">
        <f>S491*H491</f>
        <v>0</v>
      </c>
      <c r="AR491" s="225" t="s">
        <v>20</v>
      </c>
      <c r="AT491" s="225" t="s">
        <v>3338</v>
      </c>
      <c r="AU491" s="225" t="s">
        <v>6</v>
      </c>
      <c r="AY491" s="136" t="s">
        <v>3337</v>
      </c>
      <c r="BE491" s="226">
        <f>IF(N491="základní",J491,0)</f>
        <v>0</v>
      </c>
      <c r="BF491" s="226">
        <f>IF(N491="snížená",J491,0)</f>
        <v>0</v>
      </c>
      <c r="BG491" s="226">
        <f>IF(N491="zákl. přenesená",J491,0)</f>
        <v>0</v>
      </c>
      <c r="BH491" s="226">
        <f>IF(N491="sníž. přenesená",J491,0)</f>
        <v>0</v>
      </c>
      <c r="BI491" s="226">
        <f>IF(N491="nulová",J491,0)</f>
        <v>0</v>
      </c>
      <c r="BJ491" s="136" t="s">
        <v>5</v>
      </c>
      <c r="BK491" s="226">
        <f>ROUND(I491*H491,2)</f>
        <v>0</v>
      </c>
      <c r="BL491" s="136" t="s">
        <v>20</v>
      </c>
      <c r="BM491" s="225" t="s">
        <v>5660</v>
      </c>
    </row>
    <row r="492" spans="2:65" s="144" customFormat="1" ht="19.2">
      <c r="B492" s="145"/>
      <c r="D492" s="227" t="s">
        <v>3343</v>
      </c>
      <c r="F492" s="228" t="s">
        <v>5661</v>
      </c>
      <c r="L492" s="145"/>
      <c r="M492" s="229"/>
      <c r="T492" s="230"/>
      <c r="AT492" s="136" t="s">
        <v>3343</v>
      </c>
      <c r="AU492" s="136" t="s">
        <v>6</v>
      </c>
    </row>
    <row r="493" spans="2:65" s="144" customFormat="1" ht="21.75" customHeight="1">
      <c r="B493" s="214"/>
      <c r="C493" s="215" t="s">
        <v>165</v>
      </c>
      <c r="D493" s="215" t="s">
        <v>3338</v>
      </c>
      <c r="E493" s="216" t="s">
        <v>5662</v>
      </c>
      <c r="F493" s="217" t="s">
        <v>5663</v>
      </c>
      <c r="G493" s="218" t="s">
        <v>1938</v>
      </c>
      <c r="H493" s="219">
        <v>1</v>
      </c>
      <c r="I493" s="745">
        <v>0</v>
      </c>
      <c r="J493" s="220">
        <f>ROUND(I493*H493,2)</f>
        <v>0</v>
      </c>
      <c r="K493" s="217" t="s">
        <v>3341</v>
      </c>
      <c r="L493" s="145"/>
      <c r="M493" s="221" t="s">
        <v>3268</v>
      </c>
      <c r="N493" s="222" t="s">
        <v>3296</v>
      </c>
      <c r="O493" s="223">
        <v>0.25</v>
      </c>
      <c r="P493" s="223">
        <f>O493*H493</f>
        <v>0.25</v>
      </c>
      <c r="Q493" s="223">
        <v>8.4999999999999995E-4</v>
      </c>
      <c r="R493" s="223">
        <f>Q493*H493</f>
        <v>8.4999999999999995E-4</v>
      </c>
      <c r="S493" s="223">
        <v>0</v>
      </c>
      <c r="T493" s="224">
        <f>S493*H493</f>
        <v>0</v>
      </c>
      <c r="AR493" s="225" t="s">
        <v>20</v>
      </c>
      <c r="AT493" s="225" t="s">
        <v>3338</v>
      </c>
      <c r="AU493" s="225" t="s">
        <v>6</v>
      </c>
      <c r="AY493" s="136" t="s">
        <v>3337</v>
      </c>
      <c r="BE493" s="226">
        <f>IF(N493="základní",J493,0)</f>
        <v>0</v>
      </c>
      <c r="BF493" s="226">
        <f>IF(N493="snížená",J493,0)</f>
        <v>0</v>
      </c>
      <c r="BG493" s="226">
        <f>IF(N493="zákl. přenesená",J493,0)</f>
        <v>0</v>
      </c>
      <c r="BH493" s="226">
        <f>IF(N493="sníž. přenesená",J493,0)</f>
        <v>0</v>
      </c>
      <c r="BI493" s="226">
        <f>IF(N493="nulová",J493,0)</f>
        <v>0</v>
      </c>
      <c r="BJ493" s="136" t="s">
        <v>5</v>
      </c>
      <c r="BK493" s="226">
        <f>ROUND(I493*H493,2)</f>
        <v>0</v>
      </c>
      <c r="BL493" s="136" t="s">
        <v>20</v>
      </c>
      <c r="BM493" s="225" t="s">
        <v>5664</v>
      </c>
    </row>
    <row r="494" spans="2:65" s="144" customFormat="1" ht="19.2">
      <c r="B494" s="145"/>
      <c r="D494" s="227" t="s">
        <v>3343</v>
      </c>
      <c r="F494" s="228" t="s">
        <v>5665</v>
      </c>
      <c r="L494" s="145"/>
      <c r="M494" s="229"/>
      <c r="T494" s="230"/>
      <c r="AT494" s="136" t="s">
        <v>3343</v>
      </c>
      <c r="AU494" s="136" t="s">
        <v>6</v>
      </c>
    </row>
    <row r="495" spans="2:65" s="144" customFormat="1" ht="21.75" customHeight="1">
      <c r="B495" s="214"/>
      <c r="C495" s="215" t="s">
        <v>166</v>
      </c>
      <c r="D495" s="215" t="s">
        <v>3338</v>
      </c>
      <c r="E495" s="216" t="s">
        <v>5666</v>
      </c>
      <c r="F495" s="217" t="s">
        <v>5667</v>
      </c>
      <c r="G495" s="218" t="s">
        <v>1938</v>
      </c>
      <c r="H495" s="219">
        <v>4</v>
      </c>
      <c r="I495" s="745">
        <v>0</v>
      </c>
      <c r="J495" s="220">
        <f>ROUND(I495*H495,2)</f>
        <v>0</v>
      </c>
      <c r="K495" s="217" t="s">
        <v>3341</v>
      </c>
      <c r="L495" s="145"/>
      <c r="M495" s="221" t="s">
        <v>3268</v>
      </c>
      <c r="N495" s="222" t="s">
        <v>3296</v>
      </c>
      <c r="O495" s="223">
        <v>1.5</v>
      </c>
      <c r="P495" s="223">
        <f>O495*H495</f>
        <v>6</v>
      </c>
      <c r="Q495" s="223">
        <v>1.4749999999999999E-2</v>
      </c>
      <c r="R495" s="223">
        <f>Q495*H495</f>
        <v>5.8999999999999997E-2</v>
      </c>
      <c r="S495" s="223">
        <v>0</v>
      </c>
      <c r="T495" s="224">
        <f>S495*H495</f>
        <v>0</v>
      </c>
      <c r="AR495" s="225" t="s">
        <v>20</v>
      </c>
      <c r="AT495" s="225" t="s">
        <v>3338</v>
      </c>
      <c r="AU495" s="225" t="s">
        <v>6</v>
      </c>
      <c r="AY495" s="136" t="s">
        <v>3337</v>
      </c>
      <c r="BE495" s="226">
        <f>IF(N495="základní",J495,0)</f>
        <v>0</v>
      </c>
      <c r="BF495" s="226">
        <f>IF(N495="snížená",J495,0)</f>
        <v>0</v>
      </c>
      <c r="BG495" s="226">
        <f>IF(N495="zákl. přenesená",J495,0)</f>
        <v>0</v>
      </c>
      <c r="BH495" s="226">
        <f>IF(N495="sníž. přenesená",J495,0)</f>
        <v>0</v>
      </c>
      <c r="BI495" s="226">
        <f>IF(N495="nulová",J495,0)</f>
        <v>0</v>
      </c>
      <c r="BJ495" s="136" t="s">
        <v>5</v>
      </c>
      <c r="BK495" s="226">
        <f>ROUND(I495*H495,2)</f>
        <v>0</v>
      </c>
      <c r="BL495" s="136" t="s">
        <v>20</v>
      </c>
      <c r="BM495" s="225" t="s">
        <v>5668</v>
      </c>
    </row>
    <row r="496" spans="2:65" s="144" customFormat="1" ht="19.2">
      <c r="B496" s="145"/>
      <c r="D496" s="227" t="s">
        <v>3343</v>
      </c>
      <c r="F496" s="228" t="s">
        <v>5669</v>
      </c>
      <c r="L496" s="145"/>
      <c r="M496" s="229"/>
      <c r="T496" s="230"/>
      <c r="AT496" s="136" t="s">
        <v>3343</v>
      </c>
      <c r="AU496" s="136" t="s">
        <v>6</v>
      </c>
    </row>
    <row r="497" spans="2:65" s="144" customFormat="1" ht="21.75" customHeight="1">
      <c r="B497" s="214"/>
      <c r="C497" s="215" t="s">
        <v>167</v>
      </c>
      <c r="D497" s="215" t="s">
        <v>3338</v>
      </c>
      <c r="E497" s="216" t="s">
        <v>5670</v>
      </c>
      <c r="F497" s="217" t="s">
        <v>5671</v>
      </c>
      <c r="G497" s="218" t="s">
        <v>1943</v>
      </c>
      <c r="H497" s="219">
        <v>4</v>
      </c>
      <c r="I497" s="745">
        <v>0</v>
      </c>
      <c r="J497" s="220">
        <f>ROUND(I497*H497,2)</f>
        <v>0</v>
      </c>
      <c r="K497" s="217" t="s">
        <v>3341</v>
      </c>
      <c r="L497" s="145"/>
      <c r="M497" s="221" t="s">
        <v>3268</v>
      </c>
      <c r="N497" s="222" t="s">
        <v>3296</v>
      </c>
      <c r="O497" s="223">
        <v>0.17599999999999999</v>
      </c>
      <c r="P497" s="223">
        <f>O497*H497</f>
        <v>0.70399999999999996</v>
      </c>
      <c r="Q497" s="223">
        <v>1.42E-3</v>
      </c>
      <c r="R497" s="223">
        <f>Q497*H497</f>
        <v>5.6800000000000002E-3</v>
      </c>
      <c r="S497" s="223">
        <v>0</v>
      </c>
      <c r="T497" s="224">
        <f>S497*H497</f>
        <v>0</v>
      </c>
      <c r="AR497" s="225" t="s">
        <v>20</v>
      </c>
      <c r="AT497" s="225" t="s">
        <v>3338</v>
      </c>
      <c r="AU497" s="225" t="s">
        <v>6</v>
      </c>
      <c r="AY497" s="136" t="s">
        <v>3337</v>
      </c>
      <c r="BE497" s="226">
        <f>IF(N497="základní",J497,0)</f>
        <v>0</v>
      </c>
      <c r="BF497" s="226">
        <f>IF(N497="snížená",J497,0)</f>
        <v>0</v>
      </c>
      <c r="BG497" s="226">
        <f>IF(N497="zákl. přenesená",J497,0)</f>
        <v>0</v>
      </c>
      <c r="BH497" s="226">
        <f>IF(N497="sníž. přenesená",J497,0)</f>
        <v>0</v>
      </c>
      <c r="BI497" s="226">
        <f>IF(N497="nulová",J497,0)</f>
        <v>0</v>
      </c>
      <c r="BJ497" s="136" t="s">
        <v>5</v>
      </c>
      <c r="BK497" s="226">
        <f>ROUND(I497*H497,2)</f>
        <v>0</v>
      </c>
      <c r="BL497" s="136" t="s">
        <v>20</v>
      </c>
      <c r="BM497" s="225" t="s">
        <v>5672</v>
      </c>
    </row>
    <row r="498" spans="2:65" s="144" customFormat="1" ht="19.2">
      <c r="B498" s="145"/>
      <c r="D498" s="227" t="s">
        <v>3343</v>
      </c>
      <c r="F498" s="228" t="s">
        <v>5673</v>
      </c>
      <c r="L498" s="145"/>
      <c r="M498" s="229"/>
      <c r="T498" s="230"/>
      <c r="AT498" s="136" t="s">
        <v>3343</v>
      </c>
      <c r="AU498" s="136" t="s">
        <v>6</v>
      </c>
    </row>
    <row r="499" spans="2:65" s="144" customFormat="1" ht="21.75" customHeight="1">
      <c r="B499" s="214"/>
      <c r="C499" s="215" t="s">
        <v>168</v>
      </c>
      <c r="D499" s="215" t="s">
        <v>3338</v>
      </c>
      <c r="E499" s="216" t="s">
        <v>5674</v>
      </c>
      <c r="F499" s="217" t="s">
        <v>5675</v>
      </c>
      <c r="G499" s="218" t="s">
        <v>1938</v>
      </c>
      <c r="H499" s="219">
        <v>56</v>
      </c>
      <c r="I499" s="745">
        <v>0</v>
      </c>
      <c r="J499" s="220">
        <f>ROUND(I499*H499,2)</f>
        <v>0</v>
      </c>
      <c r="K499" s="217" t="s">
        <v>3341</v>
      </c>
      <c r="L499" s="145"/>
      <c r="M499" s="221" t="s">
        <v>3268</v>
      </c>
      <c r="N499" s="222" t="s">
        <v>3296</v>
      </c>
      <c r="O499" s="223">
        <v>0.22700000000000001</v>
      </c>
      <c r="P499" s="223">
        <f>O499*H499</f>
        <v>12.712</v>
      </c>
      <c r="Q499" s="223">
        <v>2.4000000000000001E-4</v>
      </c>
      <c r="R499" s="223">
        <f>Q499*H499</f>
        <v>1.3440000000000001E-2</v>
      </c>
      <c r="S499" s="223">
        <v>0</v>
      </c>
      <c r="T499" s="224">
        <f>S499*H499</f>
        <v>0</v>
      </c>
      <c r="AR499" s="225" t="s">
        <v>20</v>
      </c>
      <c r="AT499" s="225" t="s">
        <v>3338</v>
      </c>
      <c r="AU499" s="225" t="s">
        <v>6</v>
      </c>
      <c r="AY499" s="136" t="s">
        <v>3337</v>
      </c>
      <c r="BE499" s="226">
        <f>IF(N499="základní",J499,0)</f>
        <v>0</v>
      </c>
      <c r="BF499" s="226">
        <f>IF(N499="snížená",J499,0)</f>
        <v>0</v>
      </c>
      <c r="BG499" s="226">
        <f>IF(N499="zákl. přenesená",J499,0)</f>
        <v>0</v>
      </c>
      <c r="BH499" s="226">
        <f>IF(N499="sníž. přenesená",J499,0)</f>
        <v>0</v>
      </c>
      <c r="BI499" s="226">
        <f>IF(N499="nulová",J499,0)</f>
        <v>0</v>
      </c>
      <c r="BJ499" s="136" t="s">
        <v>5</v>
      </c>
      <c r="BK499" s="226">
        <f>ROUND(I499*H499,2)</f>
        <v>0</v>
      </c>
      <c r="BL499" s="136" t="s">
        <v>20</v>
      </c>
      <c r="BM499" s="225" t="s">
        <v>5676</v>
      </c>
    </row>
    <row r="500" spans="2:65" s="144" customFormat="1">
      <c r="B500" s="145"/>
      <c r="D500" s="227" t="s">
        <v>3343</v>
      </c>
      <c r="F500" s="228" t="s">
        <v>5677</v>
      </c>
      <c r="L500" s="145"/>
      <c r="M500" s="229"/>
      <c r="T500" s="230"/>
      <c r="AT500" s="136" t="s">
        <v>3343</v>
      </c>
      <c r="AU500" s="136" t="s">
        <v>6</v>
      </c>
    </row>
    <row r="501" spans="2:65" s="144" customFormat="1" ht="21.75" customHeight="1">
      <c r="B501" s="214"/>
      <c r="C501" s="251" t="s">
        <v>169</v>
      </c>
      <c r="D501" s="251" t="s">
        <v>3385</v>
      </c>
      <c r="E501" s="252" t="s">
        <v>5678</v>
      </c>
      <c r="F501" s="253" t="s">
        <v>5679</v>
      </c>
      <c r="G501" s="254" t="s">
        <v>1939</v>
      </c>
      <c r="H501" s="255">
        <v>56</v>
      </c>
      <c r="I501" s="746">
        <v>0</v>
      </c>
      <c r="J501" s="256">
        <f>ROUND(I501*H501,2)</f>
        <v>0</v>
      </c>
      <c r="K501" s="253" t="s">
        <v>3341</v>
      </c>
      <c r="L501" s="257"/>
      <c r="M501" s="258" t="s">
        <v>3268</v>
      </c>
      <c r="N501" s="259" t="s">
        <v>3296</v>
      </c>
      <c r="O501" s="223">
        <v>0</v>
      </c>
      <c r="P501" s="223">
        <f>O501*H501</f>
        <v>0</v>
      </c>
      <c r="Q501" s="223">
        <v>2.2000000000000001E-4</v>
      </c>
      <c r="R501" s="223">
        <f>Q501*H501</f>
        <v>1.2320000000000001E-2</v>
      </c>
      <c r="S501" s="223">
        <v>0</v>
      </c>
      <c r="T501" s="224">
        <f>S501*H501</f>
        <v>0</v>
      </c>
      <c r="AR501" s="225" t="s">
        <v>36</v>
      </c>
      <c r="AT501" s="225" t="s">
        <v>3385</v>
      </c>
      <c r="AU501" s="225" t="s">
        <v>6</v>
      </c>
      <c r="AY501" s="136" t="s">
        <v>3337</v>
      </c>
      <c r="BE501" s="226">
        <f>IF(N501="základní",J501,0)</f>
        <v>0</v>
      </c>
      <c r="BF501" s="226">
        <f>IF(N501="snížená",J501,0)</f>
        <v>0</v>
      </c>
      <c r="BG501" s="226">
        <f>IF(N501="zákl. přenesená",J501,0)</f>
        <v>0</v>
      </c>
      <c r="BH501" s="226">
        <f>IF(N501="sníž. přenesená",J501,0)</f>
        <v>0</v>
      </c>
      <c r="BI501" s="226">
        <f>IF(N501="nulová",J501,0)</f>
        <v>0</v>
      </c>
      <c r="BJ501" s="136" t="s">
        <v>5</v>
      </c>
      <c r="BK501" s="226">
        <f>ROUND(I501*H501,2)</f>
        <v>0</v>
      </c>
      <c r="BL501" s="136" t="s">
        <v>20</v>
      </c>
      <c r="BM501" s="225" t="s">
        <v>5680</v>
      </c>
    </row>
    <row r="502" spans="2:65" s="144" customFormat="1">
      <c r="B502" s="145"/>
      <c r="D502" s="227" t="s">
        <v>3343</v>
      </c>
      <c r="F502" s="228" t="s">
        <v>5679</v>
      </c>
      <c r="L502" s="145"/>
      <c r="M502" s="229"/>
      <c r="T502" s="230"/>
      <c r="AT502" s="136" t="s">
        <v>3343</v>
      </c>
      <c r="AU502" s="136" t="s">
        <v>6</v>
      </c>
    </row>
    <row r="503" spans="2:65" s="144" customFormat="1" ht="16.5" customHeight="1">
      <c r="B503" s="214"/>
      <c r="C503" s="215" t="s">
        <v>170</v>
      </c>
      <c r="D503" s="215" t="s">
        <v>3338</v>
      </c>
      <c r="E503" s="216" t="s">
        <v>5681</v>
      </c>
      <c r="F503" s="217" t="s">
        <v>5682</v>
      </c>
      <c r="G503" s="218" t="s">
        <v>1943</v>
      </c>
      <c r="H503" s="219">
        <v>3</v>
      </c>
      <c r="I503" s="745">
        <v>0</v>
      </c>
      <c r="J503" s="220">
        <f>ROUND(I503*H503,2)</f>
        <v>0</v>
      </c>
      <c r="K503" s="217" t="s">
        <v>3341</v>
      </c>
      <c r="L503" s="145"/>
      <c r="M503" s="221" t="s">
        <v>3268</v>
      </c>
      <c r="N503" s="222" t="s">
        <v>3296</v>
      </c>
      <c r="O503" s="223">
        <v>0.17599999999999999</v>
      </c>
      <c r="P503" s="223">
        <f>O503*H503</f>
        <v>0.52800000000000002</v>
      </c>
      <c r="Q503" s="223">
        <v>1.09E-3</v>
      </c>
      <c r="R503" s="223">
        <f>Q503*H503</f>
        <v>3.2700000000000003E-3</v>
      </c>
      <c r="S503" s="223">
        <v>0</v>
      </c>
      <c r="T503" s="224">
        <f>S503*H503</f>
        <v>0</v>
      </c>
      <c r="AR503" s="225" t="s">
        <v>20</v>
      </c>
      <c r="AT503" s="225" t="s">
        <v>3338</v>
      </c>
      <c r="AU503" s="225" t="s">
        <v>6</v>
      </c>
      <c r="AY503" s="136" t="s">
        <v>3337</v>
      </c>
      <c r="BE503" s="226">
        <f>IF(N503="základní",J503,0)</f>
        <v>0</v>
      </c>
      <c r="BF503" s="226">
        <f>IF(N503="snížená",J503,0)</f>
        <v>0</v>
      </c>
      <c r="BG503" s="226">
        <f>IF(N503="zákl. přenesená",J503,0)</f>
        <v>0</v>
      </c>
      <c r="BH503" s="226">
        <f>IF(N503="sníž. přenesená",J503,0)</f>
        <v>0</v>
      </c>
      <c r="BI503" s="226">
        <f>IF(N503="nulová",J503,0)</f>
        <v>0</v>
      </c>
      <c r="BJ503" s="136" t="s">
        <v>5</v>
      </c>
      <c r="BK503" s="226">
        <f>ROUND(I503*H503,2)</f>
        <v>0</v>
      </c>
      <c r="BL503" s="136" t="s">
        <v>20</v>
      </c>
      <c r="BM503" s="225" t="s">
        <v>5683</v>
      </c>
    </row>
    <row r="504" spans="2:65" s="144" customFormat="1" ht="19.2">
      <c r="B504" s="145"/>
      <c r="D504" s="227" t="s">
        <v>3343</v>
      </c>
      <c r="F504" s="228" t="s">
        <v>5684</v>
      </c>
      <c r="L504" s="145"/>
      <c r="M504" s="229"/>
      <c r="T504" s="230"/>
      <c r="AT504" s="136" t="s">
        <v>3343</v>
      </c>
      <c r="AU504" s="136" t="s">
        <v>6</v>
      </c>
    </row>
    <row r="505" spans="2:65" s="144" customFormat="1" ht="21.75" customHeight="1">
      <c r="B505" s="214"/>
      <c r="C505" s="215" t="s">
        <v>171</v>
      </c>
      <c r="D505" s="215" t="s">
        <v>3338</v>
      </c>
      <c r="E505" s="216" t="s">
        <v>5685</v>
      </c>
      <c r="F505" s="217" t="s">
        <v>5686</v>
      </c>
      <c r="G505" s="218" t="s">
        <v>1938</v>
      </c>
      <c r="H505" s="219">
        <v>1</v>
      </c>
      <c r="I505" s="745">
        <v>0</v>
      </c>
      <c r="J505" s="220">
        <f>ROUND(I505*H505,2)</f>
        <v>0</v>
      </c>
      <c r="K505" s="217" t="s">
        <v>3341</v>
      </c>
      <c r="L505" s="145"/>
      <c r="M505" s="221" t="s">
        <v>3268</v>
      </c>
      <c r="N505" s="222" t="s">
        <v>3296</v>
      </c>
      <c r="O505" s="223">
        <v>0.2</v>
      </c>
      <c r="P505" s="223">
        <f>O505*H505</f>
        <v>0.2</v>
      </c>
      <c r="Q505" s="223">
        <v>1.8E-3</v>
      </c>
      <c r="R505" s="223">
        <f>Q505*H505</f>
        <v>1.8E-3</v>
      </c>
      <c r="S505" s="223">
        <v>0</v>
      </c>
      <c r="T505" s="224">
        <f>S505*H505</f>
        <v>0</v>
      </c>
      <c r="AR505" s="225" t="s">
        <v>20</v>
      </c>
      <c r="AT505" s="225" t="s">
        <v>3338</v>
      </c>
      <c r="AU505" s="225" t="s">
        <v>6</v>
      </c>
      <c r="AY505" s="136" t="s">
        <v>3337</v>
      </c>
      <c r="BE505" s="226">
        <f>IF(N505="základní",J505,0)</f>
        <v>0</v>
      </c>
      <c r="BF505" s="226">
        <f>IF(N505="snížená",J505,0)</f>
        <v>0</v>
      </c>
      <c r="BG505" s="226">
        <f>IF(N505="zákl. přenesená",J505,0)</f>
        <v>0</v>
      </c>
      <c r="BH505" s="226">
        <f>IF(N505="sníž. přenesená",J505,0)</f>
        <v>0</v>
      </c>
      <c r="BI505" s="226">
        <f>IF(N505="nulová",J505,0)</f>
        <v>0</v>
      </c>
      <c r="BJ505" s="136" t="s">
        <v>5</v>
      </c>
      <c r="BK505" s="226">
        <f>ROUND(I505*H505,2)</f>
        <v>0</v>
      </c>
      <c r="BL505" s="136" t="s">
        <v>20</v>
      </c>
      <c r="BM505" s="225" t="s">
        <v>5687</v>
      </c>
    </row>
    <row r="506" spans="2:65" s="144" customFormat="1" ht="19.2">
      <c r="B506" s="145"/>
      <c r="D506" s="227" t="s">
        <v>3343</v>
      </c>
      <c r="F506" s="228" t="s">
        <v>5688</v>
      </c>
      <c r="L506" s="145"/>
      <c r="M506" s="229"/>
      <c r="T506" s="230"/>
      <c r="AT506" s="136" t="s">
        <v>3343</v>
      </c>
      <c r="AU506" s="136" t="s">
        <v>6</v>
      </c>
    </row>
    <row r="507" spans="2:65" s="144" customFormat="1" ht="21.75" customHeight="1">
      <c r="B507" s="214"/>
      <c r="C507" s="215" t="s">
        <v>172</v>
      </c>
      <c r="D507" s="215" t="s">
        <v>3338</v>
      </c>
      <c r="E507" s="216" t="s">
        <v>5689</v>
      </c>
      <c r="F507" s="217" t="s">
        <v>5690</v>
      </c>
      <c r="G507" s="218" t="s">
        <v>1938</v>
      </c>
      <c r="H507" s="219">
        <v>4</v>
      </c>
      <c r="I507" s="745">
        <v>0</v>
      </c>
      <c r="J507" s="220">
        <f>ROUND(I507*H507,2)</f>
        <v>0</v>
      </c>
      <c r="K507" s="217" t="s">
        <v>3268</v>
      </c>
      <c r="L507" s="145"/>
      <c r="M507" s="221" t="s">
        <v>3268</v>
      </c>
      <c r="N507" s="222" t="s">
        <v>3296</v>
      </c>
      <c r="O507" s="223">
        <v>0.2</v>
      </c>
      <c r="P507" s="223">
        <f>O507*H507</f>
        <v>0.8</v>
      </c>
      <c r="Q507" s="223">
        <v>2.0799999999999998E-3</v>
      </c>
      <c r="R507" s="223">
        <f>Q507*H507</f>
        <v>8.3199999999999993E-3</v>
      </c>
      <c r="S507" s="223">
        <v>0</v>
      </c>
      <c r="T507" s="224">
        <f>S507*H507</f>
        <v>0</v>
      </c>
      <c r="AR507" s="225" t="s">
        <v>20</v>
      </c>
      <c r="AT507" s="225" t="s">
        <v>3338</v>
      </c>
      <c r="AU507" s="225" t="s">
        <v>6</v>
      </c>
      <c r="AY507" s="136" t="s">
        <v>3337</v>
      </c>
      <c r="BE507" s="226">
        <f>IF(N507="základní",J507,0)</f>
        <v>0</v>
      </c>
      <c r="BF507" s="226">
        <f>IF(N507="snížená",J507,0)</f>
        <v>0</v>
      </c>
      <c r="BG507" s="226">
        <f>IF(N507="zákl. přenesená",J507,0)</f>
        <v>0</v>
      </c>
      <c r="BH507" s="226">
        <f>IF(N507="sníž. přenesená",J507,0)</f>
        <v>0</v>
      </c>
      <c r="BI507" s="226">
        <f>IF(N507="nulová",J507,0)</f>
        <v>0</v>
      </c>
      <c r="BJ507" s="136" t="s">
        <v>5</v>
      </c>
      <c r="BK507" s="226">
        <f>ROUND(I507*H507,2)</f>
        <v>0</v>
      </c>
      <c r="BL507" s="136" t="s">
        <v>20</v>
      </c>
      <c r="BM507" s="225" t="s">
        <v>5691</v>
      </c>
    </row>
    <row r="508" spans="2:65" s="144" customFormat="1" ht="19.2">
      <c r="B508" s="145"/>
      <c r="D508" s="227" t="s">
        <v>3343</v>
      </c>
      <c r="F508" s="228" t="s">
        <v>5692</v>
      </c>
      <c r="L508" s="145"/>
      <c r="M508" s="229"/>
      <c r="T508" s="230"/>
      <c r="AT508" s="136" t="s">
        <v>3343</v>
      </c>
      <c r="AU508" s="136" t="s">
        <v>6</v>
      </c>
    </row>
    <row r="509" spans="2:65" s="144" customFormat="1" ht="16.5" customHeight="1">
      <c r="B509" s="214"/>
      <c r="C509" s="215" t="s">
        <v>173</v>
      </c>
      <c r="D509" s="215" t="s">
        <v>3338</v>
      </c>
      <c r="E509" s="216" t="s">
        <v>5693</v>
      </c>
      <c r="F509" s="217" t="s">
        <v>5694</v>
      </c>
      <c r="G509" s="218" t="s">
        <v>1938</v>
      </c>
      <c r="H509" s="219">
        <v>25</v>
      </c>
      <c r="I509" s="745">
        <v>0</v>
      </c>
      <c r="J509" s="220">
        <f>ROUND(I509*H509,2)</f>
        <v>0</v>
      </c>
      <c r="K509" s="217" t="s">
        <v>3341</v>
      </c>
      <c r="L509" s="145"/>
      <c r="M509" s="221" t="s">
        <v>3268</v>
      </c>
      <c r="N509" s="222" t="s">
        <v>3296</v>
      </c>
      <c r="O509" s="223">
        <v>0.2</v>
      </c>
      <c r="P509" s="223">
        <f>O509*H509</f>
        <v>5</v>
      </c>
      <c r="Q509" s="223">
        <v>1.8400000000000001E-3</v>
      </c>
      <c r="R509" s="223">
        <f>Q509*H509</f>
        <v>4.5999999999999999E-2</v>
      </c>
      <c r="S509" s="223">
        <v>0</v>
      </c>
      <c r="T509" s="224">
        <f>S509*H509</f>
        <v>0</v>
      </c>
      <c r="AR509" s="225" t="s">
        <v>20</v>
      </c>
      <c r="AT509" s="225" t="s">
        <v>3338</v>
      </c>
      <c r="AU509" s="225" t="s">
        <v>6</v>
      </c>
      <c r="AY509" s="136" t="s">
        <v>3337</v>
      </c>
      <c r="BE509" s="226">
        <f>IF(N509="základní",J509,0)</f>
        <v>0</v>
      </c>
      <c r="BF509" s="226">
        <f>IF(N509="snížená",J509,0)</f>
        <v>0</v>
      </c>
      <c r="BG509" s="226">
        <f>IF(N509="zákl. přenesená",J509,0)</f>
        <v>0</v>
      </c>
      <c r="BH509" s="226">
        <f>IF(N509="sníž. přenesená",J509,0)</f>
        <v>0</v>
      </c>
      <c r="BI509" s="226">
        <f>IF(N509="nulová",J509,0)</f>
        <v>0</v>
      </c>
      <c r="BJ509" s="136" t="s">
        <v>5</v>
      </c>
      <c r="BK509" s="226">
        <f>ROUND(I509*H509,2)</f>
        <v>0</v>
      </c>
      <c r="BL509" s="136" t="s">
        <v>20</v>
      </c>
      <c r="BM509" s="225" t="s">
        <v>5695</v>
      </c>
    </row>
    <row r="510" spans="2:65" s="144" customFormat="1">
      <c r="B510" s="145"/>
      <c r="D510" s="227" t="s">
        <v>3343</v>
      </c>
      <c r="F510" s="228" t="s">
        <v>5696</v>
      </c>
      <c r="L510" s="145"/>
      <c r="M510" s="229"/>
      <c r="T510" s="230"/>
      <c r="AT510" s="136" t="s">
        <v>3343</v>
      </c>
      <c r="AU510" s="136" t="s">
        <v>6</v>
      </c>
    </row>
    <row r="511" spans="2:65" s="144" customFormat="1" ht="21.75" customHeight="1">
      <c r="B511" s="214"/>
      <c r="C511" s="215" t="s">
        <v>174</v>
      </c>
      <c r="D511" s="215" t="s">
        <v>3338</v>
      </c>
      <c r="E511" s="216" t="s">
        <v>5697</v>
      </c>
      <c r="F511" s="217" t="s">
        <v>5698</v>
      </c>
      <c r="G511" s="218" t="s">
        <v>1938</v>
      </c>
      <c r="H511" s="219">
        <v>4</v>
      </c>
      <c r="I511" s="745">
        <v>0</v>
      </c>
      <c r="J511" s="220">
        <f>ROUND(I511*H511,2)</f>
        <v>0</v>
      </c>
      <c r="K511" s="217" t="s">
        <v>3341</v>
      </c>
      <c r="L511" s="145"/>
      <c r="M511" s="221" t="s">
        <v>3268</v>
      </c>
      <c r="N511" s="222" t="s">
        <v>3296</v>
      </c>
      <c r="O511" s="223">
        <v>1</v>
      </c>
      <c r="P511" s="223">
        <f>O511*H511</f>
        <v>4</v>
      </c>
      <c r="Q511" s="223">
        <v>2.9399999999999999E-3</v>
      </c>
      <c r="R511" s="223">
        <f>Q511*H511</f>
        <v>1.176E-2</v>
      </c>
      <c r="S511" s="223">
        <v>0</v>
      </c>
      <c r="T511" s="224">
        <f>S511*H511</f>
        <v>0</v>
      </c>
      <c r="AR511" s="225" t="s">
        <v>20</v>
      </c>
      <c r="AT511" s="225" t="s">
        <v>3338</v>
      </c>
      <c r="AU511" s="225" t="s">
        <v>6</v>
      </c>
      <c r="AY511" s="136" t="s">
        <v>3337</v>
      </c>
      <c r="BE511" s="226">
        <f>IF(N511="základní",J511,0)</f>
        <v>0</v>
      </c>
      <c r="BF511" s="226">
        <f>IF(N511="snížená",J511,0)</f>
        <v>0</v>
      </c>
      <c r="BG511" s="226">
        <f>IF(N511="zákl. přenesená",J511,0)</f>
        <v>0</v>
      </c>
      <c r="BH511" s="226">
        <f>IF(N511="sníž. přenesená",J511,0)</f>
        <v>0</v>
      </c>
      <c r="BI511" s="226">
        <f>IF(N511="nulová",J511,0)</f>
        <v>0</v>
      </c>
      <c r="BJ511" s="136" t="s">
        <v>5</v>
      </c>
      <c r="BK511" s="226">
        <f>ROUND(I511*H511,2)</f>
        <v>0</v>
      </c>
      <c r="BL511" s="136" t="s">
        <v>20</v>
      </c>
      <c r="BM511" s="225" t="s">
        <v>5699</v>
      </c>
    </row>
    <row r="512" spans="2:65" s="144" customFormat="1" ht="19.2">
      <c r="B512" s="145"/>
      <c r="D512" s="227" t="s">
        <v>3343</v>
      </c>
      <c r="F512" s="228" t="s">
        <v>5700</v>
      </c>
      <c r="L512" s="145"/>
      <c r="M512" s="229"/>
      <c r="T512" s="230"/>
      <c r="AT512" s="136" t="s">
        <v>3343</v>
      </c>
      <c r="AU512" s="136" t="s">
        <v>6</v>
      </c>
    </row>
    <row r="513" spans="2:65" s="144" customFormat="1" ht="16.5" customHeight="1">
      <c r="B513" s="214"/>
      <c r="C513" s="215" t="s">
        <v>175</v>
      </c>
      <c r="D513" s="215" t="s">
        <v>3338</v>
      </c>
      <c r="E513" s="216" t="s">
        <v>5701</v>
      </c>
      <c r="F513" s="217" t="s">
        <v>5702</v>
      </c>
      <c r="G513" s="218" t="s">
        <v>1943</v>
      </c>
      <c r="H513" s="219">
        <v>22</v>
      </c>
      <c r="I513" s="745">
        <v>0</v>
      </c>
      <c r="J513" s="220">
        <f>ROUND(I513*H513,2)</f>
        <v>0</v>
      </c>
      <c r="K513" s="217" t="s">
        <v>3341</v>
      </c>
      <c r="L513" s="145"/>
      <c r="M513" s="221" t="s">
        <v>3268</v>
      </c>
      <c r="N513" s="222" t="s">
        <v>3296</v>
      </c>
      <c r="O513" s="223">
        <v>0.113</v>
      </c>
      <c r="P513" s="223">
        <f>O513*H513</f>
        <v>2.4860000000000002</v>
      </c>
      <c r="Q513" s="223">
        <v>2.4000000000000001E-4</v>
      </c>
      <c r="R513" s="223">
        <f>Q513*H513</f>
        <v>5.28E-3</v>
      </c>
      <c r="S513" s="223">
        <v>0</v>
      </c>
      <c r="T513" s="224">
        <f>S513*H513</f>
        <v>0</v>
      </c>
      <c r="AR513" s="225" t="s">
        <v>20</v>
      </c>
      <c r="AT513" s="225" t="s">
        <v>3338</v>
      </c>
      <c r="AU513" s="225" t="s">
        <v>6</v>
      </c>
      <c r="AY513" s="136" t="s">
        <v>3337</v>
      </c>
      <c r="BE513" s="226">
        <f>IF(N513="základní",J513,0)</f>
        <v>0</v>
      </c>
      <c r="BF513" s="226">
        <f>IF(N513="snížená",J513,0)</f>
        <v>0</v>
      </c>
      <c r="BG513" s="226">
        <f>IF(N513="zákl. přenesená",J513,0)</f>
        <v>0</v>
      </c>
      <c r="BH513" s="226">
        <f>IF(N513="sníž. přenesená",J513,0)</f>
        <v>0</v>
      </c>
      <c r="BI513" s="226">
        <f>IF(N513="nulová",J513,0)</f>
        <v>0</v>
      </c>
      <c r="BJ513" s="136" t="s">
        <v>5</v>
      </c>
      <c r="BK513" s="226">
        <f>ROUND(I513*H513,2)</f>
        <v>0</v>
      </c>
      <c r="BL513" s="136" t="s">
        <v>20</v>
      </c>
      <c r="BM513" s="225" t="s">
        <v>5703</v>
      </c>
    </row>
    <row r="514" spans="2:65" s="144" customFormat="1" ht="19.2">
      <c r="B514" s="145"/>
      <c r="D514" s="227" t="s">
        <v>3343</v>
      </c>
      <c r="F514" s="228" t="s">
        <v>5704</v>
      </c>
      <c r="L514" s="145"/>
      <c r="M514" s="229"/>
      <c r="T514" s="230"/>
      <c r="X514" s="748">
        <v>0</v>
      </c>
      <c r="AT514" s="136" t="s">
        <v>3343</v>
      </c>
      <c r="AU514" s="136" t="s">
        <v>6</v>
      </c>
    </row>
    <row r="515" spans="2:65" s="144" customFormat="1" ht="16.5" customHeight="1">
      <c r="B515" s="214"/>
      <c r="C515" s="215" t="s">
        <v>176</v>
      </c>
      <c r="D515" s="215" t="s">
        <v>3338</v>
      </c>
      <c r="E515" s="216" t="s">
        <v>5705</v>
      </c>
      <c r="F515" s="217" t="s">
        <v>5706</v>
      </c>
      <c r="G515" s="218" t="s">
        <v>1943</v>
      </c>
      <c r="H515" s="219">
        <v>1</v>
      </c>
      <c r="I515" s="745">
        <v>0</v>
      </c>
      <c r="J515" s="220">
        <f>ROUND(I515*H515,2)</f>
        <v>0</v>
      </c>
      <c r="K515" s="217" t="s">
        <v>3341</v>
      </c>
      <c r="L515" s="145"/>
      <c r="M515" s="221" t="s">
        <v>3268</v>
      </c>
      <c r="N515" s="222" t="s">
        <v>3296</v>
      </c>
      <c r="O515" s="223">
        <v>0.113</v>
      </c>
      <c r="P515" s="223">
        <f>O515*H515</f>
        <v>0.113</v>
      </c>
      <c r="Q515" s="223">
        <v>2.7999999999999998E-4</v>
      </c>
      <c r="R515" s="223">
        <f>Q515*H515</f>
        <v>2.7999999999999998E-4</v>
      </c>
      <c r="S515" s="223">
        <v>0</v>
      </c>
      <c r="T515" s="224">
        <f>S515*H515</f>
        <v>0</v>
      </c>
      <c r="AR515" s="225" t="s">
        <v>20</v>
      </c>
      <c r="AT515" s="225" t="s">
        <v>3338</v>
      </c>
      <c r="AU515" s="225" t="s">
        <v>6</v>
      </c>
      <c r="AY515" s="136" t="s">
        <v>3337</v>
      </c>
      <c r="BE515" s="226">
        <f>IF(N515="základní",J515,0)</f>
        <v>0</v>
      </c>
      <c r="BF515" s="226">
        <f>IF(N515="snížená",J515,0)</f>
        <v>0</v>
      </c>
      <c r="BG515" s="226">
        <f>IF(N515="zákl. přenesená",J515,0)</f>
        <v>0</v>
      </c>
      <c r="BH515" s="226">
        <f>IF(N515="sníž. přenesená",J515,0)</f>
        <v>0</v>
      </c>
      <c r="BI515" s="226">
        <f>IF(N515="nulová",J515,0)</f>
        <v>0</v>
      </c>
      <c r="BJ515" s="136" t="s">
        <v>5</v>
      </c>
      <c r="BK515" s="226">
        <f>ROUND(I515*H515,2)</f>
        <v>0</v>
      </c>
      <c r="BL515" s="136" t="s">
        <v>20</v>
      </c>
      <c r="BM515" s="225" t="s">
        <v>5707</v>
      </c>
    </row>
    <row r="516" spans="2:65" s="144" customFormat="1">
      <c r="B516" s="145"/>
      <c r="D516" s="227" t="s">
        <v>3343</v>
      </c>
      <c r="F516" s="228" t="s">
        <v>5708</v>
      </c>
      <c r="L516" s="145"/>
      <c r="M516" s="229"/>
      <c r="T516" s="230"/>
      <c r="AT516" s="136" t="s">
        <v>3343</v>
      </c>
      <c r="AU516" s="136" t="s">
        <v>6</v>
      </c>
    </row>
    <row r="517" spans="2:65" s="144" customFormat="1" ht="21.75" customHeight="1">
      <c r="B517" s="214"/>
      <c r="C517" s="215" t="s">
        <v>177</v>
      </c>
      <c r="D517" s="215" t="s">
        <v>3338</v>
      </c>
      <c r="E517" s="216" t="s">
        <v>5709</v>
      </c>
      <c r="F517" s="217" t="s">
        <v>5710</v>
      </c>
      <c r="G517" s="218" t="s">
        <v>1943</v>
      </c>
      <c r="H517" s="219">
        <v>4</v>
      </c>
      <c r="I517" s="745">
        <v>0</v>
      </c>
      <c r="J517" s="220">
        <f>ROUND(I517*H517,2)</f>
        <v>0</v>
      </c>
      <c r="K517" s="217" t="s">
        <v>3341</v>
      </c>
      <c r="L517" s="145"/>
      <c r="M517" s="221" t="s">
        <v>3268</v>
      </c>
      <c r="N517" s="222" t="s">
        <v>3296</v>
      </c>
      <c r="O517" s="223">
        <v>0.33900000000000002</v>
      </c>
      <c r="P517" s="223">
        <f>O517*H517</f>
        <v>1.3560000000000001</v>
      </c>
      <c r="Q517" s="223">
        <v>7.5000000000000002E-4</v>
      </c>
      <c r="R517" s="223">
        <f>Q517*H517</f>
        <v>3.0000000000000001E-3</v>
      </c>
      <c r="S517" s="223">
        <v>0</v>
      </c>
      <c r="T517" s="224">
        <f>S517*H517</f>
        <v>0</v>
      </c>
      <c r="AR517" s="225" t="s">
        <v>20</v>
      </c>
      <c r="AT517" s="225" t="s">
        <v>3338</v>
      </c>
      <c r="AU517" s="225" t="s">
        <v>6</v>
      </c>
      <c r="AY517" s="136" t="s">
        <v>3337</v>
      </c>
      <c r="BE517" s="226">
        <f>IF(N517="základní",J517,0)</f>
        <v>0</v>
      </c>
      <c r="BF517" s="226">
        <f>IF(N517="snížená",J517,0)</f>
        <v>0</v>
      </c>
      <c r="BG517" s="226">
        <f>IF(N517="zákl. přenesená",J517,0)</f>
        <v>0</v>
      </c>
      <c r="BH517" s="226">
        <f>IF(N517="sníž. přenesená",J517,0)</f>
        <v>0</v>
      </c>
      <c r="BI517" s="226">
        <f>IF(N517="nulová",J517,0)</f>
        <v>0</v>
      </c>
      <c r="BJ517" s="136" t="s">
        <v>5</v>
      </c>
      <c r="BK517" s="226">
        <f>ROUND(I517*H517,2)</f>
        <v>0</v>
      </c>
      <c r="BL517" s="136" t="s">
        <v>20</v>
      </c>
      <c r="BM517" s="225" t="s">
        <v>5711</v>
      </c>
    </row>
    <row r="518" spans="2:65" s="144" customFormat="1" ht="19.2">
      <c r="B518" s="145"/>
      <c r="D518" s="227" t="s">
        <v>3343</v>
      </c>
      <c r="F518" s="228" t="s">
        <v>5712</v>
      </c>
      <c r="L518" s="145"/>
      <c r="M518" s="229"/>
      <c r="T518" s="230"/>
      <c r="AT518" s="136" t="s">
        <v>3343</v>
      </c>
      <c r="AU518" s="136" t="s">
        <v>6</v>
      </c>
    </row>
    <row r="519" spans="2:65" s="144" customFormat="1" ht="21.75" customHeight="1">
      <c r="B519" s="214"/>
      <c r="C519" s="215" t="s">
        <v>178</v>
      </c>
      <c r="D519" s="215" t="s">
        <v>3338</v>
      </c>
      <c r="E519" s="216" t="s">
        <v>5713</v>
      </c>
      <c r="F519" s="217" t="s">
        <v>5714</v>
      </c>
      <c r="G519" s="218" t="s">
        <v>1945</v>
      </c>
      <c r="H519" s="747">
        <v>0</v>
      </c>
      <c r="I519" s="745">
        <v>0</v>
      </c>
      <c r="J519" s="220">
        <f>ROUND(I519*H519,2)</f>
        <v>0</v>
      </c>
      <c r="K519" s="217" t="s">
        <v>3341</v>
      </c>
      <c r="L519" s="145"/>
      <c r="M519" s="221" t="s">
        <v>3268</v>
      </c>
      <c r="N519" s="222" t="s">
        <v>3296</v>
      </c>
      <c r="O519" s="223">
        <v>0</v>
      </c>
      <c r="P519" s="223">
        <f>O519*H519</f>
        <v>0</v>
      </c>
      <c r="Q519" s="223">
        <v>0</v>
      </c>
      <c r="R519" s="223">
        <f>Q519*H519</f>
        <v>0</v>
      </c>
      <c r="S519" s="223">
        <v>0</v>
      </c>
      <c r="T519" s="224">
        <f>S519*H519</f>
        <v>0</v>
      </c>
      <c r="AR519" s="225" t="s">
        <v>20</v>
      </c>
      <c r="AT519" s="225" t="s">
        <v>3338</v>
      </c>
      <c r="AU519" s="225" t="s">
        <v>6</v>
      </c>
      <c r="AY519" s="136" t="s">
        <v>3337</v>
      </c>
      <c r="BE519" s="226">
        <f>IF(N519="základní",J519,0)</f>
        <v>0</v>
      </c>
      <c r="BF519" s="226">
        <f>IF(N519="snížená",J519,0)</f>
        <v>0</v>
      </c>
      <c r="BG519" s="226">
        <f>IF(N519="zákl. přenesená",J519,0)</f>
        <v>0</v>
      </c>
      <c r="BH519" s="226">
        <f>IF(N519="sníž. přenesená",J519,0)</f>
        <v>0</v>
      </c>
      <c r="BI519" s="226">
        <f>IF(N519="nulová",J519,0)</f>
        <v>0</v>
      </c>
      <c r="BJ519" s="136" t="s">
        <v>5</v>
      </c>
      <c r="BK519" s="226">
        <f>ROUND(I519*H519,2)</f>
        <v>0</v>
      </c>
      <c r="BL519" s="136" t="s">
        <v>20</v>
      </c>
      <c r="BM519" s="225" t="s">
        <v>5715</v>
      </c>
    </row>
    <row r="520" spans="2:65" s="144" customFormat="1" ht="28.8">
      <c r="B520" s="145"/>
      <c r="D520" s="227" t="s">
        <v>3343</v>
      </c>
      <c r="F520" s="228" t="s">
        <v>5716</v>
      </c>
      <c r="L520" s="145"/>
      <c r="M520" s="229"/>
      <c r="T520" s="230"/>
      <c r="AT520" s="136" t="s">
        <v>3343</v>
      </c>
      <c r="AU520" s="136" t="s">
        <v>6</v>
      </c>
    </row>
    <row r="521" spans="2:65" s="202" customFormat="1" ht="22.95" customHeight="1">
      <c r="B521" s="203"/>
      <c r="D521" s="204" t="s">
        <v>3334</v>
      </c>
      <c r="E521" s="212" t="s">
        <v>5717</v>
      </c>
      <c r="F521" s="212" t="s">
        <v>5718</v>
      </c>
      <c r="J521" s="213">
        <f>BK521</f>
        <v>0</v>
      </c>
      <c r="L521" s="203"/>
      <c r="M521" s="207"/>
      <c r="P521" s="208">
        <f>SUM(P522:P529)</f>
        <v>34.299999999999997</v>
      </c>
      <c r="R521" s="208">
        <f>SUM(R522:R529)</f>
        <v>0.11119999999999999</v>
      </c>
      <c r="T521" s="209">
        <f>SUM(T522:T529)</f>
        <v>0</v>
      </c>
      <c r="AR521" s="204" t="s">
        <v>6</v>
      </c>
      <c r="AT521" s="210" t="s">
        <v>3334</v>
      </c>
      <c r="AU521" s="210" t="s">
        <v>5</v>
      </c>
      <c r="AY521" s="204" t="s">
        <v>3337</v>
      </c>
      <c r="BK521" s="211">
        <f>SUM(BK522:BK529)</f>
        <v>0</v>
      </c>
    </row>
    <row r="522" spans="2:65" s="144" customFormat="1" ht="21.75" customHeight="1">
      <c r="B522" s="214"/>
      <c r="C522" s="215" t="s">
        <v>179</v>
      </c>
      <c r="D522" s="215" t="s">
        <v>3338</v>
      </c>
      <c r="E522" s="216" t="s">
        <v>5719</v>
      </c>
      <c r="F522" s="217" t="s">
        <v>5720</v>
      </c>
      <c r="G522" s="218" t="s">
        <v>1938</v>
      </c>
      <c r="H522" s="219">
        <v>10</v>
      </c>
      <c r="I522" s="745">
        <v>0</v>
      </c>
      <c r="J522" s="220">
        <f>ROUND(I522*H522,2)</f>
        <v>0</v>
      </c>
      <c r="K522" s="217" t="s">
        <v>3341</v>
      </c>
      <c r="L522" s="145"/>
      <c r="M522" s="221" t="s">
        <v>3268</v>
      </c>
      <c r="N522" s="222" t="s">
        <v>3296</v>
      </c>
      <c r="O522" s="223">
        <v>2.5</v>
      </c>
      <c r="P522" s="223">
        <f>O522*H522</f>
        <v>25</v>
      </c>
      <c r="Q522" s="223">
        <v>9.1999999999999998E-3</v>
      </c>
      <c r="R522" s="223">
        <f>Q522*H522</f>
        <v>9.1999999999999998E-2</v>
      </c>
      <c r="S522" s="223">
        <v>0</v>
      </c>
      <c r="T522" s="224">
        <f>S522*H522</f>
        <v>0</v>
      </c>
      <c r="AR522" s="225" t="s">
        <v>20</v>
      </c>
      <c r="AT522" s="225" t="s">
        <v>3338</v>
      </c>
      <c r="AU522" s="225" t="s">
        <v>6</v>
      </c>
      <c r="AY522" s="136" t="s">
        <v>3337</v>
      </c>
      <c r="BE522" s="226">
        <f>IF(N522="základní",J522,0)</f>
        <v>0</v>
      </c>
      <c r="BF522" s="226">
        <f>IF(N522="snížená",J522,0)</f>
        <v>0</v>
      </c>
      <c r="BG522" s="226">
        <f>IF(N522="zákl. přenesená",J522,0)</f>
        <v>0</v>
      </c>
      <c r="BH522" s="226">
        <f>IF(N522="sníž. přenesená",J522,0)</f>
        <v>0</v>
      </c>
      <c r="BI522" s="226">
        <f>IF(N522="nulová",J522,0)</f>
        <v>0</v>
      </c>
      <c r="BJ522" s="136" t="s">
        <v>5</v>
      </c>
      <c r="BK522" s="226">
        <f>ROUND(I522*H522,2)</f>
        <v>0</v>
      </c>
      <c r="BL522" s="136" t="s">
        <v>20</v>
      </c>
      <c r="BM522" s="225" t="s">
        <v>5721</v>
      </c>
    </row>
    <row r="523" spans="2:65" s="144" customFormat="1" ht="28.8">
      <c r="B523" s="145"/>
      <c r="D523" s="227" t="s">
        <v>3343</v>
      </c>
      <c r="F523" s="228" t="s">
        <v>5722</v>
      </c>
      <c r="L523" s="145"/>
      <c r="M523" s="229"/>
      <c r="T523" s="230"/>
      <c r="AT523" s="136" t="s">
        <v>3343</v>
      </c>
      <c r="AU523" s="136" t="s">
        <v>6</v>
      </c>
    </row>
    <row r="524" spans="2:65" s="144" customFormat="1" ht="33" customHeight="1">
      <c r="B524" s="214"/>
      <c r="C524" s="215" t="s">
        <v>180</v>
      </c>
      <c r="D524" s="215" t="s">
        <v>3338</v>
      </c>
      <c r="E524" s="216" t="s">
        <v>5723</v>
      </c>
      <c r="F524" s="217" t="s">
        <v>5724</v>
      </c>
      <c r="G524" s="218" t="s">
        <v>1938</v>
      </c>
      <c r="H524" s="219">
        <v>1</v>
      </c>
      <c r="I524" s="745">
        <v>0</v>
      </c>
      <c r="J524" s="220">
        <f>ROUND(I524*H524,2)</f>
        <v>0</v>
      </c>
      <c r="K524" s="217" t="s">
        <v>3268</v>
      </c>
      <c r="L524" s="145"/>
      <c r="M524" s="221" t="s">
        <v>3268</v>
      </c>
      <c r="N524" s="222" t="s">
        <v>3296</v>
      </c>
      <c r="O524" s="223">
        <v>2.5</v>
      </c>
      <c r="P524" s="223">
        <f>O524*H524</f>
        <v>2.5</v>
      </c>
      <c r="Q524" s="223">
        <v>9.1999999999999998E-3</v>
      </c>
      <c r="R524" s="223">
        <f>Q524*H524</f>
        <v>9.1999999999999998E-3</v>
      </c>
      <c r="S524" s="223">
        <v>0</v>
      </c>
      <c r="T524" s="224">
        <f>S524*H524</f>
        <v>0</v>
      </c>
      <c r="AR524" s="225" t="s">
        <v>20</v>
      </c>
      <c r="AT524" s="225" t="s">
        <v>3338</v>
      </c>
      <c r="AU524" s="225" t="s">
        <v>6</v>
      </c>
      <c r="AY524" s="136" t="s">
        <v>3337</v>
      </c>
      <c r="BE524" s="226">
        <f>IF(N524="základní",J524,0)</f>
        <v>0</v>
      </c>
      <c r="BF524" s="226">
        <f>IF(N524="snížená",J524,0)</f>
        <v>0</v>
      </c>
      <c r="BG524" s="226">
        <f>IF(N524="zákl. přenesená",J524,0)</f>
        <v>0</v>
      </c>
      <c r="BH524" s="226">
        <f>IF(N524="sníž. přenesená",J524,0)</f>
        <v>0</v>
      </c>
      <c r="BI524" s="226">
        <f>IF(N524="nulová",J524,0)</f>
        <v>0</v>
      </c>
      <c r="BJ524" s="136" t="s">
        <v>5</v>
      </c>
      <c r="BK524" s="226">
        <f>ROUND(I524*H524,2)</f>
        <v>0</v>
      </c>
      <c r="BL524" s="136" t="s">
        <v>20</v>
      </c>
      <c r="BM524" s="225" t="s">
        <v>5725</v>
      </c>
    </row>
    <row r="525" spans="2:65" s="144" customFormat="1" ht="28.8">
      <c r="B525" s="145"/>
      <c r="D525" s="227" t="s">
        <v>3343</v>
      </c>
      <c r="F525" s="228" t="s">
        <v>5726</v>
      </c>
      <c r="L525" s="145"/>
      <c r="M525" s="229"/>
      <c r="T525" s="230"/>
      <c r="AT525" s="136" t="s">
        <v>3343</v>
      </c>
      <c r="AU525" s="136" t="s">
        <v>6</v>
      </c>
    </row>
    <row r="526" spans="2:65" s="144" customFormat="1" ht="16.5" customHeight="1">
      <c r="B526" s="214"/>
      <c r="C526" s="215" t="s">
        <v>181</v>
      </c>
      <c r="D526" s="215" t="s">
        <v>3338</v>
      </c>
      <c r="E526" s="216" t="s">
        <v>5727</v>
      </c>
      <c r="F526" s="217" t="s">
        <v>5728</v>
      </c>
      <c r="G526" s="218" t="s">
        <v>1938</v>
      </c>
      <c r="H526" s="219">
        <v>4</v>
      </c>
      <c r="I526" s="745">
        <v>0</v>
      </c>
      <c r="J526" s="220">
        <f>ROUND(I526*H526,2)</f>
        <v>0</v>
      </c>
      <c r="K526" s="217" t="s">
        <v>3268</v>
      </c>
      <c r="L526" s="145"/>
      <c r="M526" s="221" t="s">
        <v>3268</v>
      </c>
      <c r="N526" s="222" t="s">
        <v>3296</v>
      </c>
      <c r="O526" s="223">
        <v>1.7</v>
      </c>
      <c r="P526" s="223">
        <f>O526*H526</f>
        <v>6.8</v>
      </c>
      <c r="Q526" s="223">
        <v>2.5000000000000001E-3</v>
      </c>
      <c r="R526" s="223">
        <f>Q526*H526</f>
        <v>0.01</v>
      </c>
      <c r="S526" s="223">
        <v>0</v>
      </c>
      <c r="T526" s="224">
        <f>S526*H526</f>
        <v>0</v>
      </c>
      <c r="AR526" s="225" t="s">
        <v>20</v>
      </c>
      <c r="AT526" s="225" t="s">
        <v>3338</v>
      </c>
      <c r="AU526" s="225" t="s">
        <v>6</v>
      </c>
      <c r="AY526" s="136" t="s">
        <v>3337</v>
      </c>
      <c r="BE526" s="226">
        <f>IF(N526="základní",J526,0)</f>
        <v>0</v>
      </c>
      <c r="BF526" s="226">
        <f>IF(N526="snížená",J526,0)</f>
        <v>0</v>
      </c>
      <c r="BG526" s="226">
        <f>IF(N526="zákl. přenesená",J526,0)</f>
        <v>0</v>
      </c>
      <c r="BH526" s="226">
        <f>IF(N526="sníž. přenesená",J526,0)</f>
        <v>0</v>
      </c>
      <c r="BI526" s="226">
        <f>IF(N526="nulová",J526,0)</f>
        <v>0</v>
      </c>
      <c r="BJ526" s="136" t="s">
        <v>5</v>
      </c>
      <c r="BK526" s="226">
        <f>ROUND(I526*H526,2)</f>
        <v>0</v>
      </c>
      <c r="BL526" s="136" t="s">
        <v>20</v>
      </c>
      <c r="BM526" s="225" t="s">
        <v>5729</v>
      </c>
    </row>
    <row r="527" spans="2:65" s="144" customFormat="1" ht="19.2">
      <c r="B527" s="145"/>
      <c r="D527" s="227" t="s">
        <v>3343</v>
      </c>
      <c r="F527" s="228" t="s">
        <v>5730</v>
      </c>
      <c r="L527" s="145"/>
      <c r="M527" s="229"/>
      <c r="T527" s="230"/>
      <c r="AT527" s="136" t="s">
        <v>3343</v>
      </c>
      <c r="AU527" s="136" t="s">
        <v>6</v>
      </c>
    </row>
    <row r="528" spans="2:65" s="144" customFormat="1" ht="21.75" customHeight="1">
      <c r="B528" s="214"/>
      <c r="C528" s="215" t="s">
        <v>182</v>
      </c>
      <c r="D528" s="215" t="s">
        <v>3338</v>
      </c>
      <c r="E528" s="216" t="s">
        <v>5731</v>
      </c>
      <c r="F528" s="217" t="s">
        <v>5732</v>
      </c>
      <c r="G528" s="218" t="s">
        <v>1945</v>
      </c>
      <c r="H528" s="747">
        <v>0</v>
      </c>
      <c r="I528" s="745">
        <v>0</v>
      </c>
      <c r="J528" s="220">
        <f>ROUND(I528*H528,2)</f>
        <v>0</v>
      </c>
      <c r="K528" s="217" t="s">
        <v>3341</v>
      </c>
      <c r="L528" s="145"/>
      <c r="M528" s="221" t="s">
        <v>3268</v>
      </c>
      <c r="N528" s="222" t="s">
        <v>3296</v>
      </c>
      <c r="O528" s="223">
        <v>0</v>
      </c>
      <c r="P528" s="223">
        <f>O528*H528</f>
        <v>0</v>
      </c>
      <c r="Q528" s="223">
        <v>0</v>
      </c>
      <c r="R528" s="223">
        <f>Q528*H528</f>
        <v>0</v>
      </c>
      <c r="S528" s="223">
        <v>0</v>
      </c>
      <c r="T528" s="224">
        <f>S528*H528</f>
        <v>0</v>
      </c>
      <c r="AR528" s="225" t="s">
        <v>20</v>
      </c>
      <c r="AT528" s="225" t="s">
        <v>3338</v>
      </c>
      <c r="AU528" s="225" t="s">
        <v>6</v>
      </c>
      <c r="AY528" s="136" t="s">
        <v>3337</v>
      </c>
      <c r="BE528" s="226">
        <f>IF(N528="základní",J528,0)</f>
        <v>0</v>
      </c>
      <c r="BF528" s="226">
        <f>IF(N528="snížená",J528,0)</f>
        <v>0</v>
      </c>
      <c r="BG528" s="226">
        <f>IF(N528="zákl. přenesená",J528,0)</f>
        <v>0</v>
      </c>
      <c r="BH528" s="226">
        <f>IF(N528="sníž. přenesená",J528,0)</f>
        <v>0</v>
      </c>
      <c r="BI528" s="226">
        <f>IF(N528="nulová",J528,0)</f>
        <v>0</v>
      </c>
      <c r="BJ528" s="136" t="s">
        <v>5</v>
      </c>
      <c r="BK528" s="226">
        <f>ROUND(I528*H528,2)</f>
        <v>0</v>
      </c>
      <c r="BL528" s="136" t="s">
        <v>20</v>
      </c>
      <c r="BM528" s="225" t="s">
        <v>5733</v>
      </c>
    </row>
    <row r="529" spans="2:65" s="144" customFormat="1" ht="28.8">
      <c r="B529" s="145"/>
      <c r="D529" s="227" t="s">
        <v>3343</v>
      </c>
      <c r="F529" s="228" t="s">
        <v>5734</v>
      </c>
      <c r="L529" s="145"/>
      <c r="M529" s="229"/>
      <c r="T529" s="230"/>
      <c r="AT529" s="136" t="s">
        <v>3343</v>
      </c>
      <c r="AU529" s="136" t="s">
        <v>6</v>
      </c>
    </row>
    <row r="530" spans="2:65" s="202" customFormat="1" ht="22.95" customHeight="1">
      <c r="B530" s="203"/>
      <c r="D530" s="204" t="s">
        <v>3334</v>
      </c>
      <c r="E530" s="212" t="s">
        <v>1200</v>
      </c>
      <c r="F530" s="212" t="s">
        <v>5735</v>
      </c>
      <c r="J530" s="213">
        <f>BK530</f>
        <v>0</v>
      </c>
      <c r="L530" s="203"/>
      <c r="M530" s="207"/>
      <c r="P530" s="208">
        <f>SUM(P531:P534)</f>
        <v>8.9759999999999991</v>
      </c>
      <c r="R530" s="208">
        <f>SUM(R531:R534)</f>
        <v>5.1000000000000004E-3</v>
      </c>
      <c r="T530" s="209">
        <f>SUM(T531:T534)</f>
        <v>0</v>
      </c>
      <c r="AR530" s="204" t="s">
        <v>6</v>
      </c>
      <c r="AT530" s="210" t="s">
        <v>3334</v>
      </c>
      <c r="AU530" s="210" t="s">
        <v>5</v>
      </c>
      <c r="AY530" s="204" t="s">
        <v>3337</v>
      </c>
      <c r="BK530" s="211">
        <f>SUM(BK531:BK534)</f>
        <v>0</v>
      </c>
    </row>
    <row r="531" spans="2:65" s="144" customFormat="1" ht="21.75" customHeight="1">
      <c r="B531" s="214"/>
      <c r="C531" s="215" t="s">
        <v>183</v>
      </c>
      <c r="D531" s="215" t="s">
        <v>3338</v>
      </c>
      <c r="E531" s="216" t="s">
        <v>5736</v>
      </c>
      <c r="F531" s="217" t="s">
        <v>5737</v>
      </c>
      <c r="G531" s="218" t="s">
        <v>1939</v>
      </c>
      <c r="H531" s="219">
        <v>102</v>
      </c>
      <c r="I531" s="745">
        <v>0</v>
      </c>
      <c r="J531" s="220">
        <f>ROUND(I531*H531,2)</f>
        <v>0</v>
      </c>
      <c r="K531" s="217" t="s">
        <v>3341</v>
      </c>
      <c r="L531" s="145"/>
      <c r="M531" s="221" t="s">
        <v>3268</v>
      </c>
      <c r="N531" s="222" t="s">
        <v>3296</v>
      </c>
      <c r="O531" s="223">
        <v>2.8000000000000001E-2</v>
      </c>
      <c r="P531" s="223">
        <f>O531*H531</f>
        <v>2.8559999999999999</v>
      </c>
      <c r="Q531" s="223">
        <v>2.0000000000000002E-5</v>
      </c>
      <c r="R531" s="223">
        <f>Q531*H531</f>
        <v>2.0400000000000001E-3</v>
      </c>
      <c r="S531" s="223">
        <v>0</v>
      </c>
      <c r="T531" s="224">
        <f>S531*H531</f>
        <v>0</v>
      </c>
      <c r="AR531" s="225" t="s">
        <v>20</v>
      </c>
      <c r="AT531" s="225" t="s">
        <v>3338</v>
      </c>
      <c r="AU531" s="225" t="s">
        <v>6</v>
      </c>
      <c r="AY531" s="136" t="s">
        <v>3337</v>
      </c>
      <c r="BE531" s="226">
        <f>IF(N531="základní",J531,0)</f>
        <v>0</v>
      </c>
      <c r="BF531" s="226">
        <f>IF(N531="snížená",J531,0)</f>
        <v>0</v>
      </c>
      <c r="BG531" s="226">
        <f>IF(N531="zákl. přenesená",J531,0)</f>
        <v>0</v>
      </c>
      <c r="BH531" s="226">
        <f>IF(N531="sníž. přenesená",J531,0)</f>
        <v>0</v>
      </c>
      <c r="BI531" s="226">
        <f>IF(N531="nulová",J531,0)</f>
        <v>0</v>
      </c>
      <c r="BJ531" s="136" t="s">
        <v>5</v>
      </c>
      <c r="BK531" s="226">
        <f>ROUND(I531*H531,2)</f>
        <v>0</v>
      </c>
      <c r="BL531" s="136" t="s">
        <v>20</v>
      </c>
      <c r="BM531" s="225" t="s">
        <v>5738</v>
      </c>
    </row>
    <row r="532" spans="2:65" s="144" customFormat="1" ht="19.2">
      <c r="B532" s="145"/>
      <c r="D532" s="227" t="s">
        <v>3343</v>
      </c>
      <c r="F532" s="228" t="s">
        <v>5739</v>
      </c>
      <c r="L532" s="145"/>
      <c r="M532" s="229"/>
      <c r="T532" s="230"/>
      <c r="AT532" s="136" t="s">
        <v>3343</v>
      </c>
      <c r="AU532" s="136" t="s">
        <v>6</v>
      </c>
    </row>
    <row r="533" spans="2:65" s="144" customFormat="1" ht="21.75" customHeight="1">
      <c r="B533" s="214"/>
      <c r="C533" s="215" t="s">
        <v>184</v>
      </c>
      <c r="D533" s="215" t="s">
        <v>3338</v>
      </c>
      <c r="E533" s="216" t="s">
        <v>5740</v>
      </c>
      <c r="F533" s="217" t="s">
        <v>5741</v>
      </c>
      <c r="G533" s="218" t="s">
        <v>1939</v>
      </c>
      <c r="H533" s="219">
        <v>102</v>
      </c>
      <c r="I533" s="745">
        <v>0</v>
      </c>
      <c r="J533" s="220">
        <f>ROUND(I533*H533,2)</f>
        <v>0</v>
      </c>
      <c r="K533" s="217" t="s">
        <v>3341</v>
      </c>
      <c r="L533" s="145"/>
      <c r="M533" s="221" t="s">
        <v>3268</v>
      </c>
      <c r="N533" s="222" t="s">
        <v>3296</v>
      </c>
      <c r="O533" s="223">
        <v>0.06</v>
      </c>
      <c r="P533" s="223">
        <f>O533*H533</f>
        <v>6.12</v>
      </c>
      <c r="Q533" s="223">
        <v>3.0000000000000001E-5</v>
      </c>
      <c r="R533" s="223">
        <f>Q533*H533</f>
        <v>3.0600000000000002E-3</v>
      </c>
      <c r="S533" s="223">
        <v>0</v>
      </c>
      <c r="T533" s="224">
        <f>S533*H533</f>
        <v>0</v>
      </c>
      <c r="AR533" s="225" t="s">
        <v>20</v>
      </c>
      <c r="AT533" s="225" t="s">
        <v>3338</v>
      </c>
      <c r="AU533" s="225" t="s">
        <v>6</v>
      </c>
      <c r="AY533" s="136" t="s">
        <v>3337</v>
      </c>
      <c r="BE533" s="226">
        <f>IF(N533="základní",J533,0)</f>
        <v>0</v>
      </c>
      <c r="BF533" s="226">
        <f>IF(N533="snížená",J533,0)</f>
        <v>0</v>
      </c>
      <c r="BG533" s="226">
        <f>IF(N533="zákl. přenesená",J533,0)</f>
        <v>0</v>
      </c>
      <c r="BH533" s="226">
        <f>IF(N533="sníž. přenesená",J533,0)</f>
        <v>0</v>
      </c>
      <c r="BI533" s="226">
        <f>IF(N533="nulová",J533,0)</f>
        <v>0</v>
      </c>
      <c r="BJ533" s="136" t="s">
        <v>5</v>
      </c>
      <c r="BK533" s="226">
        <f>ROUND(I533*H533,2)</f>
        <v>0</v>
      </c>
      <c r="BL533" s="136" t="s">
        <v>20</v>
      </c>
      <c r="BM533" s="225" t="s">
        <v>5742</v>
      </c>
    </row>
    <row r="534" spans="2:65" s="144" customFormat="1" ht="19.2">
      <c r="B534" s="145"/>
      <c r="D534" s="227" t="s">
        <v>3343</v>
      </c>
      <c r="F534" s="228" t="s">
        <v>5743</v>
      </c>
      <c r="L534" s="145"/>
      <c r="M534" s="229"/>
      <c r="T534" s="230"/>
      <c r="AT534" s="136" t="s">
        <v>3343</v>
      </c>
      <c r="AU534" s="136" t="s">
        <v>6</v>
      </c>
    </row>
    <row r="535" spans="2:65" s="202" customFormat="1" ht="25.95" customHeight="1">
      <c r="B535" s="203"/>
      <c r="D535" s="204" t="s">
        <v>3334</v>
      </c>
      <c r="E535" s="205" t="s">
        <v>5744</v>
      </c>
      <c r="F535" s="205" t="s">
        <v>5745</v>
      </c>
      <c r="J535" s="206">
        <f>BK535</f>
        <v>0</v>
      </c>
      <c r="L535" s="203"/>
      <c r="M535" s="207"/>
      <c r="P535" s="208">
        <f>SUM(P536:P537)</f>
        <v>200</v>
      </c>
      <c r="R535" s="208">
        <f>SUM(R536:R537)</f>
        <v>0</v>
      </c>
      <c r="T535" s="209">
        <f>SUM(T536:T537)</f>
        <v>0</v>
      </c>
      <c r="AR535" s="204" t="s">
        <v>8</v>
      </c>
      <c r="AT535" s="210" t="s">
        <v>3334</v>
      </c>
      <c r="AU535" s="210" t="s">
        <v>3336</v>
      </c>
      <c r="AY535" s="204" t="s">
        <v>3337</v>
      </c>
      <c r="BK535" s="211">
        <f>SUM(BK536:BK537)</f>
        <v>0</v>
      </c>
    </row>
    <row r="536" spans="2:65" s="144" customFormat="1" ht="16.5" customHeight="1">
      <c r="B536" s="214"/>
      <c r="C536" s="215" t="s">
        <v>185</v>
      </c>
      <c r="D536" s="215" t="s">
        <v>3338</v>
      </c>
      <c r="E536" s="216" t="s">
        <v>5746</v>
      </c>
      <c r="F536" s="217" t="s">
        <v>5747</v>
      </c>
      <c r="G536" s="218" t="s">
        <v>4142</v>
      </c>
      <c r="H536" s="219">
        <v>200</v>
      </c>
      <c r="I536" s="745">
        <v>0</v>
      </c>
      <c r="J536" s="220">
        <f>ROUND(I536*H536,2)</f>
        <v>0</v>
      </c>
      <c r="K536" s="217" t="s">
        <v>3341</v>
      </c>
      <c r="L536" s="145"/>
      <c r="M536" s="221" t="s">
        <v>3268</v>
      </c>
      <c r="N536" s="222" t="s">
        <v>3296</v>
      </c>
      <c r="O536" s="223">
        <v>1</v>
      </c>
      <c r="P536" s="223">
        <f>O536*H536</f>
        <v>200</v>
      </c>
      <c r="Q536" s="223">
        <v>0</v>
      </c>
      <c r="R536" s="223">
        <f>Q536*H536</f>
        <v>0</v>
      </c>
      <c r="S536" s="223">
        <v>0</v>
      </c>
      <c r="T536" s="224">
        <f>S536*H536</f>
        <v>0</v>
      </c>
      <c r="AR536" s="225" t="s">
        <v>516</v>
      </c>
      <c r="AT536" s="225" t="s">
        <v>3338</v>
      </c>
      <c r="AU536" s="225" t="s">
        <v>5</v>
      </c>
      <c r="AY536" s="136" t="s">
        <v>3337</v>
      </c>
      <c r="BE536" s="226">
        <f>IF(N536="základní",J536,0)</f>
        <v>0</v>
      </c>
      <c r="BF536" s="226">
        <f>IF(N536="snížená",J536,0)</f>
        <v>0</v>
      </c>
      <c r="BG536" s="226">
        <f>IF(N536="zákl. přenesená",J536,0)</f>
        <v>0</v>
      </c>
      <c r="BH536" s="226">
        <f>IF(N536="sníž. přenesená",J536,0)</f>
        <v>0</v>
      </c>
      <c r="BI536" s="226">
        <f>IF(N536="nulová",J536,0)</f>
        <v>0</v>
      </c>
      <c r="BJ536" s="136" t="s">
        <v>5</v>
      </c>
      <c r="BK536" s="226">
        <f>ROUND(I536*H536,2)</f>
        <v>0</v>
      </c>
      <c r="BL536" s="136" t="s">
        <v>516</v>
      </c>
      <c r="BM536" s="225" t="s">
        <v>5748</v>
      </c>
    </row>
    <row r="537" spans="2:65" s="144" customFormat="1" ht="19.2">
      <c r="B537" s="145"/>
      <c r="D537" s="227" t="s">
        <v>3343</v>
      </c>
      <c r="F537" s="228" t="s">
        <v>5749</v>
      </c>
      <c r="L537" s="145"/>
      <c r="M537" s="229"/>
      <c r="T537" s="230"/>
      <c r="AT537" s="136" t="s">
        <v>3343</v>
      </c>
      <c r="AU537" s="136" t="s">
        <v>5</v>
      </c>
    </row>
    <row r="538" spans="2:65" s="202" customFormat="1" ht="25.95" customHeight="1">
      <c r="B538" s="203"/>
      <c r="D538" s="204" t="s">
        <v>3334</v>
      </c>
      <c r="E538" s="205" t="s">
        <v>3462</v>
      </c>
      <c r="F538" s="205" t="s">
        <v>3463</v>
      </c>
      <c r="J538" s="206">
        <f>BK538</f>
        <v>0</v>
      </c>
      <c r="L538" s="203"/>
      <c r="M538" s="207"/>
      <c r="P538" s="208">
        <f>P539+P542+P545</f>
        <v>0</v>
      </c>
      <c r="R538" s="208">
        <f>R539+R542+R545</f>
        <v>0</v>
      </c>
      <c r="T538" s="209">
        <f>T539+T542+T545</f>
        <v>0</v>
      </c>
      <c r="AR538" s="204" t="s">
        <v>9</v>
      </c>
      <c r="AT538" s="210" t="s">
        <v>3334</v>
      </c>
      <c r="AU538" s="210" t="s">
        <v>3336</v>
      </c>
      <c r="AY538" s="204" t="s">
        <v>3337</v>
      </c>
      <c r="BK538" s="211">
        <f>BK539+BK542+BK545</f>
        <v>0</v>
      </c>
    </row>
    <row r="539" spans="2:65" s="202" customFormat="1" ht="22.95" customHeight="1">
      <c r="B539" s="203"/>
      <c r="D539" s="204" t="s">
        <v>3334</v>
      </c>
      <c r="E539" s="212" t="s">
        <v>3464</v>
      </c>
      <c r="F539" s="212" t="s">
        <v>3465</v>
      </c>
      <c r="J539" s="213">
        <f>BK539</f>
        <v>0</v>
      </c>
      <c r="L539" s="203"/>
      <c r="M539" s="207"/>
      <c r="P539" s="208">
        <f>SUM(P540:P541)</f>
        <v>0</v>
      </c>
      <c r="R539" s="208">
        <f>SUM(R540:R541)</f>
        <v>0</v>
      </c>
      <c r="T539" s="209">
        <f>SUM(T540:T541)</f>
        <v>0</v>
      </c>
      <c r="AR539" s="204" t="s">
        <v>9</v>
      </c>
      <c r="AT539" s="210" t="s">
        <v>3334</v>
      </c>
      <c r="AU539" s="210" t="s">
        <v>5</v>
      </c>
      <c r="AY539" s="204" t="s">
        <v>3337</v>
      </c>
      <c r="BK539" s="211">
        <f>SUM(BK540:BK541)</f>
        <v>0</v>
      </c>
    </row>
    <row r="540" spans="2:65" s="144" customFormat="1" ht="16.5" customHeight="1">
      <c r="B540" s="214"/>
      <c r="C540" s="215" t="s">
        <v>186</v>
      </c>
      <c r="D540" s="215" t="s">
        <v>3338</v>
      </c>
      <c r="E540" s="216" t="s">
        <v>3470</v>
      </c>
      <c r="F540" s="217" t="s">
        <v>3471</v>
      </c>
      <c r="G540" s="218" t="s">
        <v>1938</v>
      </c>
      <c r="H540" s="219">
        <v>1</v>
      </c>
      <c r="I540" s="745">
        <v>0</v>
      </c>
      <c r="J540" s="220">
        <f>ROUND(I540*H540,2)</f>
        <v>0</v>
      </c>
      <c r="K540" s="217" t="s">
        <v>3341</v>
      </c>
      <c r="L540" s="145"/>
      <c r="M540" s="221" t="s">
        <v>3268</v>
      </c>
      <c r="N540" s="222" t="s">
        <v>3296</v>
      </c>
      <c r="O540" s="223">
        <v>0</v>
      </c>
      <c r="P540" s="223">
        <f>O540*H540</f>
        <v>0</v>
      </c>
      <c r="Q540" s="223">
        <v>0</v>
      </c>
      <c r="R540" s="223">
        <f>Q540*H540</f>
        <v>0</v>
      </c>
      <c r="S540" s="223">
        <v>0</v>
      </c>
      <c r="T540" s="224">
        <f>S540*H540</f>
        <v>0</v>
      </c>
      <c r="AR540" s="225" t="s">
        <v>3468</v>
      </c>
      <c r="AT540" s="225" t="s">
        <v>3338</v>
      </c>
      <c r="AU540" s="225" t="s">
        <v>6</v>
      </c>
      <c r="AY540" s="136" t="s">
        <v>3337</v>
      </c>
      <c r="BE540" s="226">
        <f>IF(N540="základní",J540,0)</f>
        <v>0</v>
      </c>
      <c r="BF540" s="226">
        <f>IF(N540="snížená",J540,0)</f>
        <v>0</v>
      </c>
      <c r="BG540" s="226">
        <f>IF(N540="zákl. přenesená",J540,0)</f>
        <v>0</v>
      </c>
      <c r="BH540" s="226">
        <f>IF(N540="sníž. přenesená",J540,0)</f>
        <v>0</v>
      </c>
      <c r="BI540" s="226">
        <f>IF(N540="nulová",J540,0)</f>
        <v>0</v>
      </c>
      <c r="BJ540" s="136" t="s">
        <v>5</v>
      </c>
      <c r="BK540" s="226">
        <f>ROUND(I540*H540,2)</f>
        <v>0</v>
      </c>
      <c r="BL540" s="136" t="s">
        <v>3468</v>
      </c>
      <c r="BM540" s="225" t="s">
        <v>5750</v>
      </c>
    </row>
    <row r="541" spans="2:65" s="144" customFormat="1">
      <c r="B541" s="145"/>
      <c r="D541" s="227" t="s">
        <v>3343</v>
      </c>
      <c r="F541" s="228" t="s">
        <v>3471</v>
      </c>
      <c r="L541" s="145"/>
      <c r="M541" s="229"/>
      <c r="T541" s="230"/>
      <c r="AT541" s="136" t="s">
        <v>3343</v>
      </c>
      <c r="AU541" s="136" t="s">
        <v>6</v>
      </c>
    </row>
    <row r="542" spans="2:65" s="202" customFormat="1" ht="22.95" customHeight="1">
      <c r="B542" s="203"/>
      <c r="D542" s="204" t="s">
        <v>3334</v>
      </c>
      <c r="E542" s="212" t="s">
        <v>3473</v>
      </c>
      <c r="F542" s="212" t="s">
        <v>3169</v>
      </c>
      <c r="J542" s="213">
        <f>BK542</f>
        <v>0</v>
      </c>
      <c r="L542" s="203"/>
      <c r="M542" s="207"/>
      <c r="P542" s="208">
        <f>SUM(P543:P544)</f>
        <v>0</v>
      </c>
      <c r="R542" s="208">
        <f>SUM(R543:R544)</f>
        <v>0</v>
      </c>
      <c r="T542" s="209">
        <f>SUM(T543:T544)</f>
        <v>0</v>
      </c>
      <c r="AR542" s="204" t="s">
        <v>9</v>
      </c>
      <c r="AT542" s="210" t="s">
        <v>3334</v>
      </c>
      <c r="AU542" s="210" t="s">
        <v>5</v>
      </c>
      <c r="AY542" s="204" t="s">
        <v>3337</v>
      </c>
      <c r="BK542" s="211">
        <f>SUM(BK543:BK544)</f>
        <v>0</v>
      </c>
    </row>
    <row r="543" spans="2:65" s="144" customFormat="1" ht="16.5" customHeight="1">
      <c r="B543" s="214"/>
      <c r="C543" s="215" t="s">
        <v>187</v>
      </c>
      <c r="D543" s="215" t="s">
        <v>3338</v>
      </c>
      <c r="E543" s="216" t="s">
        <v>3474</v>
      </c>
      <c r="F543" s="217" t="s">
        <v>3475</v>
      </c>
      <c r="G543" s="218" t="s">
        <v>1938</v>
      </c>
      <c r="H543" s="219">
        <v>1</v>
      </c>
      <c r="I543" s="745">
        <v>0</v>
      </c>
      <c r="J543" s="220">
        <f>ROUND(I543*H543,2)</f>
        <v>0</v>
      </c>
      <c r="K543" s="217" t="s">
        <v>3268</v>
      </c>
      <c r="L543" s="145"/>
      <c r="M543" s="221" t="s">
        <v>3268</v>
      </c>
      <c r="N543" s="222" t="s">
        <v>3296</v>
      </c>
      <c r="O543" s="223">
        <v>0</v>
      </c>
      <c r="P543" s="223">
        <f>O543*H543</f>
        <v>0</v>
      </c>
      <c r="Q543" s="223">
        <v>0</v>
      </c>
      <c r="R543" s="223">
        <f>Q543*H543</f>
        <v>0</v>
      </c>
      <c r="S543" s="223">
        <v>0</v>
      </c>
      <c r="T543" s="224">
        <f>S543*H543</f>
        <v>0</v>
      </c>
      <c r="AR543" s="225" t="s">
        <v>3468</v>
      </c>
      <c r="AT543" s="225" t="s">
        <v>3338</v>
      </c>
      <c r="AU543" s="225" t="s">
        <v>6</v>
      </c>
      <c r="AY543" s="136" t="s">
        <v>3337</v>
      </c>
      <c r="BE543" s="226">
        <f>IF(N543="základní",J543,0)</f>
        <v>0</v>
      </c>
      <c r="BF543" s="226">
        <f>IF(N543="snížená",J543,0)</f>
        <v>0</v>
      </c>
      <c r="BG543" s="226">
        <f>IF(N543="zákl. přenesená",J543,0)</f>
        <v>0</v>
      </c>
      <c r="BH543" s="226">
        <f>IF(N543="sníž. přenesená",J543,0)</f>
        <v>0</v>
      </c>
      <c r="BI543" s="226">
        <f>IF(N543="nulová",J543,0)</f>
        <v>0</v>
      </c>
      <c r="BJ543" s="136" t="s">
        <v>5</v>
      </c>
      <c r="BK543" s="226">
        <f>ROUND(I543*H543,2)</f>
        <v>0</v>
      </c>
      <c r="BL543" s="136" t="s">
        <v>3468</v>
      </c>
      <c r="BM543" s="225" t="s">
        <v>5751</v>
      </c>
    </row>
    <row r="544" spans="2:65" s="144" customFormat="1">
      <c r="B544" s="145"/>
      <c r="D544" s="227" t="s">
        <v>3343</v>
      </c>
      <c r="F544" s="228" t="s">
        <v>3475</v>
      </c>
      <c r="L544" s="145"/>
      <c r="M544" s="229"/>
      <c r="T544" s="230"/>
      <c r="AT544" s="136" t="s">
        <v>3343</v>
      </c>
      <c r="AU544" s="136" t="s">
        <v>6</v>
      </c>
    </row>
    <row r="545" spans="2:65" s="202" customFormat="1" ht="22.95" customHeight="1">
      <c r="B545" s="203"/>
      <c r="D545" s="204" t="s">
        <v>3334</v>
      </c>
      <c r="E545" s="212" t="s">
        <v>5752</v>
      </c>
      <c r="F545" s="212" t="s">
        <v>5753</v>
      </c>
      <c r="J545" s="213">
        <f>BK545</f>
        <v>0</v>
      </c>
      <c r="L545" s="203"/>
      <c r="M545" s="207"/>
      <c r="P545" s="208">
        <f>SUM(P546:P549)</f>
        <v>0</v>
      </c>
      <c r="R545" s="208">
        <f>SUM(R546:R549)</f>
        <v>0</v>
      </c>
      <c r="T545" s="209">
        <f>SUM(T546:T549)</f>
        <v>0</v>
      </c>
      <c r="AR545" s="204" t="s">
        <v>9</v>
      </c>
      <c r="AT545" s="210" t="s">
        <v>3334</v>
      </c>
      <c r="AU545" s="210" t="s">
        <v>5</v>
      </c>
      <c r="AY545" s="204" t="s">
        <v>3337</v>
      </c>
      <c r="BK545" s="211">
        <f>SUM(BK546:BK549)</f>
        <v>0</v>
      </c>
    </row>
    <row r="546" spans="2:65" s="144" customFormat="1" ht="16.5" customHeight="1">
      <c r="B546" s="214"/>
      <c r="C546" s="215" t="s">
        <v>188</v>
      </c>
      <c r="D546" s="215" t="s">
        <v>3338</v>
      </c>
      <c r="E546" s="216" t="s">
        <v>5754</v>
      </c>
      <c r="F546" s="217" t="s">
        <v>5755</v>
      </c>
      <c r="G546" s="218" t="s">
        <v>1938</v>
      </c>
      <c r="H546" s="219">
        <v>1</v>
      </c>
      <c r="I546" s="745">
        <v>0</v>
      </c>
      <c r="J546" s="220">
        <f>ROUND(I546*H546,2)</f>
        <v>0</v>
      </c>
      <c r="K546" s="217" t="s">
        <v>3268</v>
      </c>
      <c r="L546" s="145"/>
      <c r="M546" s="221" t="s">
        <v>3268</v>
      </c>
      <c r="N546" s="222" t="s">
        <v>3296</v>
      </c>
      <c r="O546" s="223">
        <v>0</v>
      </c>
      <c r="P546" s="223">
        <f>O546*H546</f>
        <v>0</v>
      </c>
      <c r="Q546" s="223">
        <v>0</v>
      </c>
      <c r="R546" s="223">
        <f>Q546*H546</f>
        <v>0</v>
      </c>
      <c r="S546" s="223">
        <v>0</v>
      </c>
      <c r="T546" s="224">
        <f>S546*H546</f>
        <v>0</v>
      </c>
      <c r="AR546" s="225" t="s">
        <v>3468</v>
      </c>
      <c r="AT546" s="225" t="s">
        <v>3338</v>
      </c>
      <c r="AU546" s="225" t="s">
        <v>6</v>
      </c>
      <c r="AY546" s="136" t="s">
        <v>3337</v>
      </c>
      <c r="BE546" s="226">
        <f>IF(N546="základní",J546,0)</f>
        <v>0</v>
      </c>
      <c r="BF546" s="226">
        <f>IF(N546="snížená",J546,0)</f>
        <v>0</v>
      </c>
      <c r="BG546" s="226">
        <f>IF(N546="zákl. přenesená",J546,0)</f>
        <v>0</v>
      </c>
      <c r="BH546" s="226">
        <f>IF(N546="sníž. přenesená",J546,0)</f>
        <v>0</v>
      </c>
      <c r="BI546" s="226">
        <f>IF(N546="nulová",J546,0)</f>
        <v>0</v>
      </c>
      <c r="BJ546" s="136" t="s">
        <v>5</v>
      </c>
      <c r="BK546" s="226">
        <f>ROUND(I546*H546,2)</f>
        <v>0</v>
      </c>
      <c r="BL546" s="136" t="s">
        <v>3468</v>
      </c>
      <c r="BM546" s="225" t="s">
        <v>5756</v>
      </c>
    </row>
    <row r="547" spans="2:65" s="144" customFormat="1">
      <c r="B547" s="145"/>
      <c r="D547" s="227" t="s">
        <v>3343</v>
      </c>
      <c r="F547" s="228" t="s">
        <v>5755</v>
      </c>
      <c r="L547" s="145"/>
      <c r="M547" s="229"/>
      <c r="T547" s="230"/>
      <c r="AT547" s="136" t="s">
        <v>3343</v>
      </c>
      <c r="AU547" s="136" t="s">
        <v>6</v>
      </c>
    </row>
    <row r="548" spans="2:65" s="144" customFormat="1" ht="16.5" customHeight="1">
      <c r="B548" s="214"/>
      <c r="C548" s="215" t="s">
        <v>189</v>
      </c>
      <c r="D548" s="215" t="s">
        <v>3338</v>
      </c>
      <c r="E548" s="216" t="s">
        <v>5757</v>
      </c>
      <c r="F548" s="217" t="s">
        <v>5758</v>
      </c>
      <c r="G548" s="218" t="s">
        <v>1938</v>
      </c>
      <c r="H548" s="219">
        <v>1</v>
      </c>
      <c r="I548" s="745">
        <v>0</v>
      </c>
      <c r="J548" s="220">
        <f>ROUND(I548*H548,2)</f>
        <v>0</v>
      </c>
      <c r="K548" s="217" t="s">
        <v>3268</v>
      </c>
      <c r="L548" s="145"/>
      <c r="M548" s="221" t="s">
        <v>3268</v>
      </c>
      <c r="N548" s="222" t="s">
        <v>3296</v>
      </c>
      <c r="O548" s="223">
        <v>0</v>
      </c>
      <c r="P548" s="223">
        <f>O548*H548</f>
        <v>0</v>
      </c>
      <c r="Q548" s="223">
        <v>0</v>
      </c>
      <c r="R548" s="223">
        <f>Q548*H548</f>
        <v>0</v>
      </c>
      <c r="S548" s="223">
        <v>0</v>
      </c>
      <c r="T548" s="224">
        <f>S548*H548</f>
        <v>0</v>
      </c>
      <c r="AR548" s="225" t="s">
        <v>3468</v>
      </c>
      <c r="AT548" s="225" t="s">
        <v>3338</v>
      </c>
      <c r="AU548" s="225" t="s">
        <v>6</v>
      </c>
      <c r="AY548" s="136" t="s">
        <v>3337</v>
      </c>
      <c r="BE548" s="226">
        <f>IF(N548="základní",J548,0)</f>
        <v>0</v>
      </c>
      <c r="BF548" s="226">
        <f>IF(N548="snížená",J548,0)</f>
        <v>0</v>
      </c>
      <c r="BG548" s="226">
        <f>IF(N548="zákl. přenesená",J548,0)</f>
        <v>0</v>
      </c>
      <c r="BH548" s="226">
        <f>IF(N548="sníž. přenesená",J548,0)</f>
        <v>0</v>
      </c>
      <c r="BI548" s="226">
        <f>IF(N548="nulová",J548,0)</f>
        <v>0</v>
      </c>
      <c r="BJ548" s="136" t="s">
        <v>5</v>
      </c>
      <c r="BK548" s="226">
        <f>ROUND(I548*H548,2)</f>
        <v>0</v>
      </c>
      <c r="BL548" s="136" t="s">
        <v>3468</v>
      </c>
      <c r="BM548" s="225" t="s">
        <v>5759</v>
      </c>
    </row>
    <row r="549" spans="2:65" s="144" customFormat="1">
      <c r="B549" s="145"/>
      <c r="D549" s="227" t="s">
        <v>3343</v>
      </c>
      <c r="F549" s="228" t="s">
        <v>5760</v>
      </c>
      <c r="L549" s="145"/>
      <c r="M549" s="260"/>
      <c r="N549" s="261"/>
      <c r="O549" s="261"/>
      <c r="P549" s="261"/>
      <c r="Q549" s="261"/>
      <c r="R549" s="261"/>
      <c r="S549" s="261"/>
      <c r="T549" s="262"/>
      <c r="AT549" s="136" t="s">
        <v>3343</v>
      </c>
      <c r="AU549" s="136" t="s">
        <v>6</v>
      </c>
    </row>
    <row r="550" spans="2:65" s="144" customFormat="1" ht="6.9" customHeight="1">
      <c r="B550" s="171"/>
      <c r="C550" s="172"/>
      <c r="D550" s="172"/>
      <c r="E550" s="172"/>
      <c r="F550" s="172"/>
      <c r="G550" s="172"/>
      <c r="H550" s="172"/>
      <c r="I550" s="172"/>
      <c r="J550" s="172"/>
      <c r="K550" s="172"/>
      <c r="L550" s="145"/>
    </row>
  </sheetData>
  <mergeCells count="9">
    <mergeCell ref="E87:H87"/>
    <mergeCell ref="E125:H125"/>
    <mergeCell ref="E127:H127"/>
    <mergeCell ref="L2:V2"/>
    <mergeCell ref="E7:H7"/>
    <mergeCell ref="E9:H9"/>
    <mergeCell ref="E18:H18"/>
    <mergeCell ref="E27:H27"/>
    <mergeCell ref="E85:H85"/>
  </mergeCells>
  <pageMargins left="0.7" right="0.7" top="0.78740157499999996" bottom="0.78740157499999996" header="0.3" footer="0.3"/>
  <pageSetup paperSize="9" scale="66" orientation="portrait" r:id="rId1"/>
  <rowBreaks count="1" manualBreakCount="1">
    <brk id="79" min="1" max="10" man="1"/>
  </rowBreaks>
</worksheet>
</file>

<file path=xl/worksheets/sheet9.xml><?xml version="1.0" encoding="utf-8"?>
<worksheet xmlns="http://schemas.openxmlformats.org/spreadsheetml/2006/main" xmlns:r="http://schemas.openxmlformats.org/officeDocument/2006/relationships">
  <dimension ref="A1:G1667"/>
  <sheetViews>
    <sheetView zoomScaleNormal="100" workbookViewId="0">
      <selection activeCell="J5" sqref="J5"/>
    </sheetView>
  </sheetViews>
  <sheetFormatPr defaultColWidth="9.109375" defaultRowHeight="13.2"/>
  <cols>
    <col min="1" max="1" width="11.33203125" style="347" customWidth="1"/>
    <col min="2" max="2" width="68.6640625" style="348" customWidth="1"/>
    <col min="3" max="3" width="11.109375" style="347" customWidth="1"/>
    <col min="4" max="4" width="14.44140625" style="390" customWidth="1"/>
    <col min="5" max="6" width="14.44140625" style="348" customWidth="1"/>
    <col min="7" max="7" width="11.6640625" style="348" customWidth="1"/>
    <col min="8" max="16384" width="9.109375" style="348"/>
  </cols>
  <sheetData>
    <row r="1" spans="1:7" s="340" customFormat="1" ht="21" customHeight="1">
      <c r="A1" s="975" t="s">
        <v>4881</v>
      </c>
      <c r="B1" s="975"/>
      <c r="C1" s="975"/>
      <c r="D1" s="975"/>
    </row>
    <row r="2" spans="1:7" s="344" customFormat="1" ht="15">
      <c r="A2" s="341" t="s">
        <v>5851</v>
      </c>
      <c r="B2" s="342" t="s">
        <v>3324</v>
      </c>
      <c r="C2" s="341" t="s">
        <v>4882</v>
      </c>
      <c r="D2" s="343" t="s">
        <v>1946</v>
      </c>
      <c r="E2" s="343" t="s">
        <v>5848</v>
      </c>
      <c r="F2" s="343" t="s">
        <v>3896</v>
      </c>
      <c r="G2" s="343" t="s">
        <v>5863</v>
      </c>
    </row>
    <row r="3" spans="1:7" s="347" customFormat="1" ht="15.75" customHeight="1">
      <c r="A3" s="345" t="s">
        <v>4883</v>
      </c>
      <c r="B3" s="345" t="s">
        <v>4883</v>
      </c>
      <c r="C3" s="345" t="s">
        <v>4883</v>
      </c>
      <c r="D3" s="346" t="s">
        <v>4883</v>
      </c>
      <c r="E3" s="346" t="s">
        <v>4883</v>
      </c>
      <c r="F3" s="346" t="s">
        <v>4883</v>
      </c>
      <c r="G3" s="759"/>
    </row>
    <row r="4" spans="1:7" ht="18" customHeight="1">
      <c r="A4" s="974" t="s">
        <v>4884</v>
      </c>
      <c r="B4" s="974"/>
      <c r="C4" s="974"/>
      <c r="D4" s="974"/>
    </row>
    <row r="5" spans="1:7" ht="110.4" customHeight="1">
      <c r="A5" s="349" t="s">
        <v>4885</v>
      </c>
      <c r="B5" s="350" t="s">
        <v>4886</v>
      </c>
      <c r="C5" s="351" t="s">
        <v>3233</v>
      </c>
      <c r="D5" s="352">
        <v>1</v>
      </c>
      <c r="E5" s="751">
        <v>0</v>
      </c>
      <c r="F5" s="353">
        <f t="shared" ref="F5:F40" si="0">D5*E5</f>
        <v>0</v>
      </c>
      <c r="G5" s="760" t="s">
        <v>5864</v>
      </c>
    </row>
    <row r="6" spans="1:7" ht="15.75" customHeight="1">
      <c r="A6" s="349" t="s">
        <v>4887</v>
      </c>
      <c r="B6" s="350" t="s">
        <v>4888</v>
      </c>
      <c r="C6" s="351" t="s">
        <v>3226</v>
      </c>
      <c r="D6" s="352">
        <v>1</v>
      </c>
      <c r="E6" s="751">
        <v>0</v>
      </c>
      <c r="F6" s="353">
        <f t="shared" si="0"/>
        <v>0</v>
      </c>
      <c r="G6" s="760" t="s">
        <v>5864</v>
      </c>
    </row>
    <row r="7" spans="1:7" ht="54.75" customHeight="1">
      <c r="A7" s="349" t="s">
        <v>4889</v>
      </c>
      <c r="B7" s="354" t="s">
        <v>4890</v>
      </c>
      <c r="C7" s="351" t="s">
        <v>3226</v>
      </c>
      <c r="D7" s="352">
        <v>1</v>
      </c>
      <c r="E7" s="751">
        <v>0</v>
      </c>
      <c r="F7" s="353">
        <f t="shared" si="0"/>
        <v>0</v>
      </c>
      <c r="G7" s="760" t="s">
        <v>5864</v>
      </c>
    </row>
    <row r="8" spans="1:7" ht="27.6">
      <c r="A8" s="349" t="s">
        <v>4891</v>
      </c>
      <c r="B8" s="350" t="s">
        <v>4892</v>
      </c>
      <c r="C8" s="351" t="s">
        <v>3226</v>
      </c>
      <c r="D8" s="352">
        <v>1</v>
      </c>
      <c r="E8" s="751">
        <v>0</v>
      </c>
      <c r="F8" s="353">
        <f t="shared" si="0"/>
        <v>0</v>
      </c>
      <c r="G8" s="760" t="s">
        <v>5864</v>
      </c>
    </row>
    <row r="9" spans="1:7" ht="25.5" customHeight="1">
      <c r="A9" s="349" t="s">
        <v>4893</v>
      </c>
      <c r="B9" s="354" t="s">
        <v>4894</v>
      </c>
      <c r="C9" s="351" t="s">
        <v>3226</v>
      </c>
      <c r="D9" s="352">
        <v>1</v>
      </c>
      <c r="E9" s="751">
        <v>0</v>
      </c>
      <c r="F9" s="353">
        <f t="shared" si="0"/>
        <v>0</v>
      </c>
      <c r="G9" s="760" t="s">
        <v>5864</v>
      </c>
    </row>
    <row r="10" spans="1:7" ht="27.6">
      <c r="A10" s="349" t="s">
        <v>4895</v>
      </c>
      <c r="B10" s="350" t="s">
        <v>4896</v>
      </c>
      <c r="C10" s="351" t="s">
        <v>3226</v>
      </c>
      <c r="D10" s="352">
        <v>1</v>
      </c>
      <c r="E10" s="751">
        <v>0</v>
      </c>
      <c r="F10" s="353">
        <f t="shared" si="0"/>
        <v>0</v>
      </c>
      <c r="G10" s="760" t="s">
        <v>5864</v>
      </c>
    </row>
    <row r="11" spans="1:7" ht="27.6">
      <c r="A11" s="349" t="s">
        <v>4897</v>
      </c>
      <c r="B11" s="350" t="s">
        <v>4898</v>
      </c>
      <c r="C11" s="351" t="s">
        <v>3226</v>
      </c>
      <c r="D11" s="352">
        <v>1</v>
      </c>
      <c r="E11" s="751">
        <v>0</v>
      </c>
      <c r="F11" s="353">
        <f t="shared" si="0"/>
        <v>0</v>
      </c>
      <c r="G11" s="760" t="s">
        <v>5864</v>
      </c>
    </row>
    <row r="12" spans="1:7" ht="27.6">
      <c r="A12" s="349" t="s">
        <v>4899</v>
      </c>
      <c r="B12" s="350" t="s">
        <v>4900</v>
      </c>
      <c r="C12" s="351" t="s">
        <v>3226</v>
      </c>
      <c r="D12" s="352">
        <v>1</v>
      </c>
      <c r="E12" s="751">
        <v>0</v>
      </c>
      <c r="F12" s="353">
        <f t="shared" si="0"/>
        <v>0</v>
      </c>
      <c r="G12" s="760" t="s">
        <v>5864</v>
      </c>
    </row>
    <row r="13" spans="1:7" ht="15.75" customHeight="1">
      <c r="A13" s="349" t="s">
        <v>4901</v>
      </c>
      <c r="B13" s="350" t="s">
        <v>4902</v>
      </c>
      <c r="C13" s="351" t="s">
        <v>3233</v>
      </c>
      <c r="D13" s="352">
        <v>1</v>
      </c>
      <c r="E13" s="751">
        <v>0</v>
      </c>
      <c r="F13" s="353">
        <f t="shared" si="0"/>
        <v>0</v>
      </c>
      <c r="G13" s="760" t="s">
        <v>5864</v>
      </c>
    </row>
    <row r="14" spans="1:7" ht="15.75" customHeight="1">
      <c r="A14" s="349" t="s">
        <v>4330</v>
      </c>
      <c r="B14" s="350" t="s">
        <v>4903</v>
      </c>
      <c r="C14" s="351" t="s">
        <v>3226</v>
      </c>
      <c r="D14" s="352">
        <v>1</v>
      </c>
      <c r="E14" s="751">
        <v>0</v>
      </c>
      <c r="F14" s="353">
        <f t="shared" si="0"/>
        <v>0</v>
      </c>
      <c r="G14" s="760" t="s">
        <v>5864</v>
      </c>
    </row>
    <row r="15" spans="1:7" ht="15.75" customHeight="1">
      <c r="A15" s="349" t="s">
        <v>4334</v>
      </c>
      <c r="B15" s="350" t="s">
        <v>4904</v>
      </c>
      <c r="C15" s="351" t="s">
        <v>3226</v>
      </c>
      <c r="D15" s="352">
        <v>1</v>
      </c>
      <c r="E15" s="751">
        <v>0</v>
      </c>
      <c r="F15" s="353">
        <f t="shared" si="0"/>
        <v>0</v>
      </c>
      <c r="G15" s="760" t="s">
        <v>5864</v>
      </c>
    </row>
    <row r="16" spans="1:7" ht="15.75" customHeight="1">
      <c r="A16" s="349" t="s">
        <v>4338</v>
      </c>
      <c r="B16" s="350" t="s">
        <v>4905</v>
      </c>
      <c r="C16" s="351" t="s">
        <v>3226</v>
      </c>
      <c r="D16" s="352">
        <v>1</v>
      </c>
      <c r="E16" s="751">
        <v>0</v>
      </c>
      <c r="F16" s="353">
        <f t="shared" si="0"/>
        <v>0</v>
      </c>
      <c r="G16" s="760" t="s">
        <v>5864</v>
      </c>
    </row>
    <row r="17" spans="1:7" ht="27.6">
      <c r="A17" s="349" t="s">
        <v>4342</v>
      </c>
      <c r="B17" s="350" t="s">
        <v>4906</v>
      </c>
      <c r="C17" s="351" t="s">
        <v>3226</v>
      </c>
      <c r="D17" s="355">
        <v>1</v>
      </c>
      <c r="E17" s="751">
        <v>0</v>
      </c>
      <c r="F17" s="353">
        <f t="shared" si="0"/>
        <v>0</v>
      </c>
      <c r="G17" s="760" t="s">
        <v>5864</v>
      </c>
    </row>
    <row r="18" spans="1:7" ht="27.6">
      <c r="A18" s="349" t="s">
        <v>4346</v>
      </c>
      <c r="B18" s="350" t="s">
        <v>4907</v>
      </c>
      <c r="C18" s="351" t="s">
        <v>3226</v>
      </c>
      <c r="D18" s="355">
        <v>1</v>
      </c>
      <c r="E18" s="751">
        <v>0</v>
      </c>
      <c r="F18" s="353">
        <f t="shared" si="0"/>
        <v>0</v>
      </c>
      <c r="G18" s="760" t="s">
        <v>5864</v>
      </c>
    </row>
    <row r="19" spans="1:7" ht="27.6">
      <c r="A19" s="349" t="s">
        <v>4349</v>
      </c>
      <c r="B19" s="350" t="s">
        <v>4908</v>
      </c>
      <c r="C19" s="351" t="s">
        <v>3226</v>
      </c>
      <c r="D19" s="355">
        <v>1</v>
      </c>
      <c r="E19" s="751">
        <v>0</v>
      </c>
      <c r="F19" s="353">
        <f t="shared" si="0"/>
        <v>0</v>
      </c>
      <c r="G19" s="760" t="s">
        <v>5864</v>
      </c>
    </row>
    <row r="20" spans="1:7" ht="27.6">
      <c r="A20" s="349" t="s">
        <v>4352</v>
      </c>
      <c r="B20" s="350" t="s">
        <v>4909</v>
      </c>
      <c r="C20" s="351" t="s">
        <v>3226</v>
      </c>
      <c r="D20" s="355">
        <v>1</v>
      </c>
      <c r="E20" s="751">
        <v>0</v>
      </c>
      <c r="F20" s="353">
        <f t="shared" si="0"/>
        <v>0</v>
      </c>
      <c r="G20" s="760" t="s">
        <v>5864</v>
      </c>
    </row>
    <row r="21" spans="1:7" ht="27.6">
      <c r="A21" s="349" t="s">
        <v>4355</v>
      </c>
      <c r="B21" s="350" t="s">
        <v>4910</v>
      </c>
      <c r="C21" s="351" t="s">
        <v>3226</v>
      </c>
      <c r="D21" s="355">
        <v>1</v>
      </c>
      <c r="E21" s="751">
        <v>0</v>
      </c>
      <c r="F21" s="353">
        <f t="shared" si="0"/>
        <v>0</v>
      </c>
      <c r="G21" s="760" t="s">
        <v>5864</v>
      </c>
    </row>
    <row r="22" spans="1:7" ht="27.6">
      <c r="A22" s="349" t="s">
        <v>4359</v>
      </c>
      <c r="B22" s="350" t="s">
        <v>4911</v>
      </c>
      <c r="C22" s="351" t="s">
        <v>3226</v>
      </c>
      <c r="D22" s="355">
        <v>1</v>
      </c>
      <c r="E22" s="751">
        <v>0</v>
      </c>
      <c r="F22" s="353">
        <f t="shared" si="0"/>
        <v>0</v>
      </c>
      <c r="G22" s="760" t="s">
        <v>5864</v>
      </c>
    </row>
    <row r="23" spans="1:7" ht="27.6">
      <c r="A23" s="349" t="s">
        <v>4363</v>
      </c>
      <c r="B23" s="354" t="s">
        <v>4912</v>
      </c>
      <c r="C23" s="351" t="s">
        <v>3226</v>
      </c>
      <c r="D23" s="355">
        <v>1</v>
      </c>
      <c r="E23" s="751">
        <v>0</v>
      </c>
      <c r="F23" s="353">
        <f t="shared" si="0"/>
        <v>0</v>
      </c>
      <c r="G23" s="760" t="s">
        <v>5864</v>
      </c>
    </row>
    <row r="24" spans="1:7" ht="27.6">
      <c r="A24" s="349" t="s">
        <v>4367</v>
      </c>
      <c r="B24" s="354" t="s">
        <v>4913</v>
      </c>
      <c r="C24" s="351" t="s">
        <v>3226</v>
      </c>
      <c r="D24" s="355">
        <v>3</v>
      </c>
      <c r="E24" s="751">
        <v>0</v>
      </c>
      <c r="F24" s="353">
        <f t="shared" si="0"/>
        <v>0</v>
      </c>
      <c r="G24" s="760" t="s">
        <v>5864</v>
      </c>
    </row>
    <row r="25" spans="1:7" ht="15.75" customHeight="1">
      <c r="A25" s="349" t="s">
        <v>4370</v>
      </c>
      <c r="B25" s="356" t="s">
        <v>4914</v>
      </c>
      <c r="C25" s="351" t="s">
        <v>3226</v>
      </c>
      <c r="D25" s="355">
        <v>4</v>
      </c>
      <c r="E25" s="751">
        <v>0</v>
      </c>
      <c r="F25" s="353">
        <f t="shared" si="0"/>
        <v>0</v>
      </c>
      <c r="G25" s="760" t="s">
        <v>5864</v>
      </c>
    </row>
    <row r="26" spans="1:7" ht="15.75" customHeight="1">
      <c r="A26" s="349" t="s">
        <v>4374</v>
      </c>
      <c r="B26" s="356" t="s">
        <v>4915</v>
      </c>
      <c r="C26" s="351" t="s">
        <v>3226</v>
      </c>
      <c r="D26" s="355">
        <v>8</v>
      </c>
      <c r="E26" s="751">
        <v>0</v>
      </c>
      <c r="F26" s="353">
        <f t="shared" si="0"/>
        <v>0</v>
      </c>
      <c r="G26" s="760" t="s">
        <v>5864</v>
      </c>
    </row>
    <row r="27" spans="1:7" ht="15.75" customHeight="1">
      <c r="A27" s="349" t="s">
        <v>4378</v>
      </c>
      <c r="B27" s="356" t="s">
        <v>4916</v>
      </c>
      <c r="C27" s="351" t="s">
        <v>3226</v>
      </c>
      <c r="D27" s="355">
        <v>12</v>
      </c>
      <c r="E27" s="751">
        <v>0</v>
      </c>
      <c r="F27" s="353">
        <f t="shared" si="0"/>
        <v>0</v>
      </c>
      <c r="G27" s="760" t="s">
        <v>5864</v>
      </c>
    </row>
    <row r="28" spans="1:7" ht="15.75" customHeight="1">
      <c r="A28" s="349" t="s">
        <v>4382</v>
      </c>
      <c r="B28" s="356" t="s">
        <v>4917</v>
      </c>
      <c r="C28" s="351" t="s">
        <v>3226</v>
      </c>
      <c r="D28" s="355">
        <v>4</v>
      </c>
      <c r="E28" s="751">
        <v>0</v>
      </c>
      <c r="F28" s="353">
        <f t="shared" si="0"/>
        <v>0</v>
      </c>
      <c r="G28" s="760" t="s">
        <v>5864</v>
      </c>
    </row>
    <row r="29" spans="1:7" ht="15.75" customHeight="1">
      <c r="A29" s="349" t="s">
        <v>4385</v>
      </c>
      <c r="B29" s="356" t="s">
        <v>4918</v>
      </c>
      <c r="C29" s="351" t="s">
        <v>3226</v>
      </c>
      <c r="D29" s="355">
        <v>3</v>
      </c>
      <c r="E29" s="751">
        <v>0</v>
      </c>
      <c r="F29" s="353">
        <f t="shared" si="0"/>
        <v>0</v>
      </c>
      <c r="G29" s="760" t="s">
        <v>5864</v>
      </c>
    </row>
    <row r="30" spans="1:7" ht="15.75" customHeight="1">
      <c r="A30" s="349" t="s">
        <v>4389</v>
      </c>
      <c r="B30" s="356" t="s">
        <v>4919</v>
      </c>
      <c r="C30" s="351" t="s">
        <v>3226</v>
      </c>
      <c r="D30" s="355">
        <v>3</v>
      </c>
      <c r="E30" s="751">
        <v>0</v>
      </c>
      <c r="F30" s="353">
        <f t="shared" si="0"/>
        <v>0</v>
      </c>
      <c r="G30" s="760" t="s">
        <v>5864</v>
      </c>
    </row>
    <row r="31" spans="1:7" ht="15.75" customHeight="1">
      <c r="A31" s="349" t="s">
        <v>4394</v>
      </c>
      <c r="B31" s="356" t="s">
        <v>4920</v>
      </c>
      <c r="C31" s="357" t="s">
        <v>3226</v>
      </c>
      <c r="D31" s="358">
        <v>3</v>
      </c>
      <c r="E31" s="751">
        <v>0</v>
      </c>
      <c r="F31" s="353">
        <f t="shared" si="0"/>
        <v>0</v>
      </c>
      <c r="G31" s="760" t="s">
        <v>5864</v>
      </c>
    </row>
    <row r="32" spans="1:7" ht="15.75" customHeight="1">
      <c r="A32" s="349" t="s">
        <v>4398</v>
      </c>
      <c r="B32" s="356" t="s">
        <v>4921</v>
      </c>
      <c r="C32" s="351" t="s">
        <v>3226</v>
      </c>
      <c r="D32" s="355">
        <v>3</v>
      </c>
      <c r="E32" s="751"/>
      <c r="F32" s="353">
        <f t="shared" si="0"/>
        <v>0</v>
      </c>
      <c r="G32" s="760" t="s">
        <v>5864</v>
      </c>
    </row>
    <row r="33" spans="1:7" ht="15.75" customHeight="1">
      <c r="A33" s="349" t="s">
        <v>4402</v>
      </c>
      <c r="B33" s="356" t="s">
        <v>4922</v>
      </c>
      <c r="C33" s="351" t="s">
        <v>3226</v>
      </c>
      <c r="D33" s="355">
        <v>2</v>
      </c>
      <c r="E33" s="751">
        <v>0</v>
      </c>
      <c r="F33" s="353">
        <f t="shared" si="0"/>
        <v>0</v>
      </c>
      <c r="G33" s="760" t="s">
        <v>5864</v>
      </c>
    </row>
    <row r="34" spans="1:7" ht="15.75" customHeight="1">
      <c r="A34" s="349" t="s">
        <v>4406</v>
      </c>
      <c r="B34" s="356" t="s">
        <v>4923</v>
      </c>
      <c r="C34" s="351" t="s">
        <v>3226</v>
      </c>
      <c r="D34" s="355">
        <v>2</v>
      </c>
      <c r="E34" s="751">
        <v>0</v>
      </c>
      <c r="F34" s="353">
        <f t="shared" si="0"/>
        <v>0</v>
      </c>
      <c r="G34" s="760" t="s">
        <v>5864</v>
      </c>
    </row>
    <row r="35" spans="1:7" ht="15.75" customHeight="1">
      <c r="A35" s="349" t="s">
        <v>4409</v>
      </c>
      <c r="B35" s="356" t="s">
        <v>4924</v>
      </c>
      <c r="C35" s="351" t="s">
        <v>3226</v>
      </c>
      <c r="D35" s="355">
        <v>1</v>
      </c>
      <c r="E35" s="751">
        <v>0</v>
      </c>
      <c r="F35" s="353">
        <f t="shared" si="0"/>
        <v>0</v>
      </c>
      <c r="G35" s="760" t="s">
        <v>5864</v>
      </c>
    </row>
    <row r="36" spans="1:7" ht="15.75" customHeight="1">
      <c r="A36" s="349" t="s">
        <v>4412</v>
      </c>
      <c r="B36" s="356" t="s">
        <v>4925</v>
      </c>
      <c r="C36" s="351" t="s">
        <v>3226</v>
      </c>
      <c r="D36" s="355">
        <v>2</v>
      </c>
      <c r="E36" s="751">
        <v>0</v>
      </c>
      <c r="F36" s="353">
        <f t="shared" si="0"/>
        <v>0</v>
      </c>
      <c r="G36" s="760" t="s">
        <v>5864</v>
      </c>
    </row>
    <row r="37" spans="1:7" ht="15.75" customHeight="1">
      <c r="A37" s="349" t="s">
        <v>4416</v>
      </c>
      <c r="B37" s="356" t="s">
        <v>4926</v>
      </c>
      <c r="C37" s="351" t="s">
        <v>3226</v>
      </c>
      <c r="D37" s="355">
        <v>10</v>
      </c>
      <c r="E37" s="751">
        <v>0</v>
      </c>
      <c r="F37" s="353">
        <f t="shared" si="0"/>
        <v>0</v>
      </c>
      <c r="G37" s="760" t="s">
        <v>5864</v>
      </c>
    </row>
    <row r="38" spans="1:7" ht="15.75" customHeight="1">
      <c r="A38" s="349" t="s">
        <v>4420</v>
      </c>
      <c r="B38" s="356" t="s">
        <v>4927</v>
      </c>
      <c r="C38" s="351" t="s">
        <v>3226</v>
      </c>
      <c r="D38" s="355">
        <v>10</v>
      </c>
      <c r="E38" s="751">
        <v>0</v>
      </c>
      <c r="F38" s="353">
        <f t="shared" si="0"/>
        <v>0</v>
      </c>
      <c r="G38" s="760" t="s">
        <v>5864</v>
      </c>
    </row>
    <row r="39" spans="1:7" ht="15.75" customHeight="1">
      <c r="A39" s="349" t="s">
        <v>4424</v>
      </c>
      <c r="B39" s="356" t="s">
        <v>4928</v>
      </c>
      <c r="C39" s="351" t="s">
        <v>3226</v>
      </c>
      <c r="D39" s="355">
        <v>20</v>
      </c>
      <c r="E39" s="751">
        <v>0</v>
      </c>
      <c r="F39" s="353">
        <f t="shared" si="0"/>
        <v>0</v>
      </c>
      <c r="G39" s="760" t="s">
        <v>5864</v>
      </c>
    </row>
    <row r="40" spans="1:7" ht="15.75" customHeight="1">
      <c r="A40" s="349" t="s">
        <v>4427</v>
      </c>
      <c r="B40" s="350" t="s">
        <v>4929</v>
      </c>
      <c r="C40" s="351" t="s">
        <v>3226</v>
      </c>
      <c r="D40" s="355">
        <v>2</v>
      </c>
      <c r="E40" s="751">
        <v>0</v>
      </c>
      <c r="F40" s="353">
        <f t="shared" si="0"/>
        <v>0</v>
      </c>
      <c r="G40" s="760" t="s">
        <v>5864</v>
      </c>
    </row>
    <row r="41" spans="1:7" ht="15" customHeight="1">
      <c r="A41" s="349"/>
      <c r="B41" s="356"/>
      <c r="C41" s="351"/>
      <c r="D41" s="352"/>
      <c r="E41" s="359"/>
      <c r="F41" s="359"/>
    </row>
    <row r="42" spans="1:7" ht="18" customHeight="1">
      <c r="A42" s="976" t="s">
        <v>4930</v>
      </c>
      <c r="B42" s="977"/>
      <c r="C42" s="357"/>
      <c r="D42" s="358"/>
      <c r="E42" s="360"/>
      <c r="F42" s="361"/>
    </row>
    <row r="43" spans="1:7" ht="15.75" customHeight="1">
      <c r="A43" s="362"/>
      <c r="B43" s="363" t="s">
        <v>4931</v>
      </c>
      <c r="C43" s="357"/>
      <c r="D43" s="358"/>
      <c r="E43" s="360"/>
      <c r="F43" s="361"/>
    </row>
    <row r="44" spans="1:7" ht="15.75" customHeight="1">
      <c r="A44" s="362" t="s">
        <v>4932</v>
      </c>
      <c r="B44" s="364" t="s">
        <v>4914</v>
      </c>
      <c r="C44" s="357" t="s">
        <v>3226</v>
      </c>
      <c r="D44" s="358">
        <v>4</v>
      </c>
      <c r="E44" s="751">
        <v>0</v>
      </c>
      <c r="F44" s="353">
        <f t="shared" ref="F44:F50" si="1">D44*E44</f>
        <v>0</v>
      </c>
      <c r="G44" s="760" t="s">
        <v>5864</v>
      </c>
    </row>
    <row r="45" spans="1:7" ht="15.75" customHeight="1">
      <c r="A45" s="362" t="s">
        <v>4933</v>
      </c>
      <c r="B45" s="364" t="s">
        <v>4934</v>
      </c>
      <c r="C45" s="357" t="s">
        <v>3226</v>
      </c>
      <c r="D45" s="358">
        <v>1</v>
      </c>
      <c r="E45" s="751">
        <v>0</v>
      </c>
      <c r="F45" s="353">
        <f t="shared" si="1"/>
        <v>0</v>
      </c>
      <c r="G45" s="760" t="s">
        <v>5864</v>
      </c>
    </row>
    <row r="46" spans="1:7" ht="15.75" customHeight="1">
      <c r="A46" s="362" t="s">
        <v>4935</v>
      </c>
      <c r="B46" s="364" t="s">
        <v>4936</v>
      </c>
      <c r="C46" s="357" t="s">
        <v>3226</v>
      </c>
      <c r="D46" s="358">
        <v>1</v>
      </c>
      <c r="E46" s="751">
        <v>0</v>
      </c>
      <c r="F46" s="353">
        <f t="shared" si="1"/>
        <v>0</v>
      </c>
      <c r="G46" s="760" t="s">
        <v>5864</v>
      </c>
    </row>
    <row r="47" spans="1:7" ht="15.75" customHeight="1">
      <c r="A47" s="362" t="s">
        <v>4937</v>
      </c>
      <c r="B47" s="364" t="s">
        <v>4938</v>
      </c>
      <c r="C47" s="357" t="s">
        <v>3226</v>
      </c>
      <c r="D47" s="358">
        <v>1</v>
      </c>
      <c r="E47" s="751">
        <v>0</v>
      </c>
      <c r="F47" s="353">
        <f t="shared" si="1"/>
        <v>0</v>
      </c>
      <c r="G47" s="760" t="s">
        <v>5864</v>
      </c>
    </row>
    <row r="48" spans="1:7" ht="15.75" customHeight="1">
      <c r="A48" s="362" t="s">
        <v>4939</v>
      </c>
      <c r="B48" s="364" t="s">
        <v>4940</v>
      </c>
      <c r="C48" s="357" t="s">
        <v>3226</v>
      </c>
      <c r="D48" s="358">
        <v>1</v>
      </c>
      <c r="E48" s="751">
        <v>0</v>
      </c>
      <c r="F48" s="353">
        <f t="shared" si="1"/>
        <v>0</v>
      </c>
      <c r="G48" s="760" t="s">
        <v>5864</v>
      </c>
    </row>
    <row r="49" spans="1:7" ht="15.75" customHeight="1">
      <c r="A49" s="362" t="s">
        <v>4941</v>
      </c>
      <c r="B49" s="364" t="s">
        <v>4942</v>
      </c>
      <c r="C49" s="357" t="s">
        <v>3226</v>
      </c>
      <c r="D49" s="358">
        <v>1</v>
      </c>
      <c r="E49" s="751">
        <v>0</v>
      </c>
      <c r="F49" s="353">
        <f t="shared" si="1"/>
        <v>0</v>
      </c>
      <c r="G49" s="760" t="s">
        <v>5864</v>
      </c>
    </row>
    <row r="50" spans="1:7" ht="15.75" customHeight="1">
      <c r="A50" s="362" t="s">
        <v>4943</v>
      </c>
      <c r="B50" s="364" t="s">
        <v>4944</v>
      </c>
      <c r="C50" s="357" t="s">
        <v>3226</v>
      </c>
      <c r="D50" s="358">
        <v>1</v>
      </c>
      <c r="E50" s="751">
        <v>0</v>
      </c>
      <c r="F50" s="353">
        <f t="shared" si="1"/>
        <v>0</v>
      </c>
      <c r="G50" s="760" t="s">
        <v>5864</v>
      </c>
    </row>
    <row r="51" spans="1:7" ht="18" customHeight="1">
      <c r="A51" s="362"/>
      <c r="B51" s="363" t="s">
        <v>4945</v>
      </c>
      <c r="C51" s="357"/>
      <c r="D51" s="358"/>
      <c r="E51" s="360"/>
      <c r="F51" s="361"/>
      <c r="G51" s="760"/>
    </row>
    <row r="52" spans="1:7" ht="15.75" customHeight="1">
      <c r="A52" s="362" t="s">
        <v>4946</v>
      </c>
      <c r="B52" s="364" t="s">
        <v>4914</v>
      </c>
      <c r="C52" s="357" t="s">
        <v>3226</v>
      </c>
      <c r="D52" s="358">
        <v>4</v>
      </c>
      <c r="E52" s="751">
        <v>0</v>
      </c>
      <c r="F52" s="353">
        <f t="shared" ref="F52:F60" si="2">D52*E52</f>
        <v>0</v>
      </c>
      <c r="G52" s="760" t="s">
        <v>5864</v>
      </c>
    </row>
    <row r="53" spans="1:7" ht="15.75" customHeight="1">
      <c r="A53" s="362" t="s">
        <v>4947</v>
      </c>
      <c r="B53" s="364" t="s">
        <v>4934</v>
      </c>
      <c r="C53" s="357" t="s">
        <v>3226</v>
      </c>
      <c r="D53" s="358">
        <v>1</v>
      </c>
      <c r="E53" s="751">
        <v>0</v>
      </c>
      <c r="F53" s="353">
        <f t="shared" si="2"/>
        <v>0</v>
      </c>
      <c r="G53" s="760" t="s">
        <v>5864</v>
      </c>
    </row>
    <row r="54" spans="1:7" ht="15.75" customHeight="1">
      <c r="A54" s="362" t="s">
        <v>4495</v>
      </c>
      <c r="B54" s="364" t="s">
        <v>4948</v>
      </c>
      <c r="C54" s="357" t="s">
        <v>3226</v>
      </c>
      <c r="D54" s="358">
        <v>1</v>
      </c>
      <c r="E54" s="751">
        <v>0</v>
      </c>
      <c r="F54" s="353">
        <f t="shared" si="2"/>
        <v>0</v>
      </c>
      <c r="G54" s="760" t="s">
        <v>5864</v>
      </c>
    </row>
    <row r="55" spans="1:7" ht="15.75" customHeight="1">
      <c r="A55" s="362" t="s">
        <v>4497</v>
      </c>
      <c r="B55" s="364" t="s">
        <v>4936</v>
      </c>
      <c r="C55" s="357" t="s">
        <v>3226</v>
      </c>
      <c r="D55" s="358">
        <v>1</v>
      </c>
      <c r="E55" s="751">
        <v>0</v>
      </c>
      <c r="F55" s="353">
        <f t="shared" si="2"/>
        <v>0</v>
      </c>
      <c r="G55" s="760" t="s">
        <v>5864</v>
      </c>
    </row>
    <row r="56" spans="1:7" ht="15.75" customHeight="1">
      <c r="A56" s="362" t="s">
        <v>4499</v>
      </c>
      <c r="B56" s="364" t="s">
        <v>4949</v>
      </c>
      <c r="C56" s="357" t="s">
        <v>3226</v>
      </c>
      <c r="D56" s="358">
        <v>1</v>
      </c>
      <c r="E56" s="751">
        <v>0</v>
      </c>
      <c r="F56" s="353">
        <f t="shared" si="2"/>
        <v>0</v>
      </c>
      <c r="G56" s="760" t="s">
        <v>5864</v>
      </c>
    </row>
    <row r="57" spans="1:7" ht="15.75" customHeight="1">
      <c r="A57" s="362" t="s">
        <v>4503</v>
      </c>
      <c r="B57" s="364" t="s">
        <v>4938</v>
      </c>
      <c r="C57" s="357" t="s">
        <v>3226</v>
      </c>
      <c r="D57" s="358">
        <v>1</v>
      </c>
      <c r="E57" s="751">
        <v>0</v>
      </c>
      <c r="F57" s="353">
        <f t="shared" si="2"/>
        <v>0</v>
      </c>
      <c r="G57" s="760" t="s">
        <v>5864</v>
      </c>
    </row>
    <row r="58" spans="1:7" ht="15.75" customHeight="1">
      <c r="A58" s="362" t="s">
        <v>4504</v>
      </c>
      <c r="B58" s="364" t="s">
        <v>4940</v>
      </c>
      <c r="C58" s="357" t="s">
        <v>3226</v>
      </c>
      <c r="D58" s="358">
        <v>1</v>
      </c>
      <c r="E58" s="751">
        <v>0</v>
      </c>
      <c r="F58" s="353">
        <f t="shared" si="2"/>
        <v>0</v>
      </c>
      <c r="G58" s="760" t="s">
        <v>5864</v>
      </c>
    </row>
    <row r="59" spans="1:7" ht="15.75" customHeight="1">
      <c r="A59" s="362" t="s">
        <v>4505</v>
      </c>
      <c r="B59" s="364" t="s">
        <v>4950</v>
      </c>
      <c r="C59" s="357" t="s">
        <v>3226</v>
      </c>
      <c r="D59" s="358">
        <v>1</v>
      </c>
      <c r="E59" s="751">
        <v>0</v>
      </c>
      <c r="F59" s="353">
        <f t="shared" si="2"/>
        <v>0</v>
      </c>
      <c r="G59" s="760" t="s">
        <v>5864</v>
      </c>
    </row>
    <row r="60" spans="1:7" ht="15.75" customHeight="1">
      <c r="A60" s="362" t="s">
        <v>4506</v>
      </c>
      <c r="B60" s="364" t="s">
        <v>4944</v>
      </c>
      <c r="C60" s="357" t="s">
        <v>3226</v>
      </c>
      <c r="D60" s="358">
        <v>1</v>
      </c>
      <c r="E60" s="751">
        <v>0</v>
      </c>
      <c r="F60" s="353">
        <f t="shared" si="2"/>
        <v>0</v>
      </c>
      <c r="G60" s="760" t="s">
        <v>5864</v>
      </c>
    </row>
    <row r="61" spans="1:7" ht="15.75" customHeight="1">
      <c r="A61" s="349"/>
      <c r="B61" s="350"/>
      <c r="C61" s="351"/>
      <c r="D61" s="352"/>
      <c r="E61" s="359"/>
      <c r="F61" s="359"/>
      <c r="G61" s="760"/>
    </row>
    <row r="62" spans="1:7" ht="18" customHeight="1">
      <c r="A62" s="974" t="s">
        <v>4951</v>
      </c>
      <c r="B62" s="974"/>
      <c r="C62" s="974"/>
      <c r="D62" s="974"/>
      <c r="E62" s="359"/>
      <c r="F62" s="359"/>
      <c r="G62" s="760"/>
    </row>
    <row r="63" spans="1:7" ht="15.75" customHeight="1">
      <c r="A63" s="349" t="s">
        <v>4952</v>
      </c>
      <c r="B63" s="364" t="s">
        <v>4953</v>
      </c>
      <c r="C63" s="351" t="s">
        <v>3226</v>
      </c>
      <c r="D63" s="355">
        <v>2</v>
      </c>
      <c r="E63" s="751">
        <v>0</v>
      </c>
      <c r="F63" s="353">
        <f t="shared" ref="F63:F76" si="3">D63*E63</f>
        <v>0</v>
      </c>
      <c r="G63" s="760" t="s">
        <v>5864</v>
      </c>
    </row>
    <row r="64" spans="1:7" ht="15.75" customHeight="1">
      <c r="A64" s="349" t="s">
        <v>4954</v>
      </c>
      <c r="B64" s="364" t="s">
        <v>4955</v>
      </c>
      <c r="C64" s="351" t="s">
        <v>3226</v>
      </c>
      <c r="D64" s="355">
        <v>2</v>
      </c>
      <c r="E64" s="752">
        <v>0</v>
      </c>
      <c r="F64" s="365">
        <f t="shared" si="3"/>
        <v>0</v>
      </c>
      <c r="G64" s="760" t="s">
        <v>5864</v>
      </c>
    </row>
    <row r="65" spans="1:7" ht="15.75" customHeight="1">
      <c r="A65" s="349" t="s">
        <v>4956</v>
      </c>
      <c r="B65" s="364" t="s">
        <v>4957</v>
      </c>
      <c r="C65" s="351" t="s">
        <v>3226</v>
      </c>
      <c r="D65" s="366">
        <v>8</v>
      </c>
      <c r="E65" s="752">
        <v>0</v>
      </c>
      <c r="F65" s="365">
        <f t="shared" si="3"/>
        <v>0</v>
      </c>
      <c r="G65" s="760" t="s">
        <v>5864</v>
      </c>
    </row>
    <row r="66" spans="1:7" ht="15.75" customHeight="1">
      <c r="A66" s="349" t="s">
        <v>4958</v>
      </c>
      <c r="B66" s="364" t="s">
        <v>4959</v>
      </c>
      <c r="C66" s="351" t="s">
        <v>3226</v>
      </c>
      <c r="D66" s="366">
        <v>2</v>
      </c>
      <c r="E66" s="752">
        <v>0</v>
      </c>
      <c r="F66" s="365">
        <f t="shared" si="3"/>
        <v>0</v>
      </c>
      <c r="G66" s="760" t="s">
        <v>5864</v>
      </c>
    </row>
    <row r="67" spans="1:7" ht="15.75" customHeight="1">
      <c r="A67" s="349" t="s">
        <v>4960</v>
      </c>
      <c r="B67" s="364" t="s">
        <v>4961</v>
      </c>
      <c r="C67" s="351" t="s">
        <v>3226</v>
      </c>
      <c r="D67" s="366">
        <v>2</v>
      </c>
      <c r="E67" s="752">
        <v>0</v>
      </c>
      <c r="F67" s="365">
        <f t="shared" si="3"/>
        <v>0</v>
      </c>
      <c r="G67" s="760" t="s">
        <v>5864</v>
      </c>
    </row>
    <row r="68" spans="1:7" ht="15.75" customHeight="1">
      <c r="A68" s="349" t="s">
        <v>4962</v>
      </c>
      <c r="B68" s="364" t="s">
        <v>4963</v>
      </c>
      <c r="C68" s="351" t="s">
        <v>3214</v>
      </c>
      <c r="D68" s="366">
        <v>2400</v>
      </c>
      <c r="E68" s="752">
        <v>0</v>
      </c>
      <c r="F68" s="365">
        <f t="shared" si="3"/>
        <v>0</v>
      </c>
      <c r="G68" s="760" t="s">
        <v>5864</v>
      </c>
    </row>
    <row r="69" spans="1:7" ht="15.75" customHeight="1">
      <c r="A69" s="349" t="s">
        <v>4964</v>
      </c>
      <c r="B69" s="364" t="s">
        <v>4965</v>
      </c>
      <c r="C69" s="351" t="s">
        <v>3226</v>
      </c>
      <c r="D69" s="366">
        <v>9000</v>
      </c>
      <c r="E69" s="752">
        <v>0</v>
      </c>
      <c r="F69" s="365">
        <f t="shared" si="3"/>
        <v>0</v>
      </c>
      <c r="G69" s="760" t="s">
        <v>5864</v>
      </c>
    </row>
    <row r="70" spans="1:7" ht="15.75" customHeight="1">
      <c r="A70" s="349" t="s">
        <v>4966</v>
      </c>
      <c r="B70" s="350" t="s">
        <v>4967</v>
      </c>
      <c r="C70" s="351" t="s">
        <v>3226</v>
      </c>
      <c r="D70" s="366">
        <v>52</v>
      </c>
      <c r="E70" s="752">
        <v>0</v>
      </c>
      <c r="F70" s="365">
        <f t="shared" si="3"/>
        <v>0</v>
      </c>
      <c r="G70" s="760" t="s">
        <v>5864</v>
      </c>
    </row>
    <row r="71" spans="1:7" ht="15.75" customHeight="1">
      <c r="A71" s="349" t="s">
        <v>4968</v>
      </c>
      <c r="B71" s="364" t="s">
        <v>4969</v>
      </c>
      <c r="C71" s="351" t="s">
        <v>1940</v>
      </c>
      <c r="D71" s="366">
        <v>515</v>
      </c>
      <c r="E71" s="752">
        <v>0</v>
      </c>
      <c r="F71" s="365">
        <f t="shared" si="3"/>
        <v>0</v>
      </c>
      <c r="G71" s="760" t="s">
        <v>5864</v>
      </c>
    </row>
    <row r="72" spans="1:7" ht="15.75" customHeight="1">
      <c r="A72" s="349" t="s">
        <v>4605</v>
      </c>
      <c r="B72" s="364" t="s">
        <v>4970</v>
      </c>
      <c r="C72" s="351" t="s">
        <v>3214</v>
      </c>
      <c r="D72" s="366">
        <v>350</v>
      </c>
      <c r="E72" s="752">
        <v>0</v>
      </c>
      <c r="F72" s="365">
        <f t="shared" si="3"/>
        <v>0</v>
      </c>
      <c r="G72" s="760" t="s">
        <v>5864</v>
      </c>
    </row>
    <row r="73" spans="1:7" ht="15.75" customHeight="1">
      <c r="A73" s="349" t="s">
        <v>4609</v>
      </c>
      <c r="B73" s="364" t="s">
        <v>4971</v>
      </c>
      <c r="C73" s="351" t="s">
        <v>3214</v>
      </c>
      <c r="D73" s="366">
        <v>500</v>
      </c>
      <c r="E73" s="752">
        <v>0</v>
      </c>
      <c r="F73" s="365">
        <f t="shared" si="3"/>
        <v>0</v>
      </c>
      <c r="G73" s="760" t="s">
        <v>5864</v>
      </c>
    </row>
    <row r="74" spans="1:7" ht="15.75" customHeight="1">
      <c r="A74" s="349" t="s">
        <v>4613</v>
      </c>
      <c r="B74" s="364" t="s">
        <v>4972</v>
      </c>
      <c r="C74" s="351" t="s">
        <v>3226</v>
      </c>
      <c r="D74" s="366">
        <v>26</v>
      </c>
      <c r="E74" s="752">
        <v>0</v>
      </c>
      <c r="F74" s="365">
        <f t="shared" si="3"/>
        <v>0</v>
      </c>
      <c r="G74" s="760" t="s">
        <v>5864</v>
      </c>
    </row>
    <row r="75" spans="1:7" ht="15.75" customHeight="1">
      <c r="A75" s="349" t="s">
        <v>4617</v>
      </c>
      <c r="B75" s="364" t="s">
        <v>4973</v>
      </c>
      <c r="C75" s="351" t="s">
        <v>3226</v>
      </c>
      <c r="D75" s="366">
        <v>0</v>
      </c>
      <c r="E75" s="752">
        <v>0</v>
      </c>
      <c r="F75" s="365">
        <f t="shared" si="3"/>
        <v>0</v>
      </c>
      <c r="G75" s="760" t="s">
        <v>5864</v>
      </c>
    </row>
    <row r="76" spans="1:7" ht="15.75" customHeight="1">
      <c r="A76" s="349" t="s">
        <v>4620</v>
      </c>
      <c r="B76" s="364" t="s">
        <v>4974</v>
      </c>
      <c r="C76" s="351" t="s">
        <v>3226</v>
      </c>
      <c r="D76" s="366">
        <v>4</v>
      </c>
      <c r="E76" s="752">
        <v>0</v>
      </c>
      <c r="F76" s="365">
        <f t="shared" si="3"/>
        <v>0</v>
      </c>
      <c r="G76" s="760" t="s">
        <v>5864</v>
      </c>
    </row>
    <row r="77" spans="1:7" ht="15.75" customHeight="1">
      <c r="A77" s="349"/>
      <c r="B77" s="350"/>
      <c r="C77" s="351"/>
      <c r="D77" s="352"/>
      <c r="E77" s="359"/>
      <c r="F77" s="359"/>
      <c r="G77" s="760"/>
    </row>
    <row r="78" spans="1:7" ht="18" customHeight="1">
      <c r="A78" s="974" t="s">
        <v>4975</v>
      </c>
      <c r="B78" s="974"/>
      <c r="C78" s="974"/>
      <c r="D78" s="974"/>
      <c r="E78" s="353"/>
      <c r="F78" s="353"/>
      <c r="G78" s="760"/>
    </row>
    <row r="79" spans="1:7" ht="60" customHeight="1">
      <c r="A79" s="349" t="s">
        <v>4976</v>
      </c>
      <c r="B79" s="367" t="s">
        <v>4977</v>
      </c>
      <c r="C79" s="351" t="s">
        <v>3226</v>
      </c>
      <c r="D79" s="352">
        <v>1</v>
      </c>
      <c r="E79" s="751">
        <v>0</v>
      </c>
      <c r="F79" s="353">
        <f t="shared" ref="F79:F91" si="4">D79*E79</f>
        <v>0</v>
      </c>
      <c r="G79" s="760" t="s">
        <v>5864</v>
      </c>
    </row>
    <row r="80" spans="1:7" ht="60" customHeight="1">
      <c r="A80" s="349" t="s">
        <v>4978</v>
      </c>
      <c r="B80" s="367" t="s">
        <v>4979</v>
      </c>
      <c r="C80" s="351" t="s">
        <v>3226</v>
      </c>
      <c r="D80" s="352">
        <v>5</v>
      </c>
      <c r="E80" s="751">
        <v>0</v>
      </c>
      <c r="F80" s="353">
        <f t="shared" si="4"/>
        <v>0</v>
      </c>
      <c r="G80" s="760" t="s">
        <v>5864</v>
      </c>
    </row>
    <row r="81" spans="1:7" ht="60" customHeight="1">
      <c r="A81" s="349" t="s">
        <v>4980</v>
      </c>
      <c r="B81" s="350" t="s">
        <v>4981</v>
      </c>
      <c r="C81" s="351" t="s">
        <v>3226</v>
      </c>
      <c r="D81" s="352">
        <v>8</v>
      </c>
      <c r="E81" s="751">
        <v>0</v>
      </c>
      <c r="F81" s="353">
        <f t="shared" si="4"/>
        <v>0</v>
      </c>
      <c r="G81" s="760" t="s">
        <v>5864</v>
      </c>
    </row>
    <row r="82" spans="1:7" ht="60" customHeight="1">
      <c r="A82" s="349" t="s">
        <v>4982</v>
      </c>
      <c r="B82" s="350" t="s">
        <v>4983</v>
      </c>
      <c r="C82" s="351" t="s">
        <v>3226</v>
      </c>
      <c r="D82" s="352">
        <v>8</v>
      </c>
      <c r="E82" s="751">
        <v>0</v>
      </c>
      <c r="F82" s="353">
        <f t="shared" si="4"/>
        <v>0</v>
      </c>
      <c r="G82" s="760" t="s">
        <v>5864</v>
      </c>
    </row>
    <row r="83" spans="1:7" ht="60" customHeight="1">
      <c r="A83" s="349" t="s">
        <v>4984</v>
      </c>
      <c r="B83" s="350" t="s">
        <v>4985</v>
      </c>
      <c r="C83" s="351" t="s">
        <v>3226</v>
      </c>
      <c r="D83" s="352">
        <v>1</v>
      </c>
      <c r="E83" s="751">
        <v>0</v>
      </c>
      <c r="F83" s="353">
        <f t="shared" si="4"/>
        <v>0</v>
      </c>
      <c r="G83" s="760" t="s">
        <v>5864</v>
      </c>
    </row>
    <row r="84" spans="1:7" ht="60" customHeight="1">
      <c r="A84" s="349" t="s">
        <v>4986</v>
      </c>
      <c r="B84" s="350" t="s">
        <v>4987</v>
      </c>
      <c r="C84" s="351" t="s">
        <v>3226</v>
      </c>
      <c r="D84" s="352">
        <v>2</v>
      </c>
      <c r="E84" s="751">
        <v>0</v>
      </c>
      <c r="F84" s="353">
        <f t="shared" si="4"/>
        <v>0</v>
      </c>
      <c r="G84" s="760" t="s">
        <v>5864</v>
      </c>
    </row>
    <row r="85" spans="1:7" ht="60" customHeight="1">
      <c r="A85" s="349" t="s">
        <v>4988</v>
      </c>
      <c r="B85" s="350" t="s">
        <v>4989</v>
      </c>
      <c r="C85" s="351" t="s">
        <v>3226</v>
      </c>
      <c r="D85" s="352">
        <v>1</v>
      </c>
      <c r="E85" s="751">
        <v>0</v>
      </c>
      <c r="F85" s="353">
        <f t="shared" si="4"/>
        <v>0</v>
      </c>
      <c r="G85" s="760" t="s">
        <v>5864</v>
      </c>
    </row>
    <row r="86" spans="1:7" ht="45" customHeight="1">
      <c r="A86" s="349" t="s">
        <v>4990</v>
      </c>
      <c r="B86" s="350" t="s">
        <v>4991</v>
      </c>
      <c r="C86" s="351" t="s">
        <v>3226</v>
      </c>
      <c r="D86" s="352">
        <v>4</v>
      </c>
      <c r="E86" s="751">
        <v>0</v>
      </c>
      <c r="F86" s="353">
        <f t="shared" si="4"/>
        <v>0</v>
      </c>
      <c r="G86" s="760" t="s">
        <v>5864</v>
      </c>
    </row>
    <row r="87" spans="1:7" ht="15.75" customHeight="1">
      <c r="A87" s="349" t="s">
        <v>4992</v>
      </c>
      <c r="B87" s="350" t="s">
        <v>4993</v>
      </c>
      <c r="C87" s="351" t="s">
        <v>3226</v>
      </c>
      <c r="D87" s="352">
        <v>26</v>
      </c>
      <c r="E87" s="751">
        <v>0</v>
      </c>
      <c r="F87" s="353">
        <f t="shared" si="4"/>
        <v>0</v>
      </c>
      <c r="G87" s="760" t="s">
        <v>5864</v>
      </c>
    </row>
    <row r="88" spans="1:7" ht="15.75" customHeight="1">
      <c r="A88" s="349" t="s">
        <v>4691</v>
      </c>
      <c r="B88" s="350" t="s">
        <v>4994</v>
      </c>
      <c r="C88" s="351" t="s">
        <v>3226</v>
      </c>
      <c r="D88" s="352">
        <v>4</v>
      </c>
      <c r="E88" s="751">
        <v>0</v>
      </c>
      <c r="F88" s="353">
        <f t="shared" si="4"/>
        <v>0</v>
      </c>
      <c r="G88" s="760" t="s">
        <v>5864</v>
      </c>
    </row>
    <row r="89" spans="1:7" ht="15.75" customHeight="1">
      <c r="A89" s="349" t="s">
        <v>4692</v>
      </c>
      <c r="B89" s="350" t="s">
        <v>4995</v>
      </c>
      <c r="C89" s="351" t="s">
        <v>3226</v>
      </c>
      <c r="D89" s="352">
        <v>6</v>
      </c>
      <c r="E89" s="751">
        <v>0</v>
      </c>
      <c r="F89" s="353">
        <f t="shared" si="4"/>
        <v>0</v>
      </c>
      <c r="G89" s="760" t="s">
        <v>5864</v>
      </c>
    </row>
    <row r="90" spans="1:7" ht="15.75" customHeight="1">
      <c r="A90" s="349" t="s">
        <v>4693</v>
      </c>
      <c r="B90" s="350" t="s">
        <v>4995</v>
      </c>
      <c r="C90" s="351" t="s">
        <v>3226</v>
      </c>
      <c r="D90" s="352">
        <v>6</v>
      </c>
      <c r="E90" s="751">
        <v>0</v>
      </c>
      <c r="F90" s="353">
        <f t="shared" si="4"/>
        <v>0</v>
      </c>
      <c r="G90" s="760" t="s">
        <v>5864</v>
      </c>
    </row>
    <row r="91" spans="1:7" ht="15.75" customHeight="1">
      <c r="A91" s="349" t="s">
        <v>4695</v>
      </c>
      <c r="B91" s="350" t="s">
        <v>4996</v>
      </c>
      <c r="C91" s="351" t="s">
        <v>3226</v>
      </c>
      <c r="D91" s="352">
        <v>24</v>
      </c>
      <c r="E91" s="751">
        <v>0</v>
      </c>
      <c r="F91" s="353">
        <f t="shared" si="4"/>
        <v>0</v>
      </c>
      <c r="G91" s="760" t="s">
        <v>5864</v>
      </c>
    </row>
    <row r="92" spans="1:7" ht="15.75" customHeight="1">
      <c r="A92" s="349"/>
      <c r="B92" s="350"/>
      <c r="C92" s="351"/>
      <c r="D92" s="352"/>
      <c r="E92" s="353"/>
      <c r="F92" s="353"/>
      <c r="G92" s="760"/>
    </row>
    <row r="93" spans="1:7" ht="18" customHeight="1">
      <c r="A93" s="974" t="s">
        <v>4997</v>
      </c>
      <c r="B93" s="974"/>
      <c r="C93" s="974"/>
      <c r="D93" s="974"/>
      <c r="E93" s="353"/>
      <c r="F93" s="353"/>
      <c r="G93" s="760"/>
    </row>
    <row r="94" spans="1:7" ht="15.75" customHeight="1">
      <c r="A94" s="349" t="s">
        <v>4998</v>
      </c>
      <c r="B94" s="367" t="s">
        <v>4999</v>
      </c>
      <c r="C94" s="351" t="s">
        <v>3214</v>
      </c>
      <c r="D94" s="352">
        <v>210</v>
      </c>
      <c r="E94" s="751">
        <v>0</v>
      </c>
      <c r="F94" s="353">
        <f t="shared" ref="F94:F105" si="5">D94*E94</f>
        <v>0</v>
      </c>
      <c r="G94" s="760" t="s">
        <v>5864</v>
      </c>
    </row>
    <row r="95" spans="1:7" ht="15.75" customHeight="1">
      <c r="A95" s="349" t="s">
        <v>5000</v>
      </c>
      <c r="B95" s="367" t="s">
        <v>5001</v>
      </c>
      <c r="C95" s="351" t="s">
        <v>3214</v>
      </c>
      <c r="D95" s="352">
        <v>190</v>
      </c>
      <c r="E95" s="751">
        <v>0</v>
      </c>
      <c r="F95" s="353">
        <f t="shared" si="5"/>
        <v>0</v>
      </c>
      <c r="G95" s="760" t="s">
        <v>5864</v>
      </c>
    </row>
    <row r="96" spans="1:7" ht="15.75" customHeight="1">
      <c r="A96" s="349" t="s">
        <v>5002</v>
      </c>
      <c r="B96" s="367" t="s">
        <v>5003</v>
      </c>
      <c r="C96" s="351" t="s">
        <v>3214</v>
      </c>
      <c r="D96" s="352">
        <v>40</v>
      </c>
      <c r="E96" s="751">
        <v>0</v>
      </c>
      <c r="F96" s="353">
        <f t="shared" si="5"/>
        <v>0</v>
      </c>
      <c r="G96" s="760" t="s">
        <v>5864</v>
      </c>
    </row>
    <row r="97" spans="1:7" ht="15.75" customHeight="1">
      <c r="A97" s="349" t="s">
        <v>5004</v>
      </c>
      <c r="B97" s="367" t="s">
        <v>5005</v>
      </c>
      <c r="C97" s="351" t="s">
        <v>3214</v>
      </c>
      <c r="D97" s="352">
        <v>20</v>
      </c>
      <c r="E97" s="751">
        <v>0</v>
      </c>
      <c r="F97" s="353">
        <f t="shared" si="5"/>
        <v>0</v>
      </c>
      <c r="G97" s="760" t="s">
        <v>5864</v>
      </c>
    </row>
    <row r="98" spans="1:7" ht="15.75" customHeight="1">
      <c r="A98" s="349" t="s">
        <v>5006</v>
      </c>
      <c r="B98" s="367" t="s">
        <v>5007</v>
      </c>
      <c r="C98" s="351" t="s">
        <v>3214</v>
      </c>
      <c r="D98" s="352">
        <v>90</v>
      </c>
      <c r="E98" s="751">
        <v>0</v>
      </c>
      <c r="F98" s="353">
        <f t="shared" si="5"/>
        <v>0</v>
      </c>
      <c r="G98" s="760" t="s">
        <v>5864</v>
      </c>
    </row>
    <row r="99" spans="1:7" ht="15.75" customHeight="1">
      <c r="A99" s="349" t="s">
        <v>5008</v>
      </c>
      <c r="B99" s="367" t="s">
        <v>5009</v>
      </c>
      <c r="C99" s="351" t="s">
        <v>3214</v>
      </c>
      <c r="D99" s="352">
        <v>60</v>
      </c>
      <c r="E99" s="751">
        <v>0</v>
      </c>
      <c r="F99" s="353">
        <f t="shared" si="5"/>
        <v>0</v>
      </c>
      <c r="G99" s="760" t="s">
        <v>5864</v>
      </c>
    </row>
    <row r="100" spans="1:7" ht="15.75" customHeight="1">
      <c r="A100" s="349" t="s">
        <v>5010</v>
      </c>
      <c r="B100" s="367" t="s">
        <v>5011</v>
      </c>
      <c r="C100" s="351" t="s">
        <v>3214</v>
      </c>
      <c r="D100" s="352">
        <v>10</v>
      </c>
      <c r="E100" s="751">
        <v>0</v>
      </c>
      <c r="F100" s="353">
        <f t="shared" si="5"/>
        <v>0</v>
      </c>
      <c r="G100" s="760" t="s">
        <v>5864</v>
      </c>
    </row>
    <row r="101" spans="1:7" ht="15.75" customHeight="1">
      <c r="A101" s="349" t="s">
        <v>5012</v>
      </c>
      <c r="B101" s="367" t="s">
        <v>5013</v>
      </c>
      <c r="C101" s="351" t="s">
        <v>3233</v>
      </c>
      <c r="D101" s="352">
        <v>1</v>
      </c>
      <c r="E101" s="751">
        <v>0</v>
      </c>
      <c r="F101" s="353">
        <f t="shared" si="5"/>
        <v>0</v>
      </c>
      <c r="G101" s="760" t="s">
        <v>5864</v>
      </c>
    </row>
    <row r="102" spans="1:7" ht="41.4">
      <c r="A102" s="349" t="s">
        <v>5014</v>
      </c>
      <c r="B102" s="367" t="s">
        <v>5015</v>
      </c>
      <c r="C102" s="351" t="s">
        <v>3226</v>
      </c>
      <c r="D102" s="352">
        <v>1</v>
      </c>
      <c r="E102" s="751">
        <v>0</v>
      </c>
      <c r="F102" s="353">
        <f t="shared" si="5"/>
        <v>0</v>
      </c>
      <c r="G102" s="760" t="s">
        <v>5864</v>
      </c>
    </row>
    <row r="103" spans="1:7" ht="41.4">
      <c r="A103" s="349" t="s">
        <v>4796</v>
      </c>
      <c r="B103" s="367" t="s">
        <v>5016</v>
      </c>
      <c r="C103" s="351" t="s">
        <v>3226</v>
      </c>
      <c r="D103" s="352">
        <v>1</v>
      </c>
      <c r="E103" s="751">
        <v>0</v>
      </c>
      <c r="F103" s="353">
        <f t="shared" si="5"/>
        <v>0</v>
      </c>
      <c r="G103" s="760" t="s">
        <v>5864</v>
      </c>
    </row>
    <row r="104" spans="1:7" ht="16.5" customHeight="1">
      <c r="A104" s="349" t="s">
        <v>4800</v>
      </c>
      <c r="B104" s="350" t="s">
        <v>5017</v>
      </c>
      <c r="C104" s="351" t="s">
        <v>3233</v>
      </c>
      <c r="D104" s="352">
        <v>1</v>
      </c>
      <c r="E104" s="751">
        <v>0</v>
      </c>
      <c r="F104" s="353">
        <f t="shared" si="5"/>
        <v>0</v>
      </c>
      <c r="G104" s="760" t="s">
        <v>5864</v>
      </c>
    </row>
    <row r="105" spans="1:7" ht="16.5" customHeight="1">
      <c r="A105" s="349" t="s">
        <v>4804</v>
      </c>
      <c r="B105" s="367" t="s">
        <v>5018</v>
      </c>
      <c r="C105" s="351" t="s">
        <v>3214</v>
      </c>
      <c r="D105" s="352">
        <v>10</v>
      </c>
      <c r="E105" s="751">
        <v>0</v>
      </c>
      <c r="F105" s="353">
        <f t="shared" si="5"/>
        <v>0</v>
      </c>
      <c r="G105" s="760" t="s">
        <v>5864</v>
      </c>
    </row>
    <row r="106" spans="1:7" ht="15" customHeight="1">
      <c r="A106" s="349"/>
      <c r="B106" s="350"/>
      <c r="C106" s="351"/>
      <c r="D106" s="368"/>
      <c r="E106" s="353"/>
      <c r="F106" s="353"/>
      <c r="G106" s="760"/>
    </row>
    <row r="107" spans="1:7" ht="18" customHeight="1">
      <c r="A107" s="974" t="s">
        <v>5019</v>
      </c>
      <c r="B107" s="974"/>
      <c r="C107" s="974"/>
      <c r="D107" s="974"/>
      <c r="E107" s="353"/>
      <c r="F107" s="353"/>
      <c r="G107" s="760"/>
    </row>
    <row r="108" spans="1:7" ht="15.75" customHeight="1">
      <c r="A108" s="349" t="s">
        <v>5020</v>
      </c>
      <c r="B108" s="350" t="s">
        <v>5021</v>
      </c>
      <c r="C108" s="351" t="s">
        <v>3214</v>
      </c>
      <c r="D108" s="352">
        <v>210</v>
      </c>
      <c r="E108" s="751">
        <v>0</v>
      </c>
      <c r="F108" s="353">
        <f t="shared" ref="F108:F115" si="6">D108*E108</f>
        <v>0</v>
      </c>
      <c r="G108" s="760" t="s">
        <v>5864</v>
      </c>
    </row>
    <row r="109" spans="1:7" ht="15.75" customHeight="1">
      <c r="A109" s="349" t="s">
        <v>5022</v>
      </c>
      <c r="B109" s="350" t="s">
        <v>5023</v>
      </c>
      <c r="C109" s="351" t="s">
        <v>3214</v>
      </c>
      <c r="D109" s="352">
        <v>190</v>
      </c>
      <c r="E109" s="751">
        <v>0</v>
      </c>
      <c r="F109" s="353">
        <f t="shared" si="6"/>
        <v>0</v>
      </c>
      <c r="G109" s="760" t="s">
        <v>5864</v>
      </c>
    </row>
    <row r="110" spans="1:7" ht="15.75" customHeight="1">
      <c r="A110" s="349" t="s">
        <v>5024</v>
      </c>
      <c r="B110" s="350" t="s">
        <v>5025</v>
      </c>
      <c r="C110" s="351" t="s">
        <v>3214</v>
      </c>
      <c r="D110" s="352">
        <v>40</v>
      </c>
      <c r="E110" s="751">
        <v>0</v>
      </c>
      <c r="F110" s="353">
        <f t="shared" si="6"/>
        <v>0</v>
      </c>
      <c r="G110" s="760" t="s">
        <v>5864</v>
      </c>
    </row>
    <row r="111" spans="1:7" ht="15.75" customHeight="1">
      <c r="A111" s="349" t="s">
        <v>5026</v>
      </c>
      <c r="B111" s="350" t="s">
        <v>5027</v>
      </c>
      <c r="C111" s="351" t="s">
        <v>3214</v>
      </c>
      <c r="D111" s="352">
        <v>20</v>
      </c>
      <c r="E111" s="751">
        <v>0</v>
      </c>
      <c r="F111" s="353">
        <f t="shared" si="6"/>
        <v>0</v>
      </c>
      <c r="G111" s="760" t="s">
        <v>5864</v>
      </c>
    </row>
    <row r="112" spans="1:7" ht="15.75" customHeight="1">
      <c r="A112" s="349" t="s">
        <v>5028</v>
      </c>
      <c r="B112" s="350" t="s">
        <v>5029</v>
      </c>
      <c r="C112" s="351" t="s">
        <v>3214</v>
      </c>
      <c r="D112" s="352">
        <v>90</v>
      </c>
      <c r="E112" s="751">
        <v>0</v>
      </c>
      <c r="F112" s="353">
        <f t="shared" si="6"/>
        <v>0</v>
      </c>
      <c r="G112" s="760" t="s">
        <v>5864</v>
      </c>
    </row>
    <row r="113" spans="1:7" ht="15.75" customHeight="1">
      <c r="A113" s="349" t="s">
        <v>5030</v>
      </c>
      <c r="B113" s="350" t="s">
        <v>5031</v>
      </c>
      <c r="C113" s="351" t="s">
        <v>3214</v>
      </c>
      <c r="D113" s="352">
        <v>60</v>
      </c>
      <c r="E113" s="751">
        <v>0</v>
      </c>
      <c r="F113" s="353">
        <f t="shared" si="6"/>
        <v>0</v>
      </c>
      <c r="G113" s="760" t="s">
        <v>5864</v>
      </c>
    </row>
    <row r="114" spans="1:7" ht="15.75" customHeight="1">
      <c r="A114" s="349" t="s">
        <v>5032</v>
      </c>
      <c r="B114" s="350" t="s">
        <v>5033</v>
      </c>
      <c r="C114" s="351" t="s">
        <v>3214</v>
      </c>
      <c r="D114" s="352">
        <v>10</v>
      </c>
      <c r="E114" s="751">
        <v>0</v>
      </c>
      <c r="F114" s="353">
        <f t="shared" si="6"/>
        <v>0</v>
      </c>
      <c r="G114" s="760" t="s">
        <v>5864</v>
      </c>
    </row>
    <row r="115" spans="1:7" ht="15.75" customHeight="1">
      <c r="A115" s="349" t="s">
        <v>5034</v>
      </c>
      <c r="B115" s="350" t="s">
        <v>5035</v>
      </c>
      <c r="C115" s="351" t="s">
        <v>3233</v>
      </c>
      <c r="D115" s="352">
        <v>1</v>
      </c>
      <c r="E115" s="751">
        <v>0</v>
      </c>
      <c r="F115" s="353">
        <f t="shared" si="6"/>
        <v>0</v>
      </c>
      <c r="G115" s="760" t="s">
        <v>5864</v>
      </c>
    </row>
    <row r="116" spans="1:7" ht="15" customHeight="1">
      <c r="A116" s="349"/>
      <c r="B116" s="350"/>
      <c r="C116" s="351"/>
      <c r="D116" s="352"/>
      <c r="E116" s="353"/>
      <c r="F116" s="353"/>
      <c r="G116" s="760"/>
    </row>
    <row r="117" spans="1:7" ht="18" customHeight="1">
      <c r="A117" s="974" t="s">
        <v>5036</v>
      </c>
      <c r="B117" s="974"/>
      <c r="C117" s="974"/>
      <c r="D117" s="974"/>
      <c r="E117" s="353"/>
      <c r="F117" s="353"/>
      <c r="G117" s="760"/>
    </row>
    <row r="118" spans="1:7" ht="15.75" customHeight="1">
      <c r="A118" s="349" t="s">
        <v>5037</v>
      </c>
      <c r="B118" s="350" t="s">
        <v>5038</v>
      </c>
      <c r="C118" s="351" t="s">
        <v>3233</v>
      </c>
      <c r="D118" s="352">
        <v>1</v>
      </c>
      <c r="E118" s="751">
        <v>0</v>
      </c>
      <c r="F118" s="353">
        <f t="shared" ref="F118:F131" si="7">D118*E118</f>
        <v>0</v>
      </c>
      <c r="G118" s="760" t="s">
        <v>5864</v>
      </c>
    </row>
    <row r="119" spans="1:7" ht="15.75" customHeight="1">
      <c r="A119" s="349" t="s">
        <v>5039</v>
      </c>
      <c r="B119" s="350" t="s">
        <v>5040</v>
      </c>
      <c r="C119" s="351" t="s">
        <v>3233</v>
      </c>
      <c r="D119" s="352">
        <v>1</v>
      </c>
      <c r="E119" s="751">
        <v>0</v>
      </c>
      <c r="F119" s="353">
        <f t="shared" si="7"/>
        <v>0</v>
      </c>
      <c r="G119" s="760" t="s">
        <v>5864</v>
      </c>
    </row>
    <row r="120" spans="1:7" ht="15.75" customHeight="1">
      <c r="A120" s="349" t="s">
        <v>5041</v>
      </c>
      <c r="B120" s="350" t="s">
        <v>5042</v>
      </c>
      <c r="C120" s="351" t="s">
        <v>3233</v>
      </c>
      <c r="D120" s="352">
        <v>1</v>
      </c>
      <c r="E120" s="751">
        <v>0</v>
      </c>
      <c r="F120" s="353">
        <f t="shared" si="7"/>
        <v>0</v>
      </c>
      <c r="G120" s="760" t="s">
        <v>5864</v>
      </c>
    </row>
    <row r="121" spans="1:7" ht="15.75" customHeight="1">
      <c r="A121" s="349" t="s">
        <v>5043</v>
      </c>
      <c r="B121" s="350" t="s">
        <v>5044</v>
      </c>
      <c r="C121" s="351" t="s">
        <v>3233</v>
      </c>
      <c r="D121" s="352">
        <v>1</v>
      </c>
      <c r="E121" s="751">
        <v>0</v>
      </c>
      <c r="F121" s="353">
        <f t="shared" si="7"/>
        <v>0</v>
      </c>
      <c r="G121" s="760" t="s">
        <v>5864</v>
      </c>
    </row>
    <row r="122" spans="1:7" ht="15.75" customHeight="1">
      <c r="A122" s="349" t="s">
        <v>5045</v>
      </c>
      <c r="B122" s="350" t="s">
        <v>5046</v>
      </c>
      <c r="C122" s="351" t="s">
        <v>3233</v>
      </c>
      <c r="D122" s="352">
        <v>1</v>
      </c>
      <c r="E122" s="751">
        <v>0</v>
      </c>
      <c r="F122" s="353">
        <f t="shared" si="7"/>
        <v>0</v>
      </c>
      <c r="G122" s="760" t="s">
        <v>5864</v>
      </c>
    </row>
    <row r="123" spans="1:7" ht="15.75" customHeight="1">
      <c r="A123" s="349" t="s">
        <v>5047</v>
      </c>
      <c r="B123" s="350" t="s">
        <v>5048</v>
      </c>
      <c r="C123" s="351" t="s">
        <v>3233</v>
      </c>
      <c r="D123" s="352">
        <v>1</v>
      </c>
      <c r="E123" s="751">
        <v>0</v>
      </c>
      <c r="F123" s="353">
        <f t="shared" si="7"/>
        <v>0</v>
      </c>
      <c r="G123" s="760" t="s">
        <v>5864</v>
      </c>
    </row>
    <row r="124" spans="1:7" ht="15.75" customHeight="1">
      <c r="A124" s="349" t="s">
        <v>5049</v>
      </c>
      <c r="B124" s="350" t="s">
        <v>5050</v>
      </c>
      <c r="C124" s="351" t="s">
        <v>3233</v>
      </c>
      <c r="D124" s="352">
        <v>1</v>
      </c>
      <c r="E124" s="751">
        <v>0</v>
      </c>
      <c r="F124" s="353">
        <f t="shared" si="7"/>
        <v>0</v>
      </c>
      <c r="G124" s="760" t="s">
        <v>5864</v>
      </c>
    </row>
    <row r="125" spans="1:7" ht="15.75" customHeight="1">
      <c r="A125" s="349" t="s">
        <v>5051</v>
      </c>
      <c r="B125" s="350" t="s">
        <v>5052</v>
      </c>
      <c r="C125" s="351" t="s">
        <v>3233</v>
      </c>
      <c r="D125" s="352">
        <v>1</v>
      </c>
      <c r="E125" s="751">
        <v>0</v>
      </c>
      <c r="F125" s="353">
        <f t="shared" si="7"/>
        <v>0</v>
      </c>
      <c r="G125" s="760" t="s">
        <v>5864</v>
      </c>
    </row>
    <row r="126" spans="1:7" ht="15.75" customHeight="1">
      <c r="A126" s="349" t="s">
        <v>5053</v>
      </c>
      <c r="B126" s="350" t="s">
        <v>5054</v>
      </c>
      <c r="C126" s="351" t="s">
        <v>3233</v>
      </c>
      <c r="D126" s="352">
        <v>1</v>
      </c>
      <c r="E126" s="751">
        <v>0</v>
      </c>
      <c r="F126" s="353">
        <f t="shared" si="7"/>
        <v>0</v>
      </c>
      <c r="G126" s="760" t="s">
        <v>5864</v>
      </c>
    </row>
    <row r="127" spans="1:7" ht="15.75" customHeight="1">
      <c r="A127" s="349" t="s">
        <v>4859</v>
      </c>
      <c r="B127" s="350" t="s">
        <v>4854</v>
      </c>
      <c r="C127" s="351" t="s">
        <v>3233</v>
      </c>
      <c r="D127" s="352">
        <v>1</v>
      </c>
      <c r="E127" s="751">
        <v>0</v>
      </c>
      <c r="F127" s="353">
        <f t="shared" si="7"/>
        <v>0</v>
      </c>
      <c r="G127" s="760" t="s">
        <v>5864</v>
      </c>
    </row>
    <row r="128" spans="1:7" ht="15.75" customHeight="1">
      <c r="A128" s="349" t="s">
        <v>4863</v>
      </c>
      <c r="B128" s="350" t="s">
        <v>5055</v>
      </c>
      <c r="C128" s="351" t="s">
        <v>3233</v>
      </c>
      <c r="D128" s="352">
        <v>1</v>
      </c>
      <c r="E128" s="751">
        <v>0</v>
      </c>
      <c r="F128" s="353">
        <f t="shared" si="7"/>
        <v>0</v>
      </c>
      <c r="G128" s="760" t="s">
        <v>5864</v>
      </c>
    </row>
    <row r="129" spans="1:7" ht="15.75" customHeight="1">
      <c r="A129" s="349" t="s">
        <v>4867</v>
      </c>
      <c r="B129" s="350" t="s">
        <v>5056</v>
      </c>
      <c r="C129" s="351" t="s">
        <v>3233</v>
      </c>
      <c r="D129" s="352">
        <v>1</v>
      </c>
      <c r="E129" s="751">
        <v>0</v>
      </c>
      <c r="F129" s="353">
        <f t="shared" si="7"/>
        <v>0</v>
      </c>
      <c r="G129" s="760" t="s">
        <v>5864</v>
      </c>
    </row>
    <row r="130" spans="1:7" ht="15.75" customHeight="1">
      <c r="A130" s="349" t="s">
        <v>4869</v>
      </c>
      <c r="B130" s="350" t="s">
        <v>4281</v>
      </c>
      <c r="C130" s="351" t="s">
        <v>3233</v>
      </c>
      <c r="D130" s="352">
        <v>1</v>
      </c>
      <c r="E130" s="751">
        <v>0</v>
      </c>
      <c r="F130" s="353">
        <f t="shared" si="7"/>
        <v>0</v>
      </c>
      <c r="G130" s="760" t="s">
        <v>5864</v>
      </c>
    </row>
    <row r="131" spans="1:7" ht="15.75" customHeight="1">
      <c r="A131" s="349" t="s">
        <v>4873</v>
      </c>
      <c r="B131" s="350" t="s">
        <v>5057</v>
      </c>
      <c r="C131" s="351" t="s">
        <v>3233</v>
      </c>
      <c r="D131" s="352">
        <v>1</v>
      </c>
      <c r="E131" s="751">
        <v>0</v>
      </c>
      <c r="F131" s="353">
        <f t="shared" si="7"/>
        <v>0</v>
      </c>
      <c r="G131" s="760" t="s">
        <v>5864</v>
      </c>
    </row>
    <row r="132" spans="1:7" ht="15.75" customHeight="1">
      <c r="A132" s="369"/>
      <c r="B132" s="350"/>
      <c r="C132" s="351"/>
      <c r="D132" s="368"/>
      <c r="E132" s="359"/>
      <c r="F132" s="359"/>
    </row>
    <row r="133" spans="1:7" ht="16.5" customHeight="1">
      <c r="A133" s="369"/>
      <c r="B133" s="370" t="s">
        <v>5058</v>
      </c>
      <c r="C133" s="371"/>
      <c r="D133" s="372"/>
      <c r="E133" s="359"/>
      <c r="F133" s="373">
        <f>SUM(F5:F131)</f>
        <v>0</v>
      </c>
    </row>
    <row r="134" spans="1:7" s="376" customFormat="1" ht="16.5" customHeight="1">
      <c r="A134" s="374"/>
      <c r="B134" s="374"/>
      <c r="C134" s="374"/>
      <c r="D134" s="375"/>
    </row>
    <row r="135" spans="1:7" s="376" customFormat="1" ht="16.5" customHeight="1">
      <c r="A135" s="377"/>
      <c r="B135" s="348"/>
      <c r="C135" s="378"/>
      <c r="D135" s="379"/>
    </row>
    <row r="136" spans="1:7" s="376" customFormat="1" ht="15" customHeight="1">
      <c r="A136" s="378"/>
      <c r="C136" s="378"/>
      <c r="D136" s="379"/>
    </row>
    <row r="137" spans="1:7" s="376" customFormat="1" ht="15" customHeight="1">
      <c r="A137" s="378"/>
      <c r="C137" s="378"/>
      <c r="D137" s="379"/>
    </row>
    <row r="138" spans="1:7" s="376" customFormat="1" ht="15" customHeight="1">
      <c r="A138" s="378"/>
      <c r="C138" s="378"/>
      <c r="D138" s="379"/>
    </row>
    <row r="139" spans="1:7" s="376" customFormat="1" ht="15" customHeight="1">
      <c r="A139" s="378"/>
      <c r="C139" s="378"/>
      <c r="D139" s="379"/>
    </row>
    <row r="140" spans="1:7" s="376" customFormat="1" ht="15" customHeight="1">
      <c r="A140" s="378"/>
      <c r="C140" s="378"/>
      <c r="D140" s="379"/>
    </row>
    <row r="141" spans="1:7" s="376" customFormat="1" ht="15" customHeight="1">
      <c r="A141" s="378"/>
      <c r="C141" s="378"/>
      <c r="D141" s="379"/>
    </row>
    <row r="142" spans="1:7" s="376" customFormat="1" ht="15" customHeight="1">
      <c r="A142" s="378"/>
      <c r="C142" s="378"/>
      <c r="D142" s="379"/>
    </row>
    <row r="143" spans="1:7" s="376" customFormat="1" ht="15" customHeight="1">
      <c r="A143" s="378"/>
      <c r="C143" s="378"/>
      <c r="D143" s="379"/>
    </row>
    <row r="144" spans="1:7" s="376" customFormat="1" ht="15" customHeight="1">
      <c r="A144" s="378"/>
      <c r="C144" s="378"/>
      <c r="D144" s="379"/>
    </row>
    <row r="145" spans="1:4" s="376" customFormat="1" ht="15" customHeight="1">
      <c r="A145" s="378"/>
      <c r="C145" s="378"/>
      <c r="D145" s="379"/>
    </row>
    <row r="146" spans="1:4" s="376" customFormat="1" ht="15" customHeight="1">
      <c r="A146" s="378"/>
      <c r="C146" s="378"/>
      <c r="D146" s="379"/>
    </row>
    <row r="147" spans="1:4" s="376" customFormat="1" ht="15" customHeight="1">
      <c r="A147" s="378"/>
      <c r="C147" s="378"/>
      <c r="D147" s="379"/>
    </row>
    <row r="148" spans="1:4" s="376" customFormat="1" ht="15" customHeight="1">
      <c r="A148" s="378"/>
      <c r="C148" s="378"/>
      <c r="D148" s="379"/>
    </row>
    <row r="149" spans="1:4" s="376" customFormat="1" ht="15" customHeight="1">
      <c r="A149" s="378"/>
      <c r="C149" s="378"/>
      <c r="D149" s="379"/>
    </row>
    <row r="150" spans="1:4" s="376" customFormat="1" ht="15" customHeight="1">
      <c r="A150" s="378"/>
      <c r="C150" s="378"/>
      <c r="D150" s="379"/>
    </row>
    <row r="151" spans="1:4" s="376" customFormat="1" ht="15" customHeight="1">
      <c r="A151" s="378"/>
      <c r="C151" s="378"/>
      <c r="D151" s="379"/>
    </row>
    <row r="152" spans="1:4" s="376" customFormat="1" ht="15" customHeight="1">
      <c r="A152" s="378"/>
      <c r="C152" s="378"/>
      <c r="D152" s="379"/>
    </row>
    <row r="153" spans="1:4" s="376" customFormat="1" ht="15" customHeight="1">
      <c r="A153" s="378"/>
      <c r="C153" s="378"/>
      <c r="D153" s="379"/>
    </row>
    <row r="154" spans="1:4" s="376" customFormat="1" ht="15" customHeight="1">
      <c r="A154" s="378"/>
      <c r="C154" s="378"/>
      <c r="D154" s="379"/>
    </row>
    <row r="155" spans="1:4" s="376" customFormat="1" ht="15" customHeight="1">
      <c r="A155" s="378"/>
      <c r="C155" s="378"/>
      <c r="D155" s="379"/>
    </row>
    <row r="156" spans="1:4" s="376" customFormat="1" ht="15" customHeight="1">
      <c r="A156" s="378"/>
      <c r="C156" s="378"/>
      <c r="D156" s="379"/>
    </row>
    <row r="157" spans="1:4" s="376" customFormat="1" ht="15" customHeight="1">
      <c r="A157" s="378"/>
      <c r="C157" s="378"/>
      <c r="D157" s="379"/>
    </row>
    <row r="158" spans="1:4" s="376" customFormat="1" ht="15" customHeight="1">
      <c r="A158" s="378"/>
      <c r="C158" s="378"/>
      <c r="D158" s="379"/>
    </row>
    <row r="159" spans="1:4" s="376" customFormat="1" ht="15" customHeight="1">
      <c r="A159" s="378"/>
      <c r="C159" s="378"/>
      <c r="D159" s="379"/>
    </row>
    <row r="160" spans="1:4" s="376" customFormat="1" ht="15" customHeight="1">
      <c r="A160" s="378"/>
      <c r="C160" s="378"/>
      <c r="D160" s="379"/>
    </row>
    <row r="161" spans="1:4" s="376" customFormat="1" ht="15" customHeight="1">
      <c r="A161" s="378"/>
      <c r="C161" s="378"/>
      <c r="D161" s="379"/>
    </row>
    <row r="162" spans="1:4" s="376" customFormat="1" ht="15" customHeight="1">
      <c r="A162" s="378"/>
      <c r="C162" s="378"/>
      <c r="D162" s="379"/>
    </row>
    <row r="163" spans="1:4" s="376" customFormat="1" ht="15" customHeight="1">
      <c r="A163" s="378"/>
      <c r="C163" s="378"/>
      <c r="D163" s="379"/>
    </row>
    <row r="164" spans="1:4" s="376" customFormat="1" ht="15" customHeight="1">
      <c r="A164" s="378"/>
      <c r="C164" s="378"/>
      <c r="D164" s="379"/>
    </row>
    <row r="165" spans="1:4" s="376" customFormat="1" ht="15" customHeight="1">
      <c r="A165" s="378"/>
      <c r="C165" s="378"/>
      <c r="D165" s="379"/>
    </row>
    <row r="166" spans="1:4" s="376" customFormat="1" ht="15" customHeight="1">
      <c r="A166" s="378"/>
      <c r="C166" s="378"/>
      <c r="D166" s="379"/>
    </row>
    <row r="167" spans="1:4" s="376" customFormat="1" ht="15" customHeight="1">
      <c r="A167" s="378"/>
      <c r="C167" s="378"/>
      <c r="D167" s="379"/>
    </row>
    <row r="168" spans="1:4" s="376" customFormat="1" ht="15" customHeight="1">
      <c r="A168" s="378"/>
      <c r="C168" s="378"/>
      <c r="D168" s="379"/>
    </row>
    <row r="169" spans="1:4" s="376" customFormat="1" ht="15" customHeight="1">
      <c r="A169" s="378"/>
      <c r="C169" s="378"/>
      <c r="D169" s="379"/>
    </row>
    <row r="170" spans="1:4" s="376" customFormat="1" ht="15" customHeight="1">
      <c r="A170" s="378"/>
      <c r="C170" s="378"/>
      <c r="D170" s="379"/>
    </row>
    <row r="171" spans="1:4" s="376" customFormat="1" ht="15" customHeight="1">
      <c r="A171" s="378"/>
      <c r="C171" s="378"/>
      <c r="D171" s="379"/>
    </row>
    <row r="172" spans="1:4" s="376" customFormat="1" ht="15" customHeight="1">
      <c r="A172" s="378"/>
      <c r="C172" s="378"/>
      <c r="D172" s="379"/>
    </row>
    <row r="173" spans="1:4" s="376" customFormat="1" ht="15" customHeight="1">
      <c r="A173" s="378"/>
      <c r="C173" s="378"/>
      <c r="D173" s="379"/>
    </row>
    <row r="174" spans="1:4" s="376" customFormat="1" ht="15" customHeight="1">
      <c r="A174" s="378"/>
      <c r="C174" s="378"/>
      <c r="D174" s="379"/>
    </row>
    <row r="175" spans="1:4" s="376" customFormat="1" ht="15" customHeight="1">
      <c r="A175" s="378"/>
      <c r="C175" s="378"/>
      <c r="D175" s="379"/>
    </row>
    <row r="176" spans="1:4" s="376" customFormat="1" ht="15" customHeight="1">
      <c r="A176" s="378"/>
      <c r="C176" s="378"/>
      <c r="D176" s="379"/>
    </row>
    <row r="177" spans="1:4" s="376" customFormat="1" ht="15" customHeight="1">
      <c r="A177" s="378"/>
      <c r="C177" s="378"/>
      <c r="D177" s="379"/>
    </row>
    <row r="178" spans="1:4" s="376" customFormat="1" ht="15" customHeight="1">
      <c r="A178" s="378"/>
      <c r="C178" s="378"/>
      <c r="D178" s="379"/>
    </row>
    <row r="179" spans="1:4" s="376" customFormat="1" ht="15" customHeight="1">
      <c r="A179" s="378"/>
      <c r="C179" s="378"/>
      <c r="D179" s="379"/>
    </row>
    <row r="180" spans="1:4" s="376" customFormat="1" ht="15" customHeight="1">
      <c r="A180" s="378"/>
      <c r="C180" s="378"/>
      <c r="D180" s="379"/>
    </row>
    <row r="181" spans="1:4" s="376" customFormat="1" ht="15" customHeight="1">
      <c r="A181" s="378"/>
      <c r="C181" s="378"/>
      <c r="D181" s="379"/>
    </row>
    <row r="182" spans="1:4" s="376" customFormat="1" ht="15" customHeight="1">
      <c r="A182" s="378"/>
      <c r="C182" s="378"/>
      <c r="D182" s="379"/>
    </row>
    <row r="183" spans="1:4" s="376" customFormat="1" ht="15" customHeight="1">
      <c r="A183" s="378"/>
      <c r="C183" s="378"/>
      <c r="D183" s="379"/>
    </row>
    <row r="184" spans="1:4" s="376" customFormat="1" ht="15" customHeight="1">
      <c r="A184" s="378"/>
      <c r="C184" s="378"/>
      <c r="D184" s="379"/>
    </row>
    <row r="185" spans="1:4" s="376" customFormat="1" ht="15" customHeight="1">
      <c r="A185" s="378"/>
      <c r="C185" s="378"/>
      <c r="D185" s="379"/>
    </row>
    <row r="186" spans="1:4" s="376" customFormat="1" ht="15" customHeight="1">
      <c r="A186" s="378"/>
      <c r="B186" s="380"/>
      <c r="C186" s="378"/>
      <c r="D186" s="379"/>
    </row>
    <row r="187" spans="1:4" s="376" customFormat="1" ht="15" customHeight="1">
      <c r="A187" s="378"/>
      <c r="B187" s="380"/>
      <c r="C187" s="378"/>
      <c r="D187" s="379"/>
    </row>
    <row r="188" spans="1:4" s="376" customFormat="1" ht="15" customHeight="1">
      <c r="A188" s="378"/>
      <c r="C188" s="378"/>
      <c r="D188" s="379"/>
    </row>
    <row r="189" spans="1:4" s="376" customFormat="1" ht="15" customHeight="1">
      <c r="A189" s="378"/>
      <c r="C189" s="378"/>
      <c r="D189" s="379"/>
    </row>
    <row r="190" spans="1:4" s="376" customFormat="1" ht="15" customHeight="1">
      <c r="A190" s="378"/>
      <c r="B190" s="380"/>
      <c r="C190" s="378"/>
      <c r="D190" s="379"/>
    </row>
    <row r="191" spans="1:4" s="376" customFormat="1" ht="15" customHeight="1">
      <c r="A191" s="378"/>
      <c r="B191" s="380"/>
      <c r="C191" s="378"/>
      <c r="D191" s="379"/>
    </row>
    <row r="192" spans="1:4" s="376" customFormat="1" ht="15" customHeight="1">
      <c r="A192" s="378"/>
      <c r="B192" s="380"/>
      <c r="C192" s="378"/>
      <c r="D192" s="379"/>
    </row>
    <row r="193" spans="1:4" s="376" customFormat="1" ht="15" customHeight="1">
      <c r="A193" s="378"/>
      <c r="C193" s="378"/>
      <c r="D193" s="379"/>
    </row>
    <row r="194" spans="1:4" s="376" customFormat="1" ht="15" customHeight="1">
      <c r="A194" s="378"/>
      <c r="B194" s="380"/>
      <c r="C194" s="378"/>
      <c r="D194" s="379"/>
    </row>
    <row r="195" spans="1:4" s="376" customFormat="1" ht="15" customHeight="1">
      <c r="A195" s="378"/>
      <c r="B195" s="380"/>
      <c r="C195" s="378"/>
      <c r="D195" s="379"/>
    </row>
    <row r="196" spans="1:4" s="376" customFormat="1" ht="15" customHeight="1">
      <c r="A196" s="378"/>
      <c r="B196" s="380"/>
      <c r="C196" s="378"/>
      <c r="D196" s="379"/>
    </row>
    <row r="197" spans="1:4" s="376" customFormat="1" ht="15" customHeight="1">
      <c r="A197" s="378"/>
      <c r="C197" s="378"/>
      <c r="D197" s="379"/>
    </row>
    <row r="198" spans="1:4" s="376" customFormat="1" ht="15" customHeight="1">
      <c r="A198" s="378"/>
      <c r="B198" s="380"/>
      <c r="C198" s="378"/>
      <c r="D198" s="379"/>
    </row>
    <row r="199" spans="1:4" s="376" customFormat="1" ht="15" customHeight="1">
      <c r="A199" s="378"/>
      <c r="B199" s="380"/>
      <c r="C199" s="378"/>
      <c r="D199" s="379"/>
    </row>
    <row r="200" spans="1:4" s="376" customFormat="1" ht="15" customHeight="1">
      <c r="A200" s="378"/>
      <c r="B200" s="380"/>
      <c r="C200" s="378"/>
      <c r="D200" s="379"/>
    </row>
    <row r="201" spans="1:4" s="376" customFormat="1" ht="15" customHeight="1">
      <c r="A201" s="378"/>
      <c r="C201" s="378"/>
      <c r="D201" s="379"/>
    </row>
    <row r="202" spans="1:4" s="376" customFormat="1" ht="15" customHeight="1">
      <c r="A202" s="378"/>
      <c r="B202" s="380"/>
      <c r="C202" s="378"/>
      <c r="D202" s="379"/>
    </row>
    <row r="203" spans="1:4" s="376" customFormat="1" ht="15" customHeight="1">
      <c r="A203" s="378"/>
      <c r="B203" s="380"/>
      <c r="C203" s="378"/>
      <c r="D203" s="379"/>
    </row>
    <row r="204" spans="1:4" s="376" customFormat="1" ht="15" customHeight="1">
      <c r="A204" s="378"/>
      <c r="B204" s="380"/>
      <c r="C204" s="378"/>
      <c r="D204" s="379"/>
    </row>
    <row r="205" spans="1:4" s="376" customFormat="1" ht="15" customHeight="1">
      <c r="A205" s="378"/>
      <c r="C205" s="378"/>
      <c r="D205" s="379"/>
    </row>
    <row r="206" spans="1:4" s="376" customFormat="1" ht="15" customHeight="1">
      <c r="A206" s="378"/>
      <c r="B206" s="380"/>
      <c r="C206" s="378"/>
      <c r="D206" s="379"/>
    </row>
    <row r="207" spans="1:4" s="376" customFormat="1" ht="15" customHeight="1">
      <c r="A207" s="378"/>
      <c r="B207" s="380"/>
      <c r="C207" s="378"/>
      <c r="D207" s="379"/>
    </row>
    <row r="208" spans="1:4" s="376" customFormat="1" ht="15" customHeight="1">
      <c r="A208" s="378"/>
      <c r="B208" s="380"/>
      <c r="C208" s="378"/>
      <c r="D208" s="379"/>
    </row>
    <row r="209" spans="1:4" s="376" customFormat="1" ht="15" customHeight="1">
      <c r="A209" s="378"/>
      <c r="C209" s="378"/>
      <c r="D209" s="379"/>
    </row>
    <row r="210" spans="1:4" s="376" customFormat="1" ht="15" customHeight="1">
      <c r="A210" s="378"/>
      <c r="B210" s="380"/>
      <c r="C210" s="378"/>
      <c r="D210" s="379"/>
    </row>
    <row r="211" spans="1:4" s="376" customFormat="1" ht="15" customHeight="1">
      <c r="A211" s="378"/>
      <c r="B211" s="380"/>
      <c r="C211" s="378"/>
      <c r="D211" s="379"/>
    </row>
    <row r="212" spans="1:4" s="376" customFormat="1" ht="15" customHeight="1">
      <c r="A212" s="378"/>
      <c r="B212" s="380"/>
      <c r="C212" s="378"/>
      <c r="D212" s="379"/>
    </row>
    <row r="213" spans="1:4" s="376" customFormat="1" ht="15" customHeight="1">
      <c r="A213" s="378"/>
      <c r="B213" s="380"/>
      <c r="C213" s="378"/>
      <c r="D213" s="379"/>
    </row>
    <row r="214" spans="1:4" s="376" customFormat="1" ht="15" customHeight="1">
      <c r="A214" s="378"/>
      <c r="C214" s="378"/>
      <c r="D214" s="379"/>
    </row>
    <row r="215" spans="1:4" s="376" customFormat="1" ht="15" customHeight="1">
      <c r="A215" s="378"/>
      <c r="C215" s="378"/>
      <c r="D215" s="379"/>
    </row>
    <row r="216" spans="1:4" s="376" customFormat="1" ht="15" customHeight="1">
      <c r="A216" s="378"/>
      <c r="C216" s="378"/>
      <c r="D216" s="379"/>
    </row>
    <row r="217" spans="1:4" s="376" customFormat="1" ht="15" customHeight="1">
      <c r="A217" s="378"/>
      <c r="C217" s="378"/>
      <c r="D217" s="379"/>
    </row>
    <row r="218" spans="1:4" s="376" customFormat="1" ht="15" customHeight="1">
      <c r="A218" s="378"/>
      <c r="B218" s="380"/>
      <c r="C218" s="378"/>
      <c r="D218" s="379"/>
    </row>
    <row r="219" spans="1:4" s="376" customFormat="1" ht="15" customHeight="1">
      <c r="A219" s="378"/>
      <c r="B219" s="380"/>
      <c r="C219" s="378"/>
      <c r="D219" s="379"/>
    </row>
    <row r="220" spans="1:4" s="376" customFormat="1" ht="15" customHeight="1">
      <c r="A220" s="378"/>
      <c r="B220" s="380"/>
      <c r="C220" s="378"/>
      <c r="D220" s="379"/>
    </row>
    <row r="221" spans="1:4" s="376" customFormat="1" ht="15" customHeight="1">
      <c r="A221" s="378"/>
      <c r="C221" s="378"/>
      <c r="D221" s="379"/>
    </row>
    <row r="222" spans="1:4" s="376" customFormat="1" ht="15" customHeight="1">
      <c r="A222" s="378"/>
      <c r="C222" s="378"/>
      <c r="D222" s="379"/>
    </row>
    <row r="223" spans="1:4" s="376" customFormat="1" ht="15" customHeight="1">
      <c r="A223" s="378"/>
      <c r="C223" s="378"/>
      <c r="D223" s="379"/>
    </row>
    <row r="224" spans="1:4" s="376" customFormat="1" ht="15" customHeight="1">
      <c r="A224" s="378"/>
      <c r="B224" s="380"/>
      <c r="C224" s="378"/>
      <c r="D224" s="379"/>
    </row>
    <row r="225" spans="1:4" s="376" customFormat="1" ht="15" customHeight="1">
      <c r="A225" s="378"/>
      <c r="B225" s="380"/>
      <c r="C225" s="378"/>
      <c r="D225" s="379"/>
    </row>
    <row r="226" spans="1:4" s="376" customFormat="1" ht="15" customHeight="1">
      <c r="A226" s="378"/>
      <c r="B226" s="380"/>
      <c r="C226" s="378"/>
      <c r="D226" s="379"/>
    </row>
    <row r="227" spans="1:4" s="376" customFormat="1" ht="15" customHeight="1">
      <c r="A227" s="378"/>
      <c r="C227" s="378"/>
      <c r="D227" s="379"/>
    </row>
    <row r="228" spans="1:4" s="376" customFormat="1" ht="15" customHeight="1">
      <c r="A228" s="378"/>
      <c r="C228" s="378"/>
      <c r="D228" s="379"/>
    </row>
    <row r="229" spans="1:4" s="376" customFormat="1" ht="15" customHeight="1">
      <c r="A229" s="378"/>
      <c r="C229" s="378"/>
      <c r="D229" s="379"/>
    </row>
    <row r="230" spans="1:4" s="376" customFormat="1" ht="15" customHeight="1">
      <c r="A230" s="378"/>
      <c r="B230" s="380"/>
      <c r="C230" s="378"/>
      <c r="D230" s="379"/>
    </row>
    <row r="231" spans="1:4" s="376" customFormat="1" ht="15" customHeight="1">
      <c r="A231" s="378"/>
      <c r="B231" s="380"/>
      <c r="C231" s="378"/>
      <c r="D231" s="379"/>
    </row>
    <row r="232" spans="1:4" s="376" customFormat="1" ht="15" customHeight="1">
      <c r="A232" s="378"/>
      <c r="C232" s="378"/>
      <c r="D232" s="379"/>
    </row>
    <row r="233" spans="1:4" s="376" customFormat="1" ht="15" customHeight="1">
      <c r="A233" s="378"/>
      <c r="B233" s="380"/>
      <c r="C233" s="378"/>
      <c r="D233" s="379"/>
    </row>
    <row r="234" spans="1:4" s="376" customFormat="1" ht="15" customHeight="1">
      <c r="A234" s="378"/>
      <c r="B234" s="380"/>
      <c r="C234" s="378"/>
      <c r="D234" s="379"/>
    </row>
    <row r="235" spans="1:4" s="376" customFormat="1" ht="15" customHeight="1">
      <c r="A235" s="378"/>
      <c r="C235" s="378"/>
      <c r="D235" s="379"/>
    </row>
    <row r="236" spans="1:4" s="376" customFormat="1" ht="15" customHeight="1">
      <c r="A236" s="378"/>
      <c r="B236" s="380"/>
      <c r="C236" s="378"/>
      <c r="D236" s="379"/>
    </row>
    <row r="237" spans="1:4" s="376" customFormat="1" ht="15" customHeight="1">
      <c r="A237" s="378"/>
      <c r="B237" s="380"/>
      <c r="C237" s="378"/>
      <c r="D237" s="379"/>
    </row>
    <row r="238" spans="1:4" s="376" customFormat="1" ht="15" customHeight="1">
      <c r="A238" s="378"/>
      <c r="C238" s="378"/>
      <c r="D238" s="379"/>
    </row>
    <row r="239" spans="1:4" s="376" customFormat="1" ht="15" customHeight="1">
      <c r="A239" s="378"/>
      <c r="B239" s="380"/>
      <c r="C239" s="378"/>
      <c r="D239" s="379"/>
    </row>
    <row r="240" spans="1:4" s="376" customFormat="1" ht="15" customHeight="1">
      <c r="A240" s="378"/>
      <c r="B240" s="380"/>
      <c r="C240" s="378"/>
      <c r="D240" s="379"/>
    </row>
    <row r="241" spans="1:4" s="376" customFormat="1" ht="15" customHeight="1">
      <c r="A241" s="378"/>
      <c r="C241" s="378"/>
      <c r="D241" s="379"/>
    </row>
    <row r="242" spans="1:4" s="376" customFormat="1" ht="15" customHeight="1">
      <c r="A242" s="378"/>
      <c r="B242" s="380"/>
      <c r="C242" s="378"/>
      <c r="D242" s="379"/>
    </row>
    <row r="243" spans="1:4" s="376" customFormat="1" ht="15" customHeight="1">
      <c r="A243" s="378"/>
      <c r="B243" s="380"/>
      <c r="C243" s="378"/>
      <c r="D243" s="379"/>
    </row>
    <row r="244" spans="1:4" s="376" customFormat="1" ht="15" customHeight="1">
      <c r="A244" s="378"/>
      <c r="C244" s="378"/>
      <c r="D244" s="379"/>
    </row>
    <row r="245" spans="1:4" s="376" customFormat="1" ht="15" customHeight="1">
      <c r="A245" s="378"/>
      <c r="B245" s="380"/>
      <c r="C245" s="378"/>
      <c r="D245" s="379"/>
    </row>
    <row r="246" spans="1:4" s="376" customFormat="1" ht="15" customHeight="1">
      <c r="A246" s="378"/>
      <c r="B246" s="380"/>
      <c r="C246" s="378"/>
      <c r="D246" s="379"/>
    </row>
    <row r="247" spans="1:4" s="376" customFormat="1" ht="15" customHeight="1">
      <c r="A247" s="378"/>
      <c r="C247" s="378"/>
      <c r="D247" s="379"/>
    </row>
    <row r="248" spans="1:4" s="376" customFormat="1" ht="15" customHeight="1">
      <c r="A248" s="378"/>
      <c r="B248" s="380"/>
      <c r="C248" s="378"/>
      <c r="D248" s="379"/>
    </row>
    <row r="249" spans="1:4" s="376" customFormat="1" ht="15" customHeight="1">
      <c r="A249" s="378"/>
      <c r="B249" s="380"/>
      <c r="C249" s="378"/>
      <c r="D249" s="379"/>
    </row>
    <row r="250" spans="1:4" s="376" customFormat="1" ht="15" customHeight="1">
      <c r="A250" s="378"/>
      <c r="C250" s="378"/>
      <c r="D250" s="379"/>
    </row>
    <row r="251" spans="1:4" s="376" customFormat="1" ht="15" customHeight="1">
      <c r="A251" s="378"/>
      <c r="B251" s="380"/>
      <c r="C251" s="378"/>
      <c r="D251" s="379"/>
    </row>
    <row r="252" spans="1:4" s="376" customFormat="1" ht="15" customHeight="1">
      <c r="A252" s="378"/>
      <c r="B252" s="380"/>
      <c r="C252" s="378"/>
      <c r="D252" s="379"/>
    </row>
    <row r="253" spans="1:4" s="376" customFormat="1" ht="15" customHeight="1">
      <c r="A253" s="378"/>
      <c r="C253" s="378"/>
      <c r="D253" s="379"/>
    </row>
    <row r="254" spans="1:4" s="376" customFormat="1" ht="15" customHeight="1">
      <c r="A254" s="378"/>
      <c r="B254" s="380"/>
      <c r="C254" s="378"/>
      <c r="D254" s="379"/>
    </row>
    <row r="255" spans="1:4" s="376" customFormat="1" ht="15" customHeight="1">
      <c r="A255" s="378"/>
      <c r="B255" s="380"/>
      <c r="C255" s="378"/>
      <c r="D255" s="379"/>
    </row>
    <row r="256" spans="1:4" s="376" customFormat="1" ht="15" customHeight="1">
      <c r="A256" s="378"/>
      <c r="C256" s="378"/>
      <c r="D256" s="379"/>
    </row>
    <row r="257" spans="1:4" s="376" customFormat="1" ht="15" customHeight="1">
      <c r="A257" s="378"/>
      <c r="B257" s="380"/>
      <c r="C257" s="378"/>
      <c r="D257" s="379"/>
    </row>
    <row r="258" spans="1:4" s="376" customFormat="1" ht="15" customHeight="1">
      <c r="A258" s="378"/>
      <c r="B258" s="380"/>
      <c r="C258" s="378"/>
      <c r="D258" s="379"/>
    </row>
    <row r="259" spans="1:4" s="376" customFormat="1" ht="15" customHeight="1">
      <c r="A259" s="378"/>
      <c r="C259" s="378"/>
      <c r="D259" s="379"/>
    </row>
    <row r="260" spans="1:4" s="376" customFormat="1" ht="15" customHeight="1">
      <c r="A260" s="378"/>
      <c r="B260" s="380"/>
      <c r="C260" s="378"/>
      <c r="D260" s="379"/>
    </row>
    <row r="261" spans="1:4" s="376" customFormat="1" ht="15" customHeight="1">
      <c r="A261" s="378"/>
      <c r="B261" s="380"/>
      <c r="C261" s="378"/>
      <c r="D261" s="379"/>
    </row>
    <row r="262" spans="1:4" s="376" customFormat="1" ht="15" customHeight="1">
      <c r="A262" s="378"/>
      <c r="C262" s="378"/>
      <c r="D262" s="379"/>
    </row>
    <row r="263" spans="1:4" s="376" customFormat="1" ht="15" customHeight="1">
      <c r="A263" s="378"/>
      <c r="B263" s="380"/>
      <c r="C263" s="378"/>
      <c r="D263" s="379"/>
    </row>
    <row r="264" spans="1:4" s="376" customFormat="1" ht="15" customHeight="1">
      <c r="A264" s="378"/>
      <c r="B264" s="380"/>
      <c r="C264" s="378"/>
      <c r="D264" s="379"/>
    </row>
    <row r="265" spans="1:4" s="376" customFormat="1" ht="15" customHeight="1">
      <c r="A265" s="378"/>
      <c r="C265" s="378"/>
      <c r="D265" s="379"/>
    </row>
    <row r="266" spans="1:4" s="376" customFormat="1" ht="15" customHeight="1">
      <c r="A266" s="378"/>
      <c r="C266" s="378"/>
      <c r="D266" s="379"/>
    </row>
    <row r="267" spans="1:4" s="376" customFormat="1" ht="15" customHeight="1">
      <c r="A267" s="378"/>
      <c r="C267" s="378"/>
      <c r="D267" s="379"/>
    </row>
    <row r="268" spans="1:4" s="376" customFormat="1" ht="15" customHeight="1">
      <c r="A268" s="378"/>
      <c r="C268" s="378"/>
      <c r="D268" s="379"/>
    </row>
    <row r="269" spans="1:4" s="376" customFormat="1" ht="15" customHeight="1">
      <c r="A269" s="378"/>
      <c r="C269" s="378"/>
      <c r="D269" s="379"/>
    </row>
    <row r="270" spans="1:4" s="376" customFormat="1" ht="15" customHeight="1">
      <c r="A270" s="378"/>
      <c r="C270" s="378"/>
      <c r="D270" s="379"/>
    </row>
    <row r="271" spans="1:4" s="376" customFormat="1" ht="15" customHeight="1">
      <c r="A271" s="378"/>
      <c r="C271" s="378"/>
      <c r="D271" s="379"/>
    </row>
    <row r="272" spans="1:4" s="376" customFormat="1" ht="15" customHeight="1">
      <c r="A272" s="378"/>
      <c r="C272" s="378"/>
      <c r="D272" s="379"/>
    </row>
    <row r="273" spans="1:4" s="376" customFormat="1" ht="15" customHeight="1">
      <c r="A273" s="378"/>
      <c r="C273" s="378"/>
      <c r="D273" s="379"/>
    </row>
    <row r="274" spans="1:4" s="376" customFormat="1" ht="15" customHeight="1">
      <c r="A274" s="378"/>
      <c r="C274" s="378"/>
      <c r="D274" s="379"/>
    </row>
    <row r="275" spans="1:4" s="376" customFormat="1" ht="15" customHeight="1">
      <c r="A275" s="378"/>
      <c r="C275" s="378"/>
      <c r="D275" s="379"/>
    </row>
    <row r="276" spans="1:4" s="376" customFormat="1" ht="15" customHeight="1">
      <c r="A276" s="378"/>
      <c r="C276" s="378"/>
      <c r="D276" s="379"/>
    </row>
    <row r="277" spans="1:4" s="376" customFormat="1" ht="15" customHeight="1">
      <c r="A277" s="378"/>
      <c r="C277" s="378"/>
      <c r="D277" s="379"/>
    </row>
    <row r="278" spans="1:4" s="376" customFormat="1" ht="15" customHeight="1">
      <c r="A278" s="378"/>
      <c r="C278" s="378"/>
      <c r="D278" s="379"/>
    </row>
    <row r="279" spans="1:4" s="376" customFormat="1" ht="15" customHeight="1">
      <c r="A279" s="378"/>
      <c r="C279" s="378"/>
      <c r="D279" s="379"/>
    </row>
    <row r="280" spans="1:4" s="376" customFormat="1" ht="15" customHeight="1">
      <c r="A280" s="378"/>
      <c r="C280" s="378"/>
      <c r="D280" s="379"/>
    </row>
    <row r="281" spans="1:4" s="376" customFormat="1" ht="15" customHeight="1">
      <c r="A281" s="378"/>
      <c r="C281" s="378"/>
      <c r="D281" s="379"/>
    </row>
    <row r="282" spans="1:4" s="376" customFormat="1" ht="15" customHeight="1">
      <c r="A282" s="378"/>
      <c r="C282" s="378"/>
      <c r="D282" s="379"/>
    </row>
    <row r="283" spans="1:4" s="376" customFormat="1" ht="15" customHeight="1">
      <c r="A283" s="378"/>
      <c r="C283" s="378"/>
      <c r="D283" s="379"/>
    </row>
    <row r="284" spans="1:4" s="376" customFormat="1" ht="15" customHeight="1">
      <c r="A284" s="378"/>
      <c r="B284" s="380"/>
      <c r="C284" s="378"/>
      <c r="D284" s="379"/>
    </row>
    <row r="285" spans="1:4" s="376" customFormat="1" ht="15" customHeight="1">
      <c r="A285" s="378"/>
      <c r="C285" s="378"/>
      <c r="D285" s="379"/>
    </row>
    <row r="286" spans="1:4" s="376" customFormat="1" ht="15" customHeight="1">
      <c r="A286" s="378"/>
      <c r="C286" s="378"/>
      <c r="D286" s="379"/>
    </row>
    <row r="287" spans="1:4" s="376" customFormat="1" ht="15" customHeight="1">
      <c r="A287" s="378"/>
      <c r="C287" s="378"/>
      <c r="D287" s="379"/>
    </row>
    <row r="288" spans="1:4" s="376" customFormat="1" ht="15" customHeight="1">
      <c r="A288" s="378"/>
      <c r="C288" s="378"/>
      <c r="D288" s="379"/>
    </row>
    <row r="289" spans="1:4" s="376" customFormat="1" ht="15" customHeight="1">
      <c r="A289" s="378"/>
      <c r="C289" s="378"/>
      <c r="D289" s="379"/>
    </row>
    <row r="290" spans="1:4" s="376" customFormat="1" ht="15" customHeight="1">
      <c r="A290" s="378"/>
      <c r="C290" s="378"/>
      <c r="D290" s="379"/>
    </row>
    <row r="291" spans="1:4" s="376" customFormat="1" ht="15" customHeight="1">
      <c r="A291" s="378"/>
      <c r="C291" s="378"/>
      <c r="D291" s="379"/>
    </row>
    <row r="292" spans="1:4" s="376" customFormat="1" ht="15" customHeight="1">
      <c r="A292" s="378"/>
      <c r="C292" s="378"/>
      <c r="D292" s="379"/>
    </row>
    <row r="293" spans="1:4" s="376" customFormat="1" ht="15" customHeight="1">
      <c r="A293" s="378"/>
      <c r="C293" s="378"/>
      <c r="D293" s="379"/>
    </row>
    <row r="294" spans="1:4" s="376" customFormat="1" ht="15" customHeight="1">
      <c r="A294" s="378"/>
      <c r="C294" s="378"/>
      <c r="D294" s="379"/>
    </row>
    <row r="295" spans="1:4" s="376" customFormat="1" ht="15" customHeight="1">
      <c r="A295" s="378"/>
      <c r="C295" s="378"/>
      <c r="D295" s="379"/>
    </row>
    <row r="296" spans="1:4" s="376" customFormat="1" ht="15" customHeight="1">
      <c r="A296" s="378"/>
      <c r="C296" s="378"/>
      <c r="D296" s="379"/>
    </row>
    <row r="297" spans="1:4" s="376" customFormat="1" ht="15" customHeight="1">
      <c r="A297" s="378"/>
      <c r="C297" s="378"/>
      <c r="D297" s="379"/>
    </row>
    <row r="298" spans="1:4" s="376" customFormat="1" ht="15" customHeight="1">
      <c r="A298" s="378"/>
      <c r="C298" s="378"/>
      <c r="D298" s="379"/>
    </row>
    <row r="299" spans="1:4" s="376" customFormat="1" ht="15" customHeight="1">
      <c r="A299" s="378"/>
      <c r="C299" s="378"/>
      <c r="D299" s="379"/>
    </row>
    <row r="300" spans="1:4" s="376" customFormat="1" ht="15" customHeight="1">
      <c r="A300" s="378"/>
      <c r="C300" s="378"/>
      <c r="D300" s="379"/>
    </row>
    <row r="301" spans="1:4" s="376" customFormat="1" ht="15" customHeight="1">
      <c r="A301" s="378"/>
      <c r="C301" s="378"/>
      <c r="D301" s="379"/>
    </row>
    <row r="302" spans="1:4" s="376" customFormat="1" ht="15" customHeight="1">
      <c r="A302" s="378"/>
      <c r="C302" s="378"/>
      <c r="D302" s="379"/>
    </row>
    <row r="303" spans="1:4" s="376" customFormat="1" ht="15" customHeight="1">
      <c r="A303" s="378"/>
      <c r="C303" s="378"/>
      <c r="D303" s="379"/>
    </row>
    <row r="304" spans="1:4" s="376" customFormat="1" ht="15" customHeight="1">
      <c r="A304" s="378"/>
      <c r="B304" s="380"/>
      <c r="C304" s="378"/>
      <c r="D304" s="379"/>
    </row>
    <row r="305" spans="1:4" s="376" customFormat="1" ht="15" customHeight="1">
      <c r="A305" s="378"/>
      <c r="C305" s="378"/>
      <c r="D305" s="379"/>
    </row>
    <row r="306" spans="1:4" s="376" customFormat="1" ht="15" customHeight="1">
      <c r="A306" s="378"/>
      <c r="C306" s="378"/>
      <c r="D306" s="379"/>
    </row>
    <row r="307" spans="1:4" s="376" customFormat="1" ht="15" customHeight="1">
      <c r="A307" s="378"/>
      <c r="C307" s="378"/>
      <c r="D307" s="379"/>
    </row>
    <row r="308" spans="1:4" s="376" customFormat="1" ht="15" customHeight="1">
      <c r="A308" s="378"/>
      <c r="C308" s="378"/>
      <c r="D308" s="379"/>
    </row>
    <row r="309" spans="1:4" s="376" customFormat="1" ht="15" customHeight="1">
      <c r="A309" s="378"/>
      <c r="C309" s="378"/>
      <c r="D309" s="379"/>
    </row>
    <row r="310" spans="1:4" s="376" customFormat="1" ht="15" customHeight="1">
      <c r="A310" s="378"/>
      <c r="B310" s="380"/>
      <c r="C310" s="378"/>
      <c r="D310" s="379"/>
    </row>
    <row r="311" spans="1:4" s="376" customFormat="1" ht="15" customHeight="1">
      <c r="A311" s="378"/>
      <c r="B311" s="380"/>
      <c r="C311" s="378"/>
      <c r="D311" s="379"/>
    </row>
    <row r="312" spans="1:4" s="376" customFormat="1" ht="15" customHeight="1">
      <c r="A312" s="378"/>
      <c r="B312" s="380"/>
      <c r="C312" s="378"/>
      <c r="D312" s="379"/>
    </row>
    <row r="313" spans="1:4" s="376" customFormat="1" ht="15" customHeight="1">
      <c r="A313" s="378"/>
      <c r="B313" s="380"/>
      <c r="C313" s="378"/>
      <c r="D313" s="379"/>
    </row>
    <row r="314" spans="1:4" s="376" customFormat="1" ht="15" customHeight="1">
      <c r="A314" s="378"/>
      <c r="B314" s="380"/>
      <c r="C314" s="378"/>
      <c r="D314" s="379"/>
    </row>
    <row r="315" spans="1:4" s="376" customFormat="1" ht="15" customHeight="1">
      <c r="A315" s="378"/>
      <c r="C315" s="378"/>
      <c r="D315" s="379"/>
    </row>
    <row r="316" spans="1:4" s="376" customFormat="1" ht="15" customHeight="1">
      <c r="A316" s="378"/>
      <c r="B316" s="380"/>
      <c r="C316" s="378"/>
      <c r="D316" s="379"/>
    </row>
    <row r="317" spans="1:4" s="376" customFormat="1" ht="15" customHeight="1">
      <c r="A317" s="378"/>
      <c r="B317" s="380"/>
      <c r="C317" s="378"/>
      <c r="D317" s="379"/>
    </row>
    <row r="318" spans="1:4" s="376" customFormat="1" ht="15" customHeight="1">
      <c r="A318" s="378"/>
      <c r="B318" s="380"/>
      <c r="C318" s="378"/>
      <c r="D318" s="379"/>
    </row>
    <row r="319" spans="1:4" s="376" customFormat="1" ht="15" customHeight="1">
      <c r="A319" s="378"/>
      <c r="B319" s="380"/>
      <c r="C319" s="378"/>
      <c r="D319" s="379"/>
    </row>
    <row r="320" spans="1:4" s="376" customFormat="1" ht="15" customHeight="1">
      <c r="A320" s="378"/>
      <c r="B320" s="380"/>
      <c r="C320" s="378"/>
      <c r="D320" s="379"/>
    </row>
    <row r="321" spans="1:4" s="376" customFormat="1" ht="15" customHeight="1">
      <c r="A321" s="378"/>
      <c r="B321" s="380"/>
      <c r="C321" s="378"/>
      <c r="D321" s="379"/>
    </row>
    <row r="322" spans="1:4" s="376" customFormat="1" ht="15" customHeight="1">
      <c r="A322" s="378"/>
      <c r="B322" s="381"/>
      <c r="C322" s="378"/>
      <c r="D322" s="379"/>
    </row>
    <row r="323" spans="1:4" s="376" customFormat="1" ht="15" customHeight="1">
      <c r="A323" s="378"/>
      <c r="B323" s="380"/>
      <c r="C323" s="378"/>
      <c r="D323" s="379"/>
    </row>
    <row r="324" spans="1:4" s="376" customFormat="1" ht="15" customHeight="1">
      <c r="A324" s="378"/>
      <c r="B324" s="380"/>
      <c r="C324" s="378"/>
      <c r="D324" s="379"/>
    </row>
    <row r="325" spans="1:4" s="376" customFormat="1" ht="15" customHeight="1">
      <c r="A325" s="378"/>
      <c r="B325" s="380"/>
      <c r="C325" s="378"/>
      <c r="D325" s="379"/>
    </row>
    <row r="326" spans="1:4" s="376" customFormat="1" ht="15" customHeight="1">
      <c r="A326" s="378"/>
      <c r="B326" s="380"/>
      <c r="C326" s="378"/>
      <c r="D326" s="379"/>
    </row>
    <row r="327" spans="1:4" s="376" customFormat="1" ht="15" customHeight="1">
      <c r="A327" s="378"/>
      <c r="B327" s="380"/>
      <c r="C327" s="378"/>
      <c r="D327" s="379"/>
    </row>
    <row r="328" spans="1:4" s="376" customFormat="1" ht="15" customHeight="1">
      <c r="A328" s="378"/>
      <c r="B328" s="380"/>
      <c r="C328" s="378"/>
      <c r="D328" s="379"/>
    </row>
    <row r="329" spans="1:4" s="376" customFormat="1" ht="15" customHeight="1">
      <c r="A329" s="378"/>
      <c r="B329" s="380"/>
      <c r="C329" s="378"/>
      <c r="D329" s="379"/>
    </row>
    <row r="330" spans="1:4" s="376" customFormat="1" ht="15" customHeight="1">
      <c r="A330" s="378"/>
      <c r="B330" s="380"/>
      <c r="C330" s="378"/>
      <c r="D330" s="379"/>
    </row>
    <row r="331" spans="1:4" s="376" customFormat="1" ht="15" customHeight="1">
      <c r="A331" s="378"/>
      <c r="B331" s="380"/>
      <c r="C331" s="378"/>
      <c r="D331" s="379"/>
    </row>
    <row r="332" spans="1:4" s="376" customFormat="1" ht="15" customHeight="1">
      <c r="A332" s="378"/>
      <c r="B332" s="380"/>
      <c r="C332" s="378"/>
      <c r="D332" s="379"/>
    </row>
    <row r="333" spans="1:4" s="376" customFormat="1" ht="15" customHeight="1">
      <c r="A333" s="378"/>
      <c r="B333" s="380"/>
      <c r="C333" s="378"/>
      <c r="D333" s="379"/>
    </row>
    <row r="334" spans="1:4" s="376" customFormat="1" ht="15" customHeight="1">
      <c r="A334" s="378"/>
      <c r="B334" s="382"/>
      <c r="C334" s="378"/>
      <c r="D334" s="379"/>
    </row>
    <row r="335" spans="1:4" s="376" customFormat="1" ht="15" customHeight="1">
      <c r="A335" s="378"/>
      <c r="B335" s="382"/>
      <c r="C335" s="378"/>
      <c r="D335" s="379"/>
    </row>
    <row r="336" spans="1:4" s="376" customFormat="1" ht="15" customHeight="1">
      <c r="A336" s="378"/>
      <c r="B336" s="382"/>
      <c r="C336" s="378"/>
      <c r="D336" s="379"/>
    </row>
    <row r="337" spans="1:4" s="376" customFormat="1" ht="15" customHeight="1">
      <c r="A337" s="378"/>
      <c r="B337" s="380"/>
      <c r="C337" s="378"/>
      <c r="D337" s="379"/>
    </row>
    <row r="338" spans="1:4" s="376" customFormat="1" ht="15" customHeight="1">
      <c r="A338" s="378"/>
      <c r="B338" s="382"/>
      <c r="C338" s="378"/>
      <c r="D338" s="379"/>
    </row>
    <row r="339" spans="1:4" s="376" customFormat="1" ht="15" customHeight="1">
      <c r="A339" s="378"/>
      <c r="B339" s="382"/>
      <c r="C339" s="378"/>
      <c r="D339" s="379"/>
    </row>
    <row r="340" spans="1:4" s="376" customFormat="1" ht="15" customHeight="1">
      <c r="A340" s="378"/>
      <c r="B340" s="382"/>
      <c r="C340" s="378"/>
      <c r="D340" s="379"/>
    </row>
    <row r="341" spans="1:4" s="376" customFormat="1" ht="15" customHeight="1">
      <c r="A341" s="378"/>
      <c r="B341" s="382"/>
      <c r="C341" s="378"/>
      <c r="D341" s="379"/>
    </row>
    <row r="342" spans="1:4" s="376" customFormat="1" ht="15" customHeight="1">
      <c r="A342" s="378"/>
      <c r="B342" s="380"/>
      <c r="C342" s="378"/>
      <c r="D342" s="379"/>
    </row>
    <row r="343" spans="1:4" s="376" customFormat="1" ht="15" customHeight="1">
      <c r="A343" s="378"/>
      <c r="B343" s="382"/>
      <c r="C343" s="378"/>
      <c r="D343" s="379"/>
    </row>
    <row r="344" spans="1:4" s="376" customFormat="1" ht="15" customHeight="1">
      <c r="A344" s="378"/>
      <c r="B344" s="382"/>
      <c r="C344" s="378"/>
      <c r="D344" s="379"/>
    </row>
    <row r="345" spans="1:4" s="376" customFormat="1" ht="15" customHeight="1">
      <c r="A345" s="378"/>
      <c r="B345" s="382"/>
      <c r="C345" s="378"/>
      <c r="D345" s="379"/>
    </row>
    <row r="346" spans="1:4" s="376" customFormat="1" ht="15" customHeight="1">
      <c r="A346" s="378"/>
      <c r="B346" s="382"/>
      <c r="C346" s="378"/>
      <c r="D346" s="379"/>
    </row>
    <row r="347" spans="1:4" s="376" customFormat="1" ht="15" customHeight="1">
      <c r="A347" s="378"/>
      <c r="B347" s="382"/>
      <c r="C347" s="378"/>
      <c r="D347" s="379"/>
    </row>
    <row r="348" spans="1:4" s="376" customFormat="1" ht="15" customHeight="1">
      <c r="A348" s="378"/>
      <c r="B348" s="382"/>
      <c r="C348" s="378"/>
      <c r="D348" s="379"/>
    </row>
    <row r="349" spans="1:4" s="376" customFormat="1" ht="15" customHeight="1">
      <c r="A349" s="378"/>
      <c r="B349" s="382"/>
      <c r="C349" s="378"/>
      <c r="D349" s="379"/>
    </row>
    <row r="350" spans="1:4" s="376" customFormat="1" ht="15" customHeight="1">
      <c r="A350" s="378"/>
      <c r="B350" s="382"/>
      <c r="C350" s="378"/>
      <c r="D350" s="379"/>
    </row>
    <row r="351" spans="1:4" s="376" customFormat="1" ht="15" customHeight="1">
      <c r="A351" s="378"/>
      <c r="B351" s="382"/>
      <c r="C351" s="378"/>
      <c r="D351" s="379"/>
    </row>
    <row r="352" spans="1:4" s="376" customFormat="1" ht="15" customHeight="1">
      <c r="A352" s="378"/>
      <c r="B352" s="382"/>
      <c r="C352" s="378"/>
      <c r="D352" s="379"/>
    </row>
    <row r="353" spans="1:4" s="376" customFormat="1" ht="15" customHeight="1">
      <c r="A353" s="378"/>
      <c r="B353" s="382"/>
      <c r="C353" s="378"/>
      <c r="D353" s="379"/>
    </row>
    <row r="354" spans="1:4" s="376" customFormat="1" ht="15" customHeight="1">
      <c r="A354" s="378"/>
      <c r="B354" s="382"/>
      <c r="C354" s="378"/>
      <c r="D354" s="379"/>
    </row>
    <row r="355" spans="1:4" s="376" customFormat="1" ht="15" customHeight="1">
      <c r="A355" s="378"/>
      <c r="B355" s="382"/>
      <c r="C355" s="378"/>
      <c r="D355" s="379"/>
    </row>
    <row r="356" spans="1:4" s="376" customFormat="1" ht="15" customHeight="1">
      <c r="A356" s="378"/>
      <c r="B356" s="382"/>
      <c r="C356" s="378"/>
      <c r="D356" s="379"/>
    </row>
    <row r="357" spans="1:4" s="376" customFormat="1" ht="15" customHeight="1">
      <c r="A357" s="378"/>
      <c r="B357" s="382"/>
      <c r="C357" s="378"/>
      <c r="D357" s="379"/>
    </row>
    <row r="358" spans="1:4" s="376" customFormat="1" ht="15" customHeight="1">
      <c r="A358" s="378"/>
      <c r="B358" s="382"/>
      <c r="C358" s="378"/>
      <c r="D358" s="379"/>
    </row>
    <row r="359" spans="1:4" s="376" customFormat="1" ht="13.8">
      <c r="A359" s="378"/>
      <c r="B359" s="382"/>
      <c r="C359" s="378"/>
      <c r="D359" s="379"/>
    </row>
    <row r="360" spans="1:4" s="376" customFormat="1" ht="15" customHeight="1">
      <c r="A360" s="378"/>
      <c r="B360" s="382"/>
      <c r="C360" s="378"/>
      <c r="D360" s="379"/>
    </row>
    <row r="361" spans="1:4" s="376" customFormat="1" ht="15" customHeight="1">
      <c r="A361" s="378"/>
      <c r="B361" s="382"/>
      <c r="C361" s="378"/>
      <c r="D361" s="379"/>
    </row>
    <row r="362" spans="1:4" s="376" customFormat="1" ht="15" customHeight="1">
      <c r="A362" s="378"/>
      <c r="B362" s="382"/>
      <c r="C362" s="378"/>
      <c r="D362" s="379"/>
    </row>
    <row r="363" spans="1:4" s="376" customFormat="1" ht="15" customHeight="1">
      <c r="A363" s="378"/>
      <c r="B363" s="382"/>
      <c r="C363" s="378"/>
      <c r="D363" s="379"/>
    </row>
    <row r="364" spans="1:4" s="376" customFormat="1" ht="15" customHeight="1">
      <c r="A364" s="378"/>
      <c r="B364" s="382"/>
      <c r="C364" s="378"/>
      <c r="D364" s="379"/>
    </row>
    <row r="365" spans="1:4" s="376" customFormat="1" ht="15" customHeight="1">
      <c r="A365" s="378"/>
      <c r="B365" s="382"/>
      <c r="C365" s="378"/>
      <c r="D365" s="379"/>
    </row>
    <row r="366" spans="1:4" s="376" customFormat="1" ht="15" customHeight="1">
      <c r="A366" s="378"/>
      <c r="B366" s="382"/>
      <c r="C366" s="378"/>
      <c r="D366" s="379"/>
    </row>
    <row r="367" spans="1:4" s="376" customFormat="1" ht="15" customHeight="1">
      <c r="A367" s="378"/>
      <c r="B367" s="382"/>
      <c r="C367" s="378"/>
      <c r="D367" s="379"/>
    </row>
    <row r="368" spans="1:4" s="376" customFormat="1" ht="15" customHeight="1">
      <c r="A368" s="378"/>
      <c r="B368" s="382"/>
      <c r="C368" s="378"/>
      <c r="D368" s="379"/>
    </row>
    <row r="369" spans="1:4" s="376" customFormat="1" ht="15" customHeight="1">
      <c r="A369" s="378"/>
      <c r="B369" s="382"/>
      <c r="C369" s="378"/>
      <c r="D369" s="379"/>
    </row>
    <row r="370" spans="1:4" s="376" customFormat="1" ht="15" customHeight="1">
      <c r="A370" s="378"/>
      <c r="B370" s="382"/>
      <c r="C370" s="378"/>
      <c r="D370" s="379"/>
    </row>
    <row r="371" spans="1:4" s="376" customFormat="1" ht="15" customHeight="1">
      <c r="A371" s="378"/>
      <c r="B371" s="382"/>
      <c r="C371" s="378"/>
      <c r="D371" s="379"/>
    </row>
    <row r="372" spans="1:4" s="376" customFormat="1" ht="15" customHeight="1">
      <c r="A372" s="378"/>
      <c r="B372" s="382"/>
      <c r="C372" s="378"/>
      <c r="D372" s="379"/>
    </row>
    <row r="373" spans="1:4" s="376" customFormat="1" ht="15" customHeight="1">
      <c r="A373" s="378"/>
      <c r="B373" s="382"/>
      <c r="C373" s="378"/>
      <c r="D373" s="379"/>
    </row>
    <row r="374" spans="1:4" s="376" customFormat="1" ht="15" customHeight="1">
      <c r="A374" s="378"/>
      <c r="B374" s="382"/>
      <c r="C374" s="378"/>
      <c r="D374" s="379"/>
    </row>
    <row r="375" spans="1:4" s="376" customFormat="1" ht="15" customHeight="1">
      <c r="A375" s="378"/>
      <c r="C375" s="378"/>
      <c r="D375" s="379"/>
    </row>
    <row r="376" spans="1:4" s="376" customFormat="1" ht="15" customHeight="1">
      <c r="A376" s="378"/>
      <c r="B376" s="380"/>
      <c r="C376" s="378"/>
      <c r="D376" s="379"/>
    </row>
    <row r="377" spans="1:4" s="376" customFormat="1" ht="15" customHeight="1">
      <c r="A377" s="378"/>
      <c r="B377" s="380"/>
      <c r="C377" s="378"/>
      <c r="D377" s="379"/>
    </row>
    <row r="378" spans="1:4" s="376" customFormat="1" ht="15" customHeight="1">
      <c r="A378" s="378"/>
      <c r="B378" s="380"/>
      <c r="C378" s="378"/>
      <c r="D378" s="379"/>
    </row>
    <row r="379" spans="1:4" s="376" customFormat="1" ht="15" customHeight="1">
      <c r="A379" s="378"/>
      <c r="C379" s="378"/>
      <c r="D379" s="379"/>
    </row>
    <row r="380" spans="1:4" s="376" customFormat="1" ht="15" customHeight="1">
      <c r="A380" s="378"/>
      <c r="C380" s="378"/>
      <c r="D380" s="379"/>
    </row>
    <row r="381" spans="1:4" s="376" customFormat="1" ht="15" customHeight="1">
      <c r="A381" s="378"/>
      <c r="C381" s="378"/>
      <c r="D381" s="379"/>
    </row>
    <row r="382" spans="1:4" s="376" customFormat="1" ht="15" customHeight="1">
      <c r="A382" s="378"/>
      <c r="C382" s="378"/>
      <c r="D382" s="379"/>
    </row>
    <row r="383" spans="1:4" s="376" customFormat="1" ht="15" customHeight="1">
      <c r="A383" s="378"/>
      <c r="C383" s="378"/>
      <c r="D383" s="379"/>
    </row>
    <row r="384" spans="1:4" s="376" customFormat="1" ht="15" customHeight="1">
      <c r="A384" s="378"/>
      <c r="C384" s="378"/>
      <c r="D384" s="379"/>
    </row>
    <row r="385" spans="1:4" s="376" customFormat="1" ht="15" customHeight="1">
      <c r="A385" s="378"/>
      <c r="C385" s="378"/>
      <c r="D385" s="379"/>
    </row>
    <row r="386" spans="1:4" s="376" customFormat="1" ht="15" customHeight="1">
      <c r="A386" s="378"/>
      <c r="C386" s="378"/>
      <c r="D386" s="379"/>
    </row>
    <row r="387" spans="1:4" s="376" customFormat="1" ht="15" customHeight="1">
      <c r="A387" s="378"/>
      <c r="C387" s="378"/>
      <c r="D387" s="379"/>
    </row>
    <row r="388" spans="1:4" s="376" customFormat="1" ht="15" customHeight="1">
      <c r="A388" s="378"/>
      <c r="C388" s="378"/>
      <c r="D388" s="379"/>
    </row>
    <row r="389" spans="1:4" s="376" customFormat="1" ht="15" customHeight="1">
      <c r="A389" s="378"/>
      <c r="C389" s="378"/>
      <c r="D389" s="379"/>
    </row>
    <row r="390" spans="1:4" s="376" customFormat="1" ht="15" customHeight="1">
      <c r="A390" s="378"/>
      <c r="C390" s="378"/>
      <c r="D390" s="379"/>
    </row>
    <row r="391" spans="1:4" s="376" customFormat="1" ht="15" customHeight="1">
      <c r="A391" s="378"/>
      <c r="C391" s="378"/>
      <c r="D391" s="379"/>
    </row>
    <row r="392" spans="1:4" s="376" customFormat="1" ht="15" customHeight="1">
      <c r="A392" s="378"/>
      <c r="C392" s="378"/>
      <c r="D392" s="379"/>
    </row>
    <row r="393" spans="1:4" s="376" customFormat="1" ht="15" customHeight="1">
      <c r="A393" s="378"/>
      <c r="C393" s="378"/>
      <c r="D393" s="379"/>
    </row>
    <row r="394" spans="1:4" s="376" customFormat="1" ht="15" customHeight="1">
      <c r="A394" s="378"/>
      <c r="C394" s="378"/>
      <c r="D394" s="379"/>
    </row>
    <row r="395" spans="1:4" s="376" customFormat="1" ht="15" customHeight="1">
      <c r="A395" s="378"/>
      <c r="C395" s="378"/>
      <c r="D395" s="379"/>
    </row>
    <row r="396" spans="1:4" s="376" customFormat="1" ht="15" customHeight="1">
      <c r="A396" s="378"/>
      <c r="C396" s="378"/>
      <c r="D396" s="379"/>
    </row>
    <row r="397" spans="1:4" s="376" customFormat="1" ht="15" customHeight="1">
      <c r="A397" s="378"/>
      <c r="C397" s="378"/>
      <c r="D397" s="379"/>
    </row>
    <row r="398" spans="1:4" s="376" customFormat="1" ht="15" customHeight="1">
      <c r="A398" s="378"/>
      <c r="C398" s="378"/>
      <c r="D398" s="379"/>
    </row>
    <row r="399" spans="1:4" s="376" customFormat="1" ht="15" customHeight="1">
      <c r="A399" s="378"/>
      <c r="C399" s="378"/>
      <c r="D399" s="379"/>
    </row>
    <row r="400" spans="1:4" s="376" customFormat="1" ht="15" customHeight="1">
      <c r="A400" s="378"/>
      <c r="C400" s="378"/>
      <c r="D400" s="379"/>
    </row>
    <row r="401" spans="1:4" s="376" customFormat="1" ht="15" customHeight="1">
      <c r="A401" s="378"/>
      <c r="C401" s="378"/>
      <c r="D401" s="379"/>
    </row>
    <row r="402" spans="1:4" s="376" customFormat="1" ht="15" customHeight="1">
      <c r="A402" s="378"/>
      <c r="C402" s="378"/>
      <c r="D402" s="379"/>
    </row>
    <row r="403" spans="1:4" s="376" customFormat="1" ht="15" customHeight="1">
      <c r="A403" s="378"/>
      <c r="C403" s="378"/>
      <c r="D403" s="379"/>
    </row>
    <row r="404" spans="1:4" s="376" customFormat="1" ht="15" customHeight="1">
      <c r="A404" s="378"/>
      <c r="C404" s="378"/>
      <c r="D404" s="379"/>
    </row>
    <row r="405" spans="1:4" s="376" customFormat="1" ht="15" customHeight="1">
      <c r="A405" s="378"/>
      <c r="C405" s="378"/>
      <c r="D405" s="379"/>
    </row>
    <row r="406" spans="1:4" s="376" customFormat="1" ht="15" customHeight="1">
      <c r="A406" s="378"/>
      <c r="C406" s="378"/>
      <c r="D406" s="379"/>
    </row>
    <row r="407" spans="1:4" s="376" customFormat="1" ht="15" customHeight="1">
      <c r="A407" s="378"/>
      <c r="C407" s="378"/>
      <c r="D407" s="379"/>
    </row>
    <row r="408" spans="1:4" s="376" customFormat="1" ht="15" customHeight="1">
      <c r="A408" s="378"/>
      <c r="C408" s="378"/>
      <c r="D408" s="379"/>
    </row>
    <row r="409" spans="1:4" s="376" customFormat="1" ht="15" customHeight="1">
      <c r="A409" s="378"/>
      <c r="C409" s="378"/>
      <c r="D409" s="379"/>
    </row>
    <row r="410" spans="1:4" s="376" customFormat="1" ht="15" customHeight="1">
      <c r="A410" s="378"/>
      <c r="C410" s="378"/>
      <c r="D410" s="379"/>
    </row>
    <row r="411" spans="1:4" s="376" customFormat="1" ht="15" customHeight="1">
      <c r="A411" s="378"/>
      <c r="C411" s="378"/>
      <c r="D411" s="379"/>
    </row>
    <row r="412" spans="1:4" s="376" customFormat="1" ht="15" customHeight="1">
      <c r="A412" s="378"/>
      <c r="C412" s="378"/>
      <c r="D412" s="379"/>
    </row>
    <row r="413" spans="1:4" s="376" customFormat="1" ht="15" customHeight="1">
      <c r="A413" s="378"/>
      <c r="C413" s="378"/>
      <c r="D413" s="379"/>
    </row>
    <row r="414" spans="1:4" s="376" customFormat="1" ht="15" customHeight="1">
      <c r="A414" s="378"/>
      <c r="C414" s="378"/>
      <c r="D414" s="379"/>
    </row>
    <row r="415" spans="1:4" s="376" customFormat="1" ht="13.8">
      <c r="A415" s="378"/>
      <c r="C415" s="378"/>
      <c r="D415" s="379"/>
    </row>
    <row r="416" spans="1:4" s="376" customFormat="1" ht="15" customHeight="1">
      <c r="A416" s="378"/>
      <c r="C416" s="378"/>
      <c r="D416" s="379"/>
    </row>
    <row r="417" spans="1:4" s="376" customFormat="1" ht="15" customHeight="1">
      <c r="A417" s="378"/>
      <c r="C417" s="378"/>
      <c r="D417" s="379"/>
    </row>
    <row r="418" spans="1:4" s="376" customFormat="1" ht="15" customHeight="1">
      <c r="A418" s="378"/>
      <c r="C418" s="378"/>
      <c r="D418" s="379"/>
    </row>
    <row r="419" spans="1:4" s="376" customFormat="1" ht="15" customHeight="1">
      <c r="A419" s="378"/>
      <c r="C419" s="378"/>
      <c r="D419" s="379"/>
    </row>
    <row r="420" spans="1:4" s="376" customFormat="1" ht="15" customHeight="1">
      <c r="A420" s="378"/>
      <c r="C420" s="378"/>
      <c r="D420" s="379"/>
    </row>
    <row r="421" spans="1:4" s="376" customFormat="1" ht="15" customHeight="1">
      <c r="A421" s="378"/>
      <c r="C421" s="378"/>
      <c r="D421" s="379"/>
    </row>
    <row r="422" spans="1:4" s="376" customFormat="1" ht="15" customHeight="1">
      <c r="A422" s="378"/>
      <c r="C422" s="378"/>
      <c r="D422" s="379"/>
    </row>
    <row r="423" spans="1:4" s="376" customFormat="1" ht="15" customHeight="1">
      <c r="A423" s="378"/>
      <c r="C423" s="378"/>
      <c r="D423" s="379"/>
    </row>
    <row r="424" spans="1:4" s="376" customFormat="1" ht="15" customHeight="1">
      <c r="A424" s="378"/>
      <c r="C424" s="378"/>
      <c r="D424" s="379"/>
    </row>
    <row r="425" spans="1:4" s="376" customFormat="1" ht="15" customHeight="1">
      <c r="A425" s="378"/>
      <c r="B425" s="380"/>
      <c r="C425" s="378"/>
      <c r="D425" s="379"/>
    </row>
    <row r="426" spans="1:4" s="376" customFormat="1" ht="15" customHeight="1">
      <c r="A426" s="378"/>
      <c r="C426" s="378"/>
      <c r="D426" s="379"/>
    </row>
    <row r="427" spans="1:4" s="376" customFormat="1" ht="15" customHeight="1">
      <c r="A427" s="378"/>
      <c r="C427" s="378"/>
      <c r="D427" s="379"/>
    </row>
    <row r="428" spans="1:4" s="376" customFormat="1" ht="13.8">
      <c r="A428" s="378"/>
      <c r="C428" s="378"/>
      <c r="D428" s="379"/>
    </row>
    <row r="429" spans="1:4" s="376" customFormat="1" ht="15" customHeight="1">
      <c r="A429" s="378"/>
      <c r="C429" s="378"/>
      <c r="D429" s="379"/>
    </row>
    <row r="430" spans="1:4" s="376" customFormat="1" ht="15" customHeight="1">
      <c r="A430" s="378"/>
      <c r="C430" s="378"/>
      <c r="D430" s="379"/>
    </row>
    <row r="431" spans="1:4" s="376" customFormat="1" ht="15" customHeight="1">
      <c r="A431" s="378"/>
      <c r="C431" s="378"/>
      <c r="D431" s="379"/>
    </row>
    <row r="432" spans="1:4" s="376" customFormat="1" ht="15" customHeight="1">
      <c r="A432" s="378"/>
      <c r="C432" s="378"/>
      <c r="D432" s="379"/>
    </row>
    <row r="433" spans="1:4" s="376" customFormat="1" ht="15" customHeight="1">
      <c r="A433" s="378"/>
      <c r="C433" s="378"/>
      <c r="D433" s="379"/>
    </row>
    <row r="434" spans="1:4" s="376" customFormat="1" ht="15" customHeight="1">
      <c r="A434" s="378"/>
      <c r="C434" s="378"/>
      <c r="D434" s="379"/>
    </row>
    <row r="435" spans="1:4" s="376" customFormat="1" ht="15" customHeight="1">
      <c r="A435" s="378"/>
      <c r="C435" s="378"/>
      <c r="D435" s="379"/>
    </row>
    <row r="436" spans="1:4" s="376" customFormat="1" ht="15" customHeight="1">
      <c r="A436" s="378"/>
      <c r="C436" s="378"/>
      <c r="D436" s="379"/>
    </row>
    <row r="437" spans="1:4" s="376" customFormat="1" ht="15" customHeight="1">
      <c r="A437" s="378"/>
      <c r="C437" s="378"/>
      <c r="D437" s="379"/>
    </row>
    <row r="438" spans="1:4" s="376" customFormat="1" ht="15" customHeight="1">
      <c r="A438" s="378"/>
      <c r="C438" s="378"/>
      <c r="D438" s="379"/>
    </row>
    <row r="439" spans="1:4" s="376" customFormat="1" ht="15" customHeight="1">
      <c r="A439" s="378"/>
      <c r="C439" s="378"/>
      <c r="D439" s="379"/>
    </row>
    <row r="440" spans="1:4" s="376" customFormat="1" ht="15" customHeight="1">
      <c r="A440" s="378"/>
      <c r="C440" s="378"/>
      <c r="D440" s="379"/>
    </row>
    <row r="441" spans="1:4" s="376" customFormat="1" ht="15" customHeight="1">
      <c r="A441" s="378"/>
      <c r="C441" s="378"/>
      <c r="D441" s="379"/>
    </row>
    <row r="442" spans="1:4" s="376" customFormat="1" ht="13.8">
      <c r="A442" s="378"/>
      <c r="C442" s="378"/>
      <c r="D442" s="379"/>
    </row>
    <row r="443" spans="1:4" s="376" customFormat="1" ht="15" customHeight="1">
      <c r="A443" s="378"/>
      <c r="C443" s="378"/>
      <c r="D443" s="379"/>
    </row>
    <row r="444" spans="1:4" s="376" customFormat="1" ht="15" customHeight="1">
      <c r="A444" s="378"/>
      <c r="C444" s="378"/>
      <c r="D444" s="379"/>
    </row>
    <row r="445" spans="1:4" s="376" customFormat="1" ht="15" customHeight="1">
      <c r="A445" s="378"/>
      <c r="C445" s="378"/>
      <c r="D445" s="379"/>
    </row>
    <row r="446" spans="1:4" s="376" customFormat="1" ht="15" customHeight="1">
      <c r="A446" s="378"/>
      <c r="C446" s="378"/>
      <c r="D446" s="379"/>
    </row>
    <row r="447" spans="1:4" s="376" customFormat="1" ht="15" customHeight="1">
      <c r="A447" s="378"/>
      <c r="C447" s="378"/>
      <c r="D447" s="379"/>
    </row>
    <row r="448" spans="1:4" s="376" customFormat="1" ht="15" customHeight="1">
      <c r="A448" s="378"/>
      <c r="C448" s="378"/>
      <c r="D448" s="379"/>
    </row>
    <row r="449" spans="1:4" s="376" customFormat="1" ht="15" customHeight="1">
      <c r="A449" s="378"/>
      <c r="C449" s="378"/>
      <c r="D449" s="379"/>
    </row>
    <row r="450" spans="1:4" s="376" customFormat="1" ht="15" customHeight="1">
      <c r="A450" s="378"/>
      <c r="C450" s="378"/>
      <c r="D450" s="379"/>
    </row>
    <row r="451" spans="1:4" s="376" customFormat="1" ht="15" customHeight="1">
      <c r="A451" s="378"/>
      <c r="C451" s="378"/>
      <c r="D451" s="379"/>
    </row>
    <row r="452" spans="1:4" s="376" customFormat="1" ht="15" customHeight="1">
      <c r="A452" s="378"/>
      <c r="C452" s="378"/>
      <c r="D452" s="379"/>
    </row>
    <row r="453" spans="1:4" s="376" customFormat="1" ht="15" customHeight="1">
      <c r="A453" s="378"/>
      <c r="C453" s="378"/>
      <c r="D453" s="379"/>
    </row>
    <row r="454" spans="1:4" s="376" customFormat="1" ht="15" customHeight="1">
      <c r="A454" s="378"/>
      <c r="C454" s="378"/>
      <c r="D454" s="379"/>
    </row>
    <row r="455" spans="1:4" s="376" customFormat="1" ht="15" customHeight="1">
      <c r="A455" s="378"/>
      <c r="C455" s="378"/>
      <c r="D455" s="379"/>
    </row>
    <row r="456" spans="1:4" s="376" customFormat="1" ht="15" customHeight="1">
      <c r="A456" s="378"/>
      <c r="C456" s="378"/>
      <c r="D456" s="379"/>
    </row>
    <row r="457" spans="1:4" s="376" customFormat="1" ht="15" customHeight="1">
      <c r="A457" s="378"/>
      <c r="C457" s="378"/>
      <c r="D457" s="379"/>
    </row>
    <row r="458" spans="1:4" s="376" customFormat="1" ht="15" customHeight="1">
      <c r="A458" s="378"/>
      <c r="C458" s="378"/>
      <c r="D458" s="379"/>
    </row>
    <row r="459" spans="1:4" s="376" customFormat="1" ht="15" customHeight="1">
      <c r="A459" s="378"/>
      <c r="C459" s="378"/>
      <c r="D459" s="379"/>
    </row>
    <row r="460" spans="1:4" s="376" customFormat="1" ht="15" customHeight="1">
      <c r="A460" s="378"/>
      <c r="C460" s="378"/>
      <c r="D460" s="379"/>
    </row>
    <row r="461" spans="1:4" s="376" customFormat="1" ht="15" customHeight="1">
      <c r="A461" s="378"/>
      <c r="C461" s="378"/>
      <c r="D461" s="379"/>
    </row>
    <row r="462" spans="1:4" s="376" customFormat="1" ht="15" customHeight="1">
      <c r="A462" s="378"/>
      <c r="C462" s="378"/>
      <c r="D462" s="379"/>
    </row>
    <row r="463" spans="1:4" s="376" customFormat="1" ht="15" customHeight="1">
      <c r="A463" s="378"/>
      <c r="C463" s="378"/>
      <c r="D463" s="379"/>
    </row>
    <row r="464" spans="1:4" s="376" customFormat="1" ht="15" customHeight="1">
      <c r="A464" s="378"/>
      <c r="C464" s="378"/>
      <c r="D464" s="379"/>
    </row>
    <row r="465" spans="1:4" s="376" customFormat="1" ht="15" customHeight="1">
      <c r="A465" s="378"/>
      <c r="C465" s="378"/>
      <c r="D465" s="379"/>
    </row>
    <row r="466" spans="1:4" s="376" customFormat="1" ht="15" customHeight="1">
      <c r="A466" s="378"/>
      <c r="C466" s="378"/>
      <c r="D466" s="379"/>
    </row>
    <row r="467" spans="1:4" s="376" customFormat="1" ht="15" customHeight="1">
      <c r="A467" s="378"/>
      <c r="C467" s="378"/>
      <c r="D467" s="379"/>
    </row>
    <row r="468" spans="1:4" s="376" customFormat="1" ht="15" customHeight="1">
      <c r="A468" s="378"/>
      <c r="C468" s="378"/>
      <c r="D468" s="379"/>
    </row>
    <row r="469" spans="1:4" s="376" customFormat="1" ht="15" customHeight="1">
      <c r="A469" s="378"/>
      <c r="C469" s="378"/>
      <c r="D469" s="379"/>
    </row>
    <row r="470" spans="1:4" s="376" customFormat="1" ht="15" customHeight="1">
      <c r="A470" s="378"/>
      <c r="C470" s="378"/>
      <c r="D470" s="379"/>
    </row>
    <row r="471" spans="1:4" s="376" customFormat="1" ht="15" customHeight="1">
      <c r="A471" s="378"/>
      <c r="C471" s="378"/>
      <c r="D471" s="379"/>
    </row>
    <row r="472" spans="1:4" s="376" customFormat="1" ht="15" customHeight="1">
      <c r="A472" s="378"/>
      <c r="C472" s="378"/>
      <c r="D472" s="379"/>
    </row>
    <row r="473" spans="1:4" s="376" customFormat="1" ht="15" customHeight="1">
      <c r="A473" s="378"/>
      <c r="C473" s="378"/>
      <c r="D473" s="379"/>
    </row>
    <row r="474" spans="1:4" s="376" customFormat="1" ht="15" customHeight="1">
      <c r="A474" s="378"/>
      <c r="C474" s="378"/>
      <c r="D474" s="379"/>
    </row>
    <row r="475" spans="1:4" s="376" customFormat="1" ht="15" customHeight="1">
      <c r="A475" s="378"/>
      <c r="C475" s="378"/>
      <c r="D475" s="379"/>
    </row>
    <row r="476" spans="1:4" s="376" customFormat="1" ht="15" customHeight="1">
      <c r="A476" s="378"/>
      <c r="C476" s="378"/>
      <c r="D476" s="379"/>
    </row>
    <row r="477" spans="1:4" s="376" customFormat="1" ht="15" customHeight="1">
      <c r="A477" s="378"/>
      <c r="C477" s="378"/>
      <c r="D477" s="379"/>
    </row>
    <row r="478" spans="1:4" s="376" customFormat="1" ht="15" customHeight="1">
      <c r="A478" s="378"/>
      <c r="C478" s="378"/>
      <c r="D478" s="379"/>
    </row>
    <row r="479" spans="1:4" s="376" customFormat="1" ht="15" customHeight="1">
      <c r="A479" s="378"/>
      <c r="C479" s="378"/>
      <c r="D479" s="379"/>
    </row>
    <row r="480" spans="1:4" s="376" customFormat="1" ht="15" customHeight="1">
      <c r="A480" s="378"/>
      <c r="C480" s="378"/>
      <c r="D480" s="379"/>
    </row>
    <row r="481" spans="1:4" s="376" customFormat="1" ht="15" customHeight="1">
      <c r="A481" s="378"/>
      <c r="B481" s="348"/>
      <c r="C481" s="378"/>
      <c r="D481" s="383"/>
    </row>
    <row r="482" spans="1:4" s="376" customFormat="1" ht="15" customHeight="1">
      <c r="A482" s="378"/>
      <c r="B482" s="374"/>
      <c r="C482" s="347"/>
      <c r="D482" s="384"/>
    </row>
    <row r="483" spans="1:4" s="376" customFormat="1" ht="15" customHeight="1">
      <c r="A483" s="378"/>
      <c r="C483" s="374"/>
      <c r="D483" s="385"/>
    </row>
    <row r="484" spans="1:4" s="376" customFormat="1" ht="15" customHeight="1">
      <c r="A484" s="378"/>
      <c r="C484" s="386"/>
      <c r="D484" s="379"/>
    </row>
    <row r="485" spans="1:4" s="376" customFormat="1" ht="15" customHeight="1">
      <c r="A485" s="378"/>
      <c r="B485" s="387"/>
      <c r="C485" s="378"/>
      <c r="D485" s="379"/>
    </row>
    <row r="486" spans="1:4" s="376" customFormat="1" ht="15" customHeight="1">
      <c r="A486" s="347"/>
      <c r="C486" s="378"/>
      <c r="D486" s="379"/>
    </row>
    <row r="487" spans="1:4" s="376" customFormat="1" ht="15" customHeight="1">
      <c r="A487" s="374"/>
      <c r="C487" s="378"/>
      <c r="D487" s="379"/>
    </row>
    <row r="488" spans="1:4" s="376" customFormat="1" ht="15" customHeight="1">
      <c r="C488" s="378"/>
      <c r="D488" s="379"/>
    </row>
    <row r="489" spans="1:4" s="376" customFormat="1" ht="15" customHeight="1">
      <c r="A489" s="378"/>
      <c r="C489" s="378"/>
      <c r="D489" s="379"/>
    </row>
    <row r="490" spans="1:4" s="376" customFormat="1" ht="15" customHeight="1">
      <c r="A490" s="378"/>
      <c r="C490" s="378"/>
      <c r="D490" s="379"/>
    </row>
    <row r="491" spans="1:4" s="376" customFormat="1" ht="15" customHeight="1">
      <c r="A491" s="378"/>
      <c r="C491" s="378"/>
      <c r="D491" s="379"/>
    </row>
    <row r="492" spans="1:4" s="376" customFormat="1" ht="15" customHeight="1">
      <c r="A492" s="378"/>
      <c r="B492" s="387"/>
      <c r="C492" s="378"/>
      <c r="D492" s="379"/>
    </row>
    <row r="493" spans="1:4" s="376" customFormat="1" ht="15" customHeight="1">
      <c r="A493" s="378"/>
      <c r="C493" s="378"/>
      <c r="D493" s="379"/>
    </row>
    <row r="494" spans="1:4" s="376" customFormat="1" ht="15" customHeight="1">
      <c r="A494" s="378"/>
      <c r="C494" s="378"/>
      <c r="D494" s="379"/>
    </row>
    <row r="495" spans="1:4" s="376" customFormat="1" ht="15" customHeight="1">
      <c r="A495" s="378"/>
      <c r="C495" s="378"/>
      <c r="D495" s="379"/>
    </row>
    <row r="496" spans="1:4" s="376" customFormat="1" ht="15" customHeight="1">
      <c r="A496" s="378"/>
      <c r="C496" s="378"/>
      <c r="D496" s="379"/>
    </row>
    <row r="497" spans="1:4" s="376" customFormat="1" ht="15" customHeight="1">
      <c r="A497" s="378"/>
      <c r="C497" s="378"/>
      <c r="D497" s="379"/>
    </row>
    <row r="498" spans="1:4" s="376" customFormat="1" ht="15" customHeight="1">
      <c r="A498" s="378"/>
      <c r="C498" s="378"/>
      <c r="D498" s="379"/>
    </row>
    <row r="499" spans="1:4" s="376" customFormat="1" ht="15" customHeight="1">
      <c r="A499" s="378"/>
      <c r="B499" s="387"/>
      <c r="C499" s="378"/>
      <c r="D499" s="379"/>
    </row>
    <row r="500" spans="1:4" s="376" customFormat="1" ht="15" customHeight="1">
      <c r="A500" s="378"/>
      <c r="C500" s="378"/>
      <c r="D500" s="379"/>
    </row>
    <row r="501" spans="1:4" s="376" customFormat="1" ht="15" customHeight="1">
      <c r="A501" s="378"/>
      <c r="C501" s="378"/>
      <c r="D501" s="379"/>
    </row>
    <row r="502" spans="1:4" s="376" customFormat="1" ht="15" customHeight="1">
      <c r="A502" s="378"/>
      <c r="C502" s="378"/>
      <c r="D502" s="379"/>
    </row>
    <row r="503" spans="1:4" s="376" customFormat="1" ht="15" customHeight="1">
      <c r="A503" s="378"/>
      <c r="C503" s="378"/>
      <c r="D503" s="379"/>
    </row>
    <row r="504" spans="1:4" s="376" customFormat="1" ht="15" customHeight="1">
      <c r="A504" s="378"/>
      <c r="C504" s="378"/>
      <c r="D504" s="379"/>
    </row>
    <row r="505" spans="1:4" s="376" customFormat="1" ht="15" customHeight="1">
      <c r="A505" s="378"/>
      <c r="C505" s="378"/>
      <c r="D505" s="379"/>
    </row>
    <row r="506" spans="1:4" s="376" customFormat="1" ht="15" customHeight="1">
      <c r="A506" s="378"/>
      <c r="B506" s="387"/>
      <c r="C506" s="378"/>
      <c r="D506" s="379"/>
    </row>
    <row r="507" spans="1:4" s="376" customFormat="1" ht="15" customHeight="1">
      <c r="A507" s="378"/>
      <c r="C507" s="378"/>
      <c r="D507" s="379"/>
    </row>
    <row r="508" spans="1:4" s="376" customFormat="1" ht="15" customHeight="1">
      <c r="A508" s="378"/>
      <c r="C508" s="378"/>
      <c r="D508" s="379"/>
    </row>
    <row r="509" spans="1:4" s="376" customFormat="1" ht="15" customHeight="1">
      <c r="A509" s="378"/>
      <c r="C509" s="378"/>
      <c r="D509" s="379"/>
    </row>
    <row r="510" spans="1:4" s="376" customFormat="1" ht="15" customHeight="1">
      <c r="A510" s="378"/>
      <c r="C510" s="378"/>
      <c r="D510" s="379"/>
    </row>
    <row r="511" spans="1:4" s="376" customFormat="1" ht="15" customHeight="1">
      <c r="A511" s="378"/>
      <c r="C511" s="378"/>
      <c r="D511" s="379"/>
    </row>
    <row r="512" spans="1:4" s="376" customFormat="1" ht="15" customHeight="1">
      <c r="A512" s="378"/>
      <c r="C512" s="378"/>
      <c r="D512" s="379"/>
    </row>
    <row r="513" spans="1:4" s="376" customFormat="1" ht="15" customHeight="1">
      <c r="A513" s="378"/>
      <c r="B513" s="387"/>
      <c r="C513" s="378"/>
      <c r="D513" s="379"/>
    </row>
    <row r="514" spans="1:4" s="376" customFormat="1" ht="15" customHeight="1">
      <c r="A514" s="378"/>
      <c r="C514" s="378"/>
      <c r="D514" s="379"/>
    </row>
    <row r="515" spans="1:4" s="376" customFormat="1" ht="15" customHeight="1">
      <c r="A515" s="378"/>
      <c r="C515" s="378"/>
      <c r="D515" s="379"/>
    </row>
    <row r="516" spans="1:4" s="376" customFormat="1" ht="15" customHeight="1">
      <c r="A516" s="378"/>
      <c r="C516" s="378"/>
      <c r="D516" s="379"/>
    </row>
    <row r="517" spans="1:4" s="376" customFormat="1" ht="15" customHeight="1">
      <c r="A517" s="378"/>
      <c r="C517" s="378"/>
      <c r="D517" s="379"/>
    </row>
    <row r="518" spans="1:4" s="376" customFormat="1" ht="15" customHeight="1">
      <c r="A518" s="378"/>
      <c r="C518" s="378"/>
      <c r="D518" s="379"/>
    </row>
    <row r="519" spans="1:4" s="376" customFormat="1" ht="15" customHeight="1">
      <c r="A519" s="378"/>
      <c r="C519" s="378"/>
      <c r="D519" s="379"/>
    </row>
    <row r="520" spans="1:4" s="376" customFormat="1" ht="15" customHeight="1">
      <c r="A520" s="378"/>
      <c r="B520" s="387"/>
      <c r="C520" s="378"/>
      <c r="D520" s="379"/>
    </row>
    <row r="521" spans="1:4" s="376" customFormat="1" ht="15" customHeight="1">
      <c r="A521" s="378"/>
      <c r="C521" s="378"/>
      <c r="D521" s="379"/>
    </row>
    <row r="522" spans="1:4" s="376" customFormat="1" ht="15" customHeight="1">
      <c r="A522" s="378"/>
      <c r="C522" s="378"/>
      <c r="D522" s="379"/>
    </row>
    <row r="523" spans="1:4" s="376" customFormat="1" ht="15" customHeight="1">
      <c r="A523" s="378"/>
      <c r="C523" s="378"/>
      <c r="D523" s="379"/>
    </row>
    <row r="524" spans="1:4" s="376" customFormat="1" ht="15" customHeight="1">
      <c r="A524" s="378"/>
      <c r="C524" s="378"/>
      <c r="D524" s="379"/>
    </row>
    <row r="525" spans="1:4" s="376" customFormat="1" ht="15" customHeight="1">
      <c r="A525" s="378"/>
      <c r="C525" s="378"/>
      <c r="D525" s="379"/>
    </row>
    <row r="526" spans="1:4" s="376" customFormat="1" ht="15" customHeight="1">
      <c r="A526" s="378"/>
      <c r="C526" s="378"/>
      <c r="D526" s="379"/>
    </row>
    <row r="527" spans="1:4" s="376" customFormat="1" ht="15" customHeight="1">
      <c r="A527" s="378"/>
      <c r="B527" s="387"/>
      <c r="C527" s="378"/>
      <c r="D527" s="379"/>
    </row>
    <row r="528" spans="1:4" s="376" customFormat="1" ht="15" customHeight="1">
      <c r="A528" s="378"/>
      <c r="C528" s="378"/>
      <c r="D528" s="379"/>
    </row>
    <row r="529" spans="1:4" s="376" customFormat="1" ht="15" customHeight="1">
      <c r="A529" s="378"/>
      <c r="C529" s="378"/>
      <c r="D529" s="379"/>
    </row>
    <row r="530" spans="1:4" s="376" customFormat="1" ht="15" customHeight="1">
      <c r="A530" s="378"/>
      <c r="C530" s="378"/>
      <c r="D530" s="379"/>
    </row>
    <row r="531" spans="1:4" s="376" customFormat="1" ht="15" customHeight="1">
      <c r="A531" s="378"/>
      <c r="C531" s="378"/>
      <c r="D531" s="379"/>
    </row>
    <row r="532" spans="1:4" s="376" customFormat="1" ht="15" customHeight="1">
      <c r="A532" s="378"/>
      <c r="C532" s="378"/>
      <c r="D532" s="379"/>
    </row>
    <row r="533" spans="1:4" s="376" customFormat="1" ht="15" customHeight="1">
      <c r="A533" s="378"/>
      <c r="C533" s="378"/>
      <c r="D533" s="379"/>
    </row>
    <row r="534" spans="1:4" s="376" customFormat="1" ht="15" customHeight="1">
      <c r="A534" s="378"/>
      <c r="C534" s="378"/>
      <c r="D534" s="379"/>
    </row>
    <row r="535" spans="1:4" s="376" customFormat="1" ht="15" customHeight="1">
      <c r="A535" s="378"/>
      <c r="C535" s="378"/>
      <c r="D535" s="379"/>
    </row>
    <row r="536" spans="1:4" s="376" customFormat="1" ht="15" customHeight="1">
      <c r="A536" s="378"/>
      <c r="C536" s="378"/>
      <c r="D536" s="379"/>
    </row>
    <row r="537" spans="1:4" s="376" customFormat="1" ht="15" customHeight="1">
      <c r="A537" s="378"/>
      <c r="B537" s="380"/>
      <c r="C537" s="378"/>
      <c r="D537" s="379"/>
    </row>
    <row r="538" spans="1:4" s="376" customFormat="1" ht="15" customHeight="1">
      <c r="A538" s="378"/>
      <c r="C538" s="378"/>
      <c r="D538" s="379"/>
    </row>
    <row r="539" spans="1:4" s="376" customFormat="1" ht="15" customHeight="1">
      <c r="A539" s="378"/>
      <c r="C539" s="378"/>
      <c r="D539" s="379"/>
    </row>
    <row r="540" spans="1:4" s="376" customFormat="1" ht="15" customHeight="1">
      <c r="A540" s="378"/>
      <c r="C540" s="378"/>
      <c r="D540" s="379"/>
    </row>
    <row r="541" spans="1:4" s="376" customFormat="1" ht="15" customHeight="1">
      <c r="A541" s="378"/>
      <c r="B541" s="380"/>
      <c r="C541" s="378"/>
      <c r="D541" s="379"/>
    </row>
    <row r="542" spans="1:4" s="376" customFormat="1" ht="15" customHeight="1">
      <c r="A542" s="378"/>
      <c r="C542" s="378"/>
      <c r="D542" s="379"/>
    </row>
    <row r="543" spans="1:4" s="376" customFormat="1" ht="15" customHeight="1">
      <c r="A543" s="378"/>
      <c r="C543" s="378"/>
      <c r="D543" s="379"/>
    </row>
    <row r="544" spans="1:4" s="376" customFormat="1" ht="15" customHeight="1">
      <c r="A544" s="378"/>
      <c r="C544" s="378"/>
      <c r="D544" s="379"/>
    </row>
    <row r="545" spans="1:4" s="376" customFormat="1" ht="15" customHeight="1">
      <c r="A545" s="378"/>
      <c r="C545" s="378"/>
      <c r="D545" s="379"/>
    </row>
    <row r="546" spans="1:4" s="376" customFormat="1" ht="15" customHeight="1">
      <c r="A546" s="378"/>
      <c r="C546" s="378"/>
      <c r="D546" s="379"/>
    </row>
    <row r="547" spans="1:4" s="376" customFormat="1" ht="15" customHeight="1">
      <c r="A547" s="378"/>
      <c r="C547" s="378"/>
      <c r="D547" s="379"/>
    </row>
    <row r="548" spans="1:4" s="376" customFormat="1" ht="15" customHeight="1">
      <c r="A548" s="378"/>
      <c r="C548" s="378"/>
      <c r="D548" s="379"/>
    </row>
    <row r="549" spans="1:4" s="376" customFormat="1" ht="15" customHeight="1">
      <c r="A549" s="378"/>
      <c r="C549" s="378"/>
      <c r="D549" s="379"/>
    </row>
    <row r="550" spans="1:4" s="376" customFormat="1" ht="15" customHeight="1">
      <c r="A550" s="378"/>
      <c r="C550" s="378"/>
      <c r="D550" s="379"/>
    </row>
    <row r="551" spans="1:4" s="376" customFormat="1" ht="15" customHeight="1">
      <c r="A551" s="378"/>
      <c r="C551" s="378"/>
      <c r="D551" s="379"/>
    </row>
    <row r="552" spans="1:4" s="376" customFormat="1" ht="15" customHeight="1">
      <c r="A552" s="378"/>
      <c r="C552" s="378"/>
      <c r="D552" s="379"/>
    </row>
    <row r="553" spans="1:4" s="376" customFormat="1" ht="15" customHeight="1">
      <c r="A553" s="378"/>
      <c r="C553" s="378"/>
      <c r="D553" s="379"/>
    </row>
    <row r="554" spans="1:4" s="376" customFormat="1" ht="15" customHeight="1">
      <c r="A554" s="378"/>
      <c r="C554" s="378"/>
      <c r="D554" s="379"/>
    </row>
    <row r="555" spans="1:4" s="376" customFormat="1" ht="15" customHeight="1">
      <c r="A555" s="378"/>
      <c r="C555" s="378"/>
      <c r="D555" s="379"/>
    </row>
    <row r="556" spans="1:4" s="376" customFormat="1" ht="15" customHeight="1">
      <c r="A556" s="378"/>
      <c r="C556" s="378"/>
      <c r="D556" s="379"/>
    </row>
    <row r="557" spans="1:4" s="376" customFormat="1" ht="15" customHeight="1">
      <c r="A557" s="378"/>
      <c r="C557" s="378"/>
      <c r="D557" s="379"/>
    </row>
    <row r="558" spans="1:4" s="376" customFormat="1" ht="15" customHeight="1">
      <c r="A558" s="378"/>
      <c r="C558" s="378"/>
      <c r="D558" s="379"/>
    </row>
    <row r="559" spans="1:4" s="376" customFormat="1" ht="15" customHeight="1">
      <c r="A559" s="378"/>
      <c r="C559" s="378"/>
      <c r="D559" s="379"/>
    </row>
    <row r="560" spans="1:4" s="376" customFormat="1" ht="15" customHeight="1">
      <c r="A560" s="378"/>
      <c r="C560" s="378"/>
      <c r="D560" s="379"/>
    </row>
    <row r="561" spans="1:4" s="376" customFormat="1" ht="15" customHeight="1">
      <c r="A561" s="378"/>
      <c r="C561" s="378"/>
      <c r="D561" s="379"/>
    </row>
    <row r="562" spans="1:4" s="376" customFormat="1" ht="15" customHeight="1">
      <c r="A562" s="378"/>
      <c r="C562" s="378"/>
      <c r="D562" s="379"/>
    </row>
    <row r="563" spans="1:4" s="376" customFormat="1" ht="15" customHeight="1">
      <c r="A563" s="378"/>
      <c r="C563" s="378"/>
      <c r="D563" s="379"/>
    </row>
    <row r="564" spans="1:4" s="376" customFormat="1" ht="15" customHeight="1">
      <c r="A564" s="378"/>
      <c r="C564" s="378"/>
      <c r="D564" s="379"/>
    </row>
    <row r="565" spans="1:4" s="376" customFormat="1" ht="15" customHeight="1">
      <c r="A565" s="378"/>
      <c r="C565" s="378"/>
      <c r="D565" s="379"/>
    </row>
    <row r="566" spans="1:4" s="376" customFormat="1" ht="15" customHeight="1">
      <c r="A566" s="378"/>
      <c r="C566" s="378"/>
      <c r="D566" s="379"/>
    </row>
    <row r="567" spans="1:4" s="376" customFormat="1" ht="15" customHeight="1">
      <c r="A567" s="378"/>
      <c r="C567" s="378"/>
      <c r="D567" s="379"/>
    </row>
    <row r="568" spans="1:4" s="376" customFormat="1" ht="15" customHeight="1">
      <c r="A568" s="378"/>
      <c r="C568" s="378"/>
      <c r="D568" s="379"/>
    </row>
    <row r="569" spans="1:4" s="376" customFormat="1" ht="15" customHeight="1">
      <c r="A569" s="378"/>
      <c r="C569" s="378"/>
      <c r="D569" s="379"/>
    </row>
    <row r="570" spans="1:4" s="376" customFormat="1" ht="15" customHeight="1">
      <c r="A570" s="378"/>
      <c r="C570" s="378"/>
      <c r="D570" s="379"/>
    </row>
    <row r="571" spans="1:4" s="376" customFormat="1" ht="15" customHeight="1">
      <c r="A571" s="378"/>
      <c r="C571" s="378"/>
      <c r="D571" s="379"/>
    </row>
    <row r="572" spans="1:4" s="376" customFormat="1" ht="15" customHeight="1">
      <c r="A572" s="378"/>
      <c r="C572" s="378"/>
      <c r="D572" s="379"/>
    </row>
    <row r="573" spans="1:4" s="376" customFormat="1" ht="15" customHeight="1">
      <c r="A573" s="378"/>
      <c r="C573" s="378"/>
      <c r="D573" s="379"/>
    </row>
    <row r="574" spans="1:4" s="376" customFormat="1" ht="15" customHeight="1">
      <c r="A574" s="378"/>
      <c r="C574" s="378"/>
      <c r="D574" s="379"/>
    </row>
    <row r="575" spans="1:4" s="376" customFormat="1" ht="15" customHeight="1">
      <c r="A575" s="378"/>
      <c r="C575" s="378"/>
      <c r="D575" s="379"/>
    </row>
    <row r="576" spans="1:4" s="376" customFormat="1" ht="15" customHeight="1">
      <c r="A576" s="378"/>
      <c r="C576" s="378"/>
      <c r="D576" s="379"/>
    </row>
    <row r="577" spans="1:4" s="376" customFormat="1" ht="15" customHeight="1">
      <c r="A577" s="378"/>
      <c r="C577" s="378"/>
      <c r="D577" s="379"/>
    </row>
    <row r="578" spans="1:4" s="376" customFormat="1" ht="15" customHeight="1">
      <c r="A578" s="378"/>
      <c r="C578" s="378"/>
      <c r="D578" s="379"/>
    </row>
    <row r="579" spans="1:4" s="376" customFormat="1" ht="15" customHeight="1">
      <c r="A579" s="378"/>
      <c r="C579" s="378"/>
      <c r="D579" s="379"/>
    </row>
    <row r="580" spans="1:4" s="376" customFormat="1" ht="15" customHeight="1">
      <c r="A580" s="378"/>
      <c r="C580" s="378"/>
      <c r="D580" s="379"/>
    </row>
    <row r="581" spans="1:4" s="376" customFormat="1" ht="15" customHeight="1">
      <c r="A581" s="378"/>
      <c r="B581" s="374"/>
      <c r="C581" s="378"/>
      <c r="D581" s="384"/>
    </row>
    <row r="582" spans="1:4" s="376" customFormat="1" ht="15.6">
      <c r="A582" s="378"/>
      <c r="C582" s="374"/>
      <c r="D582" s="385"/>
    </row>
    <row r="583" spans="1:4" s="376" customFormat="1" ht="13.8">
      <c r="A583" s="378"/>
      <c r="C583" s="386"/>
      <c r="D583" s="379"/>
    </row>
    <row r="584" spans="1:4" s="376" customFormat="1" ht="13.8">
      <c r="A584" s="378"/>
      <c r="C584" s="378"/>
      <c r="D584" s="379"/>
    </row>
    <row r="585" spans="1:4" s="376" customFormat="1" ht="13.8">
      <c r="A585" s="378"/>
      <c r="C585" s="378"/>
      <c r="D585" s="379"/>
    </row>
    <row r="586" spans="1:4" s="376" customFormat="1" ht="15.6">
      <c r="A586" s="374"/>
      <c r="C586" s="378"/>
      <c r="D586" s="379"/>
    </row>
    <row r="587" spans="1:4" s="376" customFormat="1" ht="13.8">
      <c r="C587" s="378"/>
      <c r="D587" s="379"/>
    </row>
    <row r="588" spans="1:4" s="376" customFormat="1" ht="13.8">
      <c r="A588" s="378"/>
      <c r="C588" s="378"/>
      <c r="D588" s="379"/>
    </row>
    <row r="589" spans="1:4" s="376" customFormat="1" ht="13.8">
      <c r="A589" s="378"/>
      <c r="C589" s="378"/>
      <c r="D589" s="379"/>
    </row>
    <row r="590" spans="1:4" s="376" customFormat="1" ht="13.8">
      <c r="A590" s="378"/>
      <c r="C590" s="378"/>
      <c r="D590" s="379"/>
    </row>
    <row r="591" spans="1:4" s="376" customFormat="1" ht="13.8">
      <c r="A591" s="378"/>
      <c r="C591" s="378"/>
      <c r="D591" s="379"/>
    </row>
    <row r="592" spans="1:4" s="376" customFormat="1" ht="15.6">
      <c r="A592" s="378"/>
      <c r="B592" s="374"/>
      <c r="C592" s="378"/>
      <c r="D592" s="384"/>
    </row>
    <row r="593" spans="1:4" s="376" customFormat="1" ht="15.6">
      <c r="A593" s="378"/>
      <c r="C593" s="374"/>
      <c r="D593" s="379"/>
    </row>
    <row r="594" spans="1:4" s="376" customFormat="1" ht="13.8">
      <c r="A594" s="378"/>
      <c r="B594" s="387"/>
      <c r="C594" s="378"/>
      <c r="D594" s="379"/>
    </row>
    <row r="595" spans="1:4" s="376" customFormat="1" ht="13.8">
      <c r="A595" s="378"/>
      <c r="C595" s="378"/>
      <c r="D595" s="379"/>
    </row>
    <row r="596" spans="1:4" s="376" customFormat="1" ht="13.8">
      <c r="A596" s="378"/>
      <c r="C596" s="378"/>
      <c r="D596" s="379"/>
    </row>
    <row r="597" spans="1:4" s="376" customFormat="1" ht="15.6">
      <c r="A597" s="374"/>
      <c r="C597" s="378"/>
      <c r="D597" s="379"/>
    </row>
    <row r="598" spans="1:4" s="376" customFormat="1" ht="13.8">
      <c r="A598" s="378"/>
      <c r="C598" s="378"/>
      <c r="D598" s="379"/>
    </row>
    <row r="599" spans="1:4" s="376" customFormat="1" ht="13.8">
      <c r="A599" s="378"/>
      <c r="C599" s="378"/>
      <c r="D599" s="379"/>
    </row>
    <row r="600" spans="1:4" s="376" customFormat="1" ht="13.8">
      <c r="A600" s="378"/>
      <c r="C600" s="378"/>
      <c r="D600" s="379"/>
    </row>
    <row r="601" spans="1:4" s="376" customFormat="1" ht="13.8">
      <c r="A601" s="378"/>
      <c r="C601" s="378"/>
      <c r="D601" s="379"/>
    </row>
    <row r="602" spans="1:4" s="376" customFormat="1" ht="13.8">
      <c r="A602" s="378"/>
      <c r="C602" s="378"/>
      <c r="D602" s="379"/>
    </row>
    <row r="603" spans="1:4" s="376" customFormat="1" ht="13.8">
      <c r="A603" s="378"/>
      <c r="C603" s="378"/>
      <c r="D603" s="379"/>
    </row>
    <row r="604" spans="1:4" s="376" customFormat="1" ht="13.8">
      <c r="A604" s="378"/>
      <c r="B604" s="380"/>
      <c r="C604" s="378"/>
      <c r="D604" s="379"/>
    </row>
    <row r="605" spans="1:4" s="376" customFormat="1" ht="13.8">
      <c r="A605" s="378"/>
      <c r="C605" s="378"/>
      <c r="D605" s="379"/>
    </row>
    <row r="606" spans="1:4" s="376" customFormat="1" ht="13.8">
      <c r="A606" s="378"/>
      <c r="C606" s="378"/>
      <c r="D606" s="379"/>
    </row>
    <row r="607" spans="1:4" s="376" customFormat="1" ht="13.8">
      <c r="A607" s="378"/>
      <c r="C607" s="378"/>
      <c r="D607" s="379"/>
    </row>
    <row r="608" spans="1:4" s="376" customFormat="1" ht="13.8">
      <c r="A608" s="378"/>
      <c r="C608" s="378"/>
      <c r="D608" s="379"/>
    </row>
    <row r="609" spans="1:4" s="376" customFormat="1" ht="13.8">
      <c r="A609" s="378"/>
      <c r="B609" s="380"/>
      <c r="C609" s="378"/>
      <c r="D609" s="379"/>
    </row>
    <row r="610" spans="1:4" s="376" customFormat="1" ht="13.8">
      <c r="A610" s="378"/>
      <c r="C610" s="378"/>
      <c r="D610" s="379"/>
    </row>
    <row r="611" spans="1:4" s="376" customFormat="1" ht="13.8">
      <c r="A611" s="378"/>
      <c r="C611" s="378"/>
      <c r="D611" s="379"/>
    </row>
    <row r="612" spans="1:4" s="376" customFormat="1" ht="13.8">
      <c r="A612" s="378"/>
      <c r="C612" s="378"/>
      <c r="D612" s="379"/>
    </row>
    <row r="613" spans="1:4" s="376" customFormat="1" ht="13.8">
      <c r="A613" s="378"/>
      <c r="C613" s="378"/>
      <c r="D613" s="385"/>
    </row>
    <row r="614" spans="1:4" s="376" customFormat="1" ht="13.8">
      <c r="A614" s="378"/>
      <c r="C614" s="386"/>
      <c r="D614" s="379"/>
    </row>
    <row r="615" spans="1:4" s="376" customFormat="1" ht="13.8">
      <c r="A615" s="378"/>
      <c r="B615" s="380"/>
      <c r="C615" s="378"/>
      <c r="D615" s="379"/>
    </row>
    <row r="616" spans="1:4" s="376" customFormat="1" ht="13.8">
      <c r="A616" s="378"/>
      <c r="C616" s="378"/>
      <c r="D616" s="379"/>
    </row>
    <row r="617" spans="1:4" s="376" customFormat="1" ht="13.8">
      <c r="A617" s="378"/>
      <c r="C617" s="378"/>
      <c r="D617" s="379"/>
    </row>
    <row r="618" spans="1:4" s="376" customFormat="1" ht="13.8">
      <c r="C618" s="378"/>
      <c r="D618" s="379"/>
    </row>
    <row r="619" spans="1:4" s="376" customFormat="1" ht="13.8">
      <c r="A619" s="378"/>
      <c r="C619" s="378"/>
      <c r="D619" s="379"/>
    </row>
    <row r="620" spans="1:4" s="376" customFormat="1" ht="13.8">
      <c r="A620" s="378"/>
      <c r="B620" s="380"/>
      <c r="C620" s="378"/>
      <c r="D620" s="379"/>
    </row>
    <row r="621" spans="1:4" s="376" customFormat="1" ht="13.8">
      <c r="A621" s="378"/>
      <c r="C621" s="378"/>
      <c r="D621" s="379"/>
    </row>
    <row r="622" spans="1:4" s="376" customFormat="1" ht="13.8">
      <c r="A622" s="378"/>
      <c r="C622" s="378"/>
      <c r="D622" s="379"/>
    </row>
    <row r="623" spans="1:4" s="376" customFormat="1" ht="13.8">
      <c r="A623" s="378"/>
      <c r="C623" s="378"/>
      <c r="D623" s="379"/>
    </row>
    <row r="624" spans="1:4" s="376" customFormat="1" ht="13.8">
      <c r="A624" s="378"/>
      <c r="C624" s="378"/>
      <c r="D624" s="379"/>
    </row>
    <row r="625" spans="1:4" s="376" customFormat="1" ht="13.8">
      <c r="A625" s="378"/>
      <c r="C625" s="378"/>
      <c r="D625" s="379"/>
    </row>
    <row r="626" spans="1:4" s="376" customFormat="1" ht="13.8">
      <c r="A626" s="378"/>
      <c r="B626" s="380"/>
      <c r="C626" s="378"/>
      <c r="D626" s="379"/>
    </row>
    <row r="627" spans="1:4" s="376" customFormat="1" ht="13.8">
      <c r="A627" s="378"/>
      <c r="C627" s="378"/>
      <c r="D627" s="385"/>
    </row>
    <row r="628" spans="1:4" s="376" customFormat="1" ht="13.8">
      <c r="A628" s="378"/>
      <c r="C628" s="386"/>
      <c r="D628" s="385"/>
    </row>
    <row r="629" spans="1:4" s="376" customFormat="1" ht="13.8">
      <c r="A629" s="378"/>
      <c r="C629" s="386"/>
      <c r="D629" s="385"/>
    </row>
    <row r="630" spans="1:4" s="376" customFormat="1" ht="13.8">
      <c r="A630" s="378"/>
      <c r="C630" s="386"/>
      <c r="D630" s="379"/>
    </row>
    <row r="631" spans="1:4" s="376" customFormat="1" ht="13.8">
      <c r="A631" s="378"/>
      <c r="C631" s="378"/>
      <c r="D631" s="379"/>
    </row>
    <row r="632" spans="1:4" s="376" customFormat="1" ht="13.8">
      <c r="C632" s="378"/>
      <c r="D632" s="379"/>
    </row>
    <row r="633" spans="1:4" s="376" customFormat="1" ht="13.8">
      <c r="C633" s="378"/>
      <c r="D633" s="379"/>
    </row>
    <row r="634" spans="1:4" s="376" customFormat="1" ht="13.8">
      <c r="C634" s="378"/>
      <c r="D634" s="385"/>
    </row>
    <row r="635" spans="1:4" s="376" customFormat="1" ht="13.8">
      <c r="A635" s="378"/>
      <c r="C635" s="386"/>
      <c r="D635" s="379"/>
    </row>
    <row r="636" spans="1:4" s="376" customFormat="1" ht="13.8">
      <c r="A636" s="378"/>
      <c r="C636" s="378"/>
      <c r="D636" s="379"/>
    </row>
    <row r="637" spans="1:4" s="376" customFormat="1" ht="13.8">
      <c r="A637" s="378"/>
      <c r="C637" s="378"/>
      <c r="D637" s="379"/>
    </row>
    <row r="638" spans="1:4" s="376" customFormat="1" ht="13.8">
      <c r="A638" s="378"/>
      <c r="C638" s="378"/>
      <c r="D638" s="379"/>
    </row>
    <row r="639" spans="1:4" s="376" customFormat="1" ht="13.8">
      <c r="C639" s="378"/>
      <c r="D639" s="385"/>
    </row>
    <row r="640" spans="1:4" s="376" customFormat="1" ht="13.8">
      <c r="A640" s="378"/>
      <c r="C640" s="386"/>
      <c r="D640" s="379"/>
    </row>
    <row r="641" spans="1:4" s="376" customFormat="1" ht="13.8">
      <c r="A641" s="378"/>
      <c r="C641" s="378"/>
      <c r="D641" s="385"/>
    </row>
    <row r="642" spans="1:4" s="376" customFormat="1" ht="13.8">
      <c r="A642" s="378"/>
      <c r="C642" s="386"/>
      <c r="D642" s="379"/>
    </row>
    <row r="643" spans="1:4" s="376" customFormat="1" ht="13.8">
      <c r="A643" s="378"/>
      <c r="C643" s="378"/>
      <c r="D643" s="379"/>
    </row>
    <row r="644" spans="1:4" s="376" customFormat="1" ht="13.8">
      <c r="C644" s="378"/>
      <c r="D644" s="379"/>
    </row>
    <row r="645" spans="1:4" s="376" customFormat="1" ht="13.8">
      <c r="A645" s="378"/>
      <c r="C645" s="378"/>
      <c r="D645" s="385"/>
    </row>
    <row r="646" spans="1:4" s="376" customFormat="1" ht="13.8">
      <c r="C646" s="386"/>
      <c r="D646" s="379"/>
    </row>
    <row r="647" spans="1:4" s="376" customFormat="1" ht="13.8">
      <c r="A647" s="378"/>
      <c r="C647" s="378"/>
      <c r="D647" s="379"/>
    </row>
    <row r="648" spans="1:4" s="376" customFormat="1" ht="13.8">
      <c r="A648" s="378"/>
      <c r="C648" s="378"/>
      <c r="D648" s="379"/>
    </row>
    <row r="649" spans="1:4" s="376" customFormat="1" ht="13.8">
      <c r="A649" s="378"/>
      <c r="C649" s="378"/>
      <c r="D649" s="385"/>
    </row>
    <row r="650" spans="1:4" s="376" customFormat="1" ht="13.8">
      <c r="C650" s="386"/>
      <c r="D650" s="379"/>
    </row>
    <row r="651" spans="1:4" s="376" customFormat="1" ht="13.8">
      <c r="A651" s="378"/>
      <c r="C651" s="378"/>
      <c r="D651" s="379"/>
    </row>
    <row r="652" spans="1:4" s="376" customFormat="1" ht="13.8">
      <c r="A652" s="378"/>
      <c r="C652" s="378"/>
      <c r="D652" s="379"/>
    </row>
    <row r="653" spans="1:4" s="376" customFormat="1" ht="13.8">
      <c r="A653" s="378"/>
      <c r="C653" s="378"/>
      <c r="D653" s="385"/>
    </row>
    <row r="654" spans="1:4" s="376" customFormat="1" ht="13.8">
      <c r="C654" s="386"/>
      <c r="D654" s="379"/>
    </row>
    <row r="655" spans="1:4" s="376" customFormat="1" ht="13.8">
      <c r="A655" s="378"/>
      <c r="C655" s="378"/>
      <c r="D655" s="379"/>
    </row>
    <row r="656" spans="1:4" s="376" customFormat="1" ht="13.8">
      <c r="A656" s="378"/>
      <c r="C656" s="378"/>
      <c r="D656" s="379"/>
    </row>
    <row r="657" spans="1:4" s="376" customFormat="1" ht="13.8">
      <c r="A657" s="378"/>
      <c r="C657" s="378"/>
      <c r="D657" s="379"/>
    </row>
    <row r="658" spans="1:4" s="376" customFormat="1" ht="13.8">
      <c r="C658" s="378"/>
      <c r="D658" s="379"/>
    </row>
    <row r="659" spans="1:4" s="376" customFormat="1" ht="13.8">
      <c r="A659" s="378"/>
      <c r="C659" s="378"/>
      <c r="D659" s="379"/>
    </row>
    <row r="660" spans="1:4" s="376" customFormat="1" ht="13.8">
      <c r="A660" s="378"/>
      <c r="C660" s="378"/>
      <c r="D660" s="379"/>
    </row>
    <row r="661" spans="1:4" s="376" customFormat="1" ht="13.8">
      <c r="A661" s="378"/>
      <c r="C661" s="378"/>
      <c r="D661" s="379"/>
    </row>
    <row r="662" spans="1:4" s="376" customFormat="1" ht="13.8">
      <c r="A662" s="378"/>
      <c r="C662" s="378"/>
      <c r="D662" s="379"/>
    </row>
    <row r="663" spans="1:4" s="376" customFormat="1" ht="13.8">
      <c r="A663" s="378"/>
      <c r="C663" s="378"/>
      <c r="D663" s="385"/>
    </row>
    <row r="664" spans="1:4" s="376" customFormat="1" ht="13.8">
      <c r="A664" s="378"/>
      <c r="C664" s="386"/>
      <c r="D664" s="379"/>
    </row>
    <row r="665" spans="1:4" s="376" customFormat="1" ht="13.8">
      <c r="A665" s="378"/>
      <c r="C665" s="378"/>
      <c r="D665" s="385"/>
    </row>
    <row r="666" spans="1:4" s="376" customFormat="1" ht="13.8">
      <c r="A666" s="378"/>
      <c r="C666" s="386"/>
      <c r="D666" s="379"/>
    </row>
    <row r="667" spans="1:4" s="376" customFormat="1" ht="13.8">
      <c r="A667" s="378"/>
      <c r="C667" s="378"/>
      <c r="D667" s="385"/>
    </row>
    <row r="668" spans="1:4" s="376" customFormat="1" ht="13.8">
      <c r="C668" s="386"/>
      <c r="D668" s="379"/>
    </row>
    <row r="669" spans="1:4" s="376" customFormat="1" ht="13.8">
      <c r="A669" s="378"/>
      <c r="C669" s="378"/>
      <c r="D669" s="385"/>
    </row>
    <row r="670" spans="1:4" s="376" customFormat="1" ht="13.8">
      <c r="C670" s="386"/>
      <c r="D670" s="379"/>
    </row>
    <row r="671" spans="1:4" s="376" customFormat="1" ht="13.8">
      <c r="A671" s="378"/>
      <c r="C671" s="378"/>
      <c r="D671" s="385"/>
    </row>
    <row r="672" spans="1:4" s="376" customFormat="1" ht="13.8">
      <c r="C672" s="386"/>
      <c r="D672" s="379"/>
    </row>
    <row r="673" spans="1:4" s="376" customFormat="1" ht="13.8">
      <c r="A673" s="378"/>
      <c r="C673" s="378"/>
      <c r="D673" s="385"/>
    </row>
    <row r="674" spans="1:4" s="376" customFormat="1" ht="13.8">
      <c r="C674" s="386"/>
      <c r="D674" s="385"/>
    </row>
    <row r="675" spans="1:4" s="376" customFormat="1" ht="13.8">
      <c r="A675" s="378"/>
      <c r="C675" s="386"/>
      <c r="D675" s="385"/>
    </row>
    <row r="676" spans="1:4" s="376" customFormat="1" ht="13.8">
      <c r="C676" s="386"/>
      <c r="D676" s="385"/>
    </row>
    <row r="677" spans="1:4" s="376" customFormat="1" ht="13.8">
      <c r="A677" s="378"/>
      <c r="C677" s="386"/>
      <c r="D677" s="385"/>
    </row>
    <row r="678" spans="1:4" s="376" customFormat="1" ht="13.8">
      <c r="C678" s="386"/>
      <c r="D678" s="385"/>
    </row>
    <row r="679" spans="1:4" s="376" customFormat="1" ht="13.8">
      <c r="C679" s="386"/>
      <c r="D679" s="385"/>
    </row>
    <row r="680" spans="1:4" s="376" customFormat="1" ht="13.8">
      <c r="C680" s="386"/>
      <c r="D680" s="385"/>
    </row>
    <row r="681" spans="1:4" s="376" customFormat="1" ht="13.8">
      <c r="B681" s="388"/>
      <c r="C681" s="386"/>
      <c r="D681" s="385"/>
    </row>
    <row r="682" spans="1:4" s="376" customFormat="1" ht="13.8">
      <c r="C682" s="386"/>
      <c r="D682" s="385"/>
    </row>
    <row r="683" spans="1:4" s="376" customFormat="1" ht="13.8">
      <c r="C683" s="386"/>
      <c r="D683" s="389"/>
    </row>
    <row r="684" spans="1:4" s="376" customFormat="1" ht="13.8">
      <c r="D684" s="379"/>
    </row>
    <row r="685" spans="1:4" s="376" customFormat="1" ht="13.8">
      <c r="C685" s="378"/>
      <c r="D685" s="379"/>
    </row>
    <row r="686" spans="1:4" s="376" customFormat="1" ht="13.8">
      <c r="B686" s="348"/>
      <c r="C686" s="378"/>
      <c r="D686" s="383"/>
    </row>
    <row r="687" spans="1:4" s="376" customFormat="1" ht="13.8">
      <c r="B687" s="348"/>
      <c r="C687" s="347"/>
      <c r="D687" s="383"/>
    </row>
    <row r="688" spans="1:4" s="376" customFormat="1" ht="13.8">
      <c r="B688" s="348"/>
      <c r="C688" s="347"/>
      <c r="D688" s="383"/>
    </row>
    <row r="689" spans="1:4" s="376" customFormat="1" ht="13.8">
      <c r="A689" s="378"/>
      <c r="B689" s="348"/>
      <c r="C689" s="347"/>
      <c r="D689" s="383"/>
    </row>
    <row r="690" spans="1:4" s="376" customFormat="1" ht="13.8">
      <c r="A690" s="378"/>
      <c r="B690" s="348"/>
      <c r="C690" s="347"/>
      <c r="D690" s="383"/>
    </row>
    <row r="691" spans="1:4" s="376" customFormat="1" ht="13.8">
      <c r="A691" s="347"/>
      <c r="B691" s="348"/>
      <c r="C691" s="347"/>
      <c r="D691" s="383"/>
    </row>
    <row r="692" spans="1:4" s="376" customFormat="1" ht="13.8">
      <c r="A692" s="347"/>
      <c r="B692" s="348"/>
      <c r="C692" s="347"/>
      <c r="D692" s="383"/>
    </row>
    <row r="693" spans="1:4" s="376" customFormat="1" ht="13.8">
      <c r="A693" s="347"/>
      <c r="B693" s="348"/>
      <c r="C693" s="347"/>
      <c r="D693" s="383"/>
    </row>
    <row r="694" spans="1:4" s="376" customFormat="1" ht="13.8">
      <c r="A694" s="347"/>
      <c r="B694" s="348"/>
      <c r="C694" s="347"/>
      <c r="D694" s="383"/>
    </row>
    <row r="695" spans="1:4" s="376" customFormat="1" ht="13.8">
      <c r="A695" s="347"/>
      <c r="B695" s="348"/>
      <c r="C695" s="347"/>
      <c r="D695" s="383"/>
    </row>
    <row r="696" spans="1:4" s="376" customFormat="1" ht="13.8">
      <c r="A696" s="347"/>
      <c r="B696" s="348"/>
      <c r="C696" s="347"/>
      <c r="D696" s="383"/>
    </row>
    <row r="697" spans="1:4" s="376" customFormat="1" ht="13.8">
      <c r="A697" s="347"/>
      <c r="B697" s="348"/>
      <c r="C697" s="347"/>
      <c r="D697" s="383"/>
    </row>
    <row r="698" spans="1:4" s="376" customFormat="1" ht="13.8">
      <c r="A698" s="347"/>
      <c r="B698" s="348"/>
      <c r="C698" s="347"/>
      <c r="D698" s="383"/>
    </row>
    <row r="699" spans="1:4" s="376" customFormat="1" ht="13.8">
      <c r="A699" s="347"/>
      <c r="B699" s="348"/>
      <c r="C699" s="347"/>
      <c r="D699" s="383"/>
    </row>
    <row r="700" spans="1:4" s="376" customFormat="1" ht="13.8">
      <c r="A700" s="347"/>
      <c r="B700" s="348"/>
      <c r="C700" s="347"/>
      <c r="D700" s="383"/>
    </row>
    <row r="701" spans="1:4" s="376" customFormat="1" ht="13.8">
      <c r="A701" s="347"/>
      <c r="B701" s="348"/>
      <c r="C701" s="347"/>
      <c r="D701" s="383"/>
    </row>
    <row r="702" spans="1:4" s="376" customFormat="1" ht="13.8">
      <c r="A702" s="347"/>
      <c r="B702" s="348"/>
      <c r="C702" s="347"/>
      <c r="D702" s="383"/>
    </row>
    <row r="703" spans="1:4" s="376" customFormat="1" ht="13.8">
      <c r="A703" s="347"/>
      <c r="B703" s="348"/>
      <c r="C703" s="347"/>
      <c r="D703" s="383"/>
    </row>
    <row r="704" spans="1:4" s="376" customFormat="1" ht="13.8">
      <c r="A704" s="347"/>
      <c r="B704" s="348"/>
      <c r="C704" s="347"/>
      <c r="D704" s="383"/>
    </row>
    <row r="705" spans="1:4" s="376" customFormat="1" ht="13.8">
      <c r="A705" s="347"/>
      <c r="B705" s="348"/>
      <c r="C705" s="347"/>
      <c r="D705" s="383"/>
    </row>
    <row r="706" spans="1:4" s="376" customFormat="1" ht="13.8">
      <c r="A706" s="347"/>
      <c r="B706" s="348"/>
      <c r="C706" s="347"/>
      <c r="D706" s="383"/>
    </row>
    <row r="707" spans="1:4" s="376" customFormat="1" ht="13.8">
      <c r="A707" s="347"/>
      <c r="B707" s="348"/>
      <c r="C707" s="347"/>
      <c r="D707" s="383"/>
    </row>
    <row r="708" spans="1:4" s="376" customFormat="1" ht="13.8">
      <c r="A708" s="347"/>
      <c r="B708" s="348"/>
      <c r="C708" s="347"/>
      <c r="D708" s="383"/>
    </row>
    <row r="709" spans="1:4" s="376" customFormat="1" ht="13.8">
      <c r="A709" s="347"/>
      <c r="B709" s="348"/>
      <c r="C709" s="347"/>
      <c r="D709" s="383"/>
    </row>
    <row r="710" spans="1:4" s="376" customFormat="1" ht="13.8">
      <c r="A710" s="347"/>
      <c r="B710" s="348"/>
      <c r="C710" s="347"/>
      <c r="D710" s="383"/>
    </row>
    <row r="711" spans="1:4" s="376" customFormat="1" ht="13.8">
      <c r="A711" s="347"/>
      <c r="B711" s="348"/>
      <c r="C711" s="347"/>
      <c r="D711" s="383"/>
    </row>
    <row r="712" spans="1:4" s="376" customFormat="1" ht="13.8">
      <c r="A712" s="347"/>
      <c r="B712" s="348"/>
      <c r="C712" s="347"/>
      <c r="D712" s="383"/>
    </row>
    <row r="713" spans="1:4" s="376" customFormat="1" ht="13.8">
      <c r="A713" s="347"/>
      <c r="B713" s="348"/>
      <c r="C713" s="347"/>
      <c r="D713" s="383"/>
    </row>
    <row r="714" spans="1:4" s="376" customFormat="1" ht="13.8">
      <c r="A714" s="347"/>
      <c r="B714" s="348"/>
      <c r="C714" s="347"/>
      <c r="D714" s="383"/>
    </row>
    <row r="715" spans="1:4" s="376" customFormat="1" ht="13.8">
      <c r="A715" s="347"/>
      <c r="B715" s="348"/>
      <c r="C715" s="347"/>
      <c r="D715" s="383"/>
    </row>
    <row r="716" spans="1:4" s="376" customFormat="1" ht="13.8">
      <c r="A716" s="347"/>
      <c r="B716" s="348"/>
      <c r="C716" s="347"/>
      <c r="D716" s="383"/>
    </row>
    <row r="717" spans="1:4" s="376" customFormat="1" ht="13.8">
      <c r="A717" s="347"/>
      <c r="B717" s="348"/>
      <c r="C717" s="347"/>
      <c r="D717" s="383"/>
    </row>
    <row r="718" spans="1:4" s="376" customFormat="1" ht="13.8">
      <c r="A718" s="347"/>
      <c r="B718" s="348"/>
      <c r="C718" s="347"/>
      <c r="D718" s="383"/>
    </row>
    <row r="719" spans="1:4" s="376" customFormat="1" ht="13.8">
      <c r="A719" s="347"/>
      <c r="B719" s="348"/>
      <c r="C719" s="347"/>
      <c r="D719" s="383"/>
    </row>
    <row r="720" spans="1:4" s="376" customFormat="1" ht="13.8">
      <c r="A720" s="347"/>
      <c r="B720" s="348"/>
      <c r="C720" s="347"/>
      <c r="D720" s="383"/>
    </row>
    <row r="721" spans="1:4" s="376" customFormat="1" ht="13.8">
      <c r="A721" s="347"/>
      <c r="B721" s="348"/>
      <c r="C721" s="347"/>
      <c r="D721" s="383"/>
    </row>
    <row r="722" spans="1:4" s="376" customFormat="1" ht="13.8">
      <c r="A722" s="347"/>
      <c r="B722" s="348"/>
      <c r="C722" s="347"/>
      <c r="D722" s="383"/>
    </row>
    <row r="723" spans="1:4" s="376" customFormat="1" ht="13.8">
      <c r="A723" s="347"/>
      <c r="B723" s="348"/>
      <c r="C723" s="347"/>
      <c r="D723" s="383"/>
    </row>
    <row r="724" spans="1:4" s="376" customFormat="1" ht="13.8">
      <c r="A724" s="347"/>
      <c r="B724" s="348"/>
      <c r="C724" s="347"/>
      <c r="D724" s="383"/>
    </row>
    <row r="725" spans="1:4" s="376" customFormat="1" ht="13.8">
      <c r="A725" s="347"/>
      <c r="B725" s="348"/>
      <c r="C725" s="347"/>
      <c r="D725" s="383"/>
    </row>
    <row r="726" spans="1:4" s="376" customFormat="1" ht="13.8">
      <c r="A726" s="347"/>
      <c r="B726" s="348"/>
      <c r="C726" s="347"/>
      <c r="D726" s="383"/>
    </row>
    <row r="727" spans="1:4" s="376" customFormat="1" ht="13.8">
      <c r="A727" s="347"/>
      <c r="B727" s="348"/>
      <c r="C727" s="347"/>
      <c r="D727" s="383"/>
    </row>
    <row r="728" spans="1:4" s="376" customFormat="1" ht="13.8">
      <c r="A728" s="347"/>
      <c r="B728" s="348"/>
      <c r="C728" s="347"/>
      <c r="D728" s="383"/>
    </row>
    <row r="729" spans="1:4" s="376" customFormat="1" ht="13.8">
      <c r="A729" s="347"/>
      <c r="B729" s="348"/>
      <c r="C729" s="347"/>
      <c r="D729" s="383"/>
    </row>
    <row r="730" spans="1:4" s="376" customFormat="1" ht="13.8">
      <c r="A730" s="347"/>
      <c r="B730" s="348"/>
      <c r="C730" s="347"/>
      <c r="D730" s="383"/>
    </row>
    <row r="731" spans="1:4" s="376" customFormat="1" ht="13.8">
      <c r="A731" s="347"/>
      <c r="B731" s="348"/>
      <c r="C731" s="347"/>
      <c r="D731" s="383"/>
    </row>
    <row r="732" spans="1:4" s="376" customFormat="1" ht="13.8">
      <c r="A732" s="347"/>
      <c r="B732" s="348"/>
      <c r="C732" s="347"/>
      <c r="D732" s="383"/>
    </row>
    <row r="733" spans="1:4" s="376" customFormat="1" ht="13.8">
      <c r="A733" s="347"/>
      <c r="B733" s="348"/>
      <c r="C733" s="347"/>
      <c r="D733" s="383"/>
    </row>
    <row r="734" spans="1:4" s="376" customFormat="1" ht="13.8">
      <c r="A734" s="347"/>
      <c r="B734" s="348"/>
      <c r="C734" s="347"/>
      <c r="D734" s="383"/>
    </row>
    <row r="735" spans="1:4" s="376" customFormat="1" ht="13.8">
      <c r="A735" s="347"/>
      <c r="B735" s="348"/>
      <c r="C735" s="347"/>
      <c r="D735" s="383"/>
    </row>
    <row r="736" spans="1:4" s="376" customFormat="1" ht="13.8">
      <c r="A736" s="347"/>
      <c r="B736" s="348"/>
      <c r="C736" s="347"/>
      <c r="D736" s="383"/>
    </row>
    <row r="737" spans="1:4" s="376" customFormat="1" ht="13.8">
      <c r="A737" s="347"/>
      <c r="B737" s="348"/>
      <c r="C737" s="347"/>
      <c r="D737" s="383"/>
    </row>
    <row r="738" spans="1:4" s="376" customFormat="1" ht="13.8">
      <c r="A738" s="347"/>
      <c r="B738" s="348"/>
      <c r="C738" s="347"/>
      <c r="D738" s="383"/>
    </row>
    <row r="739" spans="1:4" s="376" customFormat="1" ht="13.8">
      <c r="A739" s="347"/>
      <c r="B739" s="348"/>
      <c r="C739" s="347"/>
      <c r="D739" s="383"/>
    </row>
    <row r="740" spans="1:4" s="376" customFormat="1" ht="13.8">
      <c r="A740" s="347"/>
      <c r="B740" s="348"/>
      <c r="C740" s="347"/>
      <c r="D740" s="383"/>
    </row>
    <row r="741" spans="1:4" s="376" customFormat="1" ht="13.8">
      <c r="A741" s="347"/>
      <c r="B741" s="348"/>
      <c r="C741" s="347"/>
      <c r="D741" s="383"/>
    </row>
    <row r="742" spans="1:4" s="376" customFormat="1" ht="13.8">
      <c r="A742" s="347"/>
      <c r="B742" s="348"/>
      <c r="C742" s="347"/>
      <c r="D742" s="383"/>
    </row>
    <row r="743" spans="1:4" s="376" customFormat="1" ht="13.8">
      <c r="A743" s="347"/>
      <c r="B743" s="348"/>
      <c r="C743" s="347"/>
      <c r="D743" s="383"/>
    </row>
    <row r="744" spans="1:4" s="376" customFormat="1" ht="13.8">
      <c r="A744" s="347"/>
      <c r="B744" s="348"/>
      <c r="C744" s="347"/>
      <c r="D744" s="383"/>
    </row>
    <row r="745" spans="1:4" s="376" customFormat="1" ht="13.8">
      <c r="A745" s="347"/>
      <c r="B745" s="348"/>
      <c r="C745" s="347"/>
      <c r="D745" s="383"/>
    </row>
    <row r="746" spans="1:4" s="376" customFormat="1" ht="13.8">
      <c r="A746" s="347"/>
      <c r="B746" s="348"/>
      <c r="C746" s="347"/>
      <c r="D746" s="383"/>
    </row>
    <row r="747" spans="1:4" s="376" customFormat="1" ht="13.8">
      <c r="A747" s="347"/>
      <c r="B747" s="348"/>
      <c r="C747" s="347"/>
      <c r="D747" s="383"/>
    </row>
    <row r="748" spans="1:4" s="376" customFormat="1" ht="13.8">
      <c r="A748" s="347"/>
      <c r="B748" s="348"/>
      <c r="C748" s="347"/>
      <c r="D748" s="383"/>
    </row>
    <row r="749" spans="1:4" s="376" customFormat="1" ht="13.8">
      <c r="A749" s="347"/>
      <c r="B749" s="348"/>
      <c r="C749" s="347"/>
      <c r="D749" s="383"/>
    </row>
    <row r="750" spans="1:4" s="376" customFormat="1" ht="13.8">
      <c r="A750" s="347"/>
      <c r="B750" s="348"/>
      <c r="C750" s="347"/>
      <c r="D750" s="383"/>
    </row>
    <row r="751" spans="1:4" s="376" customFormat="1" ht="13.8">
      <c r="A751" s="347"/>
      <c r="B751" s="348"/>
      <c r="C751" s="347"/>
      <c r="D751" s="383"/>
    </row>
    <row r="752" spans="1:4" s="376" customFormat="1" ht="13.8">
      <c r="A752" s="347"/>
      <c r="B752" s="348"/>
      <c r="C752" s="347"/>
      <c r="D752" s="383"/>
    </row>
    <row r="753" spans="1:4" s="376" customFormat="1" ht="13.8">
      <c r="A753" s="347"/>
      <c r="B753" s="348"/>
      <c r="C753" s="347"/>
      <c r="D753" s="383"/>
    </row>
    <row r="754" spans="1:4" s="376" customFormat="1" ht="13.8">
      <c r="A754" s="347"/>
      <c r="B754" s="348"/>
      <c r="C754" s="347"/>
      <c r="D754" s="383"/>
    </row>
    <row r="755" spans="1:4" s="376" customFormat="1" ht="13.8">
      <c r="A755" s="347"/>
      <c r="B755" s="348"/>
      <c r="C755" s="347"/>
      <c r="D755" s="383"/>
    </row>
    <row r="756" spans="1:4" s="376" customFormat="1" ht="13.8">
      <c r="A756" s="347"/>
      <c r="B756" s="348"/>
      <c r="C756" s="347"/>
      <c r="D756" s="383"/>
    </row>
    <row r="757" spans="1:4" s="376" customFormat="1" ht="13.8">
      <c r="A757" s="347"/>
      <c r="B757" s="348"/>
      <c r="C757" s="347"/>
      <c r="D757" s="383"/>
    </row>
    <row r="758" spans="1:4" s="376" customFormat="1" ht="13.8">
      <c r="A758" s="347"/>
      <c r="B758" s="348"/>
      <c r="C758" s="347"/>
      <c r="D758" s="383"/>
    </row>
    <row r="759" spans="1:4" s="376" customFormat="1" ht="13.8">
      <c r="A759" s="347"/>
      <c r="B759" s="348"/>
      <c r="C759" s="347"/>
      <c r="D759" s="383"/>
    </row>
    <row r="760" spans="1:4" s="376" customFormat="1" ht="13.8">
      <c r="A760" s="347"/>
      <c r="B760" s="348"/>
      <c r="C760" s="347"/>
      <c r="D760" s="383"/>
    </row>
    <row r="761" spans="1:4" s="376" customFormat="1" ht="13.8">
      <c r="A761" s="347"/>
      <c r="B761" s="348"/>
      <c r="C761" s="347"/>
      <c r="D761" s="383"/>
    </row>
    <row r="762" spans="1:4" s="376" customFormat="1" ht="13.8">
      <c r="A762" s="347"/>
      <c r="B762" s="348"/>
      <c r="C762" s="347"/>
      <c r="D762" s="383"/>
    </row>
    <row r="763" spans="1:4" s="376" customFormat="1" ht="13.8">
      <c r="A763" s="347"/>
      <c r="B763" s="348"/>
      <c r="C763" s="347"/>
      <c r="D763" s="383"/>
    </row>
    <row r="764" spans="1:4" s="376" customFormat="1" ht="13.8">
      <c r="A764" s="347"/>
      <c r="B764" s="348"/>
      <c r="C764" s="347"/>
      <c r="D764" s="383"/>
    </row>
    <row r="765" spans="1:4" s="376" customFormat="1" ht="13.8">
      <c r="A765" s="347"/>
      <c r="B765" s="348"/>
      <c r="C765" s="347"/>
      <c r="D765" s="383"/>
    </row>
    <row r="766" spans="1:4" s="376" customFormat="1" ht="13.8">
      <c r="A766" s="347"/>
      <c r="B766" s="348"/>
      <c r="C766" s="347"/>
      <c r="D766" s="383"/>
    </row>
    <row r="767" spans="1:4" s="376" customFormat="1" ht="13.8">
      <c r="A767" s="347"/>
      <c r="B767" s="348"/>
      <c r="C767" s="347"/>
      <c r="D767" s="383"/>
    </row>
    <row r="768" spans="1:4" s="376" customFormat="1" ht="13.8">
      <c r="A768" s="347"/>
      <c r="B768" s="348"/>
      <c r="C768" s="347"/>
      <c r="D768" s="383"/>
    </row>
    <row r="769" spans="1:4" s="376" customFormat="1" ht="13.8">
      <c r="A769" s="347"/>
      <c r="B769" s="348"/>
      <c r="C769" s="347"/>
      <c r="D769" s="383"/>
    </row>
    <row r="770" spans="1:4" s="376" customFormat="1" ht="13.8">
      <c r="A770" s="347"/>
      <c r="B770" s="348"/>
      <c r="C770" s="347"/>
      <c r="D770" s="383"/>
    </row>
    <row r="771" spans="1:4" s="376" customFormat="1" ht="13.8">
      <c r="A771" s="347"/>
      <c r="B771" s="348"/>
      <c r="C771" s="347"/>
      <c r="D771" s="383"/>
    </row>
    <row r="772" spans="1:4" s="376" customFormat="1" ht="13.8">
      <c r="A772" s="347"/>
      <c r="B772" s="348"/>
      <c r="C772" s="347"/>
      <c r="D772" s="383"/>
    </row>
    <row r="773" spans="1:4" s="376" customFormat="1" ht="13.8">
      <c r="A773" s="347"/>
      <c r="B773" s="348"/>
      <c r="C773" s="347"/>
      <c r="D773" s="383"/>
    </row>
    <row r="774" spans="1:4" s="376" customFormat="1" ht="13.8">
      <c r="A774" s="347"/>
      <c r="B774" s="348"/>
      <c r="C774" s="347"/>
      <c r="D774" s="383"/>
    </row>
    <row r="775" spans="1:4" s="376" customFormat="1" ht="13.8">
      <c r="A775" s="347"/>
      <c r="B775" s="348"/>
      <c r="C775" s="347"/>
      <c r="D775" s="383"/>
    </row>
    <row r="776" spans="1:4" s="376" customFormat="1" ht="13.8">
      <c r="A776" s="347"/>
      <c r="B776" s="348"/>
      <c r="C776" s="347"/>
      <c r="D776" s="383"/>
    </row>
    <row r="777" spans="1:4" s="376" customFormat="1" ht="13.8">
      <c r="A777" s="347"/>
      <c r="B777" s="348"/>
      <c r="C777" s="347"/>
      <c r="D777" s="383"/>
    </row>
    <row r="778" spans="1:4" s="376" customFormat="1" ht="13.8">
      <c r="A778" s="347"/>
      <c r="B778" s="348"/>
      <c r="C778" s="347"/>
      <c r="D778" s="383"/>
    </row>
    <row r="779" spans="1:4" s="376" customFormat="1" ht="13.8">
      <c r="A779" s="347"/>
      <c r="B779" s="348"/>
      <c r="C779" s="347"/>
      <c r="D779" s="383"/>
    </row>
    <row r="780" spans="1:4" s="376" customFormat="1" ht="13.8">
      <c r="A780" s="347"/>
      <c r="B780" s="348"/>
      <c r="C780" s="347"/>
      <c r="D780" s="383"/>
    </row>
    <row r="781" spans="1:4" s="376" customFormat="1" ht="13.8">
      <c r="A781" s="347"/>
      <c r="B781" s="348"/>
      <c r="C781" s="347"/>
      <c r="D781" s="383"/>
    </row>
    <row r="782" spans="1:4" s="376" customFormat="1" ht="13.8">
      <c r="A782" s="347"/>
      <c r="B782" s="348"/>
      <c r="C782" s="347"/>
      <c r="D782" s="383"/>
    </row>
    <row r="783" spans="1:4" s="376" customFormat="1" ht="13.8">
      <c r="A783" s="347"/>
      <c r="B783" s="348"/>
      <c r="C783" s="347"/>
      <c r="D783" s="383"/>
    </row>
    <row r="784" spans="1:4" s="376" customFormat="1" ht="13.8">
      <c r="A784" s="347"/>
      <c r="B784" s="348"/>
      <c r="C784" s="347"/>
      <c r="D784" s="383"/>
    </row>
    <row r="785" spans="1:4" s="376" customFormat="1" ht="13.8">
      <c r="A785" s="347"/>
      <c r="B785" s="348"/>
      <c r="C785" s="347"/>
      <c r="D785" s="383"/>
    </row>
    <row r="786" spans="1:4" s="376" customFormat="1" ht="13.8">
      <c r="A786" s="347"/>
      <c r="B786" s="348"/>
      <c r="C786" s="347"/>
      <c r="D786" s="383"/>
    </row>
    <row r="787" spans="1:4" s="376" customFormat="1" ht="13.8">
      <c r="A787" s="347"/>
      <c r="B787" s="348"/>
      <c r="C787" s="347"/>
      <c r="D787" s="383"/>
    </row>
    <row r="788" spans="1:4" s="376" customFormat="1" ht="13.8">
      <c r="A788" s="347"/>
      <c r="B788" s="348"/>
      <c r="C788" s="347"/>
      <c r="D788" s="383"/>
    </row>
    <row r="789" spans="1:4" s="376" customFormat="1" ht="13.8">
      <c r="A789" s="347"/>
      <c r="B789" s="348"/>
      <c r="C789" s="347"/>
      <c r="D789" s="383"/>
    </row>
    <row r="790" spans="1:4" s="376" customFormat="1" ht="13.8">
      <c r="A790" s="347"/>
      <c r="B790" s="348"/>
      <c r="C790" s="347"/>
      <c r="D790" s="383"/>
    </row>
    <row r="791" spans="1:4" s="376" customFormat="1" ht="13.8">
      <c r="A791" s="347"/>
      <c r="B791" s="348"/>
      <c r="C791" s="347"/>
      <c r="D791" s="383"/>
    </row>
    <row r="792" spans="1:4" s="376" customFormat="1" ht="13.8">
      <c r="A792" s="347"/>
      <c r="B792" s="348"/>
      <c r="C792" s="347"/>
      <c r="D792" s="383"/>
    </row>
    <row r="793" spans="1:4" s="376" customFormat="1" ht="13.8">
      <c r="A793" s="347"/>
      <c r="B793" s="348"/>
      <c r="C793" s="347"/>
      <c r="D793" s="383"/>
    </row>
    <row r="794" spans="1:4" s="376" customFormat="1" ht="13.8">
      <c r="A794" s="347"/>
      <c r="B794" s="348"/>
      <c r="C794" s="347"/>
      <c r="D794" s="383"/>
    </row>
    <row r="795" spans="1:4" s="376" customFormat="1" ht="13.8">
      <c r="A795" s="347"/>
      <c r="B795" s="348"/>
      <c r="C795" s="347"/>
      <c r="D795" s="383"/>
    </row>
    <row r="796" spans="1:4" s="376" customFormat="1" ht="13.8">
      <c r="A796" s="347"/>
      <c r="B796" s="348"/>
      <c r="C796" s="347"/>
      <c r="D796" s="383"/>
    </row>
    <row r="797" spans="1:4" s="376" customFormat="1" ht="13.8">
      <c r="A797" s="347"/>
      <c r="B797" s="348"/>
      <c r="C797" s="347"/>
      <c r="D797" s="383"/>
    </row>
    <row r="798" spans="1:4" s="376" customFormat="1" ht="13.8">
      <c r="A798" s="347"/>
      <c r="B798" s="348"/>
      <c r="C798" s="347"/>
      <c r="D798" s="383"/>
    </row>
    <row r="799" spans="1:4" s="376" customFormat="1" ht="13.8">
      <c r="A799" s="347"/>
      <c r="B799" s="348"/>
      <c r="C799" s="347"/>
      <c r="D799" s="383"/>
    </row>
    <row r="800" spans="1:4" s="376" customFormat="1" ht="13.8">
      <c r="A800" s="347"/>
      <c r="B800" s="348"/>
      <c r="C800" s="347"/>
      <c r="D800" s="383"/>
    </row>
    <row r="801" spans="1:4" s="376" customFormat="1" ht="13.8">
      <c r="A801" s="347"/>
      <c r="B801" s="348"/>
      <c r="C801" s="347"/>
      <c r="D801" s="383"/>
    </row>
    <row r="802" spans="1:4" s="376" customFormat="1" ht="13.8">
      <c r="A802" s="347"/>
      <c r="B802" s="348"/>
      <c r="C802" s="347"/>
      <c r="D802" s="383"/>
    </row>
    <row r="803" spans="1:4" s="376" customFormat="1" ht="13.8">
      <c r="A803" s="347"/>
      <c r="B803" s="348"/>
      <c r="C803" s="347"/>
      <c r="D803" s="383"/>
    </row>
    <row r="804" spans="1:4" s="376" customFormat="1" ht="13.8">
      <c r="A804" s="347"/>
      <c r="B804" s="348"/>
      <c r="C804" s="347"/>
      <c r="D804" s="383"/>
    </row>
    <row r="805" spans="1:4" s="376" customFormat="1" ht="13.8">
      <c r="A805" s="347"/>
      <c r="B805" s="348"/>
      <c r="C805" s="347"/>
      <c r="D805" s="383"/>
    </row>
    <row r="806" spans="1:4" s="376" customFormat="1" ht="13.8">
      <c r="A806" s="347"/>
      <c r="B806" s="348"/>
      <c r="C806" s="347"/>
      <c r="D806" s="383"/>
    </row>
    <row r="807" spans="1:4" s="376" customFormat="1" ht="13.8">
      <c r="A807" s="347"/>
      <c r="B807" s="348"/>
      <c r="C807" s="347"/>
      <c r="D807" s="383"/>
    </row>
    <row r="808" spans="1:4" s="376" customFormat="1" ht="13.8">
      <c r="A808" s="347"/>
      <c r="B808" s="348"/>
      <c r="C808" s="347"/>
      <c r="D808" s="383"/>
    </row>
    <row r="809" spans="1:4" s="376" customFormat="1" ht="13.8">
      <c r="A809" s="347"/>
      <c r="B809" s="348"/>
      <c r="C809" s="347"/>
      <c r="D809" s="383"/>
    </row>
    <row r="810" spans="1:4" s="376" customFormat="1" ht="13.8">
      <c r="A810" s="347"/>
      <c r="B810" s="348"/>
      <c r="C810" s="347"/>
      <c r="D810" s="383"/>
    </row>
    <row r="811" spans="1:4" s="376" customFormat="1" ht="13.8">
      <c r="A811" s="347"/>
      <c r="B811" s="348"/>
      <c r="C811" s="347"/>
      <c r="D811" s="383"/>
    </row>
    <row r="812" spans="1:4" s="376" customFormat="1" ht="13.8">
      <c r="A812" s="347"/>
      <c r="B812" s="348"/>
      <c r="C812" s="347"/>
      <c r="D812" s="383"/>
    </row>
    <row r="813" spans="1:4" s="376" customFormat="1" ht="13.8">
      <c r="A813" s="347"/>
      <c r="B813" s="348"/>
      <c r="C813" s="347"/>
      <c r="D813" s="383"/>
    </row>
    <row r="814" spans="1:4" s="376" customFormat="1" ht="13.8">
      <c r="A814" s="347"/>
      <c r="B814" s="348"/>
      <c r="C814" s="347"/>
      <c r="D814" s="383"/>
    </row>
    <row r="815" spans="1:4" s="376" customFormat="1" ht="13.8">
      <c r="A815" s="347"/>
      <c r="B815" s="348"/>
      <c r="C815" s="347"/>
      <c r="D815" s="383"/>
    </row>
    <row r="816" spans="1:4" s="376" customFormat="1" ht="13.8">
      <c r="A816" s="347"/>
      <c r="B816" s="348"/>
      <c r="C816" s="347"/>
      <c r="D816" s="383"/>
    </row>
    <row r="817" spans="1:4" s="376" customFormat="1" ht="13.8">
      <c r="A817" s="347"/>
      <c r="B817" s="348"/>
      <c r="C817" s="347"/>
      <c r="D817" s="383"/>
    </row>
    <row r="818" spans="1:4" s="376" customFormat="1" ht="13.8">
      <c r="A818" s="347"/>
      <c r="B818" s="348"/>
      <c r="C818" s="347"/>
      <c r="D818" s="383"/>
    </row>
    <row r="819" spans="1:4" s="376" customFormat="1" ht="13.8">
      <c r="A819" s="347"/>
      <c r="B819" s="348"/>
      <c r="C819" s="347"/>
      <c r="D819" s="383"/>
    </row>
    <row r="820" spans="1:4" s="376" customFormat="1" ht="13.8">
      <c r="A820" s="347"/>
      <c r="B820" s="348"/>
      <c r="C820" s="347"/>
      <c r="D820" s="383"/>
    </row>
    <row r="821" spans="1:4" s="376" customFormat="1" ht="13.8">
      <c r="A821" s="347"/>
      <c r="B821" s="348"/>
      <c r="C821" s="347"/>
      <c r="D821" s="383"/>
    </row>
    <row r="822" spans="1:4" s="376" customFormat="1" ht="13.8">
      <c r="A822" s="347"/>
      <c r="B822" s="348"/>
      <c r="C822" s="347"/>
      <c r="D822" s="383"/>
    </row>
    <row r="823" spans="1:4" s="376" customFormat="1" ht="13.8">
      <c r="A823" s="347"/>
      <c r="B823" s="348"/>
      <c r="C823" s="347"/>
      <c r="D823" s="383"/>
    </row>
    <row r="824" spans="1:4" s="376" customFormat="1" ht="13.8">
      <c r="A824" s="347"/>
      <c r="B824" s="348"/>
      <c r="C824" s="347"/>
      <c r="D824" s="383"/>
    </row>
    <row r="825" spans="1:4" s="376" customFormat="1" ht="13.8">
      <c r="A825" s="347"/>
      <c r="B825" s="348"/>
      <c r="C825" s="347"/>
      <c r="D825" s="383"/>
    </row>
    <row r="826" spans="1:4" s="376" customFormat="1" ht="13.8">
      <c r="A826" s="347"/>
      <c r="B826" s="348"/>
      <c r="C826" s="347"/>
      <c r="D826" s="383"/>
    </row>
    <row r="827" spans="1:4" s="376" customFormat="1" ht="13.8">
      <c r="A827" s="347"/>
      <c r="B827" s="348"/>
      <c r="C827" s="347"/>
      <c r="D827" s="383"/>
    </row>
    <row r="828" spans="1:4" s="376" customFormat="1" ht="13.8">
      <c r="A828" s="347"/>
      <c r="B828" s="348"/>
      <c r="C828" s="347"/>
      <c r="D828" s="383"/>
    </row>
    <row r="829" spans="1:4" s="376" customFormat="1" ht="13.8">
      <c r="A829" s="347"/>
      <c r="B829" s="348"/>
      <c r="C829" s="347"/>
      <c r="D829" s="383"/>
    </row>
    <row r="830" spans="1:4" s="376" customFormat="1" ht="13.8">
      <c r="A830" s="347"/>
      <c r="B830" s="348"/>
      <c r="C830" s="347"/>
      <c r="D830" s="383"/>
    </row>
    <row r="831" spans="1:4" s="376" customFormat="1" ht="13.8">
      <c r="A831" s="347"/>
      <c r="B831" s="348"/>
      <c r="C831" s="347"/>
      <c r="D831" s="383"/>
    </row>
    <row r="832" spans="1:4" s="376" customFormat="1" ht="13.8">
      <c r="A832" s="347"/>
      <c r="B832" s="348"/>
      <c r="C832" s="347"/>
      <c r="D832" s="383"/>
    </row>
    <row r="833" spans="1:4" s="376" customFormat="1" ht="13.8">
      <c r="A833" s="347"/>
      <c r="B833" s="348"/>
      <c r="C833" s="347"/>
      <c r="D833" s="383"/>
    </row>
    <row r="834" spans="1:4" s="376" customFormat="1" ht="13.8">
      <c r="A834" s="347"/>
      <c r="B834" s="348"/>
      <c r="C834" s="347"/>
      <c r="D834" s="383"/>
    </row>
    <row r="835" spans="1:4" s="376" customFormat="1" ht="13.8">
      <c r="A835" s="347"/>
      <c r="B835" s="348"/>
      <c r="C835" s="347"/>
      <c r="D835" s="383"/>
    </row>
    <row r="836" spans="1:4" s="376" customFormat="1" ht="13.8">
      <c r="A836" s="347"/>
      <c r="B836" s="348"/>
      <c r="C836" s="347"/>
      <c r="D836" s="383"/>
    </row>
    <row r="837" spans="1:4" s="376" customFormat="1" ht="13.8">
      <c r="A837" s="347"/>
      <c r="B837" s="348"/>
      <c r="C837" s="347"/>
      <c r="D837" s="383"/>
    </row>
    <row r="838" spans="1:4" s="376" customFormat="1" ht="13.8">
      <c r="A838" s="347"/>
      <c r="B838" s="348"/>
      <c r="C838" s="347"/>
      <c r="D838" s="383"/>
    </row>
    <row r="839" spans="1:4" s="376" customFormat="1" ht="13.8">
      <c r="A839" s="347"/>
      <c r="B839" s="348"/>
      <c r="C839" s="347"/>
      <c r="D839" s="383"/>
    </row>
    <row r="840" spans="1:4" s="376" customFormat="1" ht="13.8">
      <c r="A840" s="347"/>
      <c r="B840" s="348"/>
      <c r="C840" s="347"/>
      <c r="D840" s="383"/>
    </row>
    <row r="841" spans="1:4" s="376" customFormat="1" ht="13.8">
      <c r="A841" s="347"/>
      <c r="B841" s="348"/>
      <c r="C841" s="347"/>
      <c r="D841" s="383"/>
    </row>
    <row r="842" spans="1:4" s="376" customFormat="1" ht="13.8">
      <c r="A842" s="347"/>
      <c r="B842" s="348"/>
      <c r="C842" s="347"/>
      <c r="D842" s="383"/>
    </row>
    <row r="843" spans="1:4" s="376" customFormat="1" ht="13.8">
      <c r="A843" s="347"/>
      <c r="B843" s="348"/>
      <c r="C843" s="347"/>
      <c r="D843" s="383"/>
    </row>
    <row r="844" spans="1:4" s="376" customFormat="1" ht="13.8">
      <c r="A844" s="347"/>
      <c r="B844" s="348"/>
      <c r="C844" s="347"/>
      <c r="D844" s="383"/>
    </row>
    <row r="845" spans="1:4" s="376" customFormat="1" ht="13.8">
      <c r="A845" s="347"/>
      <c r="B845" s="348"/>
      <c r="C845" s="347"/>
      <c r="D845" s="390"/>
    </row>
    <row r="846" spans="1:4" s="376" customFormat="1" ht="13.8">
      <c r="A846" s="347"/>
      <c r="B846" s="348"/>
      <c r="C846" s="347"/>
      <c r="D846" s="390"/>
    </row>
    <row r="847" spans="1:4" s="376" customFormat="1" ht="13.8">
      <c r="A847" s="347"/>
      <c r="B847" s="348"/>
      <c r="C847" s="347"/>
      <c r="D847" s="390"/>
    </row>
    <row r="848" spans="1:4" s="376" customFormat="1" ht="13.8">
      <c r="A848" s="347"/>
      <c r="B848" s="348"/>
      <c r="C848" s="347"/>
      <c r="D848" s="390"/>
    </row>
    <row r="849" spans="1:4" s="376" customFormat="1" ht="13.8">
      <c r="A849" s="347"/>
      <c r="B849" s="348"/>
      <c r="C849" s="347"/>
      <c r="D849" s="390"/>
    </row>
    <row r="850" spans="1:4" s="376" customFormat="1" ht="13.8">
      <c r="A850" s="347"/>
      <c r="B850" s="348"/>
      <c r="C850" s="347"/>
      <c r="D850" s="390"/>
    </row>
    <row r="851" spans="1:4" s="376" customFormat="1" ht="13.8">
      <c r="A851" s="347"/>
      <c r="B851" s="348"/>
      <c r="C851" s="347"/>
      <c r="D851" s="390"/>
    </row>
    <row r="852" spans="1:4" s="376" customFormat="1" ht="13.8">
      <c r="A852" s="347"/>
      <c r="B852" s="348"/>
      <c r="C852" s="347"/>
      <c r="D852" s="390"/>
    </row>
    <row r="853" spans="1:4" s="376" customFormat="1" ht="13.8">
      <c r="A853" s="347"/>
      <c r="B853" s="348"/>
      <c r="C853" s="347"/>
      <c r="D853" s="390"/>
    </row>
    <row r="854" spans="1:4" s="376" customFormat="1" ht="13.8">
      <c r="A854" s="347"/>
      <c r="B854" s="348"/>
      <c r="C854" s="347"/>
      <c r="D854" s="390"/>
    </row>
    <row r="855" spans="1:4" s="376" customFormat="1" ht="13.8">
      <c r="A855" s="347"/>
      <c r="B855" s="348"/>
      <c r="C855" s="347"/>
      <c r="D855" s="390"/>
    </row>
    <row r="856" spans="1:4" s="376" customFormat="1" ht="13.8">
      <c r="A856" s="347"/>
      <c r="B856" s="348"/>
      <c r="C856" s="347"/>
      <c r="D856" s="390"/>
    </row>
    <row r="857" spans="1:4" s="376" customFormat="1" ht="13.8">
      <c r="A857" s="347"/>
      <c r="B857" s="348"/>
      <c r="C857" s="347"/>
      <c r="D857" s="390"/>
    </row>
    <row r="858" spans="1:4" s="376" customFormat="1" ht="13.8">
      <c r="A858" s="347"/>
      <c r="B858" s="348"/>
      <c r="C858" s="347"/>
      <c r="D858" s="390"/>
    </row>
    <row r="859" spans="1:4" s="376" customFormat="1" ht="13.8">
      <c r="A859" s="347"/>
      <c r="B859" s="348"/>
      <c r="C859" s="347"/>
      <c r="D859" s="390"/>
    </row>
    <row r="860" spans="1:4" s="376" customFormat="1" ht="13.8">
      <c r="A860" s="347"/>
      <c r="B860" s="348"/>
      <c r="C860" s="347"/>
      <c r="D860" s="390"/>
    </row>
    <row r="861" spans="1:4" s="376" customFormat="1" ht="13.8">
      <c r="A861" s="347"/>
      <c r="B861" s="348"/>
      <c r="C861" s="347"/>
      <c r="D861" s="390"/>
    </row>
    <row r="862" spans="1:4" s="376" customFormat="1" ht="13.8">
      <c r="A862" s="347"/>
      <c r="B862" s="348"/>
      <c r="C862" s="347"/>
      <c r="D862" s="390"/>
    </row>
    <row r="863" spans="1:4" s="376" customFormat="1" ht="13.8">
      <c r="A863" s="347"/>
      <c r="B863" s="348"/>
      <c r="C863" s="347"/>
      <c r="D863" s="390"/>
    </row>
    <row r="864" spans="1:4" s="376" customFormat="1" ht="13.8">
      <c r="A864" s="347"/>
      <c r="B864" s="348"/>
      <c r="C864" s="347"/>
      <c r="D864" s="390"/>
    </row>
    <row r="865" spans="1:4" s="376" customFormat="1" ht="13.8">
      <c r="A865" s="347"/>
      <c r="B865" s="348"/>
      <c r="C865" s="347"/>
      <c r="D865" s="390"/>
    </row>
    <row r="866" spans="1:4" s="376" customFormat="1" ht="13.8">
      <c r="A866" s="347"/>
      <c r="B866" s="348"/>
      <c r="C866" s="347"/>
      <c r="D866" s="390"/>
    </row>
    <row r="867" spans="1:4" s="376" customFormat="1" ht="13.8">
      <c r="A867" s="347"/>
      <c r="B867" s="348"/>
      <c r="C867" s="347"/>
      <c r="D867" s="390"/>
    </row>
    <row r="868" spans="1:4" s="376" customFormat="1" ht="13.8">
      <c r="A868" s="347"/>
      <c r="B868" s="348"/>
      <c r="C868" s="347"/>
      <c r="D868" s="390"/>
    </row>
    <row r="869" spans="1:4" s="376" customFormat="1" ht="13.8">
      <c r="A869" s="347"/>
      <c r="B869" s="348"/>
      <c r="C869" s="347"/>
      <c r="D869" s="390"/>
    </row>
    <row r="870" spans="1:4" s="376" customFormat="1" ht="13.8">
      <c r="A870" s="347"/>
      <c r="B870" s="348"/>
      <c r="C870" s="347"/>
      <c r="D870" s="390"/>
    </row>
    <row r="871" spans="1:4" s="376" customFormat="1" ht="13.8">
      <c r="A871" s="347"/>
      <c r="B871" s="348"/>
      <c r="C871" s="347"/>
      <c r="D871" s="390"/>
    </row>
    <row r="872" spans="1:4" s="376" customFormat="1" ht="13.8">
      <c r="A872" s="347"/>
      <c r="B872" s="348"/>
      <c r="C872" s="347"/>
      <c r="D872" s="390"/>
    </row>
    <row r="873" spans="1:4" s="376" customFormat="1" ht="13.8">
      <c r="A873" s="347"/>
      <c r="B873" s="348"/>
      <c r="C873" s="347"/>
      <c r="D873" s="390"/>
    </row>
    <row r="874" spans="1:4" s="376" customFormat="1" ht="13.8">
      <c r="A874" s="347"/>
      <c r="B874" s="348"/>
      <c r="C874" s="347"/>
      <c r="D874" s="390"/>
    </row>
    <row r="875" spans="1:4" s="376" customFormat="1" ht="13.8">
      <c r="A875" s="347"/>
      <c r="B875" s="348"/>
      <c r="C875" s="347"/>
      <c r="D875" s="390"/>
    </row>
    <row r="876" spans="1:4" s="376" customFormat="1" ht="13.8">
      <c r="A876" s="347"/>
      <c r="B876" s="348"/>
      <c r="C876" s="347"/>
      <c r="D876" s="390"/>
    </row>
    <row r="877" spans="1:4" s="376" customFormat="1" ht="13.8">
      <c r="A877" s="347"/>
      <c r="B877" s="348"/>
      <c r="C877" s="347"/>
      <c r="D877" s="390"/>
    </row>
    <row r="878" spans="1:4" s="376" customFormat="1" ht="13.8">
      <c r="A878" s="347"/>
      <c r="B878" s="348"/>
      <c r="C878" s="347"/>
      <c r="D878" s="390"/>
    </row>
    <row r="879" spans="1:4" s="376" customFormat="1" ht="13.8">
      <c r="A879" s="347"/>
      <c r="B879" s="348"/>
      <c r="C879" s="347"/>
      <c r="D879" s="390"/>
    </row>
    <row r="880" spans="1:4" s="376" customFormat="1" ht="13.8">
      <c r="A880" s="347"/>
      <c r="B880" s="348"/>
      <c r="C880" s="347"/>
      <c r="D880" s="390"/>
    </row>
    <row r="881" spans="1:4" s="376" customFormat="1" ht="13.8">
      <c r="A881" s="347"/>
      <c r="B881" s="348"/>
      <c r="C881" s="347"/>
      <c r="D881" s="390"/>
    </row>
    <row r="882" spans="1:4" s="376" customFormat="1" ht="13.8">
      <c r="A882" s="347"/>
      <c r="B882" s="348"/>
      <c r="C882" s="347"/>
      <c r="D882" s="390"/>
    </row>
    <row r="883" spans="1:4" s="376" customFormat="1" ht="13.8">
      <c r="A883" s="347"/>
      <c r="B883" s="348"/>
      <c r="C883" s="347"/>
      <c r="D883" s="390"/>
    </row>
    <row r="884" spans="1:4" s="376" customFormat="1" ht="13.8">
      <c r="A884" s="347"/>
      <c r="B884" s="348"/>
      <c r="C884" s="347"/>
      <c r="D884" s="390"/>
    </row>
    <row r="885" spans="1:4" s="376" customFormat="1" ht="13.8">
      <c r="A885" s="347"/>
      <c r="B885" s="348"/>
      <c r="C885" s="347"/>
      <c r="D885" s="390"/>
    </row>
    <row r="886" spans="1:4" s="376" customFormat="1" ht="13.8">
      <c r="A886" s="347"/>
      <c r="B886" s="348"/>
      <c r="C886" s="347"/>
      <c r="D886" s="390"/>
    </row>
    <row r="887" spans="1:4" s="376" customFormat="1" ht="13.8">
      <c r="A887" s="347"/>
      <c r="B887" s="348"/>
      <c r="C887" s="347"/>
      <c r="D887" s="390"/>
    </row>
    <row r="888" spans="1:4" s="376" customFormat="1" ht="13.8">
      <c r="A888" s="347"/>
      <c r="B888" s="348"/>
      <c r="C888" s="347"/>
      <c r="D888" s="390"/>
    </row>
    <row r="889" spans="1:4" s="376" customFormat="1" ht="13.8">
      <c r="A889" s="347"/>
      <c r="B889" s="348"/>
      <c r="C889" s="347"/>
      <c r="D889" s="390"/>
    </row>
    <row r="890" spans="1:4" s="376" customFormat="1" ht="13.8">
      <c r="A890" s="347"/>
      <c r="B890" s="348"/>
      <c r="C890" s="347"/>
      <c r="D890" s="390"/>
    </row>
    <row r="891" spans="1:4" s="376" customFormat="1" ht="13.8">
      <c r="A891" s="347"/>
      <c r="B891" s="348"/>
      <c r="C891" s="347"/>
      <c r="D891" s="390"/>
    </row>
    <row r="892" spans="1:4" s="376" customFormat="1" ht="13.8">
      <c r="A892" s="347"/>
      <c r="B892" s="348"/>
      <c r="C892" s="347"/>
      <c r="D892" s="390"/>
    </row>
    <row r="893" spans="1:4" s="376" customFormat="1" ht="13.8">
      <c r="A893" s="347"/>
      <c r="B893" s="348"/>
      <c r="C893" s="347"/>
      <c r="D893" s="390"/>
    </row>
    <row r="894" spans="1:4" s="376" customFormat="1" ht="13.8">
      <c r="A894" s="347"/>
      <c r="B894" s="348"/>
      <c r="C894" s="347"/>
      <c r="D894" s="390"/>
    </row>
    <row r="895" spans="1:4" s="376" customFormat="1" ht="13.8">
      <c r="A895" s="347"/>
      <c r="B895" s="348"/>
      <c r="C895" s="347"/>
      <c r="D895" s="390"/>
    </row>
    <row r="896" spans="1:4" s="376" customFormat="1" ht="13.8">
      <c r="A896" s="347"/>
      <c r="B896" s="348"/>
      <c r="C896" s="347"/>
      <c r="D896" s="390"/>
    </row>
    <row r="897" spans="1:4" s="376" customFormat="1" ht="13.8">
      <c r="A897" s="347"/>
      <c r="B897" s="348"/>
      <c r="C897" s="347"/>
      <c r="D897" s="390"/>
    </row>
    <row r="898" spans="1:4" s="376" customFormat="1" ht="13.8">
      <c r="A898" s="347"/>
      <c r="B898" s="348"/>
      <c r="C898" s="347"/>
      <c r="D898" s="390"/>
    </row>
    <row r="899" spans="1:4" s="376" customFormat="1" ht="13.8">
      <c r="A899" s="347"/>
      <c r="B899" s="348"/>
      <c r="C899" s="347"/>
      <c r="D899" s="390"/>
    </row>
    <row r="900" spans="1:4" s="376" customFormat="1" ht="13.8">
      <c r="A900" s="347"/>
      <c r="B900" s="348"/>
      <c r="C900" s="347"/>
      <c r="D900" s="390"/>
    </row>
    <row r="901" spans="1:4" s="376" customFormat="1" ht="13.8">
      <c r="A901" s="347"/>
      <c r="B901" s="348"/>
      <c r="C901" s="347"/>
      <c r="D901" s="390"/>
    </row>
    <row r="902" spans="1:4" s="376" customFormat="1" ht="13.8">
      <c r="A902" s="347"/>
      <c r="B902" s="348"/>
      <c r="C902" s="347"/>
      <c r="D902" s="390"/>
    </row>
    <row r="903" spans="1:4" s="376" customFormat="1" ht="13.8">
      <c r="A903" s="347"/>
      <c r="B903" s="348"/>
      <c r="C903" s="347"/>
      <c r="D903" s="390"/>
    </row>
    <row r="904" spans="1:4" s="376" customFormat="1" ht="13.8">
      <c r="A904" s="347"/>
      <c r="B904" s="348"/>
      <c r="C904" s="347"/>
      <c r="D904" s="390"/>
    </row>
    <row r="905" spans="1:4" s="376" customFormat="1" ht="13.8">
      <c r="A905" s="347"/>
      <c r="B905" s="348"/>
      <c r="C905" s="347"/>
      <c r="D905" s="390"/>
    </row>
    <row r="906" spans="1:4" s="376" customFormat="1" ht="13.8">
      <c r="A906" s="347"/>
      <c r="B906" s="348"/>
      <c r="C906" s="347"/>
      <c r="D906" s="390"/>
    </row>
    <row r="907" spans="1:4" s="376" customFormat="1" ht="13.8">
      <c r="A907" s="347"/>
      <c r="B907" s="348"/>
      <c r="C907" s="347"/>
      <c r="D907" s="390"/>
    </row>
    <row r="908" spans="1:4" s="376" customFormat="1" ht="13.8">
      <c r="A908" s="347"/>
      <c r="B908" s="348"/>
      <c r="C908" s="347"/>
      <c r="D908" s="390"/>
    </row>
    <row r="909" spans="1:4" s="376" customFormat="1" ht="13.8">
      <c r="A909" s="347"/>
      <c r="B909" s="348"/>
      <c r="C909" s="347"/>
      <c r="D909" s="390"/>
    </row>
    <row r="910" spans="1:4" s="376" customFormat="1" ht="13.8">
      <c r="A910" s="347"/>
      <c r="B910" s="348"/>
      <c r="C910" s="347"/>
      <c r="D910" s="390"/>
    </row>
    <row r="911" spans="1:4" s="376" customFormat="1" ht="13.8">
      <c r="A911" s="347"/>
      <c r="B911" s="348"/>
      <c r="C911" s="347"/>
      <c r="D911" s="390"/>
    </row>
    <row r="912" spans="1:4" s="376" customFormat="1" ht="13.8">
      <c r="A912" s="347"/>
      <c r="B912" s="348"/>
      <c r="C912" s="347"/>
      <c r="D912" s="390"/>
    </row>
    <row r="913" spans="1:4" s="376" customFormat="1" ht="13.8">
      <c r="A913" s="347"/>
      <c r="B913" s="348"/>
      <c r="C913" s="347"/>
      <c r="D913" s="390"/>
    </row>
    <row r="914" spans="1:4" s="376" customFormat="1" ht="13.8">
      <c r="A914" s="347"/>
      <c r="B914" s="348"/>
      <c r="C914" s="347"/>
      <c r="D914" s="390"/>
    </row>
    <row r="915" spans="1:4" s="376" customFormat="1" ht="13.8">
      <c r="A915" s="347"/>
      <c r="B915" s="348"/>
      <c r="C915" s="347"/>
      <c r="D915" s="390"/>
    </row>
    <row r="916" spans="1:4" s="376" customFormat="1" ht="13.8">
      <c r="A916" s="347"/>
      <c r="B916" s="348"/>
      <c r="C916" s="347"/>
      <c r="D916" s="390"/>
    </row>
    <row r="917" spans="1:4" s="376" customFormat="1" ht="13.8">
      <c r="A917" s="347"/>
      <c r="B917" s="348"/>
      <c r="C917" s="347"/>
      <c r="D917" s="390"/>
    </row>
    <row r="918" spans="1:4" s="376" customFormat="1" ht="13.8">
      <c r="A918" s="347"/>
      <c r="B918" s="348"/>
      <c r="C918" s="347"/>
      <c r="D918" s="390"/>
    </row>
    <row r="919" spans="1:4" s="376" customFormat="1" ht="13.8">
      <c r="A919" s="347"/>
      <c r="B919" s="348"/>
      <c r="C919" s="347"/>
      <c r="D919" s="390"/>
    </row>
    <row r="920" spans="1:4" s="376" customFormat="1" ht="13.8">
      <c r="A920" s="347"/>
      <c r="B920" s="348"/>
      <c r="C920" s="347"/>
      <c r="D920" s="390"/>
    </row>
    <row r="921" spans="1:4" s="376" customFormat="1" ht="13.8">
      <c r="A921" s="347"/>
      <c r="B921" s="348"/>
      <c r="C921" s="347"/>
      <c r="D921" s="390"/>
    </row>
    <row r="922" spans="1:4" s="376" customFormat="1" ht="13.8">
      <c r="A922" s="347"/>
      <c r="B922" s="348"/>
      <c r="C922" s="347"/>
      <c r="D922" s="390"/>
    </row>
    <row r="923" spans="1:4" s="376" customFormat="1" ht="13.8">
      <c r="A923" s="347"/>
      <c r="B923" s="348"/>
      <c r="C923" s="347"/>
      <c r="D923" s="390"/>
    </row>
    <row r="924" spans="1:4" s="376" customFormat="1" ht="13.8">
      <c r="A924" s="347"/>
      <c r="B924" s="348"/>
      <c r="C924" s="347"/>
      <c r="D924" s="390"/>
    </row>
    <row r="925" spans="1:4" s="376" customFormat="1" ht="13.8">
      <c r="A925" s="347"/>
      <c r="B925" s="348"/>
      <c r="C925" s="347"/>
      <c r="D925" s="390"/>
    </row>
    <row r="926" spans="1:4" s="376" customFormat="1" ht="13.8">
      <c r="A926" s="347"/>
      <c r="B926" s="348"/>
      <c r="C926" s="347"/>
      <c r="D926" s="390"/>
    </row>
    <row r="927" spans="1:4" s="376" customFormat="1" ht="13.8">
      <c r="A927" s="347"/>
      <c r="B927" s="348"/>
      <c r="C927" s="347"/>
      <c r="D927" s="390"/>
    </row>
    <row r="928" spans="1:4" s="376" customFormat="1" ht="13.8">
      <c r="A928" s="347"/>
      <c r="B928" s="348"/>
      <c r="C928" s="347"/>
      <c r="D928" s="390"/>
    </row>
    <row r="929" spans="1:4" s="376" customFormat="1" ht="13.8">
      <c r="A929" s="347"/>
      <c r="B929" s="348"/>
      <c r="C929" s="347"/>
      <c r="D929" s="390"/>
    </row>
    <row r="930" spans="1:4" s="376" customFormat="1" ht="13.8">
      <c r="A930" s="347"/>
      <c r="B930" s="348"/>
      <c r="C930" s="347"/>
      <c r="D930" s="390"/>
    </row>
    <row r="931" spans="1:4" s="376" customFormat="1" ht="13.8">
      <c r="A931" s="347"/>
      <c r="B931" s="348"/>
      <c r="C931" s="347"/>
      <c r="D931" s="390"/>
    </row>
    <row r="932" spans="1:4" s="376" customFormat="1" ht="13.8">
      <c r="A932" s="347"/>
      <c r="B932" s="348"/>
      <c r="C932" s="347"/>
      <c r="D932" s="390"/>
    </row>
    <row r="933" spans="1:4" s="376" customFormat="1" ht="13.8">
      <c r="A933" s="347"/>
      <c r="B933" s="348"/>
      <c r="C933" s="347"/>
      <c r="D933" s="390"/>
    </row>
    <row r="934" spans="1:4" s="376" customFormat="1" ht="13.8">
      <c r="A934" s="347"/>
      <c r="B934" s="348"/>
      <c r="C934" s="347"/>
      <c r="D934" s="390"/>
    </row>
    <row r="935" spans="1:4" s="376" customFormat="1" ht="13.8">
      <c r="A935" s="347"/>
      <c r="B935" s="348"/>
      <c r="C935" s="347"/>
      <c r="D935" s="390"/>
    </row>
    <row r="936" spans="1:4" s="376" customFormat="1" ht="13.8">
      <c r="A936" s="347"/>
      <c r="B936" s="348"/>
      <c r="C936" s="347"/>
      <c r="D936" s="390"/>
    </row>
    <row r="937" spans="1:4" s="376" customFormat="1" ht="13.8">
      <c r="A937" s="347"/>
      <c r="B937" s="348"/>
      <c r="C937" s="347"/>
      <c r="D937" s="390"/>
    </row>
    <row r="938" spans="1:4" s="376" customFormat="1" ht="13.8">
      <c r="A938" s="347"/>
      <c r="B938" s="348"/>
      <c r="C938" s="347"/>
      <c r="D938" s="390"/>
    </row>
    <row r="939" spans="1:4" s="376" customFormat="1" ht="13.8">
      <c r="A939" s="347"/>
      <c r="B939" s="348"/>
      <c r="C939" s="347"/>
      <c r="D939" s="390"/>
    </row>
    <row r="940" spans="1:4" s="376" customFormat="1" ht="13.8">
      <c r="A940" s="347"/>
      <c r="B940" s="348"/>
      <c r="C940" s="347"/>
      <c r="D940" s="390"/>
    </row>
    <row r="941" spans="1:4" s="376" customFormat="1" ht="13.8">
      <c r="A941" s="347"/>
      <c r="B941" s="348"/>
      <c r="C941" s="347"/>
      <c r="D941" s="390"/>
    </row>
    <row r="942" spans="1:4" s="376" customFormat="1" ht="13.8">
      <c r="A942" s="347"/>
      <c r="B942" s="348"/>
      <c r="C942" s="347"/>
      <c r="D942" s="390"/>
    </row>
    <row r="943" spans="1:4" s="376" customFormat="1" ht="13.8">
      <c r="A943" s="347"/>
      <c r="B943" s="348"/>
      <c r="C943" s="347"/>
      <c r="D943" s="390"/>
    </row>
    <row r="944" spans="1:4" s="376" customFormat="1" ht="13.8">
      <c r="A944" s="347"/>
      <c r="B944" s="348"/>
      <c r="C944" s="347"/>
      <c r="D944" s="390"/>
    </row>
    <row r="945" spans="1:4" s="376" customFormat="1" ht="13.8">
      <c r="A945" s="347"/>
      <c r="B945" s="348"/>
      <c r="C945" s="347"/>
      <c r="D945" s="390"/>
    </row>
    <row r="946" spans="1:4" s="376" customFormat="1" ht="13.8">
      <c r="A946" s="347"/>
      <c r="B946" s="348"/>
      <c r="C946" s="347"/>
      <c r="D946" s="390"/>
    </row>
    <row r="947" spans="1:4" s="376" customFormat="1" ht="13.8">
      <c r="A947" s="347"/>
      <c r="B947" s="348"/>
      <c r="C947" s="347"/>
      <c r="D947" s="390"/>
    </row>
    <row r="948" spans="1:4" s="376" customFormat="1" ht="13.8">
      <c r="A948" s="347"/>
      <c r="B948" s="348"/>
      <c r="C948" s="347"/>
      <c r="D948" s="390"/>
    </row>
    <row r="949" spans="1:4" s="376" customFormat="1" ht="13.8">
      <c r="A949" s="347"/>
      <c r="B949" s="348"/>
      <c r="C949" s="347"/>
      <c r="D949" s="390"/>
    </row>
    <row r="950" spans="1:4" s="376" customFormat="1" ht="13.8">
      <c r="A950" s="347"/>
      <c r="B950" s="348"/>
      <c r="C950" s="347"/>
      <c r="D950" s="390"/>
    </row>
    <row r="951" spans="1:4" s="376" customFormat="1" ht="13.8">
      <c r="A951" s="347"/>
      <c r="B951" s="348"/>
      <c r="C951" s="347"/>
      <c r="D951" s="390"/>
    </row>
    <row r="952" spans="1:4" s="376" customFormat="1" ht="13.8">
      <c r="A952" s="347"/>
      <c r="B952" s="348"/>
      <c r="C952" s="347"/>
      <c r="D952" s="390"/>
    </row>
    <row r="953" spans="1:4" s="376" customFormat="1" ht="13.8">
      <c r="A953" s="347"/>
      <c r="B953" s="348"/>
      <c r="C953" s="347"/>
      <c r="D953" s="390"/>
    </row>
    <row r="954" spans="1:4" s="376" customFormat="1" ht="13.8">
      <c r="A954" s="347"/>
      <c r="B954" s="348"/>
      <c r="C954" s="347"/>
      <c r="D954" s="390"/>
    </row>
    <row r="955" spans="1:4" s="376" customFormat="1" ht="13.8">
      <c r="A955" s="347"/>
      <c r="B955" s="348"/>
      <c r="C955" s="347"/>
      <c r="D955" s="390"/>
    </row>
    <row r="956" spans="1:4" s="376" customFormat="1" ht="13.8">
      <c r="A956" s="347"/>
      <c r="B956" s="348"/>
      <c r="C956" s="347"/>
      <c r="D956" s="390"/>
    </row>
    <row r="957" spans="1:4" s="376" customFormat="1" ht="13.8">
      <c r="A957" s="347"/>
      <c r="B957" s="348"/>
      <c r="C957" s="347"/>
      <c r="D957" s="390"/>
    </row>
    <row r="958" spans="1:4" s="376" customFormat="1" ht="13.8">
      <c r="A958" s="347"/>
      <c r="B958" s="348"/>
      <c r="C958" s="347"/>
      <c r="D958" s="390"/>
    </row>
    <row r="959" spans="1:4" s="376" customFormat="1" ht="13.8">
      <c r="A959" s="347"/>
      <c r="B959" s="348"/>
      <c r="C959" s="347"/>
      <c r="D959" s="390"/>
    </row>
    <row r="960" spans="1:4" s="376" customFormat="1" ht="13.8">
      <c r="A960" s="347"/>
      <c r="B960" s="348"/>
      <c r="C960" s="347"/>
      <c r="D960" s="390"/>
    </row>
    <row r="961" spans="1:4" s="376" customFormat="1" ht="13.8">
      <c r="A961" s="347"/>
      <c r="B961" s="348"/>
      <c r="C961" s="347"/>
      <c r="D961" s="390"/>
    </row>
    <row r="962" spans="1:4" s="376" customFormat="1" ht="13.8">
      <c r="A962" s="347"/>
      <c r="B962" s="348"/>
      <c r="C962" s="347"/>
      <c r="D962" s="390"/>
    </row>
    <row r="963" spans="1:4" s="376" customFormat="1" ht="13.8">
      <c r="A963" s="347"/>
      <c r="B963" s="348"/>
      <c r="C963" s="347"/>
      <c r="D963" s="390"/>
    </row>
    <row r="964" spans="1:4" s="376" customFormat="1" ht="13.8">
      <c r="A964" s="347"/>
      <c r="B964" s="348"/>
      <c r="C964" s="347"/>
      <c r="D964" s="390"/>
    </row>
    <row r="965" spans="1:4" s="376" customFormat="1" ht="13.8">
      <c r="A965" s="347"/>
      <c r="B965" s="348"/>
      <c r="C965" s="347"/>
      <c r="D965" s="390"/>
    </row>
    <row r="966" spans="1:4" s="376" customFormat="1" ht="13.8">
      <c r="A966" s="347"/>
      <c r="B966" s="348"/>
      <c r="C966" s="347"/>
      <c r="D966" s="390"/>
    </row>
    <row r="967" spans="1:4" s="376" customFormat="1" ht="13.8">
      <c r="A967" s="347"/>
      <c r="B967" s="348"/>
      <c r="C967" s="347"/>
      <c r="D967" s="390"/>
    </row>
    <row r="968" spans="1:4" s="376" customFormat="1" ht="13.8">
      <c r="A968" s="347"/>
      <c r="B968" s="348"/>
      <c r="C968" s="347"/>
      <c r="D968" s="390"/>
    </row>
    <row r="969" spans="1:4" s="376" customFormat="1" ht="13.8">
      <c r="A969" s="347"/>
      <c r="B969" s="348"/>
      <c r="C969" s="347"/>
      <c r="D969" s="390"/>
    </row>
    <row r="970" spans="1:4" s="376" customFormat="1" ht="13.8">
      <c r="A970" s="347"/>
      <c r="B970" s="348"/>
      <c r="C970" s="347"/>
      <c r="D970" s="390"/>
    </row>
    <row r="971" spans="1:4" s="376" customFormat="1" ht="13.8">
      <c r="A971" s="347"/>
      <c r="B971" s="348"/>
      <c r="C971" s="347"/>
      <c r="D971" s="390"/>
    </row>
    <row r="972" spans="1:4" s="376" customFormat="1" ht="13.8">
      <c r="A972" s="347"/>
      <c r="B972" s="348"/>
      <c r="C972" s="347"/>
      <c r="D972" s="390"/>
    </row>
    <row r="973" spans="1:4" s="376" customFormat="1" ht="13.8">
      <c r="A973" s="347"/>
      <c r="B973" s="348"/>
      <c r="C973" s="347"/>
      <c r="D973" s="390"/>
    </row>
    <row r="974" spans="1:4" s="376" customFormat="1" ht="13.8">
      <c r="A974" s="347"/>
      <c r="B974" s="348"/>
      <c r="C974" s="347"/>
      <c r="D974" s="390"/>
    </row>
    <row r="975" spans="1:4" s="376" customFormat="1" ht="13.8">
      <c r="A975" s="347"/>
      <c r="B975" s="348"/>
      <c r="C975" s="347"/>
      <c r="D975" s="390"/>
    </row>
    <row r="976" spans="1:4" s="376" customFormat="1" ht="13.8">
      <c r="A976" s="347"/>
      <c r="B976" s="348"/>
      <c r="C976" s="347"/>
      <c r="D976" s="390"/>
    </row>
    <row r="977" spans="1:4" s="376" customFormat="1" ht="13.8">
      <c r="A977" s="347"/>
      <c r="B977" s="348"/>
      <c r="C977" s="347"/>
      <c r="D977" s="390"/>
    </row>
    <row r="978" spans="1:4" s="376" customFormat="1" ht="13.8">
      <c r="A978" s="347"/>
      <c r="B978" s="348"/>
      <c r="C978" s="347"/>
      <c r="D978" s="390"/>
    </row>
    <row r="979" spans="1:4" s="376" customFormat="1" ht="13.8">
      <c r="A979" s="347"/>
      <c r="B979" s="348"/>
      <c r="C979" s="347"/>
      <c r="D979" s="390"/>
    </row>
    <row r="980" spans="1:4" s="376" customFormat="1" ht="13.8">
      <c r="A980" s="347"/>
      <c r="B980" s="348"/>
      <c r="C980" s="347"/>
      <c r="D980" s="390"/>
    </row>
    <row r="981" spans="1:4" s="376" customFormat="1" ht="13.8">
      <c r="A981" s="347"/>
      <c r="B981" s="348"/>
      <c r="C981" s="347"/>
      <c r="D981" s="390"/>
    </row>
    <row r="982" spans="1:4" s="376" customFormat="1" ht="13.8">
      <c r="A982" s="347"/>
      <c r="B982" s="348"/>
      <c r="C982" s="347"/>
      <c r="D982" s="390"/>
    </row>
    <row r="983" spans="1:4" s="376" customFormat="1" ht="13.8">
      <c r="A983" s="347"/>
      <c r="B983" s="348"/>
      <c r="C983" s="347"/>
      <c r="D983" s="390"/>
    </row>
    <row r="984" spans="1:4" s="376" customFormat="1" ht="13.8">
      <c r="A984" s="347"/>
      <c r="B984" s="348"/>
      <c r="C984" s="347"/>
      <c r="D984" s="390"/>
    </row>
    <row r="985" spans="1:4" s="376" customFormat="1" ht="13.8">
      <c r="A985" s="347"/>
      <c r="B985" s="348"/>
      <c r="C985" s="347"/>
      <c r="D985" s="390"/>
    </row>
    <row r="986" spans="1:4" s="376" customFormat="1" ht="13.8">
      <c r="A986" s="347"/>
      <c r="B986" s="348"/>
      <c r="C986" s="347"/>
      <c r="D986" s="390"/>
    </row>
    <row r="987" spans="1:4" s="376" customFormat="1" ht="13.8">
      <c r="A987" s="347"/>
      <c r="B987" s="348"/>
      <c r="C987" s="347"/>
      <c r="D987" s="390"/>
    </row>
    <row r="988" spans="1:4" s="376" customFormat="1" ht="13.8">
      <c r="A988" s="347"/>
      <c r="B988" s="348"/>
      <c r="C988" s="347"/>
      <c r="D988" s="390"/>
    </row>
    <row r="989" spans="1:4" s="376" customFormat="1" ht="13.8">
      <c r="A989" s="347"/>
      <c r="B989" s="348"/>
      <c r="C989" s="347"/>
      <c r="D989" s="390"/>
    </row>
    <row r="990" spans="1:4" s="376" customFormat="1" ht="13.8">
      <c r="A990" s="347"/>
      <c r="B990" s="348"/>
      <c r="C990" s="347"/>
      <c r="D990" s="390"/>
    </row>
    <row r="991" spans="1:4" s="376" customFormat="1" ht="13.8">
      <c r="A991" s="347"/>
      <c r="B991" s="348"/>
      <c r="C991" s="347"/>
      <c r="D991" s="390"/>
    </row>
    <row r="992" spans="1:4" s="376" customFormat="1" ht="13.8">
      <c r="A992" s="347"/>
      <c r="B992" s="348"/>
      <c r="C992" s="347"/>
      <c r="D992" s="390"/>
    </row>
    <row r="993" spans="1:4" s="376" customFormat="1" ht="13.8">
      <c r="A993" s="347"/>
      <c r="B993" s="348"/>
      <c r="C993" s="347"/>
      <c r="D993" s="390"/>
    </row>
    <row r="994" spans="1:4" s="376" customFormat="1" ht="13.8">
      <c r="A994" s="347"/>
      <c r="B994" s="348"/>
      <c r="C994" s="347"/>
      <c r="D994" s="390"/>
    </row>
    <row r="995" spans="1:4" s="376" customFormat="1" ht="13.8">
      <c r="A995" s="347"/>
      <c r="B995" s="348"/>
      <c r="C995" s="347"/>
      <c r="D995" s="390"/>
    </row>
    <row r="996" spans="1:4" s="376" customFormat="1" ht="13.8">
      <c r="A996" s="347"/>
      <c r="B996" s="348"/>
      <c r="C996" s="347"/>
      <c r="D996" s="390"/>
    </row>
    <row r="997" spans="1:4" s="376" customFormat="1" ht="13.8">
      <c r="A997" s="347"/>
      <c r="B997" s="348"/>
      <c r="C997" s="347"/>
      <c r="D997" s="390"/>
    </row>
    <row r="998" spans="1:4" s="376" customFormat="1" ht="13.8">
      <c r="A998" s="347"/>
      <c r="B998" s="348"/>
      <c r="C998" s="347"/>
      <c r="D998" s="390"/>
    </row>
    <row r="999" spans="1:4" s="376" customFormat="1" ht="13.8">
      <c r="A999" s="347"/>
      <c r="B999" s="348"/>
      <c r="C999" s="347"/>
      <c r="D999" s="390"/>
    </row>
    <row r="1000" spans="1:4" s="376" customFormat="1" ht="13.8">
      <c r="A1000" s="347"/>
      <c r="B1000" s="348"/>
      <c r="C1000" s="347"/>
      <c r="D1000" s="390"/>
    </row>
    <row r="1001" spans="1:4" s="376" customFormat="1" ht="13.8">
      <c r="A1001" s="347"/>
      <c r="B1001" s="348"/>
      <c r="C1001" s="347"/>
      <c r="D1001" s="390"/>
    </row>
    <row r="1002" spans="1:4" s="376" customFormat="1" ht="13.8">
      <c r="A1002" s="347"/>
      <c r="B1002" s="348"/>
      <c r="C1002" s="347"/>
      <c r="D1002" s="390"/>
    </row>
    <row r="1003" spans="1:4" s="376" customFormat="1" ht="13.8">
      <c r="A1003" s="347"/>
      <c r="B1003" s="348"/>
      <c r="C1003" s="347"/>
      <c r="D1003" s="390"/>
    </row>
    <row r="1004" spans="1:4" s="376" customFormat="1" ht="13.8">
      <c r="A1004" s="347"/>
      <c r="B1004" s="348"/>
      <c r="C1004" s="347"/>
      <c r="D1004" s="390"/>
    </row>
    <row r="1005" spans="1:4" s="376" customFormat="1" ht="13.8">
      <c r="A1005" s="347"/>
      <c r="B1005" s="348"/>
      <c r="C1005" s="347"/>
      <c r="D1005" s="390"/>
    </row>
    <row r="1006" spans="1:4" s="376" customFormat="1" ht="13.8">
      <c r="A1006" s="347"/>
      <c r="B1006" s="348"/>
      <c r="C1006" s="347"/>
      <c r="D1006" s="390"/>
    </row>
    <row r="1007" spans="1:4" s="376" customFormat="1" ht="13.8">
      <c r="A1007" s="347"/>
      <c r="B1007" s="348"/>
      <c r="C1007" s="347"/>
      <c r="D1007" s="390"/>
    </row>
    <row r="1008" spans="1:4" s="376" customFormat="1" ht="13.8">
      <c r="A1008" s="347"/>
      <c r="B1008" s="348"/>
      <c r="C1008" s="347"/>
      <c r="D1008" s="390"/>
    </row>
    <row r="1009" spans="1:4" s="376" customFormat="1" ht="13.8">
      <c r="A1009" s="347"/>
      <c r="B1009" s="348"/>
      <c r="C1009" s="347"/>
      <c r="D1009" s="390"/>
    </row>
    <row r="1010" spans="1:4" s="376" customFormat="1" ht="13.8">
      <c r="A1010" s="347"/>
      <c r="B1010" s="348"/>
      <c r="C1010" s="347"/>
      <c r="D1010" s="390"/>
    </row>
    <row r="1011" spans="1:4" s="376" customFormat="1" ht="13.8">
      <c r="A1011" s="347"/>
      <c r="B1011" s="348"/>
      <c r="C1011" s="347"/>
      <c r="D1011" s="390"/>
    </row>
    <row r="1012" spans="1:4" s="376" customFormat="1" ht="13.8">
      <c r="A1012" s="347"/>
      <c r="B1012" s="348"/>
      <c r="C1012" s="347"/>
      <c r="D1012" s="390"/>
    </row>
    <row r="1013" spans="1:4" s="376" customFormat="1" ht="13.8">
      <c r="A1013" s="347"/>
      <c r="B1013" s="348"/>
      <c r="C1013" s="347"/>
      <c r="D1013" s="390"/>
    </row>
    <row r="1014" spans="1:4" s="376" customFormat="1" ht="13.8">
      <c r="A1014" s="347"/>
      <c r="B1014" s="348"/>
      <c r="C1014" s="347"/>
      <c r="D1014" s="390"/>
    </row>
    <row r="1015" spans="1:4" s="376" customFormat="1" ht="13.8">
      <c r="A1015" s="347"/>
      <c r="B1015" s="348"/>
      <c r="C1015" s="347"/>
      <c r="D1015" s="390"/>
    </row>
    <row r="1016" spans="1:4" s="376" customFormat="1" ht="13.8">
      <c r="A1016" s="347"/>
      <c r="B1016" s="348"/>
      <c r="C1016" s="347"/>
      <c r="D1016" s="390"/>
    </row>
    <row r="1017" spans="1:4" s="376" customFormat="1" ht="13.8">
      <c r="A1017" s="347"/>
      <c r="B1017" s="348"/>
      <c r="C1017" s="347"/>
      <c r="D1017" s="390"/>
    </row>
    <row r="1018" spans="1:4" s="376" customFormat="1" ht="13.8">
      <c r="A1018" s="347"/>
      <c r="B1018" s="348"/>
      <c r="C1018" s="347"/>
      <c r="D1018" s="390"/>
    </row>
    <row r="1019" spans="1:4" s="376" customFormat="1" ht="13.8">
      <c r="A1019" s="347"/>
      <c r="B1019" s="348"/>
      <c r="C1019" s="347"/>
      <c r="D1019" s="390"/>
    </row>
    <row r="1020" spans="1:4" s="376" customFormat="1" ht="13.8">
      <c r="A1020" s="347"/>
      <c r="B1020" s="348"/>
      <c r="C1020" s="347"/>
      <c r="D1020" s="390"/>
    </row>
    <row r="1021" spans="1:4" s="376" customFormat="1" ht="13.8">
      <c r="A1021" s="347"/>
      <c r="B1021" s="348"/>
      <c r="C1021" s="347"/>
      <c r="D1021" s="390"/>
    </row>
    <row r="1022" spans="1:4" s="376" customFormat="1" ht="13.8">
      <c r="A1022" s="347"/>
      <c r="B1022" s="348"/>
      <c r="C1022" s="347"/>
      <c r="D1022" s="390"/>
    </row>
    <row r="1023" spans="1:4" s="376" customFormat="1" ht="13.8">
      <c r="A1023" s="347"/>
      <c r="B1023" s="348"/>
      <c r="C1023" s="347"/>
      <c r="D1023" s="390"/>
    </row>
    <row r="1024" spans="1:4" s="376" customFormat="1" ht="13.8">
      <c r="A1024" s="347"/>
      <c r="B1024" s="348"/>
      <c r="C1024" s="347"/>
      <c r="D1024" s="390"/>
    </row>
    <row r="1025" spans="1:4" s="376" customFormat="1" ht="13.8">
      <c r="A1025" s="347"/>
      <c r="B1025" s="348"/>
      <c r="C1025" s="347"/>
      <c r="D1025" s="390"/>
    </row>
    <row r="1026" spans="1:4" s="376" customFormat="1" ht="13.8">
      <c r="A1026" s="347"/>
      <c r="B1026" s="348"/>
      <c r="C1026" s="347"/>
      <c r="D1026" s="390"/>
    </row>
    <row r="1027" spans="1:4" s="376" customFormat="1" ht="13.8">
      <c r="A1027" s="347"/>
      <c r="B1027" s="348"/>
      <c r="C1027" s="347"/>
      <c r="D1027" s="390"/>
    </row>
    <row r="1028" spans="1:4" s="376" customFormat="1" ht="13.8">
      <c r="A1028" s="347"/>
      <c r="B1028" s="348"/>
      <c r="C1028" s="347"/>
      <c r="D1028" s="390"/>
    </row>
    <row r="1029" spans="1:4" s="376" customFormat="1" ht="13.8">
      <c r="A1029" s="347"/>
      <c r="B1029" s="348"/>
      <c r="C1029" s="347"/>
      <c r="D1029" s="390"/>
    </row>
    <row r="1030" spans="1:4" s="376" customFormat="1" ht="13.8">
      <c r="A1030" s="347"/>
      <c r="B1030" s="348"/>
      <c r="C1030" s="347"/>
      <c r="D1030" s="390"/>
    </row>
    <row r="1031" spans="1:4" s="376" customFormat="1" ht="13.8">
      <c r="A1031" s="347"/>
      <c r="B1031" s="348"/>
      <c r="C1031" s="347"/>
      <c r="D1031" s="390"/>
    </row>
    <row r="1032" spans="1:4" s="376" customFormat="1" ht="13.8">
      <c r="A1032" s="347"/>
      <c r="B1032" s="348"/>
      <c r="C1032" s="347"/>
      <c r="D1032" s="390"/>
    </row>
    <row r="1033" spans="1:4" s="376" customFormat="1" ht="13.8">
      <c r="A1033" s="347"/>
      <c r="B1033" s="348"/>
      <c r="C1033" s="347"/>
      <c r="D1033" s="390"/>
    </row>
    <row r="1034" spans="1:4" s="376" customFormat="1" ht="13.8">
      <c r="A1034" s="347"/>
      <c r="B1034" s="348"/>
      <c r="C1034" s="347"/>
      <c r="D1034" s="390"/>
    </row>
    <row r="1035" spans="1:4" s="376" customFormat="1" ht="13.8">
      <c r="A1035" s="347"/>
      <c r="B1035" s="348"/>
      <c r="C1035" s="347"/>
      <c r="D1035" s="390"/>
    </row>
    <row r="1036" spans="1:4" s="376" customFormat="1" ht="13.8">
      <c r="A1036" s="347"/>
      <c r="B1036" s="348"/>
      <c r="C1036" s="347"/>
      <c r="D1036" s="390"/>
    </row>
    <row r="1037" spans="1:4" s="376" customFormat="1" ht="13.8">
      <c r="A1037" s="347"/>
      <c r="B1037" s="348"/>
      <c r="C1037" s="347"/>
      <c r="D1037" s="390"/>
    </row>
    <row r="1038" spans="1:4" s="376" customFormat="1" ht="13.8">
      <c r="A1038" s="347"/>
      <c r="B1038" s="348"/>
      <c r="C1038" s="347"/>
      <c r="D1038" s="390"/>
    </row>
    <row r="1039" spans="1:4" s="376" customFormat="1" ht="13.8">
      <c r="A1039" s="347"/>
      <c r="B1039" s="348"/>
      <c r="C1039" s="347"/>
      <c r="D1039" s="390"/>
    </row>
    <row r="1040" spans="1:4" s="376" customFormat="1" ht="13.8">
      <c r="A1040" s="347"/>
      <c r="B1040" s="348"/>
      <c r="C1040" s="347"/>
      <c r="D1040" s="390"/>
    </row>
    <row r="1041" spans="1:4" s="376" customFormat="1" ht="13.8">
      <c r="A1041" s="347"/>
      <c r="B1041" s="348"/>
      <c r="C1041" s="347"/>
      <c r="D1041" s="390"/>
    </row>
    <row r="1042" spans="1:4" s="376" customFormat="1" ht="13.8">
      <c r="A1042" s="347"/>
      <c r="B1042" s="348"/>
      <c r="C1042" s="347"/>
      <c r="D1042" s="390"/>
    </row>
    <row r="1043" spans="1:4" s="376" customFormat="1" ht="13.8">
      <c r="A1043" s="347"/>
      <c r="B1043" s="348"/>
      <c r="C1043" s="347"/>
      <c r="D1043" s="390"/>
    </row>
    <row r="1044" spans="1:4" s="376" customFormat="1" ht="13.8">
      <c r="A1044" s="347"/>
      <c r="B1044" s="348"/>
      <c r="C1044" s="347"/>
      <c r="D1044" s="390"/>
    </row>
    <row r="1045" spans="1:4" s="376" customFormat="1" ht="13.8">
      <c r="A1045" s="347"/>
      <c r="B1045" s="348"/>
      <c r="C1045" s="347"/>
      <c r="D1045" s="390"/>
    </row>
    <row r="1046" spans="1:4" s="376" customFormat="1" ht="13.8">
      <c r="A1046" s="347"/>
      <c r="B1046" s="348"/>
      <c r="C1046" s="347"/>
      <c r="D1046" s="390"/>
    </row>
    <row r="1047" spans="1:4" s="376" customFormat="1" ht="13.8">
      <c r="A1047" s="347"/>
      <c r="B1047" s="348"/>
      <c r="C1047" s="347"/>
      <c r="D1047" s="390"/>
    </row>
    <row r="1048" spans="1:4" s="376" customFormat="1" ht="13.8">
      <c r="A1048" s="347"/>
      <c r="B1048" s="348"/>
      <c r="C1048" s="347"/>
      <c r="D1048" s="390"/>
    </row>
    <row r="1049" spans="1:4" s="376" customFormat="1" ht="13.8">
      <c r="A1049" s="347"/>
      <c r="B1049" s="348"/>
      <c r="C1049" s="347"/>
      <c r="D1049" s="390"/>
    </row>
    <row r="1050" spans="1:4" s="376" customFormat="1" ht="13.8">
      <c r="A1050" s="347"/>
      <c r="B1050" s="348"/>
      <c r="C1050" s="347"/>
      <c r="D1050" s="390"/>
    </row>
    <row r="1051" spans="1:4" s="376" customFormat="1" ht="13.8">
      <c r="A1051" s="347"/>
      <c r="B1051" s="348"/>
      <c r="C1051" s="347"/>
      <c r="D1051" s="390"/>
    </row>
    <row r="1052" spans="1:4" s="376" customFormat="1" ht="13.8">
      <c r="A1052" s="347"/>
      <c r="B1052" s="348"/>
      <c r="C1052" s="347"/>
      <c r="D1052" s="390"/>
    </row>
    <row r="1053" spans="1:4" s="376" customFormat="1" ht="13.8">
      <c r="A1053" s="347"/>
      <c r="B1053" s="348"/>
      <c r="C1053" s="347"/>
      <c r="D1053" s="390"/>
    </row>
    <row r="1054" spans="1:4" s="376" customFormat="1" ht="13.8">
      <c r="A1054" s="347"/>
      <c r="B1054" s="348"/>
      <c r="C1054" s="347"/>
      <c r="D1054" s="390"/>
    </row>
    <row r="1055" spans="1:4" s="376" customFormat="1" ht="13.8">
      <c r="A1055" s="347"/>
      <c r="B1055" s="348"/>
      <c r="C1055" s="347"/>
      <c r="D1055" s="390"/>
    </row>
    <row r="1056" spans="1:4" s="376" customFormat="1" ht="13.8">
      <c r="A1056" s="347"/>
      <c r="B1056" s="348"/>
      <c r="C1056" s="347"/>
      <c r="D1056" s="390"/>
    </row>
    <row r="1057" spans="1:4" s="376" customFormat="1" ht="13.8">
      <c r="A1057" s="347"/>
      <c r="B1057" s="348"/>
      <c r="C1057" s="347"/>
      <c r="D1057" s="390"/>
    </row>
    <row r="1058" spans="1:4" s="376" customFormat="1" ht="13.8">
      <c r="A1058" s="347"/>
      <c r="B1058" s="348"/>
      <c r="C1058" s="347"/>
      <c r="D1058" s="390"/>
    </row>
    <row r="1059" spans="1:4" s="376" customFormat="1" ht="13.8">
      <c r="A1059" s="347"/>
      <c r="B1059" s="348"/>
      <c r="C1059" s="347"/>
      <c r="D1059" s="390"/>
    </row>
    <row r="1060" spans="1:4" s="376" customFormat="1" ht="13.8">
      <c r="A1060" s="347"/>
      <c r="B1060" s="348"/>
      <c r="C1060" s="347"/>
      <c r="D1060" s="390"/>
    </row>
    <row r="1061" spans="1:4" s="376" customFormat="1" ht="13.8">
      <c r="A1061" s="347"/>
      <c r="B1061" s="348"/>
      <c r="C1061" s="347"/>
      <c r="D1061" s="390"/>
    </row>
    <row r="1062" spans="1:4" s="376" customFormat="1" ht="13.8">
      <c r="A1062" s="347"/>
      <c r="B1062" s="348"/>
      <c r="C1062" s="347"/>
      <c r="D1062" s="390"/>
    </row>
    <row r="1063" spans="1:4" s="376" customFormat="1" ht="13.8">
      <c r="A1063" s="347"/>
      <c r="B1063" s="348"/>
      <c r="C1063" s="347"/>
      <c r="D1063" s="390"/>
    </row>
    <row r="1064" spans="1:4" s="376" customFormat="1" ht="13.8">
      <c r="A1064" s="347"/>
      <c r="B1064" s="348"/>
      <c r="C1064" s="347"/>
      <c r="D1064" s="390"/>
    </row>
    <row r="1065" spans="1:4" s="376" customFormat="1" ht="13.8">
      <c r="A1065" s="347"/>
      <c r="B1065" s="348"/>
      <c r="C1065" s="347"/>
      <c r="D1065" s="390"/>
    </row>
    <row r="1066" spans="1:4" s="376" customFormat="1" ht="13.8">
      <c r="A1066" s="347"/>
      <c r="B1066" s="348"/>
      <c r="C1066" s="347"/>
      <c r="D1066" s="390"/>
    </row>
    <row r="1067" spans="1:4" s="376" customFormat="1" ht="13.8">
      <c r="A1067" s="347"/>
      <c r="B1067" s="348"/>
      <c r="C1067" s="347"/>
      <c r="D1067" s="390"/>
    </row>
    <row r="1068" spans="1:4" s="376" customFormat="1" ht="13.8">
      <c r="A1068" s="347"/>
      <c r="B1068" s="348"/>
      <c r="C1068" s="347"/>
      <c r="D1068" s="390"/>
    </row>
    <row r="1069" spans="1:4" s="376" customFormat="1" ht="13.8">
      <c r="A1069" s="347"/>
      <c r="B1069" s="348"/>
      <c r="C1069" s="347"/>
      <c r="D1069" s="390"/>
    </row>
    <row r="1070" spans="1:4" s="376" customFormat="1" ht="13.8">
      <c r="A1070" s="347"/>
      <c r="B1070" s="348"/>
      <c r="C1070" s="347"/>
      <c r="D1070" s="390"/>
    </row>
    <row r="1071" spans="1:4" s="376" customFormat="1" ht="13.5" customHeight="1">
      <c r="A1071" s="347"/>
      <c r="B1071" s="348"/>
      <c r="C1071" s="347"/>
      <c r="D1071" s="390"/>
    </row>
    <row r="1072" spans="1:4" s="376" customFormat="1" ht="13.8">
      <c r="A1072" s="347"/>
      <c r="B1072" s="348"/>
      <c r="C1072" s="347"/>
      <c r="D1072" s="390"/>
    </row>
    <row r="1073" spans="1:4" s="376" customFormat="1" ht="13.8">
      <c r="A1073" s="347"/>
      <c r="B1073" s="348"/>
      <c r="C1073" s="347"/>
      <c r="D1073" s="390"/>
    </row>
    <row r="1074" spans="1:4" s="376" customFormat="1" ht="13.8">
      <c r="A1074" s="347"/>
      <c r="B1074" s="348"/>
      <c r="C1074" s="347"/>
      <c r="D1074" s="390"/>
    </row>
    <row r="1075" spans="1:4" s="376" customFormat="1" ht="13.8">
      <c r="A1075" s="347"/>
      <c r="B1075" s="348"/>
      <c r="C1075" s="347"/>
      <c r="D1075" s="390"/>
    </row>
    <row r="1076" spans="1:4" s="376" customFormat="1" ht="13.8">
      <c r="A1076" s="347"/>
      <c r="B1076" s="348"/>
      <c r="C1076" s="347"/>
      <c r="D1076" s="390"/>
    </row>
    <row r="1077" spans="1:4" s="376" customFormat="1" ht="13.8">
      <c r="A1077" s="347"/>
      <c r="B1077" s="348"/>
      <c r="C1077" s="347"/>
      <c r="D1077" s="390"/>
    </row>
    <row r="1078" spans="1:4" s="376" customFormat="1" ht="13.8">
      <c r="A1078" s="347"/>
      <c r="B1078" s="348"/>
      <c r="C1078" s="347"/>
      <c r="D1078" s="390"/>
    </row>
    <row r="1079" spans="1:4" s="376" customFormat="1" ht="13.8">
      <c r="A1079" s="347"/>
      <c r="B1079" s="348"/>
      <c r="C1079" s="347"/>
      <c r="D1079" s="390"/>
    </row>
    <row r="1080" spans="1:4" s="376" customFormat="1" ht="13.8">
      <c r="A1080" s="347"/>
      <c r="B1080" s="348"/>
      <c r="C1080" s="347"/>
      <c r="D1080" s="390"/>
    </row>
    <row r="1081" spans="1:4" s="376" customFormat="1" ht="13.8">
      <c r="A1081" s="347"/>
      <c r="B1081" s="348"/>
      <c r="C1081" s="347"/>
      <c r="D1081" s="390"/>
    </row>
    <row r="1082" spans="1:4" s="376" customFormat="1" ht="13.8">
      <c r="A1082" s="347"/>
      <c r="B1082" s="348"/>
      <c r="C1082" s="347"/>
      <c r="D1082" s="390"/>
    </row>
    <row r="1083" spans="1:4" s="376" customFormat="1" ht="13.8">
      <c r="A1083" s="347"/>
      <c r="B1083" s="348"/>
      <c r="C1083" s="347"/>
      <c r="D1083" s="390"/>
    </row>
    <row r="1084" spans="1:4" s="376" customFormat="1" ht="13.8">
      <c r="A1084" s="347"/>
      <c r="B1084" s="348"/>
      <c r="C1084" s="347"/>
      <c r="D1084" s="390"/>
    </row>
    <row r="1085" spans="1:4" s="376" customFormat="1" ht="13.8">
      <c r="A1085" s="347"/>
      <c r="B1085" s="348"/>
      <c r="C1085" s="347"/>
      <c r="D1085" s="390"/>
    </row>
    <row r="1086" spans="1:4" s="376" customFormat="1" ht="13.8">
      <c r="A1086" s="347"/>
      <c r="B1086" s="348"/>
      <c r="C1086" s="347"/>
      <c r="D1086" s="390"/>
    </row>
    <row r="1087" spans="1:4" s="376" customFormat="1" ht="13.8">
      <c r="A1087" s="347"/>
      <c r="B1087" s="348"/>
      <c r="C1087" s="347"/>
      <c r="D1087" s="390"/>
    </row>
    <row r="1088" spans="1:4" s="376" customFormat="1" ht="13.8">
      <c r="A1088" s="347"/>
      <c r="B1088" s="348"/>
      <c r="C1088" s="347"/>
      <c r="D1088" s="390"/>
    </row>
    <row r="1089" spans="1:4" s="376" customFormat="1" ht="13.8">
      <c r="A1089" s="347"/>
      <c r="B1089" s="348"/>
      <c r="C1089" s="347"/>
      <c r="D1089" s="390"/>
    </row>
    <row r="1090" spans="1:4" s="376" customFormat="1" ht="13.8">
      <c r="A1090" s="347"/>
      <c r="B1090" s="348"/>
      <c r="C1090" s="347"/>
      <c r="D1090" s="390"/>
    </row>
    <row r="1091" spans="1:4" s="376" customFormat="1" ht="13.8">
      <c r="A1091" s="347"/>
      <c r="B1091" s="348"/>
      <c r="C1091" s="347"/>
      <c r="D1091" s="390"/>
    </row>
    <row r="1092" spans="1:4" s="376" customFormat="1" ht="13.8">
      <c r="A1092" s="347"/>
      <c r="B1092" s="348"/>
      <c r="C1092" s="347"/>
      <c r="D1092" s="390"/>
    </row>
    <row r="1093" spans="1:4" s="376" customFormat="1" ht="13.8">
      <c r="A1093" s="347"/>
      <c r="B1093" s="348"/>
      <c r="C1093" s="347"/>
      <c r="D1093" s="390"/>
    </row>
    <row r="1094" spans="1:4" s="376" customFormat="1" ht="13.8">
      <c r="A1094" s="347"/>
      <c r="B1094" s="348"/>
      <c r="C1094" s="347"/>
      <c r="D1094" s="390"/>
    </row>
    <row r="1095" spans="1:4" s="376" customFormat="1" ht="13.8">
      <c r="A1095" s="347"/>
      <c r="B1095" s="348"/>
      <c r="C1095" s="347"/>
      <c r="D1095" s="390"/>
    </row>
    <row r="1096" spans="1:4" s="376" customFormat="1" ht="13.8">
      <c r="A1096" s="347"/>
      <c r="B1096" s="348"/>
      <c r="C1096" s="347"/>
      <c r="D1096" s="390"/>
    </row>
    <row r="1097" spans="1:4" s="376" customFormat="1" ht="13.8">
      <c r="A1097" s="347"/>
      <c r="B1097" s="348"/>
      <c r="C1097" s="347"/>
      <c r="D1097" s="390"/>
    </row>
    <row r="1098" spans="1:4" s="376" customFormat="1" ht="13.8">
      <c r="A1098" s="347"/>
      <c r="B1098" s="348"/>
      <c r="C1098" s="347"/>
      <c r="D1098" s="390"/>
    </row>
    <row r="1099" spans="1:4" s="376" customFormat="1" ht="13.8">
      <c r="A1099" s="347"/>
      <c r="B1099" s="348"/>
      <c r="C1099" s="347"/>
      <c r="D1099" s="390"/>
    </row>
    <row r="1100" spans="1:4" s="376" customFormat="1" ht="13.8">
      <c r="A1100" s="347"/>
      <c r="B1100" s="348"/>
      <c r="C1100" s="347"/>
      <c r="D1100" s="390"/>
    </row>
    <row r="1101" spans="1:4" s="376" customFormat="1" ht="13.8">
      <c r="A1101" s="347"/>
      <c r="B1101" s="348"/>
      <c r="C1101" s="347"/>
      <c r="D1101" s="390"/>
    </row>
    <row r="1102" spans="1:4" s="376" customFormat="1" ht="13.8">
      <c r="A1102" s="347"/>
      <c r="B1102" s="348"/>
      <c r="C1102" s="347"/>
      <c r="D1102" s="390"/>
    </row>
    <row r="1103" spans="1:4" s="376" customFormat="1" ht="13.8">
      <c r="A1103" s="347"/>
      <c r="B1103" s="348"/>
      <c r="C1103" s="347"/>
      <c r="D1103" s="390"/>
    </row>
    <row r="1104" spans="1:4" s="376" customFormat="1" ht="13.8">
      <c r="A1104" s="347"/>
      <c r="B1104" s="348"/>
      <c r="C1104" s="347"/>
      <c r="D1104" s="390"/>
    </row>
    <row r="1105" spans="1:4" s="376" customFormat="1" ht="13.8">
      <c r="A1105" s="347"/>
      <c r="B1105" s="348"/>
      <c r="C1105" s="347"/>
      <c r="D1105" s="390"/>
    </row>
    <row r="1106" spans="1:4" s="376" customFormat="1" ht="13.8">
      <c r="A1106" s="347"/>
      <c r="B1106" s="348"/>
      <c r="C1106" s="347"/>
      <c r="D1106" s="390"/>
    </row>
    <row r="1107" spans="1:4" s="376" customFormat="1" ht="13.8">
      <c r="A1107" s="347"/>
      <c r="B1107" s="348"/>
      <c r="C1107" s="347"/>
      <c r="D1107" s="390"/>
    </row>
    <row r="1108" spans="1:4" s="376" customFormat="1" ht="13.8">
      <c r="A1108" s="347"/>
      <c r="B1108" s="348"/>
      <c r="C1108" s="347"/>
      <c r="D1108" s="390"/>
    </row>
    <row r="1109" spans="1:4" s="376" customFormat="1" ht="13.8">
      <c r="A1109" s="347"/>
      <c r="B1109" s="348"/>
      <c r="C1109" s="347"/>
      <c r="D1109" s="390"/>
    </row>
    <row r="1110" spans="1:4" s="376" customFormat="1" ht="13.8">
      <c r="A1110" s="347"/>
      <c r="B1110" s="348"/>
      <c r="C1110" s="347"/>
      <c r="D1110" s="390"/>
    </row>
    <row r="1111" spans="1:4" s="376" customFormat="1" ht="13.8">
      <c r="A1111" s="347"/>
      <c r="B1111" s="348"/>
      <c r="C1111" s="347"/>
      <c r="D1111" s="390"/>
    </row>
    <row r="1112" spans="1:4" s="376" customFormat="1" ht="13.8">
      <c r="A1112" s="347"/>
      <c r="B1112" s="348"/>
      <c r="C1112" s="347"/>
      <c r="D1112" s="390"/>
    </row>
    <row r="1113" spans="1:4" s="376" customFormat="1" ht="13.8">
      <c r="A1113" s="347"/>
      <c r="B1113" s="348"/>
      <c r="C1113" s="347"/>
      <c r="D1113" s="390"/>
    </row>
    <row r="1114" spans="1:4" s="376" customFormat="1" ht="13.8">
      <c r="A1114" s="347"/>
      <c r="B1114" s="348"/>
      <c r="C1114" s="347"/>
      <c r="D1114" s="390"/>
    </row>
    <row r="1115" spans="1:4" s="376" customFormat="1" ht="13.8">
      <c r="A1115" s="347"/>
      <c r="B1115" s="348"/>
      <c r="C1115" s="347"/>
      <c r="D1115" s="390"/>
    </row>
    <row r="1116" spans="1:4" s="376" customFormat="1" ht="13.8">
      <c r="A1116" s="347"/>
      <c r="B1116" s="348"/>
      <c r="C1116" s="347"/>
      <c r="D1116" s="390"/>
    </row>
    <row r="1117" spans="1:4" s="376" customFormat="1" ht="13.8">
      <c r="A1117" s="347"/>
      <c r="B1117" s="348"/>
      <c r="C1117" s="347"/>
      <c r="D1117" s="390"/>
    </row>
    <row r="1118" spans="1:4" s="376" customFormat="1" ht="13.8">
      <c r="A1118" s="347"/>
      <c r="B1118" s="348"/>
      <c r="C1118" s="347"/>
      <c r="D1118" s="390"/>
    </row>
    <row r="1119" spans="1:4" s="376" customFormat="1" ht="13.8">
      <c r="A1119" s="347"/>
      <c r="B1119" s="348"/>
      <c r="C1119" s="347"/>
      <c r="D1119" s="390"/>
    </row>
    <row r="1120" spans="1:4" s="376" customFormat="1" ht="13.8">
      <c r="A1120" s="347"/>
      <c r="B1120" s="348"/>
      <c r="C1120" s="347"/>
      <c r="D1120" s="390"/>
    </row>
    <row r="1121" spans="1:4" s="376" customFormat="1" ht="13.8">
      <c r="A1121" s="347"/>
      <c r="B1121" s="348"/>
      <c r="C1121" s="347"/>
      <c r="D1121" s="390"/>
    </row>
    <row r="1122" spans="1:4" s="376" customFormat="1" ht="13.8">
      <c r="A1122" s="347"/>
      <c r="B1122" s="348"/>
      <c r="C1122" s="347"/>
      <c r="D1122" s="390"/>
    </row>
    <row r="1123" spans="1:4" s="376" customFormat="1" ht="13.8">
      <c r="A1123" s="347"/>
      <c r="B1123" s="348"/>
      <c r="C1123" s="347"/>
      <c r="D1123" s="390"/>
    </row>
    <row r="1124" spans="1:4" s="376" customFormat="1" ht="13.8">
      <c r="A1124" s="347"/>
      <c r="B1124" s="348"/>
      <c r="C1124" s="347"/>
      <c r="D1124" s="390"/>
    </row>
    <row r="1125" spans="1:4" s="376" customFormat="1" ht="13.8">
      <c r="A1125" s="347"/>
      <c r="B1125" s="348"/>
      <c r="C1125" s="347"/>
      <c r="D1125" s="390"/>
    </row>
    <row r="1126" spans="1:4" s="376" customFormat="1" ht="13.8">
      <c r="A1126" s="347"/>
      <c r="B1126" s="348"/>
      <c r="C1126" s="347"/>
      <c r="D1126" s="390"/>
    </row>
    <row r="1127" spans="1:4" s="376" customFormat="1" ht="13.8">
      <c r="A1127" s="347"/>
      <c r="B1127" s="348"/>
      <c r="C1127" s="347"/>
      <c r="D1127" s="390"/>
    </row>
    <row r="1128" spans="1:4" s="376" customFormat="1" ht="13.8">
      <c r="A1128" s="347"/>
      <c r="B1128" s="348"/>
      <c r="C1128" s="347"/>
      <c r="D1128" s="390"/>
    </row>
    <row r="1129" spans="1:4" s="376" customFormat="1" ht="13.8">
      <c r="A1129" s="347"/>
      <c r="B1129" s="348"/>
      <c r="C1129" s="347"/>
      <c r="D1129" s="390"/>
    </row>
    <row r="1130" spans="1:4" s="376" customFormat="1" ht="13.8">
      <c r="A1130" s="347"/>
      <c r="B1130" s="348"/>
      <c r="C1130" s="347"/>
      <c r="D1130" s="390"/>
    </row>
    <row r="1131" spans="1:4" s="376" customFormat="1" ht="13.8">
      <c r="A1131" s="347"/>
      <c r="B1131" s="348"/>
      <c r="C1131" s="347"/>
      <c r="D1131" s="390"/>
    </row>
    <row r="1132" spans="1:4" s="376" customFormat="1" ht="13.8">
      <c r="A1132" s="347"/>
      <c r="B1132" s="348"/>
      <c r="C1132" s="347"/>
      <c r="D1132" s="390"/>
    </row>
    <row r="1133" spans="1:4" s="376" customFormat="1" ht="13.8">
      <c r="A1133" s="347"/>
      <c r="B1133" s="348"/>
      <c r="C1133" s="347"/>
      <c r="D1133" s="390"/>
    </row>
    <row r="1134" spans="1:4" s="376" customFormat="1" ht="13.8">
      <c r="A1134" s="347"/>
      <c r="B1134" s="348"/>
      <c r="C1134" s="347"/>
      <c r="D1134" s="390"/>
    </row>
    <row r="1135" spans="1:4" s="376" customFormat="1" ht="13.8">
      <c r="A1135" s="347"/>
      <c r="B1135" s="348"/>
      <c r="C1135" s="347"/>
      <c r="D1135" s="390"/>
    </row>
    <row r="1136" spans="1:4" s="376" customFormat="1" ht="13.8">
      <c r="A1136" s="347"/>
      <c r="B1136" s="348"/>
      <c r="C1136" s="347"/>
      <c r="D1136" s="390"/>
    </row>
    <row r="1137" spans="1:4" s="376" customFormat="1" ht="13.8">
      <c r="A1137" s="347"/>
      <c r="B1137" s="348"/>
      <c r="C1137" s="347"/>
      <c r="D1137" s="390"/>
    </row>
    <row r="1138" spans="1:4" s="376" customFormat="1" ht="13.8">
      <c r="A1138" s="347"/>
      <c r="B1138" s="348"/>
      <c r="C1138" s="347"/>
      <c r="D1138" s="390"/>
    </row>
    <row r="1139" spans="1:4" s="376" customFormat="1" ht="13.8">
      <c r="A1139" s="347"/>
      <c r="B1139" s="348"/>
      <c r="C1139" s="347"/>
      <c r="D1139" s="390"/>
    </row>
    <row r="1140" spans="1:4" s="376" customFormat="1" ht="13.8">
      <c r="A1140" s="347"/>
      <c r="B1140" s="348"/>
      <c r="C1140" s="347"/>
      <c r="D1140" s="390"/>
    </row>
    <row r="1141" spans="1:4" s="376" customFormat="1" ht="13.8">
      <c r="A1141" s="347"/>
      <c r="B1141" s="348"/>
      <c r="C1141" s="347"/>
      <c r="D1141" s="390"/>
    </row>
    <row r="1142" spans="1:4" s="376" customFormat="1" ht="13.8">
      <c r="A1142" s="347"/>
      <c r="B1142" s="348"/>
      <c r="C1142" s="347"/>
      <c r="D1142" s="390"/>
    </row>
    <row r="1143" spans="1:4" s="376" customFormat="1" ht="13.8">
      <c r="A1143" s="347"/>
      <c r="B1143" s="348"/>
      <c r="C1143" s="347"/>
      <c r="D1143" s="390"/>
    </row>
    <row r="1144" spans="1:4" s="376" customFormat="1" ht="13.8">
      <c r="A1144" s="347"/>
      <c r="B1144" s="348"/>
      <c r="C1144" s="347"/>
      <c r="D1144" s="390"/>
    </row>
    <row r="1145" spans="1:4" s="376" customFormat="1" ht="13.8">
      <c r="A1145" s="347"/>
      <c r="B1145" s="348"/>
      <c r="C1145" s="347"/>
      <c r="D1145" s="390"/>
    </row>
    <row r="1146" spans="1:4" s="376" customFormat="1" ht="13.8">
      <c r="A1146" s="347"/>
      <c r="B1146" s="348"/>
      <c r="C1146" s="347"/>
      <c r="D1146" s="390"/>
    </row>
    <row r="1147" spans="1:4" s="376" customFormat="1" ht="13.8">
      <c r="A1147" s="347"/>
      <c r="B1147" s="348"/>
      <c r="C1147" s="347"/>
      <c r="D1147" s="390"/>
    </row>
    <row r="1148" spans="1:4" s="376" customFormat="1" ht="13.8">
      <c r="A1148" s="347"/>
      <c r="B1148" s="348"/>
      <c r="C1148" s="347"/>
      <c r="D1148" s="390"/>
    </row>
    <row r="1149" spans="1:4" s="376" customFormat="1" ht="13.8">
      <c r="A1149" s="347"/>
      <c r="B1149" s="348"/>
      <c r="C1149" s="347"/>
      <c r="D1149" s="390"/>
    </row>
    <row r="1150" spans="1:4" s="376" customFormat="1" ht="13.8">
      <c r="A1150" s="347"/>
      <c r="B1150" s="348"/>
      <c r="C1150" s="347"/>
      <c r="D1150" s="390"/>
    </row>
    <row r="1151" spans="1:4" s="376" customFormat="1" ht="13.8">
      <c r="A1151" s="347"/>
      <c r="B1151" s="348"/>
      <c r="C1151" s="347"/>
      <c r="D1151" s="390"/>
    </row>
    <row r="1152" spans="1:4" s="376" customFormat="1" ht="13.8">
      <c r="A1152" s="347"/>
      <c r="B1152" s="348"/>
      <c r="C1152" s="347"/>
      <c r="D1152" s="390"/>
    </row>
    <row r="1153" spans="1:4" s="376" customFormat="1" ht="13.8">
      <c r="A1153" s="347"/>
      <c r="B1153" s="348"/>
      <c r="C1153" s="347"/>
      <c r="D1153" s="390"/>
    </row>
    <row r="1154" spans="1:4" s="376" customFormat="1" ht="13.8">
      <c r="A1154" s="347"/>
      <c r="B1154" s="348"/>
      <c r="C1154" s="347"/>
      <c r="D1154" s="390"/>
    </row>
    <row r="1155" spans="1:4" s="376" customFormat="1" ht="13.8">
      <c r="A1155" s="347"/>
      <c r="B1155" s="348"/>
      <c r="C1155" s="347"/>
      <c r="D1155" s="390"/>
    </row>
    <row r="1156" spans="1:4" s="376" customFormat="1" ht="13.8">
      <c r="A1156" s="347"/>
      <c r="B1156" s="348"/>
      <c r="C1156" s="347"/>
      <c r="D1156" s="390"/>
    </row>
    <row r="1157" spans="1:4" s="376" customFormat="1" ht="13.8">
      <c r="A1157" s="347"/>
      <c r="B1157" s="348"/>
      <c r="C1157" s="347"/>
      <c r="D1157" s="390"/>
    </row>
    <row r="1158" spans="1:4" s="376" customFormat="1" ht="13.8">
      <c r="A1158" s="347"/>
      <c r="B1158" s="348"/>
      <c r="C1158" s="347"/>
      <c r="D1158" s="390"/>
    </row>
    <row r="1159" spans="1:4" s="376" customFormat="1" ht="13.8">
      <c r="A1159" s="347"/>
      <c r="B1159" s="348"/>
      <c r="C1159" s="347"/>
      <c r="D1159" s="390"/>
    </row>
    <row r="1160" spans="1:4" s="376" customFormat="1" ht="13.8">
      <c r="A1160" s="347"/>
      <c r="B1160" s="348"/>
      <c r="C1160" s="347"/>
      <c r="D1160" s="390"/>
    </row>
    <row r="1161" spans="1:4" s="376" customFormat="1" ht="13.8">
      <c r="A1161" s="347"/>
      <c r="B1161" s="348"/>
      <c r="C1161" s="347"/>
      <c r="D1161" s="390"/>
    </row>
    <row r="1162" spans="1:4" s="376" customFormat="1" ht="13.8">
      <c r="A1162" s="347"/>
      <c r="B1162" s="348"/>
      <c r="C1162" s="347"/>
      <c r="D1162" s="390"/>
    </row>
    <row r="1163" spans="1:4" s="376" customFormat="1" ht="13.8">
      <c r="A1163" s="347"/>
      <c r="B1163" s="348"/>
      <c r="C1163" s="347"/>
      <c r="D1163" s="390"/>
    </row>
    <row r="1164" spans="1:4" s="376" customFormat="1" ht="13.8">
      <c r="A1164" s="347"/>
      <c r="B1164" s="348"/>
      <c r="C1164" s="347"/>
      <c r="D1164" s="390"/>
    </row>
    <row r="1165" spans="1:4" s="376" customFormat="1" ht="13.8">
      <c r="A1165" s="347"/>
      <c r="B1165" s="348"/>
      <c r="C1165" s="347"/>
      <c r="D1165" s="390"/>
    </row>
    <row r="1166" spans="1:4" s="376" customFormat="1" ht="13.8">
      <c r="A1166" s="347"/>
      <c r="B1166" s="348"/>
      <c r="C1166" s="347"/>
      <c r="D1166" s="390"/>
    </row>
    <row r="1167" spans="1:4" s="376" customFormat="1" ht="13.8">
      <c r="A1167" s="347"/>
      <c r="B1167" s="348"/>
      <c r="C1167" s="347"/>
      <c r="D1167" s="390"/>
    </row>
    <row r="1168" spans="1:4" s="376" customFormat="1" ht="13.8">
      <c r="A1168" s="347"/>
      <c r="B1168" s="348"/>
      <c r="C1168" s="347"/>
      <c r="D1168" s="390"/>
    </row>
    <row r="1169" spans="1:4" s="376" customFormat="1" ht="13.8">
      <c r="A1169" s="347"/>
      <c r="B1169" s="348"/>
      <c r="C1169" s="347"/>
      <c r="D1169" s="390"/>
    </row>
    <row r="1170" spans="1:4" s="376" customFormat="1" ht="13.8">
      <c r="A1170" s="347"/>
      <c r="B1170" s="348"/>
      <c r="C1170" s="347"/>
      <c r="D1170" s="390"/>
    </row>
    <row r="1171" spans="1:4" s="376" customFormat="1" ht="13.8">
      <c r="A1171" s="347"/>
      <c r="B1171" s="348"/>
      <c r="C1171" s="347"/>
      <c r="D1171" s="390"/>
    </row>
    <row r="1172" spans="1:4" s="376" customFormat="1" ht="13.8">
      <c r="A1172" s="347"/>
      <c r="B1172" s="348"/>
      <c r="C1172" s="347"/>
      <c r="D1172" s="390"/>
    </row>
    <row r="1173" spans="1:4" s="376" customFormat="1" ht="13.8">
      <c r="A1173" s="347"/>
      <c r="B1173" s="348"/>
      <c r="C1173" s="347"/>
      <c r="D1173" s="390"/>
    </row>
    <row r="1174" spans="1:4" s="376" customFormat="1" ht="13.8">
      <c r="A1174" s="347"/>
      <c r="B1174" s="348"/>
      <c r="C1174" s="347"/>
      <c r="D1174" s="390"/>
    </row>
    <row r="1175" spans="1:4" s="376" customFormat="1" ht="13.8">
      <c r="A1175" s="347"/>
      <c r="B1175" s="348"/>
      <c r="C1175" s="347"/>
      <c r="D1175" s="390"/>
    </row>
    <row r="1176" spans="1:4" s="376" customFormat="1" ht="13.8">
      <c r="A1176" s="347"/>
      <c r="B1176" s="348"/>
      <c r="C1176" s="347"/>
      <c r="D1176" s="390"/>
    </row>
    <row r="1177" spans="1:4" s="376" customFormat="1" ht="13.8">
      <c r="A1177" s="347"/>
      <c r="B1177" s="348"/>
      <c r="C1177" s="347"/>
      <c r="D1177" s="390"/>
    </row>
    <row r="1178" spans="1:4" s="376" customFormat="1" ht="13.8">
      <c r="A1178" s="347"/>
      <c r="B1178" s="348"/>
      <c r="C1178" s="347"/>
      <c r="D1178" s="390"/>
    </row>
    <row r="1179" spans="1:4" s="376" customFormat="1" ht="13.8">
      <c r="A1179" s="347"/>
      <c r="B1179" s="348"/>
      <c r="C1179" s="347"/>
      <c r="D1179" s="390"/>
    </row>
    <row r="1180" spans="1:4" s="376" customFormat="1" ht="13.8">
      <c r="A1180" s="347"/>
      <c r="B1180" s="348"/>
      <c r="C1180" s="347"/>
      <c r="D1180" s="390"/>
    </row>
    <row r="1181" spans="1:4" s="376" customFormat="1" ht="13.8">
      <c r="A1181" s="347"/>
      <c r="B1181" s="348"/>
      <c r="C1181" s="347"/>
      <c r="D1181" s="390"/>
    </row>
    <row r="1182" spans="1:4" s="376" customFormat="1" ht="13.8">
      <c r="A1182" s="347"/>
      <c r="B1182" s="348"/>
      <c r="C1182" s="347"/>
      <c r="D1182" s="390"/>
    </row>
    <row r="1183" spans="1:4" s="376" customFormat="1" ht="13.8">
      <c r="A1183" s="347"/>
      <c r="B1183" s="348"/>
      <c r="C1183" s="347"/>
      <c r="D1183" s="390"/>
    </row>
    <row r="1184" spans="1:4" s="376" customFormat="1" ht="13.8">
      <c r="A1184" s="347"/>
      <c r="B1184" s="348"/>
      <c r="C1184" s="347"/>
      <c r="D1184" s="390"/>
    </row>
    <row r="1185" spans="1:4" s="376" customFormat="1" ht="13.8">
      <c r="A1185" s="347"/>
      <c r="B1185" s="348"/>
      <c r="C1185" s="347"/>
      <c r="D1185" s="390"/>
    </row>
    <row r="1186" spans="1:4" s="376" customFormat="1" ht="13.8">
      <c r="A1186" s="347"/>
      <c r="B1186" s="348"/>
      <c r="C1186" s="347"/>
      <c r="D1186" s="390"/>
    </row>
    <row r="1187" spans="1:4" s="376" customFormat="1" ht="13.8">
      <c r="A1187" s="347"/>
      <c r="B1187" s="348"/>
      <c r="C1187" s="347"/>
      <c r="D1187" s="390"/>
    </row>
    <row r="1188" spans="1:4" s="376" customFormat="1" ht="13.8">
      <c r="A1188" s="347"/>
      <c r="B1188" s="348"/>
      <c r="C1188" s="347"/>
      <c r="D1188" s="390"/>
    </row>
    <row r="1189" spans="1:4" s="376" customFormat="1" ht="13.8">
      <c r="A1189" s="347"/>
      <c r="B1189" s="348"/>
      <c r="C1189" s="347"/>
      <c r="D1189" s="390"/>
    </row>
    <row r="1190" spans="1:4" s="376" customFormat="1" ht="13.8">
      <c r="A1190" s="347"/>
      <c r="B1190" s="348"/>
      <c r="C1190" s="347"/>
      <c r="D1190" s="390"/>
    </row>
    <row r="1191" spans="1:4" s="376" customFormat="1" ht="13.8">
      <c r="A1191" s="347"/>
      <c r="B1191" s="348"/>
      <c r="C1191" s="347"/>
      <c r="D1191" s="390"/>
    </row>
    <row r="1192" spans="1:4" s="376" customFormat="1" ht="13.8">
      <c r="A1192" s="347"/>
      <c r="B1192" s="348"/>
      <c r="C1192" s="347"/>
      <c r="D1192" s="390"/>
    </row>
    <row r="1193" spans="1:4" s="376" customFormat="1" ht="13.8">
      <c r="A1193" s="347"/>
      <c r="B1193" s="348"/>
      <c r="C1193" s="347"/>
      <c r="D1193" s="390"/>
    </row>
    <row r="1194" spans="1:4" s="376" customFormat="1" ht="13.8">
      <c r="A1194" s="347"/>
      <c r="B1194" s="348"/>
      <c r="C1194" s="347"/>
      <c r="D1194" s="390"/>
    </row>
    <row r="1195" spans="1:4" s="376" customFormat="1" ht="13.8">
      <c r="A1195" s="347"/>
      <c r="B1195" s="348"/>
      <c r="C1195" s="347"/>
      <c r="D1195" s="390"/>
    </row>
    <row r="1196" spans="1:4" s="376" customFormat="1" ht="13.8">
      <c r="A1196" s="347"/>
      <c r="B1196" s="348"/>
      <c r="C1196" s="347"/>
      <c r="D1196" s="390"/>
    </row>
    <row r="1197" spans="1:4" s="376" customFormat="1" ht="13.8">
      <c r="A1197" s="347"/>
      <c r="B1197" s="348"/>
      <c r="C1197" s="347"/>
      <c r="D1197" s="390"/>
    </row>
    <row r="1198" spans="1:4" s="376" customFormat="1" ht="13.8">
      <c r="A1198" s="347"/>
      <c r="B1198" s="348"/>
      <c r="C1198" s="347"/>
      <c r="D1198" s="390"/>
    </row>
    <row r="1199" spans="1:4" s="376" customFormat="1" ht="13.8">
      <c r="A1199" s="347"/>
      <c r="B1199" s="348"/>
      <c r="C1199" s="347"/>
      <c r="D1199" s="390"/>
    </row>
    <row r="1200" spans="1:4" s="376" customFormat="1" ht="13.8">
      <c r="A1200" s="347"/>
      <c r="B1200" s="348"/>
      <c r="C1200" s="347"/>
      <c r="D1200" s="390"/>
    </row>
    <row r="1201" spans="1:4" s="376" customFormat="1" ht="13.8">
      <c r="A1201" s="347"/>
      <c r="B1201" s="348"/>
      <c r="C1201" s="347"/>
      <c r="D1201" s="390"/>
    </row>
    <row r="1202" spans="1:4" s="376" customFormat="1" ht="13.8">
      <c r="A1202" s="347"/>
      <c r="B1202" s="348"/>
      <c r="C1202" s="347"/>
      <c r="D1202" s="390"/>
    </row>
    <row r="1203" spans="1:4" s="376" customFormat="1" ht="13.8">
      <c r="A1203" s="347"/>
      <c r="B1203" s="348"/>
      <c r="C1203" s="347"/>
      <c r="D1203" s="390"/>
    </row>
    <row r="1204" spans="1:4" s="376" customFormat="1" ht="13.8">
      <c r="A1204" s="347"/>
      <c r="B1204" s="348"/>
      <c r="C1204" s="347"/>
      <c r="D1204" s="390"/>
    </row>
    <row r="1205" spans="1:4" s="376" customFormat="1" ht="13.8">
      <c r="A1205" s="347"/>
      <c r="B1205" s="348"/>
      <c r="C1205" s="347"/>
      <c r="D1205" s="390"/>
    </row>
    <row r="1206" spans="1:4" s="376" customFormat="1" ht="13.8">
      <c r="A1206" s="347"/>
      <c r="B1206" s="348"/>
      <c r="C1206" s="347"/>
      <c r="D1206" s="390"/>
    </row>
    <row r="1207" spans="1:4" s="376" customFormat="1" ht="13.8">
      <c r="A1207" s="347"/>
      <c r="B1207" s="348"/>
      <c r="C1207" s="347"/>
      <c r="D1207" s="390"/>
    </row>
    <row r="1208" spans="1:4" s="376" customFormat="1" ht="13.8">
      <c r="A1208" s="347"/>
      <c r="B1208" s="348"/>
      <c r="C1208" s="347"/>
      <c r="D1208" s="390"/>
    </row>
    <row r="1209" spans="1:4" s="376" customFormat="1" ht="13.8">
      <c r="A1209" s="347"/>
      <c r="B1209" s="348"/>
      <c r="C1209" s="347"/>
      <c r="D1209" s="390"/>
    </row>
    <row r="1210" spans="1:4" s="376" customFormat="1" ht="13.8">
      <c r="A1210" s="347"/>
      <c r="B1210" s="348"/>
      <c r="C1210" s="347"/>
      <c r="D1210" s="390"/>
    </row>
    <row r="1211" spans="1:4" s="376" customFormat="1" ht="13.8">
      <c r="A1211" s="347"/>
      <c r="B1211" s="348"/>
      <c r="C1211" s="347"/>
      <c r="D1211" s="390"/>
    </row>
    <row r="1212" spans="1:4" s="376" customFormat="1" ht="13.8">
      <c r="A1212" s="347"/>
      <c r="B1212" s="348"/>
      <c r="C1212" s="347"/>
      <c r="D1212" s="390"/>
    </row>
    <row r="1213" spans="1:4" s="376" customFormat="1" ht="13.8">
      <c r="A1213" s="347"/>
      <c r="B1213" s="348"/>
      <c r="C1213" s="347"/>
      <c r="D1213" s="390"/>
    </row>
    <row r="1214" spans="1:4" s="376" customFormat="1" ht="12.75" customHeight="1">
      <c r="A1214" s="347"/>
      <c r="B1214" s="348"/>
      <c r="C1214" s="347"/>
      <c r="D1214" s="390"/>
    </row>
    <row r="1215" spans="1:4" s="376" customFormat="1" ht="13.8">
      <c r="A1215" s="347"/>
      <c r="B1215" s="348"/>
      <c r="C1215" s="347"/>
      <c r="D1215" s="390"/>
    </row>
    <row r="1216" spans="1:4" s="376" customFormat="1" ht="13.8">
      <c r="A1216" s="347"/>
      <c r="B1216" s="348"/>
      <c r="C1216" s="347"/>
      <c r="D1216" s="390"/>
    </row>
    <row r="1217" spans="1:4" s="376" customFormat="1" ht="13.8">
      <c r="A1217" s="347"/>
      <c r="B1217" s="348"/>
      <c r="C1217" s="347"/>
      <c r="D1217" s="390"/>
    </row>
    <row r="1218" spans="1:4" s="376" customFormat="1" ht="13.8">
      <c r="A1218" s="347"/>
      <c r="B1218" s="348"/>
      <c r="C1218" s="347"/>
      <c r="D1218" s="390"/>
    </row>
    <row r="1219" spans="1:4" s="376" customFormat="1" ht="13.8">
      <c r="A1219" s="347"/>
      <c r="B1219" s="348"/>
      <c r="C1219" s="347"/>
      <c r="D1219" s="390"/>
    </row>
    <row r="1220" spans="1:4" s="376" customFormat="1" ht="13.8">
      <c r="A1220" s="347"/>
      <c r="B1220" s="348"/>
      <c r="C1220" s="347"/>
      <c r="D1220" s="390"/>
    </row>
    <row r="1221" spans="1:4" s="376" customFormat="1" ht="13.8">
      <c r="A1221" s="347"/>
      <c r="B1221" s="348"/>
      <c r="C1221" s="347"/>
      <c r="D1221" s="390"/>
    </row>
    <row r="1222" spans="1:4" s="376" customFormat="1" ht="13.8">
      <c r="A1222" s="347"/>
      <c r="B1222" s="348"/>
      <c r="C1222" s="347"/>
      <c r="D1222" s="390"/>
    </row>
    <row r="1223" spans="1:4" s="376" customFormat="1" ht="13.8">
      <c r="A1223" s="347"/>
      <c r="B1223" s="348"/>
      <c r="C1223" s="347"/>
      <c r="D1223" s="390"/>
    </row>
    <row r="1224" spans="1:4" s="376" customFormat="1" ht="13.8">
      <c r="A1224" s="347"/>
      <c r="B1224" s="348"/>
      <c r="C1224" s="347"/>
      <c r="D1224" s="390"/>
    </row>
    <row r="1225" spans="1:4" s="376" customFormat="1" ht="13.8">
      <c r="A1225" s="347"/>
      <c r="B1225" s="348"/>
      <c r="C1225" s="347"/>
      <c r="D1225" s="390"/>
    </row>
    <row r="1226" spans="1:4" s="376" customFormat="1" ht="13.8">
      <c r="A1226" s="347"/>
      <c r="B1226" s="348"/>
      <c r="C1226" s="347"/>
      <c r="D1226" s="390"/>
    </row>
    <row r="1227" spans="1:4" s="376" customFormat="1" ht="13.8">
      <c r="A1227" s="347"/>
      <c r="B1227" s="348"/>
      <c r="C1227" s="347"/>
      <c r="D1227" s="390"/>
    </row>
    <row r="1228" spans="1:4" s="376" customFormat="1" ht="13.8">
      <c r="A1228" s="347"/>
      <c r="B1228" s="348"/>
      <c r="C1228" s="347"/>
      <c r="D1228" s="390"/>
    </row>
    <row r="1229" spans="1:4" s="376" customFormat="1" ht="13.8">
      <c r="A1229" s="347"/>
      <c r="B1229" s="348"/>
      <c r="C1229" s="347"/>
      <c r="D1229" s="390"/>
    </row>
    <row r="1230" spans="1:4" s="376" customFormat="1" ht="13.8">
      <c r="A1230" s="347"/>
      <c r="B1230" s="348"/>
      <c r="C1230" s="347"/>
      <c r="D1230" s="390"/>
    </row>
    <row r="1231" spans="1:4" s="376" customFormat="1" ht="13.8">
      <c r="A1231" s="347"/>
      <c r="B1231" s="348"/>
      <c r="C1231" s="347"/>
      <c r="D1231" s="390"/>
    </row>
    <row r="1232" spans="1:4" s="376" customFormat="1" ht="13.8">
      <c r="A1232" s="347"/>
      <c r="B1232" s="348"/>
      <c r="C1232" s="347"/>
      <c r="D1232" s="390"/>
    </row>
    <row r="1233" spans="1:4" s="376" customFormat="1" ht="13.8">
      <c r="A1233" s="347"/>
      <c r="B1233" s="348"/>
      <c r="C1233" s="347"/>
      <c r="D1233" s="390"/>
    </row>
    <row r="1234" spans="1:4" s="376" customFormat="1" ht="13.8">
      <c r="A1234" s="347"/>
      <c r="B1234" s="348"/>
      <c r="C1234" s="347"/>
      <c r="D1234" s="390"/>
    </row>
    <row r="1235" spans="1:4" s="376" customFormat="1" ht="13.8">
      <c r="A1235" s="347"/>
      <c r="B1235" s="348"/>
      <c r="C1235" s="347"/>
      <c r="D1235" s="390"/>
    </row>
    <row r="1236" spans="1:4" s="376" customFormat="1" ht="13.8">
      <c r="A1236" s="347"/>
      <c r="B1236" s="348"/>
      <c r="C1236" s="347"/>
      <c r="D1236" s="390"/>
    </row>
    <row r="1237" spans="1:4" s="376" customFormat="1" ht="13.8">
      <c r="A1237" s="347"/>
      <c r="B1237" s="348"/>
      <c r="C1237" s="347"/>
      <c r="D1237" s="390"/>
    </row>
    <row r="1238" spans="1:4" s="376" customFormat="1" ht="13.8">
      <c r="A1238" s="347"/>
      <c r="B1238" s="348"/>
      <c r="C1238" s="347"/>
      <c r="D1238" s="390"/>
    </row>
    <row r="1239" spans="1:4" s="376" customFormat="1" ht="13.8">
      <c r="A1239" s="347"/>
      <c r="B1239" s="348"/>
      <c r="C1239" s="347"/>
      <c r="D1239" s="390"/>
    </row>
    <row r="1240" spans="1:4" s="376" customFormat="1" ht="15" customHeight="1">
      <c r="A1240" s="347"/>
      <c r="B1240" s="348"/>
      <c r="C1240" s="347"/>
      <c r="D1240" s="390"/>
    </row>
    <row r="1241" spans="1:4" s="376" customFormat="1" ht="15" customHeight="1">
      <c r="A1241" s="347"/>
      <c r="B1241" s="348"/>
      <c r="C1241" s="347"/>
      <c r="D1241" s="390"/>
    </row>
    <row r="1242" spans="1:4" s="376" customFormat="1" ht="15" customHeight="1">
      <c r="A1242" s="347"/>
      <c r="B1242" s="348"/>
      <c r="C1242" s="347"/>
      <c r="D1242" s="390"/>
    </row>
    <row r="1243" spans="1:4" s="376" customFormat="1" ht="15" customHeight="1">
      <c r="A1243" s="347"/>
      <c r="B1243" s="348"/>
      <c r="C1243" s="347"/>
      <c r="D1243" s="390"/>
    </row>
    <row r="1244" spans="1:4" s="376" customFormat="1" ht="15" customHeight="1">
      <c r="A1244" s="347"/>
      <c r="B1244" s="348"/>
      <c r="C1244" s="347"/>
      <c r="D1244" s="390"/>
    </row>
    <row r="1245" spans="1:4" s="376" customFormat="1" ht="15" customHeight="1">
      <c r="A1245" s="347"/>
      <c r="B1245" s="348"/>
      <c r="C1245" s="347"/>
      <c r="D1245" s="390"/>
    </row>
    <row r="1246" spans="1:4" s="376" customFormat="1" ht="15" customHeight="1">
      <c r="A1246" s="347"/>
      <c r="B1246" s="348"/>
      <c r="C1246" s="347"/>
      <c r="D1246" s="390"/>
    </row>
    <row r="1247" spans="1:4" s="376" customFormat="1" ht="15" customHeight="1">
      <c r="A1247" s="347"/>
      <c r="B1247" s="348"/>
      <c r="C1247" s="347"/>
      <c r="D1247" s="390"/>
    </row>
    <row r="1248" spans="1:4" s="376" customFormat="1" ht="15" customHeight="1">
      <c r="A1248" s="347"/>
      <c r="B1248" s="348"/>
      <c r="C1248" s="347"/>
      <c r="D1248" s="390"/>
    </row>
    <row r="1249" spans="1:4" s="376" customFormat="1" ht="15" customHeight="1">
      <c r="A1249" s="347"/>
      <c r="B1249" s="348"/>
      <c r="C1249" s="347"/>
      <c r="D1249" s="390"/>
    </row>
    <row r="1250" spans="1:4" s="376" customFormat="1" ht="15" customHeight="1">
      <c r="A1250" s="347"/>
      <c r="B1250" s="348"/>
      <c r="C1250" s="347"/>
      <c r="D1250" s="390"/>
    </row>
    <row r="1251" spans="1:4" s="376" customFormat="1" ht="15" customHeight="1">
      <c r="A1251" s="347"/>
      <c r="B1251" s="348"/>
      <c r="C1251" s="347"/>
      <c r="D1251" s="390"/>
    </row>
    <row r="1252" spans="1:4" s="376" customFormat="1" ht="15" customHeight="1">
      <c r="A1252" s="347"/>
      <c r="B1252" s="348"/>
      <c r="C1252" s="347"/>
      <c r="D1252" s="390"/>
    </row>
    <row r="1253" spans="1:4" s="376" customFormat="1" ht="13.8">
      <c r="A1253" s="347"/>
      <c r="B1253" s="348"/>
      <c r="C1253" s="347"/>
      <c r="D1253" s="390"/>
    </row>
    <row r="1254" spans="1:4" s="376" customFormat="1" ht="13.8">
      <c r="A1254" s="347"/>
      <c r="B1254" s="348"/>
      <c r="C1254" s="347"/>
      <c r="D1254" s="390"/>
    </row>
    <row r="1255" spans="1:4" s="376" customFormat="1" ht="13.8">
      <c r="A1255" s="347"/>
      <c r="B1255" s="348"/>
      <c r="C1255" s="347"/>
      <c r="D1255" s="390"/>
    </row>
    <row r="1256" spans="1:4" s="376" customFormat="1" ht="13.8">
      <c r="A1256" s="347"/>
      <c r="B1256" s="348"/>
      <c r="C1256" s="347"/>
      <c r="D1256" s="390"/>
    </row>
    <row r="1257" spans="1:4" s="376" customFormat="1" ht="13.8">
      <c r="A1257" s="347"/>
      <c r="B1257" s="348"/>
      <c r="C1257" s="347"/>
      <c r="D1257" s="390"/>
    </row>
    <row r="1258" spans="1:4" s="376" customFormat="1" ht="13.8">
      <c r="A1258" s="347"/>
      <c r="B1258" s="348"/>
      <c r="C1258" s="347"/>
      <c r="D1258" s="390"/>
    </row>
    <row r="1259" spans="1:4" s="376" customFormat="1" ht="13.8">
      <c r="A1259" s="347"/>
      <c r="B1259" s="348"/>
      <c r="C1259" s="347"/>
      <c r="D1259" s="390"/>
    </row>
    <row r="1260" spans="1:4" s="376" customFormat="1" ht="13.8">
      <c r="A1260" s="347"/>
      <c r="B1260" s="348"/>
      <c r="C1260" s="347"/>
      <c r="D1260" s="390"/>
    </row>
    <row r="1261" spans="1:4" s="376" customFormat="1" ht="13.8">
      <c r="A1261" s="347"/>
      <c r="B1261" s="348"/>
      <c r="C1261" s="347"/>
      <c r="D1261" s="390"/>
    </row>
    <row r="1262" spans="1:4" s="376" customFormat="1" ht="13.8">
      <c r="A1262" s="347"/>
      <c r="B1262" s="348"/>
      <c r="C1262" s="347"/>
      <c r="D1262" s="390"/>
    </row>
    <row r="1263" spans="1:4" s="376" customFormat="1" ht="13.8">
      <c r="A1263" s="347"/>
      <c r="B1263" s="348"/>
      <c r="C1263" s="347"/>
      <c r="D1263" s="390"/>
    </row>
    <row r="1264" spans="1:4" s="376" customFormat="1" ht="13.8">
      <c r="A1264" s="347"/>
      <c r="B1264" s="348"/>
      <c r="C1264" s="347"/>
      <c r="D1264" s="390"/>
    </row>
    <row r="1265" spans="1:4" s="376" customFormat="1" ht="13.8">
      <c r="A1265" s="347"/>
      <c r="B1265" s="348"/>
      <c r="C1265" s="347"/>
      <c r="D1265" s="390"/>
    </row>
    <row r="1266" spans="1:4" s="376" customFormat="1" ht="13.8">
      <c r="A1266" s="347"/>
      <c r="B1266" s="348"/>
      <c r="C1266" s="347"/>
      <c r="D1266" s="390"/>
    </row>
    <row r="1267" spans="1:4" s="376" customFormat="1" ht="13.8">
      <c r="A1267" s="347"/>
      <c r="B1267" s="348"/>
      <c r="C1267" s="347"/>
      <c r="D1267" s="390"/>
    </row>
    <row r="1268" spans="1:4" s="376" customFormat="1" ht="13.8">
      <c r="A1268" s="347"/>
      <c r="B1268" s="348"/>
      <c r="C1268" s="347"/>
      <c r="D1268" s="390"/>
    </row>
    <row r="1269" spans="1:4" s="376" customFormat="1" ht="13.8">
      <c r="A1269" s="347"/>
      <c r="B1269" s="348"/>
      <c r="C1269" s="347"/>
      <c r="D1269" s="390"/>
    </row>
    <row r="1270" spans="1:4" s="376" customFormat="1" ht="13.8">
      <c r="A1270" s="347"/>
      <c r="B1270" s="348"/>
      <c r="C1270" s="347"/>
      <c r="D1270" s="390"/>
    </row>
    <row r="1271" spans="1:4" s="376" customFormat="1" ht="13.8">
      <c r="A1271" s="347"/>
      <c r="B1271" s="348"/>
      <c r="C1271" s="347"/>
      <c r="D1271" s="390"/>
    </row>
    <row r="1272" spans="1:4" s="376" customFormat="1" ht="13.8">
      <c r="A1272" s="347"/>
      <c r="B1272" s="348"/>
      <c r="C1272" s="347"/>
      <c r="D1272" s="390"/>
    </row>
    <row r="1273" spans="1:4" s="376" customFormat="1" ht="13.8">
      <c r="A1273" s="347"/>
      <c r="B1273" s="348"/>
      <c r="C1273" s="347"/>
      <c r="D1273" s="390"/>
    </row>
    <row r="1274" spans="1:4" s="376" customFormat="1" ht="13.8">
      <c r="A1274" s="347"/>
      <c r="B1274" s="348"/>
      <c r="C1274" s="347"/>
      <c r="D1274" s="390"/>
    </row>
    <row r="1275" spans="1:4" s="376" customFormat="1" ht="13.8">
      <c r="A1275" s="347"/>
      <c r="B1275" s="348"/>
      <c r="C1275" s="347"/>
      <c r="D1275" s="390"/>
    </row>
    <row r="1276" spans="1:4" s="376" customFormat="1" ht="13.8">
      <c r="A1276" s="347"/>
      <c r="B1276" s="348"/>
      <c r="C1276" s="347"/>
      <c r="D1276" s="390"/>
    </row>
    <row r="1277" spans="1:4" s="376" customFormat="1" ht="13.8">
      <c r="A1277" s="347"/>
      <c r="B1277" s="348"/>
      <c r="C1277" s="347"/>
      <c r="D1277" s="390"/>
    </row>
    <row r="1278" spans="1:4" s="376" customFormat="1" ht="13.8">
      <c r="A1278" s="347"/>
      <c r="B1278" s="348"/>
      <c r="C1278" s="347"/>
      <c r="D1278" s="390"/>
    </row>
    <row r="1279" spans="1:4" s="376" customFormat="1" ht="13.8">
      <c r="A1279" s="347"/>
      <c r="B1279" s="348"/>
      <c r="C1279" s="347"/>
      <c r="D1279" s="390"/>
    </row>
    <row r="1280" spans="1:4" s="376" customFormat="1" ht="13.8">
      <c r="A1280" s="347"/>
      <c r="B1280" s="348"/>
      <c r="C1280" s="347"/>
      <c r="D1280" s="390"/>
    </row>
    <row r="1281" spans="1:4" s="376" customFormat="1" ht="13.8">
      <c r="A1281" s="347"/>
      <c r="B1281" s="348"/>
      <c r="C1281" s="347"/>
      <c r="D1281" s="390"/>
    </row>
    <row r="1282" spans="1:4" s="376" customFormat="1" ht="13.8">
      <c r="A1282" s="347"/>
      <c r="B1282" s="348"/>
      <c r="C1282" s="347"/>
      <c r="D1282" s="390"/>
    </row>
    <row r="1283" spans="1:4" s="376" customFormat="1" ht="13.8">
      <c r="A1283" s="347"/>
      <c r="B1283" s="348"/>
      <c r="C1283" s="347"/>
      <c r="D1283" s="390"/>
    </row>
    <row r="1284" spans="1:4" s="376" customFormat="1" ht="13.8">
      <c r="A1284" s="347"/>
      <c r="B1284" s="348"/>
      <c r="C1284" s="347"/>
      <c r="D1284" s="390"/>
    </row>
    <row r="1285" spans="1:4" s="376" customFormat="1" ht="13.8">
      <c r="A1285" s="347"/>
      <c r="B1285" s="348"/>
      <c r="C1285" s="347"/>
      <c r="D1285" s="390"/>
    </row>
    <row r="1286" spans="1:4" s="376" customFormat="1" ht="13.8">
      <c r="A1286" s="347"/>
      <c r="B1286" s="348"/>
      <c r="C1286" s="347"/>
      <c r="D1286" s="390"/>
    </row>
    <row r="1287" spans="1:4" s="376" customFormat="1" ht="13.8">
      <c r="A1287" s="347"/>
      <c r="B1287" s="348"/>
      <c r="C1287" s="347"/>
      <c r="D1287" s="390"/>
    </row>
    <row r="1288" spans="1:4" s="376" customFormat="1" ht="13.8">
      <c r="A1288" s="347"/>
      <c r="B1288" s="348"/>
      <c r="C1288" s="347"/>
      <c r="D1288" s="390"/>
    </row>
    <row r="1289" spans="1:4" s="376" customFormat="1" ht="13.8">
      <c r="A1289" s="347"/>
      <c r="B1289" s="348"/>
      <c r="C1289" s="347"/>
      <c r="D1289" s="390"/>
    </row>
    <row r="1290" spans="1:4" s="376" customFormat="1" ht="13.8">
      <c r="A1290" s="347"/>
      <c r="B1290" s="348"/>
      <c r="C1290" s="347"/>
      <c r="D1290" s="390"/>
    </row>
    <row r="1291" spans="1:4" s="376" customFormat="1" ht="13.8">
      <c r="A1291" s="347"/>
      <c r="B1291" s="348"/>
      <c r="C1291" s="347"/>
      <c r="D1291" s="390"/>
    </row>
    <row r="1292" spans="1:4" s="376" customFormat="1" ht="13.8">
      <c r="A1292" s="347"/>
      <c r="B1292" s="348"/>
      <c r="C1292" s="347"/>
      <c r="D1292" s="390"/>
    </row>
    <row r="1293" spans="1:4" s="376" customFormat="1" ht="13.8">
      <c r="A1293" s="347"/>
      <c r="B1293" s="348"/>
      <c r="C1293" s="347"/>
      <c r="D1293" s="390"/>
    </row>
    <row r="1294" spans="1:4" s="376" customFormat="1" ht="13.8">
      <c r="A1294" s="347"/>
      <c r="B1294" s="348"/>
      <c r="C1294" s="347"/>
      <c r="D1294" s="390"/>
    </row>
    <row r="1295" spans="1:4" s="376" customFormat="1" ht="13.8">
      <c r="A1295" s="347"/>
      <c r="B1295" s="348"/>
      <c r="C1295" s="347"/>
      <c r="D1295" s="390"/>
    </row>
    <row r="1296" spans="1:4" s="376" customFormat="1" ht="13.8">
      <c r="A1296" s="347"/>
      <c r="B1296" s="348"/>
      <c r="C1296" s="347"/>
      <c r="D1296" s="390"/>
    </row>
    <row r="1297" spans="1:4" s="376" customFormat="1" ht="13.8">
      <c r="A1297" s="347"/>
      <c r="B1297" s="348"/>
      <c r="C1297" s="347"/>
      <c r="D1297" s="390"/>
    </row>
    <row r="1298" spans="1:4" s="376" customFormat="1" ht="13.8">
      <c r="A1298" s="347"/>
      <c r="B1298" s="348"/>
      <c r="C1298" s="347"/>
      <c r="D1298" s="390"/>
    </row>
    <row r="1299" spans="1:4" s="376" customFormat="1" ht="13.8">
      <c r="A1299" s="347"/>
      <c r="B1299" s="348"/>
      <c r="C1299" s="347"/>
      <c r="D1299" s="390"/>
    </row>
    <row r="1300" spans="1:4" s="376" customFormat="1" ht="13.8">
      <c r="A1300" s="347"/>
      <c r="B1300" s="348"/>
      <c r="C1300" s="347"/>
      <c r="D1300" s="390"/>
    </row>
    <row r="1301" spans="1:4" s="376" customFormat="1" ht="13.8">
      <c r="A1301" s="347"/>
      <c r="B1301" s="348"/>
      <c r="C1301" s="347"/>
      <c r="D1301" s="390"/>
    </row>
    <row r="1302" spans="1:4" s="376" customFormat="1" ht="13.8">
      <c r="A1302" s="347"/>
      <c r="B1302" s="348"/>
      <c r="C1302" s="347"/>
      <c r="D1302" s="390"/>
    </row>
    <row r="1303" spans="1:4" s="376" customFormat="1" ht="13.8">
      <c r="A1303" s="347"/>
      <c r="B1303" s="348"/>
      <c r="C1303" s="347"/>
      <c r="D1303" s="390"/>
    </row>
    <row r="1304" spans="1:4" s="376" customFormat="1" ht="13.8">
      <c r="A1304" s="347"/>
      <c r="B1304" s="348"/>
      <c r="C1304" s="347"/>
      <c r="D1304" s="390"/>
    </row>
    <row r="1305" spans="1:4" s="376" customFormat="1" ht="13.8">
      <c r="A1305" s="347"/>
      <c r="B1305" s="348"/>
      <c r="C1305" s="347"/>
      <c r="D1305" s="390"/>
    </row>
    <row r="1306" spans="1:4" s="376" customFormat="1" ht="13.8">
      <c r="A1306" s="347"/>
      <c r="B1306" s="348"/>
      <c r="C1306" s="347"/>
      <c r="D1306" s="390"/>
    </row>
    <row r="1307" spans="1:4" s="376" customFormat="1" ht="13.8">
      <c r="A1307" s="347"/>
      <c r="B1307" s="348"/>
      <c r="C1307" s="347"/>
      <c r="D1307" s="390"/>
    </row>
    <row r="1308" spans="1:4" s="376" customFormat="1" ht="13.8">
      <c r="A1308" s="347"/>
      <c r="B1308" s="348"/>
      <c r="C1308" s="347"/>
      <c r="D1308" s="390"/>
    </row>
    <row r="1309" spans="1:4" s="376" customFormat="1" ht="13.8">
      <c r="A1309" s="347"/>
      <c r="B1309" s="348"/>
      <c r="C1309" s="347"/>
      <c r="D1309" s="390"/>
    </row>
    <row r="1310" spans="1:4" s="376" customFormat="1" ht="13.8">
      <c r="A1310" s="347"/>
      <c r="B1310" s="348"/>
      <c r="C1310" s="347"/>
      <c r="D1310" s="390"/>
    </row>
    <row r="1311" spans="1:4" s="376" customFormat="1" ht="13.8">
      <c r="A1311" s="347"/>
      <c r="B1311" s="348"/>
      <c r="C1311" s="347"/>
      <c r="D1311" s="390"/>
    </row>
    <row r="1312" spans="1:4" s="376" customFormat="1" ht="13.8">
      <c r="A1312" s="347"/>
      <c r="B1312" s="348"/>
      <c r="C1312" s="347"/>
      <c r="D1312" s="390"/>
    </row>
    <row r="1313" spans="1:4" s="376" customFormat="1" ht="13.8">
      <c r="A1313" s="347"/>
      <c r="B1313" s="348"/>
      <c r="C1313" s="347"/>
      <c r="D1313" s="390"/>
    </row>
    <row r="1314" spans="1:4" s="376" customFormat="1" ht="13.8">
      <c r="A1314" s="347"/>
      <c r="B1314" s="348"/>
      <c r="C1314" s="347"/>
      <c r="D1314" s="390"/>
    </row>
    <row r="1315" spans="1:4" s="376" customFormat="1" ht="13.8">
      <c r="A1315" s="347"/>
      <c r="B1315" s="348"/>
      <c r="C1315" s="347"/>
      <c r="D1315" s="390"/>
    </row>
    <row r="1316" spans="1:4" s="376" customFormat="1" ht="13.8">
      <c r="A1316" s="347"/>
      <c r="B1316" s="348"/>
      <c r="C1316" s="347"/>
      <c r="D1316" s="390"/>
    </row>
    <row r="1317" spans="1:4" s="376" customFormat="1" ht="13.8">
      <c r="A1317" s="347"/>
      <c r="B1317" s="348"/>
      <c r="C1317" s="347"/>
      <c r="D1317" s="390"/>
    </row>
    <row r="1318" spans="1:4" s="376" customFormat="1" ht="13.8">
      <c r="A1318" s="347"/>
      <c r="B1318" s="348"/>
      <c r="C1318" s="347"/>
      <c r="D1318" s="390"/>
    </row>
    <row r="1319" spans="1:4" s="376" customFormat="1" ht="13.8">
      <c r="A1319" s="347"/>
      <c r="B1319" s="348"/>
      <c r="C1319" s="347"/>
      <c r="D1319" s="390"/>
    </row>
    <row r="1320" spans="1:4" s="376" customFormat="1" ht="13.8">
      <c r="A1320" s="347"/>
      <c r="B1320" s="348"/>
      <c r="C1320" s="347"/>
      <c r="D1320" s="390"/>
    </row>
    <row r="1321" spans="1:4" s="376" customFormat="1" ht="13.8">
      <c r="A1321" s="347"/>
      <c r="B1321" s="348"/>
      <c r="C1321" s="347"/>
      <c r="D1321" s="390"/>
    </row>
    <row r="1322" spans="1:4" s="376" customFormat="1" ht="13.8">
      <c r="A1322" s="347"/>
      <c r="B1322" s="348"/>
      <c r="C1322" s="347"/>
      <c r="D1322" s="390"/>
    </row>
    <row r="1323" spans="1:4" s="376" customFormat="1" ht="13.8">
      <c r="A1323" s="347"/>
      <c r="B1323" s="348"/>
      <c r="C1323" s="347"/>
      <c r="D1323" s="390"/>
    </row>
    <row r="1324" spans="1:4" s="376" customFormat="1" ht="13.8">
      <c r="A1324" s="347"/>
      <c r="B1324" s="348"/>
      <c r="C1324" s="347"/>
      <c r="D1324" s="390"/>
    </row>
    <row r="1325" spans="1:4" s="376" customFormat="1" ht="13.8">
      <c r="A1325" s="347"/>
      <c r="B1325" s="348"/>
      <c r="C1325" s="347"/>
      <c r="D1325" s="390"/>
    </row>
    <row r="1326" spans="1:4" s="376" customFormat="1" ht="13.8">
      <c r="A1326" s="347"/>
      <c r="B1326" s="348"/>
      <c r="C1326" s="347"/>
      <c r="D1326" s="390"/>
    </row>
    <row r="1327" spans="1:4" s="376" customFormat="1" ht="13.8">
      <c r="A1327" s="347"/>
      <c r="B1327" s="348"/>
      <c r="C1327" s="347"/>
      <c r="D1327" s="390"/>
    </row>
    <row r="1328" spans="1:4" s="376" customFormat="1" ht="13.8">
      <c r="A1328" s="347"/>
      <c r="B1328" s="348"/>
      <c r="C1328" s="347"/>
      <c r="D1328" s="390"/>
    </row>
    <row r="1329" spans="1:4" s="376" customFormat="1" ht="13.8">
      <c r="A1329" s="347"/>
      <c r="B1329" s="348"/>
      <c r="C1329" s="347"/>
      <c r="D1329" s="390"/>
    </row>
    <row r="1330" spans="1:4" s="376" customFormat="1" ht="13.8">
      <c r="A1330" s="347"/>
      <c r="B1330" s="348"/>
      <c r="C1330" s="347"/>
      <c r="D1330" s="390"/>
    </row>
    <row r="1331" spans="1:4" s="376" customFormat="1" ht="13.8">
      <c r="A1331" s="347"/>
      <c r="B1331" s="348"/>
      <c r="C1331" s="347"/>
      <c r="D1331" s="390"/>
    </row>
    <row r="1332" spans="1:4" s="376" customFormat="1" ht="13.8">
      <c r="A1332" s="347"/>
      <c r="B1332" s="348"/>
      <c r="C1332" s="347"/>
      <c r="D1332" s="390"/>
    </row>
    <row r="1333" spans="1:4" s="376" customFormat="1" ht="13.8">
      <c r="A1333" s="347"/>
      <c r="B1333" s="348"/>
      <c r="C1333" s="347"/>
      <c r="D1333" s="390"/>
    </row>
    <row r="1334" spans="1:4" s="376" customFormat="1" ht="13.8">
      <c r="A1334" s="347"/>
      <c r="B1334" s="348"/>
      <c r="C1334" s="347"/>
      <c r="D1334" s="390"/>
    </row>
    <row r="1335" spans="1:4" s="376" customFormat="1" ht="13.8">
      <c r="A1335" s="347"/>
      <c r="B1335" s="348"/>
      <c r="C1335" s="347"/>
      <c r="D1335" s="390"/>
    </row>
    <row r="1336" spans="1:4" s="376" customFormat="1" ht="13.8">
      <c r="A1336" s="347"/>
      <c r="B1336" s="348"/>
      <c r="C1336" s="347"/>
      <c r="D1336" s="390"/>
    </row>
    <row r="1337" spans="1:4" s="376" customFormat="1" ht="13.8">
      <c r="A1337" s="347"/>
      <c r="B1337" s="348"/>
      <c r="C1337" s="347"/>
      <c r="D1337" s="390"/>
    </row>
    <row r="1338" spans="1:4" s="376" customFormat="1" ht="13.8">
      <c r="A1338" s="347"/>
      <c r="B1338" s="348"/>
      <c r="C1338" s="347"/>
      <c r="D1338" s="390"/>
    </row>
    <row r="1339" spans="1:4" s="376" customFormat="1" ht="13.8">
      <c r="A1339" s="347"/>
      <c r="B1339" s="348"/>
      <c r="C1339" s="347"/>
      <c r="D1339" s="390"/>
    </row>
    <row r="1340" spans="1:4" s="376" customFormat="1" ht="13.8">
      <c r="A1340" s="347"/>
      <c r="B1340" s="348"/>
      <c r="C1340" s="347"/>
      <c r="D1340" s="390"/>
    </row>
    <row r="1341" spans="1:4" s="376" customFormat="1" ht="13.8">
      <c r="A1341" s="347"/>
      <c r="B1341" s="348"/>
      <c r="C1341" s="347"/>
      <c r="D1341" s="390"/>
    </row>
    <row r="1342" spans="1:4" s="376" customFormat="1" ht="13.8">
      <c r="A1342" s="347"/>
      <c r="B1342" s="348"/>
      <c r="C1342" s="347"/>
      <c r="D1342" s="390"/>
    </row>
    <row r="1343" spans="1:4" s="376" customFormat="1" ht="13.8">
      <c r="A1343" s="347"/>
      <c r="B1343" s="348"/>
      <c r="C1343" s="347"/>
      <c r="D1343" s="390"/>
    </row>
    <row r="1344" spans="1:4" s="376" customFormat="1" ht="13.8">
      <c r="A1344" s="347"/>
      <c r="B1344" s="348"/>
      <c r="C1344" s="347"/>
      <c r="D1344" s="390"/>
    </row>
    <row r="1345" spans="1:4" s="376" customFormat="1" ht="13.8">
      <c r="A1345" s="347"/>
      <c r="B1345" s="348"/>
      <c r="C1345" s="347"/>
      <c r="D1345" s="390"/>
    </row>
    <row r="1346" spans="1:4" s="376" customFormat="1" ht="13.8">
      <c r="A1346" s="347"/>
      <c r="B1346" s="348"/>
      <c r="C1346" s="347"/>
      <c r="D1346" s="390"/>
    </row>
    <row r="1347" spans="1:4" s="376" customFormat="1" ht="13.8">
      <c r="A1347" s="347"/>
      <c r="B1347" s="348"/>
      <c r="C1347" s="347"/>
      <c r="D1347" s="390"/>
    </row>
    <row r="1348" spans="1:4" s="376" customFormat="1" ht="13.8">
      <c r="A1348" s="347"/>
      <c r="B1348" s="348"/>
      <c r="C1348" s="347"/>
      <c r="D1348" s="390"/>
    </row>
    <row r="1349" spans="1:4" s="376" customFormat="1" ht="13.8">
      <c r="A1349" s="347"/>
      <c r="B1349" s="348"/>
      <c r="C1349" s="347"/>
      <c r="D1349" s="390"/>
    </row>
    <row r="1350" spans="1:4" s="376" customFormat="1" ht="13.8">
      <c r="A1350" s="347"/>
      <c r="B1350" s="348"/>
      <c r="C1350" s="347"/>
      <c r="D1350" s="390"/>
    </row>
    <row r="1351" spans="1:4" s="376" customFormat="1" ht="13.8">
      <c r="A1351" s="347"/>
      <c r="B1351" s="348"/>
      <c r="C1351" s="347"/>
      <c r="D1351" s="390"/>
    </row>
    <row r="1352" spans="1:4" s="376" customFormat="1" ht="13.8">
      <c r="A1352" s="347"/>
      <c r="B1352" s="348"/>
      <c r="C1352" s="347"/>
      <c r="D1352" s="390"/>
    </row>
    <row r="1353" spans="1:4" s="376" customFormat="1" ht="13.8">
      <c r="A1353" s="347"/>
      <c r="B1353" s="348"/>
      <c r="C1353" s="347"/>
      <c r="D1353" s="390"/>
    </row>
    <row r="1354" spans="1:4" s="376" customFormat="1" ht="13.8">
      <c r="A1354" s="347"/>
      <c r="B1354" s="348"/>
      <c r="C1354" s="347"/>
      <c r="D1354" s="390"/>
    </row>
    <row r="1355" spans="1:4" s="376" customFormat="1" ht="13.8">
      <c r="A1355" s="347"/>
      <c r="B1355" s="348"/>
      <c r="C1355" s="347"/>
      <c r="D1355" s="390"/>
    </row>
    <row r="1356" spans="1:4" s="376" customFormat="1" ht="13.8">
      <c r="A1356" s="347"/>
      <c r="B1356" s="348"/>
      <c r="C1356" s="347"/>
      <c r="D1356" s="390"/>
    </row>
    <row r="1357" spans="1:4" s="376" customFormat="1" ht="13.8">
      <c r="A1357" s="347"/>
      <c r="B1357" s="348"/>
      <c r="C1357" s="347"/>
      <c r="D1357" s="390"/>
    </row>
    <row r="1358" spans="1:4" s="376" customFormat="1" ht="13.8">
      <c r="A1358" s="347"/>
      <c r="B1358" s="348"/>
      <c r="C1358" s="347"/>
      <c r="D1358" s="390"/>
    </row>
    <row r="1359" spans="1:4" s="376" customFormat="1" ht="13.8">
      <c r="A1359" s="347"/>
      <c r="B1359" s="348"/>
      <c r="C1359" s="347"/>
      <c r="D1359" s="390"/>
    </row>
    <row r="1360" spans="1:4" s="376" customFormat="1" ht="13.8">
      <c r="A1360" s="347"/>
      <c r="B1360" s="348"/>
      <c r="C1360" s="347"/>
      <c r="D1360" s="390"/>
    </row>
    <row r="1361" spans="1:4" s="376" customFormat="1" ht="13.8">
      <c r="A1361" s="347"/>
      <c r="B1361" s="348"/>
      <c r="C1361" s="347"/>
      <c r="D1361" s="390"/>
    </row>
    <row r="1362" spans="1:4" s="376" customFormat="1" ht="13.8">
      <c r="A1362" s="347"/>
      <c r="B1362" s="348"/>
      <c r="C1362" s="347"/>
      <c r="D1362" s="390"/>
    </row>
    <row r="1363" spans="1:4" s="376" customFormat="1" ht="13.8">
      <c r="A1363" s="347"/>
      <c r="B1363" s="348"/>
      <c r="C1363" s="347"/>
      <c r="D1363" s="390"/>
    </row>
    <row r="1364" spans="1:4" s="376" customFormat="1" ht="13.8">
      <c r="A1364" s="347"/>
      <c r="B1364" s="348"/>
      <c r="C1364" s="347"/>
      <c r="D1364" s="390"/>
    </row>
    <row r="1365" spans="1:4" s="376" customFormat="1" ht="13.8">
      <c r="A1365" s="347"/>
      <c r="B1365" s="348"/>
      <c r="C1365" s="347"/>
      <c r="D1365" s="390"/>
    </row>
    <row r="1366" spans="1:4" s="376" customFormat="1" ht="13.8">
      <c r="A1366" s="347"/>
      <c r="B1366" s="348"/>
      <c r="C1366" s="347"/>
      <c r="D1366" s="390"/>
    </row>
    <row r="1367" spans="1:4" s="376" customFormat="1" ht="13.8">
      <c r="A1367" s="347"/>
      <c r="B1367" s="348"/>
      <c r="C1367" s="347"/>
      <c r="D1367" s="390"/>
    </row>
    <row r="1368" spans="1:4" s="376" customFormat="1" ht="13.8">
      <c r="A1368" s="347"/>
      <c r="B1368" s="348"/>
      <c r="C1368" s="347"/>
      <c r="D1368" s="390"/>
    </row>
    <row r="1369" spans="1:4" s="376" customFormat="1" ht="13.8">
      <c r="A1369" s="347"/>
      <c r="B1369" s="348"/>
      <c r="C1369" s="347"/>
      <c r="D1369" s="390"/>
    </row>
    <row r="1370" spans="1:4" s="376" customFormat="1" ht="13.8">
      <c r="A1370" s="347"/>
      <c r="B1370" s="348"/>
      <c r="C1370" s="347"/>
      <c r="D1370" s="390"/>
    </row>
    <row r="1371" spans="1:4" s="376" customFormat="1" ht="13.8">
      <c r="A1371" s="347"/>
      <c r="B1371" s="348"/>
      <c r="C1371" s="347"/>
      <c r="D1371" s="390"/>
    </row>
    <row r="1372" spans="1:4" s="376" customFormat="1" ht="13.8">
      <c r="A1372" s="347"/>
      <c r="B1372" s="348"/>
      <c r="C1372" s="347"/>
      <c r="D1372" s="390"/>
    </row>
    <row r="1373" spans="1:4" s="376" customFormat="1" ht="13.8">
      <c r="A1373" s="347"/>
      <c r="B1373" s="348"/>
      <c r="C1373" s="347"/>
      <c r="D1373" s="390"/>
    </row>
    <row r="1374" spans="1:4" s="376" customFormat="1" ht="13.8">
      <c r="A1374" s="347"/>
      <c r="B1374" s="348"/>
      <c r="C1374" s="347"/>
      <c r="D1374" s="390"/>
    </row>
    <row r="1375" spans="1:4" s="376" customFormat="1" ht="13.8">
      <c r="A1375" s="347"/>
      <c r="B1375" s="348"/>
      <c r="C1375" s="347"/>
      <c r="D1375" s="390"/>
    </row>
    <row r="1376" spans="1:4" s="376" customFormat="1" ht="13.8">
      <c r="A1376" s="347"/>
      <c r="B1376" s="348"/>
      <c r="C1376" s="347"/>
      <c r="D1376" s="390"/>
    </row>
    <row r="1377" spans="1:4" s="376" customFormat="1" ht="13.8">
      <c r="A1377" s="347"/>
      <c r="B1377" s="348"/>
      <c r="C1377" s="347"/>
      <c r="D1377" s="390"/>
    </row>
    <row r="1378" spans="1:4" s="376" customFormat="1" ht="13.8">
      <c r="A1378" s="347"/>
      <c r="B1378" s="348"/>
      <c r="C1378" s="347"/>
      <c r="D1378" s="390"/>
    </row>
    <row r="1379" spans="1:4" s="376" customFormat="1" ht="13.8">
      <c r="A1379" s="347"/>
      <c r="B1379" s="348"/>
      <c r="C1379" s="347"/>
      <c r="D1379" s="390"/>
    </row>
    <row r="1380" spans="1:4" s="376" customFormat="1" ht="13.8">
      <c r="A1380" s="347"/>
      <c r="B1380" s="348"/>
      <c r="C1380" s="347"/>
      <c r="D1380" s="390"/>
    </row>
    <row r="1381" spans="1:4" s="376" customFormat="1" ht="13.8">
      <c r="A1381" s="347"/>
      <c r="B1381" s="348"/>
      <c r="C1381" s="347"/>
      <c r="D1381" s="390"/>
    </row>
    <row r="1382" spans="1:4" s="376" customFormat="1" ht="13.8">
      <c r="A1382" s="347"/>
      <c r="B1382" s="348"/>
      <c r="C1382" s="347"/>
      <c r="D1382" s="390"/>
    </row>
    <row r="1383" spans="1:4" s="376" customFormat="1" ht="13.8">
      <c r="A1383" s="347"/>
      <c r="B1383" s="348"/>
      <c r="C1383" s="347"/>
      <c r="D1383" s="390"/>
    </row>
    <row r="1384" spans="1:4" s="376" customFormat="1" ht="13.8">
      <c r="A1384" s="347"/>
      <c r="B1384" s="348"/>
      <c r="C1384" s="347"/>
      <c r="D1384" s="390"/>
    </row>
    <row r="1385" spans="1:4" s="376" customFormat="1" ht="13.8">
      <c r="A1385" s="347"/>
      <c r="B1385" s="348"/>
      <c r="C1385" s="347"/>
      <c r="D1385" s="390"/>
    </row>
    <row r="1386" spans="1:4" s="376" customFormat="1" ht="13.8">
      <c r="A1386" s="347"/>
      <c r="B1386" s="348"/>
      <c r="C1386" s="347"/>
      <c r="D1386" s="390"/>
    </row>
    <row r="1387" spans="1:4" s="376" customFormat="1" ht="13.8">
      <c r="A1387" s="347"/>
      <c r="B1387" s="348"/>
      <c r="C1387" s="347"/>
      <c r="D1387" s="390"/>
    </row>
    <row r="1388" spans="1:4" s="376" customFormat="1" ht="13.8">
      <c r="A1388" s="347"/>
      <c r="B1388" s="348"/>
      <c r="C1388" s="347"/>
      <c r="D1388" s="390"/>
    </row>
    <row r="1389" spans="1:4" s="376" customFormat="1" ht="13.8">
      <c r="A1389" s="347"/>
      <c r="B1389" s="348"/>
      <c r="C1389" s="347"/>
      <c r="D1389" s="390"/>
    </row>
    <row r="1390" spans="1:4" s="376" customFormat="1" ht="13.8">
      <c r="A1390" s="347"/>
      <c r="B1390" s="348"/>
      <c r="C1390" s="347"/>
      <c r="D1390" s="390"/>
    </row>
    <row r="1391" spans="1:4" s="376" customFormat="1" ht="13.8">
      <c r="A1391" s="347"/>
      <c r="B1391" s="348"/>
      <c r="C1391" s="347"/>
      <c r="D1391" s="390"/>
    </row>
    <row r="1392" spans="1:4" s="376" customFormat="1" ht="13.8">
      <c r="A1392" s="347"/>
      <c r="B1392" s="348"/>
      <c r="C1392" s="347"/>
      <c r="D1392" s="390"/>
    </row>
    <row r="1393" spans="1:4" s="376" customFormat="1" ht="13.8">
      <c r="A1393" s="347"/>
      <c r="B1393" s="348"/>
      <c r="C1393" s="347"/>
      <c r="D1393" s="390"/>
    </row>
    <row r="1394" spans="1:4" s="376" customFormat="1" ht="13.8">
      <c r="A1394" s="347"/>
      <c r="B1394" s="348"/>
      <c r="C1394" s="347"/>
      <c r="D1394" s="390"/>
    </row>
    <row r="1395" spans="1:4" s="376" customFormat="1" ht="13.8">
      <c r="A1395" s="347"/>
      <c r="B1395" s="348"/>
      <c r="C1395" s="347"/>
      <c r="D1395" s="390"/>
    </row>
    <row r="1396" spans="1:4" s="376" customFormat="1" ht="13.8">
      <c r="A1396" s="347"/>
      <c r="B1396" s="348"/>
      <c r="C1396" s="347"/>
      <c r="D1396" s="390"/>
    </row>
    <row r="1397" spans="1:4" s="376" customFormat="1" ht="13.8">
      <c r="A1397" s="347"/>
      <c r="B1397" s="348"/>
      <c r="C1397" s="347"/>
      <c r="D1397" s="390"/>
    </row>
    <row r="1398" spans="1:4" s="376" customFormat="1" ht="13.8">
      <c r="A1398" s="347"/>
      <c r="B1398" s="348"/>
      <c r="C1398" s="347"/>
      <c r="D1398" s="390"/>
    </row>
    <row r="1399" spans="1:4" s="376" customFormat="1" ht="13.8">
      <c r="A1399" s="347"/>
      <c r="B1399" s="348"/>
      <c r="C1399" s="347"/>
      <c r="D1399" s="390"/>
    </row>
    <row r="1400" spans="1:4" s="376" customFormat="1" ht="13.8">
      <c r="A1400" s="347"/>
      <c r="B1400" s="348"/>
      <c r="C1400" s="347"/>
      <c r="D1400" s="390"/>
    </row>
    <row r="1401" spans="1:4" s="376" customFormat="1" ht="13.8">
      <c r="A1401" s="347"/>
      <c r="B1401" s="348"/>
      <c r="C1401" s="347"/>
      <c r="D1401" s="390"/>
    </row>
    <row r="1402" spans="1:4" s="376" customFormat="1" ht="13.8">
      <c r="A1402" s="347"/>
      <c r="B1402" s="348"/>
      <c r="C1402" s="347"/>
      <c r="D1402" s="390"/>
    </row>
    <row r="1403" spans="1:4" s="376" customFormat="1" ht="13.8">
      <c r="A1403" s="347"/>
      <c r="B1403" s="348"/>
      <c r="C1403" s="347"/>
      <c r="D1403" s="390"/>
    </row>
    <row r="1404" spans="1:4" s="376" customFormat="1" ht="13.8">
      <c r="A1404" s="347"/>
      <c r="B1404" s="348"/>
      <c r="C1404" s="347"/>
      <c r="D1404" s="390"/>
    </row>
    <row r="1405" spans="1:4" s="376" customFormat="1" ht="13.8">
      <c r="A1405" s="347"/>
      <c r="B1405" s="348"/>
      <c r="C1405" s="347"/>
      <c r="D1405" s="390"/>
    </row>
    <row r="1406" spans="1:4" s="376" customFormat="1" ht="13.8">
      <c r="A1406" s="347"/>
      <c r="B1406" s="348"/>
      <c r="C1406" s="347"/>
      <c r="D1406" s="390"/>
    </row>
    <row r="1407" spans="1:4" s="376" customFormat="1" ht="13.8">
      <c r="A1407" s="347"/>
      <c r="B1407" s="348"/>
      <c r="C1407" s="347"/>
      <c r="D1407" s="390"/>
    </row>
    <row r="1408" spans="1:4" s="376" customFormat="1" ht="13.8">
      <c r="A1408" s="347"/>
      <c r="B1408" s="348"/>
      <c r="C1408" s="347"/>
      <c r="D1408" s="390"/>
    </row>
    <row r="1409" spans="1:4" s="376" customFormat="1" ht="13.8">
      <c r="A1409" s="347"/>
      <c r="B1409" s="348"/>
      <c r="C1409" s="347"/>
      <c r="D1409" s="390"/>
    </row>
    <row r="1410" spans="1:4" s="376" customFormat="1" ht="13.8">
      <c r="A1410" s="347"/>
      <c r="B1410" s="348"/>
      <c r="C1410" s="347"/>
      <c r="D1410" s="390"/>
    </row>
    <row r="1411" spans="1:4" s="376" customFormat="1" ht="13.8">
      <c r="A1411" s="347"/>
      <c r="B1411" s="348"/>
      <c r="C1411" s="347"/>
      <c r="D1411" s="390"/>
    </row>
    <row r="1412" spans="1:4" s="376" customFormat="1" ht="13.8">
      <c r="A1412" s="347"/>
      <c r="B1412" s="348"/>
      <c r="C1412" s="347"/>
      <c r="D1412" s="390"/>
    </row>
    <row r="1413" spans="1:4" s="376" customFormat="1" ht="13.8">
      <c r="A1413" s="347"/>
      <c r="B1413" s="348"/>
      <c r="C1413" s="347"/>
      <c r="D1413" s="390"/>
    </row>
    <row r="1414" spans="1:4" s="376" customFormat="1" ht="13.8">
      <c r="A1414" s="347"/>
      <c r="B1414" s="348"/>
      <c r="C1414" s="347"/>
      <c r="D1414" s="390"/>
    </row>
    <row r="1415" spans="1:4" s="376" customFormat="1" ht="13.8">
      <c r="A1415" s="347"/>
      <c r="B1415" s="348"/>
      <c r="C1415" s="347"/>
      <c r="D1415" s="390"/>
    </row>
    <row r="1416" spans="1:4" s="376" customFormat="1" ht="13.8">
      <c r="A1416" s="347"/>
      <c r="B1416" s="348"/>
      <c r="C1416" s="347"/>
      <c r="D1416" s="390"/>
    </row>
    <row r="1417" spans="1:4" s="376" customFormat="1" ht="13.8">
      <c r="A1417" s="347"/>
      <c r="B1417" s="348"/>
      <c r="C1417" s="347"/>
      <c r="D1417" s="390"/>
    </row>
    <row r="1418" spans="1:4" s="376" customFormat="1" ht="13.8">
      <c r="A1418" s="347"/>
      <c r="B1418" s="348"/>
      <c r="C1418" s="347"/>
      <c r="D1418" s="390"/>
    </row>
    <row r="1419" spans="1:4" s="376" customFormat="1" ht="13.8">
      <c r="A1419" s="347"/>
      <c r="B1419" s="348"/>
      <c r="C1419" s="347"/>
      <c r="D1419" s="390"/>
    </row>
    <row r="1420" spans="1:4" s="376" customFormat="1" ht="13.8">
      <c r="A1420" s="347"/>
      <c r="B1420" s="348"/>
      <c r="C1420" s="347"/>
      <c r="D1420" s="390"/>
    </row>
    <row r="1421" spans="1:4" s="376" customFormat="1" ht="13.8">
      <c r="A1421" s="347"/>
      <c r="B1421" s="348"/>
      <c r="C1421" s="347"/>
      <c r="D1421" s="390"/>
    </row>
    <row r="1422" spans="1:4" s="376" customFormat="1" ht="13.8">
      <c r="A1422" s="347"/>
      <c r="B1422" s="348"/>
      <c r="C1422" s="347"/>
      <c r="D1422" s="390"/>
    </row>
    <row r="1423" spans="1:4" s="376" customFormat="1" ht="13.8">
      <c r="A1423" s="347"/>
      <c r="B1423" s="348"/>
      <c r="C1423" s="347"/>
      <c r="D1423" s="390"/>
    </row>
    <row r="1424" spans="1:4" s="376" customFormat="1" ht="13.8">
      <c r="A1424" s="347"/>
      <c r="B1424" s="348"/>
      <c r="C1424" s="347"/>
      <c r="D1424" s="390"/>
    </row>
    <row r="1425" spans="1:4" s="376" customFormat="1" ht="13.8">
      <c r="A1425" s="347"/>
      <c r="B1425" s="348"/>
      <c r="C1425" s="347"/>
      <c r="D1425" s="390"/>
    </row>
    <row r="1426" spans="1:4" s="376" customFormat="1" ht="13.8">
      <c r="A1426" s="347"/>
      <c r="B1426" s="348"/>
      <c r="C1426" s="347"/>
      <c r="D1426" s="390"/>
    </row>
    <row r="1427" spans="1:4" s="376" customFormat="1" ht="13.8">
      <c r="A1427" s="347"/>
      <c r="B1427" s="348"/>
      <c r="C1427" s="347"/>
      <c r="D1427" s="390"/>
    </row>
    <row r="1428" spans="1:4" s="376" customFormat="1" ht="13.8">
      <c r="A1428" s="347"/>
      <c r="B1428" s="348"/>
      <c r="C1428" s="347"/>
      <c r="D1428" s="390"/>
    </row>
    <row r="1429" spans="1:4" s="376" customFormat="1" ht="13.8">
      <c r="A1429" s="347"/>
      <c r="B1429" s="348"/>
      <c r="C1429" s="347"/>
      <c r="D1429" s="390"/>
    </row>
    <row r="1430" spans="1:4" s="376" customFormat="1" ht="13.8">
      <c r="A1430" s="347"/>
      <c r="B1430" s="348"/>
      <c r="C1430" s="347"/>
      <c r="D1430" s="390"/>
    </row>
    <row r="1431" spans="1:4" s="376" customFormat="1" ht="13.8">
      <c r="A1431" s="347"/>
      <c r="B1431" s="348"/>
      <c r="C1431" s="347"/>
      <c r="D1431" s="390"/>
    </row>
    <row r="1432" spans="1:4" s="376" customFormat="1" ht="13.8">
      <c r="A1432" s="347"/>
      <c r="B1432" s="348"/>
      <c r="C1432" s="347"/>
      <c r="D1432" s="390"/>
    </row>
    <row r="1433" spans="1:4" s="376" customFormat="1" ht="13.8">
      <c r="A1433" s="347"/>
      <c r="B1433" s="348"/>
      <c r="C1433" s="347"/>
      <c r="D1433" s="390"/>
    </row>
    <row r="1434" spans="1:4" s="376" customFormat="1" ht="13.8">
      <c r="A1434" s="347"/>
      <c r="B1434" s="348"/>
      <c r="C1434" s="347"/>
      <c r="D1434" s="390"/>
    </row>
    <row r="1435" spans="1:4" s="376" customFormat="1" ht="13.8">
      <c r="A1435" s="347"/>
      <c r="B1435" s="348"/>
      <c r="C1435" s="347"/>
      <c r="D1435" s="390"/>
    </row>
    <row r="1436" spans="1:4" s="376" customFormat="1" ht="13.8">
      <c r="A1436" s="347"/>
      <c r="B1436" s="348"/>
      <c r="C1436" s="347"/>
      <c r="D1436" s="390"/>
    </row>
    <row r="1437" spans="1:4" s="376" customFormat="1" ht="13.8">
      <c r="A1437" s="347"/>
      <c r="B1437" s="348"/>
      <c r="C1437" s="347"/>
      <c r="D1437" s="390"/>
    </row>
    <row r="1438" spans="1:4" s="376" customFormat="1" ht="13.8">
      <c r="A1438" s="347"/>
      <c r="B1438" s="348"/>
      <c r="C1438" s="347"/>
      <c r="D1438" s="390"/>
    </row>
    <row r="1439" spans="1:4" s="376" customFormat="1" ht="13.8">
      <c r="A1439" s="347"/>
      <c r="B1439" s="348"/>
      <c r="C1439" s="347"/>
      <c r="D1439" s="390"/>
    </row>
    <row r="1440" spans="1:4" s="376" customFormat="1" ht="13.8">
      <c r="A1440" s="347"/>
      <c r="B1440" s="348"/>
      <c r="C1440" s="347"/>
      <c r="D1440" s="390"/>
    </row>
    <row r="1441" spans="1:4" s="376" customFormat="1" ht="13.8">
      <c r="A1441" s="347"/>
      <c r="B1441" s="348"/>
      <c r="C1441" s="347"/>
      <c r="D1441" s="390"/>
    </row>
    <row r="1442" spans="1:4" s="376" customFormat="1" ht="13.8">
      <c r="A1442" s="347"/>
      <c r="B1442" s="348"/>
      <c r="C1442" s="347"/>
      <c r="D1442" s="390"/>
    </row>
    <row r="1443" spans="1:4" s="376" customFormat="1" ht="13.8">
      <c r="A1443" s="347"/>
      <c r="B1443" s="348"/>
      <c r="C1443" s="347"/>
      <c r="D1443" s="390"/>
    </row>
    <row r="1444" spans="1:4" s="376" customFormat="1" ht="13.8">
      <c r="A1444" s="347"/>
      <c r="B1444" s="348"/>
      <c r="C1444" s="347"/>
      <c r="D1444" s="390"/>
    </row>
    <row r="1445" spans="1:4" s="376" customFormat="1" ht="13.8">
      <c r="A1445" s="347"/>
      <c r="B1445" s="348"/>
      <c r="C1445" s="347"/>
      <c r="D1445" s="390"/>
    </row>
    <row r="1446" spans="1:4" s="376" customFormat="1" ht="13.8">
      <c r="A1446" s="347"/>
      <c r="B1446" s="348"/>
      <c r="C1446" s="347"/>
      <c r="D1446" s="390"/>
    </row>
    <row r="1447" spans="1:4" s="376" customFormat="1" ht="13.8">
      <c r="A1447" s="347"/>
      <c r="B1447" s="348"/>
      <c r="C1447" s="347"/>
      <c r="D1447" s="390"/>
    </row>
    <row r="1448" spans="1:4" s="376" customFormat="1" ht="13.8">
      <c r="A1448" s="347"/>
      <c r="B1448" s="348"/>
      <c r="C1448" s="347"/>
      <c r="D1448" s="390"/>
    </row>
    <row r="1449" spans="1:4" s="376" customFormat="1" ht="13.8">
      <c r="A1449" s="347"/>
      <c r="B1449" s="348"/>
      <c r="C1449" s="347"/>
      <c r="D1449" s="390"/>
    </row>
    <row r="1450" spans="1:4" s="376" customFormat="1" ht="13.8">
      <c r="A1450" s="347"/>
      <c r="B1450" s="348"/>
      <c r="C1450" s="347"/>
      <c r="D1450" s="390"/>
    </row>
    <row r="1451" spans="1:4" s="376" customFormat="1" ht="13.8">
      <c r="A1451" s="347"/>
      <c r="B1451" s="348"/>
      <c r="C1451" s="347"/>
      <c r="D1451" s="390"/>
    </row>
    <row r="1452" spans="1:4" s="376" customFormat="1" ht="13.8">
      <c r="A1452" s="347"/>
      <c r="B1452" s="348"/>
      <c r="C1452" s="347"/>
      <c r="D1452" s="390"/>
    </row>
    <row r="1453" spans="1:4" s="376" customFormat="1" ht="13.8">
      <c r="A1453" s="347"/>
      <c r="B1453" s="348"/>
      <c r="C1453" s="347"/>
      <c r="D1453" s="390"/>
    </row>
    <row r="1454" spans="1:4" s="376" customFormat="1" ht="13.8">
      <c r="A1454" s="347"/>
      <c r="B1454" s="348"/>
      <c r="C1454" s="347"/>
      <c r="D1454" s="390"/>
    </row>
    <row r="1455" spans="1:4" s="376" customFormat="1" ht="13.8">
      <c r="A1455" s="347"/>
      <c r="B1455" s="348"/>
      <c r="C1455" s="347"/>
      <c r="D1455" s="390"/>
    </row>
    <row r="1456" spans="1:4" s="376" customFormat="1" ht="13.8">
      <c r="A1456" s="347"/>
      <c r="B1456" s="348"/>
      <c r="C1456" s="347"/>
      <c r="D1456" s="390"/>
    </row>
    <row r="1457" spans="1:6" s="376" customFormat="1" ht="13.8">
      <c r="A1457" s="347"/>
      <c r="B1457" s="348"/>
      <c r="C1457" s="347"/>
      <c r="D1457" s="390"/>
    </row>
    <row r="1458" spans="1:6" s="376" customFormat="1" ht="14.25" customHeight="1">
      <c r="A1458" s="347"/>
      <c r="B1458" s="348"/>
      <c r="C1458" s="347"/>
      <c r="D1458" s="390"/>
    </row>
    <row r="1459" spans="1:6" s="376" customFormat="1" ht="13.8">
      <c r="A1459" s="347"/>
      <c r="B1459" s="348"/>
      <c r="C1459" s="347"/>
      <c r="D1459" s="390"/>
    </row>
    <row r="1460" spans="1:6" s="376" customFormat="1" ht="13.8">
      <c r="A1460" s="347"/>
      <c r="B1460" s="348"/>
      <c r="C1460" s="347"/>
      <c r="D1460" s="390"/>
    </row>
    <row r="1461" spans="1:6" s="376" customFormat="1" ht="13.8">
      <c r="A1461" s="347"/>
      <c r="B1461" s="348"/>
      <c r="C1461" s="347"/>
      <c r="D1461" s="390"/>
      <c r="E1461" s="348"/>
      <c r="F1461" s="348"/>
    </row>
    <row r="1462" spans="1:6" s="376" customFormat="1" ht="13.8">
      <c r="A1462" s="347"/>
      <c r="B1462" s="348"/>
      <c r="C1462" s="347"/>
      <c r="D1462" s="390"/>
      <c r="E1462" s="348"/>
      <c r="F1462" s="348"/>
    </row>
    <row r="1463" spans="1:6" ht="13.8">
      <c r="E1463" s="376"/>
      <c r="F1463" s="376"/>
    </row>
    <row r="1464" spans="1:6" ht="13.8">
      <c r="E1464" s="376"/>
      <c r="F1464" s="376"/>
    </row>
    <row r="1465" spans="1:6" s="376" customFormat="1" ht="5.25" customHeight="1">
      <c r="A1465" s="347"/>
      <c r="B1465" s="348"/>
      <c r="C1465" s="347"/>
      <c r="D1465" s="390"/>
    </row>
    <row r="1466" spans="1:6" s="376" customFormat="1" ht="13.8">
      <c r="A1466" s="347"/>
      <c r="B1466" s="348"/>
      <c r="C1466" s="347"/>
      <c r="D1466" s="390"/>
    </row>
    <row r="1467" spans="1:6" s="376" customFormat="1" ht="13.8">
      <c r="A1467" s="347"/>
      <c r="B1467" s="348"/>
      <c r="C1467" s="347"/>
      <c r="D1467" s="390"/>
    </row>
    <row r="1468" spans="1:6" s="376" customFormat="1" ht="13.8">
      <c r="A1468" s="347"/>
      <c r="B1468" s="348"/>
      <c r="C1468" s="347"/>
      <c r="D1468" s="390"/>
    </row>
    <row r="1469" spans="1:6" s="376" customFormat="1" ht="13.8">
      <c r="A1469" s="347"/>
      <c r="B1469" s="348"/>
      <c r="C1469" s="347"/>
      <c r="D1469" s="390"/>
    </row>
    <row r="1470" spans="1:6" s="376" customFormat="1" ht="13.8">
      <c r="A1470" s="347"/>
      <c r="B1470" s="348"/>
      <c r="C1470" s="347"/>
      <c r="D1470" s="390"/>
    </row>
    <row r="1471" spans="1:6" s="376" customFormat="1" ht="13.8">
      <c r="A1471" s="347"/>
      <c r="B1471" s="348"/>
      <c r="C1471" s="347"/>
      <c r="D1471" s="390"/>
    </row>
    <row r="1472" spans="1:6" s="376" customFormat="1" ht="13.8">
      <c r="A1472" s="347"/>
      <c r="B1472" s="348"/>
      <c r="C1472" s="347"/>
      <c r="D1472" s="390"/>
    </row>
    <row r="1473" spans="1:4" s="376" customFormat="1" ht="13.8">
      <c r="A1473" s="347"/>
      <c r="B1473" s="348"/>
      <c r="C1473" s="347"/>
      <c r="D1473" s="390"/>
    </row>
    <row r="1474" spans="1:4" s="376" customFormat="1" ht="13.8">
      <c r="A1474" s="347"/>
      <c r="B1474" s="348"/>
      <c r="C1474" s="347"/>
      <c r="D1474" s="390"/>
    </row>
    <row r="1475" spans="1:4" s="376" customFormat="1" ht="13.8">
      <c r="A1475" s="347"/>
      <c r="B1475" s="348"/>
      <c r="C1475" s="347"/>
      <c r="D1475" s="390"/>
    </row>
    <row r="1476" spans="1:4" s="376" customFormat="1" ht="13.8">
      <c r="A1476" s="347"/>
      <c r="B1476" s="348"/>
      <c r="C1476" s="347"/>
      <c r="D1476" s="390"/>
    </row>
    <row r="1477" spans="1:4" s="376" customFormat="1" ht="13.8">
      <c r="A1477" s="347"/>
      <c r="B1477" s="348"/>
      <c r="C1477" s="347"/>
      <c r="D1477" s="390"/>
    </row>
    <row r="1478" spans="1:4" s="376" customFormat="1" ht="13.8">
      <c r="A1478" s="347"/>
      <c r="B1478" s="348"/>
      <c r="C1478" s="347"/>
      <c r="D1478" s="390"/>
    </row>
    <row r="1479" spans="1:4" s="376" customFormat="1" ht="13.8">
      <c r="A1479" s="347"/>
      <c r="B1479" s="348"/>
      <c r="C1479" s="347"/>
      <c r="D1479" s="390"/>
    </row>
    <row r="1480" spans="1:4" s="376" customFormat="1" ht="13.8">
      <c r="A1480" s="347"/>
      <c r="B1480" s="348"/>
      <c r="C1480" s="347"/>
      <c r="D1480" s="390"/>
    </row>
    <row r="1481" spans="1:4" s="376" customFormat="1" ht="13.8">
      <c r="A1481" s="347"/>
      <c r="B1481" s="348"/>
      <c r="C1481" s="347"/>
      <c r="D1481" s="390"/>
    </row>
    <row r="1482" spans="1:4" s="376" customFormat="1" ht="13.8">
      <c r="A1482" s="347"/>
      <c r="B1482" s="348"/>
      <c r="C1482" s="347"/>
      <c r="D1482" s="390"/>
    </row>
    <row r="1483" spans="1:4" s="376" customFormat="1" ht="13.8">
      <c r="A1483" s="347"/>
      <c r="B1483" s="348"/>
      <c r="C1483" s="347"/>
      <c r="D1483" s="390"/>
    </row>
    <row r="1484" spans="1:4" s="376" customFormat="1" ht="13.8">
      <c r="A1484" s="347"/>
      <c r="B1484" s="348"/>
      <c r="C1484" s="347"/>
      <c r="D1484" s="390"/>
    </row>
    <row r="1485" spans="1:4" s="376" customFormat="1" ht="13.8">
      <c r="A1485" s="347"/>
      <c r="B1485" s="348"/>
      <c r="C1485" s="347"/>
      <c r="D1485" s="390"/>
    </row>
    <row r="1486" spans="1:4" s="376" customFormat="1" ht="13.8">
      <c r="A1486" s="347"/>
      <c r="B1486" s="348"/>
      <c r="C1486" s="347"/>
      <c r="D1486" s="390"/>
    </row>
    <row r="1487" spans="1:4" s="376" customFormat="1" ht="13.8">
      <c r="A1487" s="347"/>
      <c r="B1487" s="348"/>
      <c r="C1487" s="347"/>
      <c r="D1487" s="390"/>
    </row>
    <row r="1488" spans="1:4" s="376" customFormat="1" ht="13.8">
      <c r="A1488" s="347"/>
      <c r="B1488" s="348"/>
      <c r="C1488" s="347"/>
      <c r="D1488" s="390"/>
    </row>
    <row r="1489" spans="1:4" s="376" customFormat="1" ht="13.8">
      <c r="A1489" s="347"/>
      <c r="B1489" s="348"/>
      <c r="C1489" s="347"/>
      <c r="D1489" s="390"/>
    </row>
    <row r="1490" spans="1:4" s="376" customFormat="1" ht="13.8">
      <c r="A1490" s="347"/>
      <c r="B1490" s="348"/>
      <c r="C1490" s="347"/>
      <c r="D1490" s="390"/>
    </row>
    <row r="1491" spans="1:4" s="376" customFormat="1" ht="13.8">
      <c r="A1491" s="347"/>
      <c r="B1491" s="348"/>
      <c r="C1491" s="347"/>
      <c r="D1491" s="390"/>
    </row>
    <row r="1492" spans="1:4" s="376" customFormat="1" ht="13.8">
      <c r="A1492" s="347"/>
      <c r="B1492" s="348"/>
      <c r="C1492" s="347"/>
      <c r="D1492" s="390"/>
    </row>
    <row r="1493" spans="1:4" s="376" customFormat="1" ht="13.8">
      <c r="A1493" s="347"/>
      <c r="B1493" s="348"/>
      <c r="C1493" s="347"/>
      <c r="D1493" s="390"/>
    </row>
    <row r="1494" spans="1:4" s="376" customFormat="1" ht="13.8">
      <c r="A1494" s="347"/>
      <c r="B1494" s="348"/>
      <c r="C1494" s="347"/>
      <c r="D1494" s="390"/>
    </row>
    <row r="1495" spans="1:4" s="376" customFormat="1" ht="13.8">
      <c r="A1495" s="347"/>
      <c r="B1495" s="348"/>
      <c r="C1495" s="347"/>
      <c r="D1495" s="390"/>
    </row>
    <row r="1496" spans="1:4" s="376" customFormat="1" ht="13.8">
      <c r="A1496" s="347"/>
      <c r="B1496" s="348"/>
      <c r="C1496" s="347"/>
      <c r="D1496" s="390"/>
    </row>
    <row r="1497" spans="1:4" s="376" customFormat="1" ht="13.8">
      <c r="A1497" s="347"/>
      <c r="B1497" s="348"/>
      <c r="C1497" s="347"/>
      <c r="D1497" s="390"/>
    </row>
    <row r="1498" spans="1:4" s="376" customFormat="1" ht="13.8">
      <c r="A1498" s="347"/>
      <c r="B1498" s="348"/>
      <c r="C1498" s="347"/>
      <c r="D1498" s="390"/>
    </row>
    <row r="1499" spans="1:4" s="376" customFormat="1" ht="13.8">
      <c r="A1499" s="347"/>
      <c r="B1499" s="348"/>
      <c r="C1499" s="347"/>
      <c r="D1499" s="390"/>
    </row>
    <row r="1500" spans="1:4" s="376" customFormat="1" ht="13.8">
      <c r="A1500" s="347"/>
      <c r="B1500" s="348"/>
      <c r="C1500" s="347"/>
      <c r="D1500" s="390"/>
    </row>
    <row r="1501" spans="1:4" s="376" customFormat="1" ht="13.8">
      <c r="A1501" s="347"/>
      <c r="B1501" s="348"/>
      <c r="C1501" s="347"/>
      <c r="D1501" s="390"/>
    </row>
    <row r="1502" spans="1:4" s="376" customFormat="1" ht="13.8">
      <c r="A1502" s="347"/>
      <c r="B1502" s="348"/>
      <c r="C1502" s="347"/>
      <c r="D1502" s="390"/>
    </row>
    <row r="1503" spans="1:4" s="376" customFormat="1" ht="13.8">
      <c r="A1503" s="347"/>
      <c r="B1503" s="348"/>
      <c r="C1503" s="347"/>
      <c r="D1503" s="390"/>
    </row>
    <row r="1504" spans="1:4" s="376" customFormat="1" ht="13.8">
      <c r="A1504" s="347"/>
      <c r="B1504" s="348"/>
      <c r="C1504" s="347"/>
      <c r="D1504" s="390"/>
    </row>
    <row r="1505" spans="1:4" s="376" customFormat="1" ht="13.8">
      <c r="A1505" s="347"/>
      <c r="B1505" s="348"/>
      <c r="C1505" s="347"/>
      <c r="D1505" s="390"/>
    </row>
    <row r="1506" spans="1:4" s="376" customFormat="1" ht="13.8">
      <c r="A1506" s="347"/>
      <c r="B1506" s="348"/>
      <c r="C1506" s="347"/>
      <c r="D1506" s="390"/>
    </row>
    <row r="1507" spans="1:4" s="376" customFormat="1" ht="13.8">
      <c r="A1507" s="347"/>
      <c r="B1507" s="348"/>
      <c r="C1507" s="347"/>
      <c r="D1507" s="390"/>
    </row>
    <row r="1508" spans="1:4" s="376" customFormat="1" ht="13.8">
      <c r="A1508" s="347"/>
      <c r="B1508" s="348"/>
      <c r="C1508" s="347"/>
      <c r="D1508" s="390"/>
    </row>
    <row r="1509" spans="1:4" s="376" customFormat="1" ht="13.8">
      <c r="A1509" s="347"/>
      <c r="B1509" s="348"/>
      <c r="C1509" s="347"/>
      <c r="D1509" s="390"/>
    </row>
    <row r="1510" spans="1:4" s="376" customFormat="1" ht="13.8">
      <c r="A1510" s="347"/>
      <c r="B1510" s="348"/>
      <c r="C1510" s="347"/>
      <c r="D1510" s="390"/>
    </row>
    <row r="1511" spans="1:4" s="376" customFormat="1" ht="13.8">
      <c r="A1511" s="347"/>
      <c r="B1511" s="348"/>
      <c r="C1511" s="347"/>
      <c r="D1511" s="390"/>
    </row>
    <row r="1512" spans="1:4" s="376" customFormat="1" ht="13.8">
      <c r="A1512" s="347"/>
      <c r="B1512" s="348"/>
      <c r="C1512" s="347"/>
      <c r="D1512" s="390"/>
    </row>
    <row r="1513" spans="1:4" s="376" customFormat="1" ht="13.8">
      <c r="A1513" s="347"/>
      <c r="B1513" s="348"/>
      <c r="C1513" s="347"/>
      <c r="D1513" s="390"/>
    </row>
    <row r="1514" spans="1:4" s="376" customFormat="1" ht="13.8">
      <c r="A1514" s="347"/>
      <c r="B1514" s="348"/>
      <c r="C1514" s="347"/>
      <c r="D1514" s="390"/>
    </row>
    <row r="1515" spans="1:4" s="376" customFormat="1" ht="13.8">
      <c r="A1515" s="347"/>
      <c r="B1515" s="348"/>
      <c r="C1515" s="347"/>
      <c r="D1515" s="390"/>
    </row>
    <row r="1516" spans="1:4" s="376" customFormat="1" ht="13.8">
      <c r="A1516" s="347"/>
      <c r="B1516" s="348"/>
      <c r="C1516" s="347"/>
      <c r="D1516" s="390"/>
    </row>
    <row r="1517" spans="1:4" s="376" customFormat="1" ht="13.8">
      <c r="A1517" s="347"/>
      <c r="B1517" s="348"/>
      <c r="C1517" s="347"/>
      <c r="D1517" s="390"/>
    </row>
    <row r="1518" spans="1:4" s="376" customFormat="1" ht="13.8">
      <c r="A1518" s="347"/>
      <c r="B1518" s="348"/>
      <c r="C1518" s="347"/>
      <c r="D1518" s="390"/>
    </row>
    <row r="1519" spans="1:4" s="376" customFormat="1" ht="13.8">
      <c r="A1519" s="347"/>
      <c r="B1519" s="348"/>
      <c r="C1519" s="347"/>
      <c r="D1519" s="390"/>
    </row>
    <row r="1520" spans="1:4" s="376" customFormat="1" ht="13.8">
      <c r="A1520" s="347"/>
      <c r="B1520" s="348"/>
      <c r="C1520" s="347"/>
      <c r="D1520" s="390"/>
    </row>
    <row r="1521" spans="1:4" s="376" customFormat="1" ht="13.8">
      <c r="A1521" s="347"/>
      <c r="B1521" s="348"/>
      <c r="C1521" s="347"/>
      <c r="D1521" s="390"/>
    </row>
    <row r="1522" spans="1:4" s="376" customFormat="1" ht="13.8">
      <c r="A1522" s="347"/>
      <c r="B1522" s="348"/>
      <c r="C1522" s="347"/>
      <c r="D1522" s="390"/>
    </row>
    <row r="1523" spans="1:4" s="376" customFormat="1" ht="13.8">
      <c r="A1523" s="347"/>
      <c r="B1523" s="348"/>
      <c r="C1523" s="347"/>
      <c r="D1523" s="390"/>
    </row>
    <row r="1524" spans="1:4" s="376" customFormat="1" ht="13.8">
      <c r="A1524" s="347"/>
      <c r="B1524" s="348"/>
      <c r="C1524" s="347"/>
      <c r="D1524" s="390"/>
    </row>
    <row r="1525" spans="1:4" s="376" customFormat="1" ht="13.8">
      <c r="A1525" s="347"/>
      <c r="B1525" s="348"/>
      <c r="C1525" s="347"/>
      <c r="D1525" s="390"/>
    </row>
    <row r="1526" spans="1:4" s="376" customFormat="1" ht="13.8">
      <c r="A1526" s="347"/>
      <c r="B1526" s="348"/>
      <c r="C1526" s="347"/>
      <c r="D1526" s="390"/>
    </row>
    <row r="1527" spans="1:4" s="376" customFormat="1" ht="13.8">
      <c r="A1527" s="347"/>
      <c r="B1527" s="348"/>
      <c r="C1527" s="347"/>
      <c r="D1527" s="390"/>
    </row>
    <row r="1528" spans="1:4" s="376" customFormat="1" ht="13.8">
      <c r="A1528" s="347"/>
      <c r="B1528" s="348"/>
      <c r="C1528" s="347"/>
      <c r="D1528" s="390"/>
    </row>
    <row r="1529" spans="1:4" s="376" customFormat="1" ht="13.8">
      <c r="A1529" s="347"/>
      <c r="B1529" s="348"/>
      <c r="C1529" s="347"/>
      <c r="D1529" s="390"/>
    </row>
    <row r="1530" spans="1:4" s="376" customFormat="1" ht="13.8">
      <c r="A1530" s="347"/>
      <c r="B1530" s="348"/>
      <c r="C1530" s="347"/>
      <c r="D1530" s="390"/>
    </row>
    <row r="1531" spans="1:4" s="376" customFormat="1" ht="13.8">
      <c r="A1531" s="347"/>
      <c r="B1531" s="348"/>
      <c r="C1531" s="347"/>
      <c r="D1531" s="390"/>
    </row>
    <row r="1532" spans="1:4" s="376" customFormat="1" ht="13.8">
      <c r="A1532" s="347"/>
      <c r="B1532" s="348"/>
      <c r="C1532" s="347"/>
      <c r="D1532" s="390"/>
    </row>
    <row r="1533" spans="1:4" s="376" customFormat="1" ht="13.8">
      <c r="A1533" s="347"/>
      <c r="B1533" s="348"/>
      <c r="C1533" s="347"/>
      <c r="D1533" s="390"/>
    </row>
    <row r="1534" spans="1:4" s="376" customFormat="1" ht="13.8">
      <c r="A1534" s="347"/>
      <c r="B1534" s="348"/>
      <c r="C1534" s="347"/>
      <c r="D1534" s="390"/>
    </row>
    <row r="1535" spans="1:4" s="376" customFormat="1" ht="13.8">
      <c r="A1535" s="347"/>
      <c r="B1535" s="348"/>
      <c r="C1535" s="347"/>
      <c r="D1535" s="390"/>
    </row>
    <row r="1536" spans="1:4" s="376" customFormat="1" ht="13.8">
      <c r="A1536" s="347"/>
      <c r="B1536" s="348"/>
      <c r="C1536" s="347"/>
      <c r="D1536" s="390"/>
    </row>
    <row r="1537" spans="1:4" s="376" customFormat="1" ht="13.8">
      <c r="A1537" s="347"/>
      <c r="B1537" s="348"/>
      <c r="C1537" s="347"/>
      <c r="D1537" s="390"/>
    </row>
    <row r="1538" spans="1:4" s="376" customFormat="1" ht="13.8">
      <c r="A1538" s="347"/>
      <c r="B1538" s="348"/>
      <c r="C1538" s="347"/>
      <c r="D1538" s="390"/>
    </row>
    <row r="1539" spans="1:4" s="376" customFormat="1" ht="13.8">
      <c r="A1539" s="347"/>
      <c r="B1539" s="348"/>
      <c r="C1539" s="347"/>
      <c r="D1539" s="390"/>
    </row>
    <row r="1540" spans="1:4" s="376" customFormat="1" ht="13.8">
      <c r="A1540" s="347"/>
      <c r="B1540" s="348"/>
      <c r="C1540" s="347"/>
      <c r="D1540" s="390"/>
    </row>
    <row r="1541" spans="1:4" s="376" customFormat="1" ht="13.8">
      <c r="A1541" s="347"/>
      <c r="B1541" s="348"/>
      <c r="C1541" s="347"/>
      <c r="D1541" s="390"/>
    </row>
    <row r="1542" spans="1:4" s="376" customFormat="1" ht="13.8">
      <c r="A1542" s="347"/>
      <c r="B1542" s="348"/>
      <c r="C1542" s="347"/>
      <c r="D1542" s="390"/>
    </row>
    <row r="1543" spans="1:4" s="376" customFormat="1" ht="13.8">
      <c r="A1543" s="347"/>
      <c r="B1543" s="348"/>
      <c r="C1543" s="347"/>
      <c r="D1543" s="390"/>
    </row>
    <row r="1544" spans="1:4" s="376" customFormat="1" ht="13.8">
      <c r="A1544" s="347"/>
      <c r="B1544" s="348"/>
      <c r="C1544" s="347"/>
      <c r="D1544" s="390"/>
    </row>
    <row r="1545" spans="1:4" s="376" customFormat="1" ht="13.8">
      <c r="A1545" s="347"/>
      <c r="B1545" s="348"/>
      <c r="C1545" s="347"/>
      <c r="D1545" s="390"/>
    </row>
    <row r="1546" spans="1:4" s="376" customFormat="1" ht="13.8">
      <c r="A1546" s="347"/>
      <c r="B1546" s="348"/>
      <c r="C1546" s="347"/>
      <c r="D1546" s="390"/>
    </row>
    <row r="1547" spans="1:4" s="376" customFormat="1" ht="13.8">
      <c r="A1547" s="347"/>
      <c r="B1547" s="348"/>
      <c r="C1547" s="347"/>
      <c r="D1547" s="390"/>
    </row>
    <row r="1548" spans="1:4" s="376" customFormat="1" ht="13.8">
      <c r="A1548" s="347"/>
      <c r="B1548" s="348"/>
      <c r="C1548" s="347"/>
      <c r="D1548" s="390"/>
    </row>
    <row r="1549" spans="1:4" s="376" customFormat="1" ht="13.8">
      <c r="A1549" s="347"/>
      <c r="B1549" s="348"/>
      <c r="C1549" s="347"/>
      <c r="D1549" s="390"/>
    </row>
    <row r="1550" spans="1:4" s="376" customFormat="1" ht="13.8">
      <c r="A1550" s="347"/>
      <c r="B1550" s="348"/>
      <c r="C1550" s="347"/>
      <c r="D1550" s="390"/>
    </row>
    <row r="1551" spans="1:4" s="376" customFormat="1" ht="13.8">
      <c r="A1551" s="347"/>
      <c r="B1551" s="348"/>
      <c r="C1551" s="347"/>
      <c r="D1551" s="390"/>
    </row>
    <row r="1552" spans="1:4" s="376" customFormat="1" ht="13.8">
      <c r="A1552" s="347"/>
      <c r="B1552" s="348"/>
      <c r="C1552" s="347"/>
      <c r="D1552" s="390"/>
    </row>
    <row r="1553" spans="1:6" s="376" customFormat="1" ht="13.8">
      <c r="A1553" s="347"/>
      <c r="B1553" s="348"/>
      <c r="C1553" s="347"/>
      <c r="D1553" s="390"/>
    </row>
    <row r="1554" spans="1:6" s="376" customFormat="1" ht="13.8">
      <c r="A1554" s="347"/>
      <c r="B1554" s="348"/>
      <c r="C1554" s="347"/>
      <c r="D1554" s="390"/>
    </row>
    <row r="1555" spans="1:6" s="376" customFormat="1" ht="13.8">
      <c r="A1555" s="347"/>
      <c r="B1555" s="348"/>
      <c r="C1555" s="347"/>
      <c r="D1555" s="390"/>
    </row>
    <row r="1556" spans="1:6" s="376" customFormat="1" ht="13.8">
      <c r="A1556" s="347"/>
      <c r="B1556" s="348"/>
      <c r="C1556" s="347"/>
      <c r="D1556" s="390"/>
    </row>
    <row r="1557" spans="1:6" s="376" customFormat="1" ht="14.25" customHeight="1">
      <c r="A1557" s="347"/>
      <c r="B1557" s="348"/>
      <c r="C1557" s="347"/>
      <c r="D1557" s="390"/>
    </row>
    <row r="1558" spans="1:6" s="376" customFormat="1" ht="13.8">
      <c r="A1558" s="347"/>
      <c r="B1558" s="348"/>
      <c r="C1558" s="347"/>
      <c r="D1558" s="390"/>
    </row>
    <row r="1559" spans="1:6" s="376" customFormat="1" ht="13.8">
      <c r="A1559" s="347"/>
      <c r="B1559" s="348"/>
      <c r="C1559" s="347"/>
      <c r="D1559" s="390"/>
    </row>
    <row r="1560" spans="1:6" s="376" customFormat="1" ht="13.8">
      <c r="A1560" s="347"/>
      <c r="B1560" s="348"/>
      <c r="C1560" s="347"/>
      <c r="D1560" s="390"/>
    </row>
    <row r="1561" spans="1:6" s="376" customFormat="1" ht="13.8">
      <c r="A1561" s="347"/>
      <c r="B1561" s="348"/>
      <c r="C1561" s="347"/>
      <c r="D1561" s="390"/>
      <c r="E1561" s="348"/>
      <c r="F1561" s="348"/>
    </row>
    <row r="1562" spans="1:6" s="376" customFormat="1" ht="13.8">
      <c r="A1562" s="347"/>
      <c r="B1562" s="348"/>
      <c r="C1562" s="347"/>
      <c r="D1562" s="390"/>
    </row>
    <row r="1563" spans="1:6" ht="13.8">
      <c r="E1563" s="376"/>
      <c r="F1563" s="376"/>
    </row>
    <row r="1564" spans="1:6" s="376" customFormat="1" ht="5.25" customHeight="1">
      <c r="A1564" s="347"/>
      <c r="B1564" s="348"/>
      <c r="C1564" s="347"/>
      <c r="D1564" s="390"/>
    </row>
    <row r="1565" spans="1:6" s="376" customFormat="1" ht="13.8">
      <c r="A1565" s="347"/>
      <c r="B1565" s="348"/>
      <c r="C1565" s="347"/>
      <c r="D1565" s="390"/>
    </row>
    <row r="1566" spans="1:6" s="376" customFormat="1" ht="13.8">
      <c r="A1566" s="347"/>
      <c r="B1566" s="348"/>
      <c r="C1566" s="347"/>
      <c r="D1566" s="390"/>
    </row>
    <row r="1567" spans="1:6" s="376" customFormat="1" ht="13.8">
      <c r="A1567" s="347"/>
      <c r="B1567" s="348"/>
      <c r="C1567" s="347"/>
      <c r="D1567" s="390"/>
    </row>
    <row r="1568" spans="1:6" s="376" customFormat="1" ht="14.25" customHeight="1">
      <c r="A1568" s="347"/>
      <c r="B1568" s="348"/>
      <c r="C1568" s="347"/>
      <c r="D1568" s="390"/>
    </row>
    <row r="1569" spans="1:6" s="376" customFormat="1" ht="13.8">
      <c r="A1569" s="347"/>
      <c r="B1569" s="348"/>
      <c r="C1569" s="347"/>
      <c r="D1569" s="390"/>
    </row>
    <row r="1570" spans="1:6" s="376" customFormat="1" ht="13.8">
      <c r="A1570" s="347"/>
      <c r="B1570" s="348"/>
      <c r="C1570" s="347"/>
      <c r="D1570" s="390"/>
    </row>
    <row r="1571" spans="1:6" s="376" customFormat="1" ht="13.8">
      <c r="A1571" s="347"/>
      <c r="B1571" s="348"/>
      <c r="C1571" s="347"/>
      <c r="D1571" s="390"/>
    </row>
    <row r="1572" spans="1:6" s="376" customFormat="1" ht="13.8">
      <c r="A1572" s="347"/>
      <c r="B1572" s="348"/>
      <c r="C1572" s="347"/>
      <c r="D1572" s="390"/>
      <c r="E1572" s="348"/>
      <c r="F1572" s="348"/>
    </row>
    <row r="1573" spans="1:6" s="376" customFormat="1" ht="13.8">
      <c r="A1573" s="347"/>
      <c r="B1573" s="348"/>
      <c r="C1573" s="347"/>
      <c r="D1573" s="390"/>
    </row>
    <row r="1574" spans="1:6" ht="13.8">
      <c r="E1574" s="376"/>
      <c r="F1574" s="376"/>
    </row>
    <row r="1575" spans="1:6" s="376" customFormat="1" ht="13.8">
      <c r="A1575" s="347"/>
      <c r="B1575" s="348"/>
      <c r="C1575" s="347"/>
      <c r="D1575" s="390"/>
    </row>
    <row r="1576" spans="1:6" s="376" customFormat="1" ht="13.8">
      <c r="A1576" s="347"/>
      <c r="B1576" s="348"/>
      <c r="C1576" s="347"/>
      <c r="D1576" s="390"/>
    </row>
    <row r="1577" spans="1:6" s="376" customFormat="1" ht="13.8">
      <c r="A1577" s="347"/>
      <c r="B1577" s="348"/>
      <c r="C1577" s="347"/>
      <c r="D1577" s="390"/>
    </row>
    <row r="1578" spans="1:6" s="376" customFormat="1" ht="13.8">
      <c r="A1578" s="347"/>
      <c r="B1578" s="348"/>
      <c r="C1578" s="347"/>
      <c r="D1578" s="390"/>
    </row>
    <row r="1579" spans="1:6" s="376" customFormat="1" ht="13.8">
      <c r="A1579" s="347"/>
      <c r="B1579" s="348"/>
      <c r="C1579" s="347"/>
      <c r="D1579" s="390"/>
    </row>
    <row r="1580" spans="1:6" s="376" customFormat="1" ht="13.8">
      <c r="A1580" s="347"/>
      <c r="B1580" s="348"/>
      <c r="C1580" s="347"/>
      <c r="D1580" s="390"/>
    </row>
    <row r="1581" spans="1:6" s="376" customFormat="1" ht="13.8">
      <c r="A1581" s="347"/>
      <c r="B1581" s="348"/>
      <c r="C1581" s="347"/>
      <c r="D1581" s="390"/>
    </row>
    <row r="1582" spans="1:6" s="376" customFormat="1" ht="13.8">
      <c r="A1582" s="347"/>
      <c r="B1582" s="348"/>
      <c r="C1582" s="347"/>
      <c r="D1582" s="390"/>
    </row>
    <row r="1583" spans="1:6" s="376" customFormat="1" ht="13.8">
      <c r="A1583" s="347"/>
      <c r="B1583" s="348"/>
      <c r="C1583" s="347"/>
      <c r="D1583" s="390"/>
    </row>
    <row r="1584" spans="1:6" s="376" customFormat="1" ht="13.8">
      <c r="A1584" s="347"/>
      <c r="B1584" s="348"/>
      <c r="C1584" s="347"/>
      <c r="D1584" s="390"/>
    </row>
    <row r="1585" spans="1:4" s="376" customFormat="1" ht="13.8">
      <c r="A1585" s="347"/>
      <c r="B1585" s="348"/>
      <c r="C1585" s="347"/>
      <c r="D1585" s="390"/>
    </row>
    <row r="1586" spans="1:4" s="376" customFormat="1" ht="13.8">
      <c r="A1586" s="347"/>
      <c r="B1586" s="348"/>
      <c r="C1586" s="347"/>
      <c r="D1586" s="390"/>
    </row>
    <row r="1587" spans="1:4" s="376" customFormat="1" ht="13.8">
      <c r="A1587" s="347"/>
      <c r="B1587" s="348"/>
      <c r="C1587" s="347"/>
      <c r="D1587" s="390"/>
    </row>
    <row r="1588" spans="1:4" s="376" customFormat="1" ht="13.8">
      <c r="A1588" s="347"/>
      <c r="B1588" s="348"/>
      <c r="C1588" s="347"/>
      <c r="D1588" s="390"/>
    </row>
    <row r="1589" spans="1:4" s="376" customFormat="1" ht="13.8">
      <c r="A1589" s="347"/>
      <c r="B1589" s="348"/>
      <c r="C1589" s="347"/>
      <c r="D1589" s="390"/>
    </row>
    <row r="1590" spans="1:4" s="376" customFormat="1" ht="13.8">
      <c r="A1590" s="347"/>
      <c r="B1590" s="348"/>
      <c r="C1590" s="347"/>
      <c r="D1590" s="390"/>
    </row>
    <row r="1591" spans="1:4" s="376" customFormat="1" ht="13.8">
      <c r="A1591" s="347"/>
      <c r="B1591" s="348"/>
      <c r="C1591" s="347"/>
      <c r="D1591" s="390"/>
    </row>
    <row r="1592" spans="1:4" s="376" customFormat="1" ht="13.8">
      <c r="A1592" s="347"/>
      <c r="B1592" s="348"/>
      <c r="C1592" s="347"/>
      <c r="D1592" s="390"/>
    </row>
    <row r="1593" spans="1:4" s="376" customFormat="1" ht="13.8">
      <c r="A1593" s="347"/>
      <c r="B1593" s="348"/>
      <c r="C1593" s="347"/>
      <c r="D1593" s="390"/>
    </row>
    <row r="1594" spans="1:4" s="376" customFormat="1" ht="13.8">
      <c r="A1594" s="347"/>
      <c r="B1594" s="348"/>
      <c r="C1594" s="347"/>
      <c r="D1594" s="390"/>
    </row>
    <row r="1595" spans="1:4" s="376" customFormat="1" ht="13.8">
      <c r="A1595" s="347"/>
      <c r="B1595" s="348"/>
      <c r="C1595" s="347"/>
      <c r="D1595" s="390"/>
    </row>
    <row r="1596" spans="1:4" s="376" customFormat="1" ht="13.8">
      <c r="A1596" s="347"/>
      <c r="B1596" s="348"/>
      <c r="C1596" s="347"/>
      <c r="D1596" s="390"/>
    </row>
    <row r="1597" spans="1:4" s="376" customFormat="1" ht="13.8">
      <c r="A1597" s="347"/>
      <c r="B1597" s="348"/>
      <c r="C1597" s="347"/>
      <c r="D1597" s="390"/>
    </row>
    <row r="1598" spans="1:4" s="376" customFormat="1" ht="13.8">
      <c r="A1598" s="347"/>
      <c r="B1598" s="348"/>
      <c r="C1598" s="347"/>
      <c r="D1598" s="390"/>
    </row>
    <row r="1599" spans="1:4" s="376" customFormat="1" ht="13.8">
      <c r="A1599" s="347"/>
      <c r="B1599" s="348"/>
      <c r="C1599" s="347"/>
      <c r="D1599" s="390"/>
    </row>
    <row r="1600" spans="1:4" s="376" customFormat="1" ht="13.8">
      <c r="A1600" s="347"/>
      <c r="B1600" s="348"/>
      <c r="C1600" s="347"/>
      <c r="D1600" s="390"/>
    </row>
    <row r="1601" spans="1:4" s="376" customFormat="1" ht="13.8">
      <c r="A1601" s="347"/>
      <c r="B1601" s="348"/>
      <c r="C1601" s="347"/>
      <c r="D1601" s="390"/>
    </row>
    <row r="1602" spans="1:4" s="376" customFormat="1" ht="13.8">
      <c r="A1602" s="347"/>
      <c r="B1602" s="348"/>
      <c r="C1602" s="347"/>
      <c r="D1602" s="390"/>
    </row>
    <row r="1603" spans="1:4" s="376" customFormat="1" ht="13.8">
      <c r="A1603" s="347"/>
      <c r="B1603" s="348"/>
      <c r="C1603" s="347"/>
      <c r="D1603" s="390"/>
    </row>
    <row r="1604" spans="1:4" s="376" customFormat="1" ht="13.8">
      <c r="A1604" s="347"/>
      <c r="B1604" s="348"/>
      <c r="C1604" s="347"/>
      <c r="D1604" s="390"/>
    </row>
    <row r="1605" spans="1:4" s="376" customFormat="1" ht="13.8">
      <c r="A1605" s="347"/>
      <c r="B1605" s="348"/>
      <c r="C1605" s="347"/>
      <c r="D1605" s="390"/>
    </row>
    <row r="1606" spans="1:4" s="376" customFormat="1" ht="13.8">
      <c r="A1606" s="347"/>
      <c r="B1606" s="348"/>
      <c r="C1606" s="347"/>
      <c r="D1606" s="390"/>
    </row>
    <row r="1607" spans="1:4" s="376" customFormat="1" ht="13.8">
      <c r="A1607" s="347"/>
      <c r="B1607" s="348"/>
      <c r="C1607" s="347"/>
      <c r="D1607" s="390"/>
    </row>
    <row r="1608" spans="1:4" s="376" customFormat="1" ht="13.8">
      <c r="A1608" s="347"/>
      <c r="B1608" s="348"/>
      <c r="C1608" s="347"/>
      <c r="D1608" s="390"/>
    </row>
    <row r="1609" spans="1:4" s="376" customFormat="1" ht="13.8">
      <c r="A1609" s="347"/>
      <c r="B1609" s="348"/>
      <c r="C1609" s="347"/>
      <c r="D1609" s="390"/>
    </row>
    <row r="1610" spans="1:4" s="376" customFormat="1" ht="13.8">
      <c r="A1610" s="347"/>
      <c r="B1610" s="348"/>
      <c r="C1610" s="347"/>
      <c r="D1610" s="390"/>
    </row>
    <row r="1611" spans="1:4" s="376" customFormat="1" ht="13.8">
      <c r="A1611" s="347"/>
      <c r="B1611" s="348"/>
      <c r="C1611" s="347"/>
      <c r="D1611" s="390"/>
    </row>
    <row r="1612" spans="1:4" s="376" customFormat="1" ht="13.8">
      <c r="A1612" s="347"/>
      <c r="B1612" s="348"/>
      <c r="C1612" s="347"/>
      <c r="D1612" s="390"/>
    </row>
    <row r="1613" spans="1:4" s="376" customFormat="1" ht="13.8">
      <c r="A1613" s="347"/>
      <c r="B1613" s="348"/>
      <c r="C1613" s="347"/>
      <c r="D1613" s="390"/>
    </row>
    <row r="1614" spans="1:4" s="376" customFormat="1" ht="13.8">
      <c r="A1614" s="347"/>
      <c r="B1614" s="348"/>
      <c r="C1614" s="347"/>
      <c r="D1614" s="390"/>
    </row>
    <row r="1615" spans="1:4" s="376" customFormat="1" ht="13.8">
      <c r="A1615" s="347"/>
      <c r="B1615" s="348"/>
      <c r="C1615" s="347"/>
      <c r="D1615" s="390"/>
    </row>
    <row r="1616" spans="1:4" s="376" customFormat="1" ht="13.8">
      <c r="A1616" s="347"/>
      <c r="B1616" s="348"/>
      <c r="C1616" s="347"/>
      <c r="D1616" s="390"/>
    </row>
    <row r="1617" spans="1:4" s="376" customFormat="1" ht="13.8">
      <c r="A1617" s="347"/>
      <c r="B1617" s="348"/>
      <c r="C1617" s="347"/>
      <c r="D1617" s="390"/>
    </row>
    <row r="1618" spans="1:4" s="376" customFormat="1" ht="13.8">
      <c r="A1618" s="347"/>
      <c r="B1618" s="348"/>
      <c r="C1618" s="347"/>
      <c r="D1618" s="390"/>
    </row>
    <row r="1619" spans="1:4" s="376" customFormat="1" ht="13.8">
      <c r="A1619" s="347"/>
      <c r="B1619" s="348"/>
      <c r="C1619" s="347"/>
      <c r="D1619" s="390"/>
    </row>
    <row r="1620" spans="1:4" s="376" customFormat="1" ht="13.8">
      <c r="A1620" s="347"/>
      <c r="B1620" s="348"/>
      <c r="C1620" s="347"/>
      <c r="D1620" s="390"/>
    </row>
    <row r="1621" spans="1:4" s="376" customFormat="1" ht="13.8">
      <c r="A1621" s="347"/>
      <c r="B1621" s="348"/>
      <c r="C1621" s="347"/>
      <c r="D1621" s="390"/>
    </row>
    <row r="1622" spans="1:4" s="376" customFormat="1" ht="13.8">
      <c r="A1622" s="347"/>
      <c r="B1622" s="348"/>
      <c r="C1622" s="347"/>
      <c r="D1622" s="390"/>
    </row>
    <row r="1623" spans="1:4" s="376" customFormat="1" ht="13.8">
      <c r="A1623" s="347"/>
      <c r="B1623" s="348"/>
      <c r="C1623" s="347"/>
      <c r="D1623" s="390"/>
    </row>
    <row r="1624" spans="1:4" s="376" customFormat="1" ht="13.8">
      <c r="A1624" s="347"/>
      <c r="B1624" s="348"/>
      <c r="C1624" s="347"/>
      <c r="D1624" s="390"/>
    </row>
    <row r="1625" spans="1:4" s="376" customFormat="1" ht="13.8">
      <c r="A1625" s="347"/>
      <c r="B1625" s="348"/>
      <c r="C1625" s="347"/>
      <c r="D1625" s="390"/>
    </row>
    <row r="1626" spans="1:4" s="376" customFormat="1" ht="13.8">
      <c r="A1626" s="347"/>
      <c r="B1626" s="348"/>
      <c r="C1626" s="347"/>
      <c r="D1626" s="390"/>
    </row>
    <row r="1627" spans="1:4" s="376" customFormat="1" ht="13.8">
      <c r="A1627" s="347"/>
      <c r="B1627" s="348"/>
      <c r="C1627" s="347"/>
      <c r="D1627" s="390"/>
    </row>
    <row r="1628" spans="1:4" s="376" customFormat="1" ht="13.8">
      <c r="A1628" s="347"/>
      <c r="B1628" s="348"/>
      <c r="C1628" s="347"/>
      <c r="D1628" s="390"/>
    </row>
    <row r="1629" spans="1:4" s="376" customFormat="1" ht="13.8">
      <c r="A1629" s="347"/>
      <c r="B1629" s="348"/>
      <c r="C1629" s="347"/>
      <c r="D1629" s="390"/>
    </row>
    <row r="1630" spans="1:4" s="376" customFormat="1" ht="13.8">
      <c r="A1630" s="347"/>
      <c r="B1630" s="348"/>
      <c r="C1630" s="347"/>
      <c r="D1630" s="390"/>
    </row>
    <row r="1631" spans="1:4" s="376" customFormat="1" ht="13.8">
      <c r="A1631" s="347"/>
      <c r="B1631" s="348"/>
      <c r="C1631" s="347"/>
      <c r="D1631" s="390"/>
    </row>
    <row r="1632" spans="1:4" s="376" customFormat="1" ht="13.8">
      <c r="A1632" s="347"/>
      <c r="B1632" s="348"/>
      <c r="C1632" s="347"/>
      <c r="D1632" s="390"/>
    </row>
    <row r="1633" spans="1:4" s="376" customFormat="1" ht="13.8">
      <c r="A1633" s="347"/>
      <c r="B1633" s="348"/>
      <c r="C1633" s="347"/>
      <c r="D1633" s="390"/>
    </row>
    <row r="1634" spans="1:4" s="376" customFormat="1" ht="13.8">
      <c r="A1634" s="347"/>
      <c r="B1634" s="348"/>
      <c r="C1634" s="347"/>
      <c r="D1634" s="390"/>
    </row>
    <row r="1635" spans="1:4" s="376" customFormat="1" ht="13.8">
      <c r="A1635" s="347"/>
      <c r="B1635" s="348"/>
      <c r="C1635" s="347"/>
      <c r="D1635" s="390"/>
    </row>
    <row r="1636" spans="1:4" s="376" customFormat="1" ht="13.8">
      <c r="A1636" s="347"/>
      <c r="B1636" s="348"/>
      <c r="C1636" s="347"/>
      <c r="D1636" s="390"/>
    </row>
    <row r="1637" spans="1:4" s="376" customFormat="1" ht="13.8">
      <c r="A1637" s="347"/>
      <c r="B1637" s="348"/>
      <c r="C1637" s="347"/>
      <c r="D1637" s="390"/>
    </row>
    <row r="1638" spans="1:4" s="376" customFormat="1" ht="13.8">
      <c r="A1638" s="347"/>
      <c r="B1638" s="348"/>
      <c r="C1638" s="347"/>
      <c r="D1638" s="390"/>
    </row>
    <row r="1639" spans="1:4" s="376" customFormat="1" ht="13.8">
      <c r="A1639" s="347"/>
      <c r="B1639" s="348"/>
      <c r="C1639" s="347"/>
      <c r="D1639" s="390"/>
    </row>
    <row r="1640" spans="1:4" s="376" customFormat="1" ht="13.8">
      <c r="A1640" s="347"/>
      <c r="B1640" s="348"/>
      <c r="C1640" s="347"/>
      <c r="D1640" s="390"/>
    </row>
    <row r="1641" spans="1:4" s="376" customFormat="1" ht="13.8">
      <c r="A1641" s="347"/>
      <c r="B1641" s="348"/>
      <c r="C1641" s="347"/>
      <c r="D1641" s="390"/>
    </row>
    <row r="1642" spans="1:4" s="376" customFormat="1" ht="13.8">
      <c r="A1642" s="347"/>
      <c r="B1642" s="348"/>
      <c r="C1642" s="347"/>
      <c r="D1642" s="390"/>
    </row>
    <row r="1643" spans="1:4" s="376" customFormat="1" ht="13.8">
      <c r="A1643" s="347"/>
      <c r="B1643" s="348"/>
      <c r="C1643" s="347"/>
      <c r="D1643" s="390"/>
    </row>
    <row r="1644" spans="1:4" s="376" customFormat="1" ht="13.8">
      <c r="A1644" s="347"/>
      <c r="B1644" s="348"/>
      <c r="C1644" s="347"/>
      <c r="D1644" s="390"/>
    </row>
    <row r="1645" spans="1:4" s="376" customFormat="1" ht="13.8">
      <c r="A1645" s="347"/>
      <c r="B1645" s="348"/>
      <c r="C1645" s="347"/>
      <c r="D1645" s="390"/>
    </row>
    <row r="1646" spans="1:4" s="376" customFormat="1" ht="13.8">
      <c r="A1646" s="347"/>
      <c r="B1646" s="348"/>
      <c r="C1646" s="347"/>
      <c r="D1646" s="390"/>
    </row>
    <row r="1647" spans="1:4" s="376" customFormat="1" ht="13.8">
      <c r="A1647" s="347"/>
      <c r="B1647" s="348"/>
      <c r="C1647" s="347"/>
      <c r="D1647" s="390"/>
    </row>
    <row r="1648" spans="1:4" s="376" customFormat="1" ht="13.8">
      <c r="A1648" s="347"/>
      <c r="B1648" s="348"/>
      <c r="C1648" s="347"/>
      <c r="D1648" s="390"/>
    </row>
    <row r="1649" spans="1:4" s="376" customFormat="1" ht="13.8">
      <c r="A1649" s="347"/>
      <c r="B1649" s="348"/>
      <c r="C1649" s="347"/>
      <c r="D1649" s="390"/>
    </row>
    <row r="1650" spans="1:4" s="376" customFormat="1" ht="13.8">
      <c r="A1650" s="347"/>
      <c r="B1650" s="348"/>
      <c r="C1650" s="347"/>
      <c r="D1650" s="390"/>
    </row>
    <row r="1651" spans="1:4" s="376" customFormat="1" ht="13.8">
      <c r="A1651" s="347"/>
      <c r="B1651" s="348"/>
      <c r="C1651" s="347"/>
      <c r="D1651" s="390"/>
    </row>
    <row r="1652" spans="1:4" s="376" customFormat="1" ht="13.8">
      <c r="A1652" s="347"/>
      <c r="B1652" s="348"/>
      <c r="C1652" s="347"/>
      <c r="D1652" s="390"/>
    </row>
    <row r="1653" spans="1:4" s="376" customFormat="1" ht="13.8">
      <c r="A1653" s="347"/>
      <c r="B1653" s="348"/>
      <c r="C1653" s="347"/>
      <c r="D1653" s="390"/>
    </row>
    <row r="1654" spans="1:4" s="376" customFormat="1" ht="13.8">
      <c r="A1654" s="347"/>
      <c r="B1654" s="348"/>
      <c r="C1654" s="347"/>
      <c r="D1654" s="390"/>
    </row>
    <row r="1655" spans="1:4" s="376" customFormat="1" ht="13.8">
      <c r="A1655" s="347"/>
      <c r="B1655" s="348"/>
      <c r="C1655" s="347"/>
      <c r="D1655" s="390"/>
    </row>
    <row r="1656" spans="1:4" s="376" customFormat="1" ht="13.8">
      <c r="A1656" s="347"/>
      <c r="B1656" s="348"/>
      <c r="C1656" s="347"/>
      <c r="D1656" s="390"/>
    </row>
    <row r="1657" spans="1:4" s="376" customFormat="1" ht="13.8">
      <c r="A1657" s="347"/>
      <c r="B1657" s="348"/>
      <c r="C1657" s="347"/>
      <c r="D1657" s="390"/>
    </row>
    <row r="1658" spans="1:4" s="376" customFormat="1" ht="13.8">
      <c r="A1658" s="347"/>
      <c r="B1658" s="348"/>
      <c r="C1658" s="347"/>
      <c r="D1658" s="390"/>
    </row>
    <row r="1659" spans="1:4" s="376" customFormat="1" ht="13.8">
      <c r="A1659" s="347"/>
      <c r="B1659" s="348"/>
      <c r="C1659" s="347"/>
      <c r="D1659" s="390"/>
    </row>
    <row r="1660" spans="1:4" s="376" customFormat="1" ht="13.8">
      <c r="A1660" s="347"/>
      <c r="B1660" s="348"/>
      <c r="C1660" s="347"/>
      <c r="D1660" s="390"/>
    </row>
    <row r="1661" spans="1:4" s="376" customFormat="1" ht="13.8">
      <c r="A1661" s="347"/>
      <c r="B1661" s="348"/>
      <c r="C1661" s="347"/>
      <c r="D1661" s="390"/>
    </row>
    <row r="1662" spans="1:4" s="376" customFormat="1" ht="13.8">
      <c r="A1662" s="347"/>
      <c r="B1662" s="348"/>
      <c r="C1662" s="347"/>
      <c r="D1662" s="390"/>
    </row>
    <row r="1663" spans="1:4" s="376" customFormat="1" ht="13.8">
      <c r="A1663" s="347"/>
      <c r="B1663" s="348"/>
      <c r="C1663" s="347"/>
      <c r="D1663" s="390"/>
    </row>
    <row r="1664" spans="1:4" s="376" customFormat="1" ht="13.8">
      <c r="A1664" s="347"/>
      <c r="B1664" s="348"/>
      <c r="C1664" s="347"/>
      <c r="D1664" s="390"/>
    </row>
    <row r="1665" spans="1:6" s="376" customFormat="1" ht="13.8">
      <c r="A1665" s="347"/>
      <c r="B1665" s="348"/>
      <c r="C1665" s="347"/>
      <c r="D1665" s="390"/>
    </row>
    <row r="1666" spans="1:6" s="376" customFormat="1" ht="13.8">
      <c r="A1666" s="347"/>
      <c r="B1666" s="348"/>
      <c r="C1666" s="347"/>
      <c r="D1666" s="390"/>
      <c r="E1666" s="348"/>
      <c r="F1666" s="348"/>
    </row>
    <row r="1667" spans="1:6" s="376" customFormat="1" ht="13.8">
      <c r="A1667" s="347"/>
      <c r="B1667" s="348"/>
      <c r="C1667" s="347"/>
      <c r="D1667" s="390"/>
      <c r="E1667" s="348"/>
      <c r="F1667" s="348"/>
    </row>
  </sheetData>
  <mergeCells count="8">
    <mergeCell ref="A107:D107"/>
    <mergeCell ref="A117:D117"/>
    <mergeCell ref="A1:D1"/>
    <mergeCell ref="A4:D4"/>
    <mergeCell ref="A42:B42"/>
    <mergeCell ref="A62:D62"/>
    <mergeCell ref="A78:D78"/>
    <mergeCell ref="A93:D93"/>
  </mergeCells>
  <pageMargins left="0.7" right="0.7" top="0.78740157499999996" bottom="0.78740157499999996" header="0.3" footer="0.3"/>
  <pageSetup paperSize="9"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19</vt:i4>
      </vt:variant>
      <vt:variant>
        <vt:lpstr>Pojmenované oblasti</vt:lpstr>
      </vt:variant>
      <vt:variant>
        <vt:i4>9</vt:i4>
      </vt:variant>
    </vt:vector>
  </HeadingPairs>
  <TitlesOfParts>
    <vt:vector size="28" baseType="lpstr">
      <vt:lpstr>Krycí list rozpoctu</vt:lpstr>
      <vt:lpstr>VORN</vt:lpstr>
      <vt:lpstr>Celková rekapitulace</vt:lpstr>
      <vt:lpstr>Rekapitulace D1.1+D1.2</vt:lpstr>
      <vt:lpstr>D1.1.+D1.2 - Stav+konstrukční</vt:lpstr>
      <vt:lpstr>D1.1+D1.2 - Výkaz výmer</vt:lpstr>
      <vt:lpstr>Rekapitulace TZB</vt:lpstr>
      <vt:lpstr>D1.4a - ZTI</vt:lpstr>
      <vt:lpstr>D1.4b - Vytápění</vt:lpstr>
      <vt:lpstr>D1.4c - Vzduchotechnika</vt:lpstr>
      <vt:lpstr>D1.4d - Silnoproud</vt:lpstr>
      <vt:lpstr>D1.4e - Slaboproud</vt:lpstr>
      <vt:lpstr>D1.4f - Měření a regulace</vt:lpstr>
      <vt:lpstr>D.2.1 - Gastro</vt:lpstr>
      <vt:lpstr>D.2.2 - Přípojka kanalizace</vt:lpstr>
      <vt:lpstr>D.2.3 - Odlučovač tuků</vt:lpstr>
      <vt:lpstr>D.2.4 - Přípojka vodovodu</vt:lpstr>
      <vt:lpstr>D.2.5 - Přípojka plynovodu</vt:lpstr>
      <vt:lpstr>D.3.0 - Zpevněné plochy a komun</vt:lpstr>
      <vt:lpstr>'D.2.1 - Gastro'!_00013_00015_1PP_1</vt:lpstr>
      <vt:lpstr>Krycí_list_rozpoctu__F6_G7</vt:lpstr>
      <vt:lpstr>'D.2.2 - Přípojka kanalizace'!Oblast_tisku</vt:lpstr>
      <vt:lpstr>'D.2.3 - Odlučovač tuků'!Oblast_tisku</vt:lpstr>
      <vt:lpstr>'D.2.4 - Přípojka vodovodu'!Oblast_tisku</vt:lpstr>
      <vt:lpstr>'D.2.5 - Přípojka plynovodu'!Oblast_tisku</vt:lpstr>
      <vt:lpstr>'D1.4a - ZTI'!Oblast_tisku</vt:lpstr>
      <vt:lpstr>'D1.4c - Vzduchotechnika'!Oblast_tisku</vt:lpstr>
      <vt:lpstr>vorn_sum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husak</dc:creator>
  <cp:lastModifiedBy>Projektant2</cp:lastModifiedBy>
  <cp:lastPrinted>2020-07-21T12:19:22Z</cp:lastPrinted>
  <dcterms:created xsi:type="dcterms:W3CDTF">2020-06-23T21:58:36Z</dcterms:created>
  <dcterms:modified xsi:type="dcterms:W3CDTF">2020-07-24T12:17:51Z</dcterms:modified>
</cp:coreProperties>
</file>