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H Vinohrady, P-3\DPS\9_rozpocet\2025-07-15_Čistopis Střelba\"/>
    </mc:Choice>
  </mc:AlternateContent>
  <bookViews>
    <workbookView xWindow="-105" yWindow="-105" windowWidth="23250" windowHeight="12450" tabRatio="500"/>
  </bookViews>
  <sheets>
    <sheet name="Rekapitulace" sheetId="1" r:id="rId1"/>
    <sheet name="D1 Zpev.plochy" sheetId="2" r:id="rId2"/>
    <sheet name="D2 Veget.upravy" sheetId="3" r:id="rId3"/>
  </sheets>
  <definedNames>
    <definedName name="_xlnm.Print_Titles" localSheetId="1">'D1 Zpev.plochy'!$1:$4</definedName>
    <definedName name="_xlnm.Print_Titles" localSheetId="2">'D2 Veget.upravy'!$1:$4</definedName>
    <definedName name="_xlnm.Print_Area" localSheetId="1">'D1 Zpev.plochy'!$A$1:$I$194</definedName>
    <definedName name="_xlnm.Print_Area" localSheetId="2">'D2 Veget.upravy'!$A$1:$H$118</definedName>
    <definedName name="_xlnm.Print_Area" localSheetId="0">Rekapitulace!$A$1:$C$29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179" i="2" l="1"/>
  <c r="A176" i="2"/>
  <c r="M99" i="3" l="1"/>
  <c r="K99" i="3"/>
  <c r="E99" i="3"/>
  <c r="G99" i="3" s="1"/>
  <c r="M98" i="3"/>
  <c r="K98" i="3"/>
  <c r="G98" i="3"/>
  <c r="M97" i="3"/>
  <c r="K97" i="3"/>
  <c r="G97" i="3"/>
  <c r="M96" i="3"/>
  <c r="K96" i="3"/>
  <c r="G96" i="3"/>
  <c r="M95" i="3"/>
  <c r="K95" i="3"/>
  <c r="G95" i="3"/>
  <c r="M94" i="3"/>
  <c r="K94" i="3"/>
  <c r="G94" i="3"/>
  <c r="M93" i="3"/>
  <c r="K93" i="3"/>
  <c r="G93" i="3"/>
  <c r="M92" i="3"/>
  <c r="K92" i="3"/>
  <c r="G92" i="3"/>
  <c r="M91" i="3"/>
  <c r="K91" i="3"/>
  <c r="G91" i="3"/>
  <c r="G89" i="3"/>
  <c r="E89" i="3"/>
  <c r="K89" i="3" s="1"/>
  <c r="E88" i="3"/>
  <c r="G83" i="3"/>
  <c r="E83" i="3"/>
  <c r="K80" i="3"/>
  <c r="L80" i="3" s="1"/>
  <c r="M80" i="3" s="1"/>
  <c r="G80" i="3"/>
  <c r="L79" i="3"/>
  <c r="M79" i="3" s="1"/>
  <c r="K79" i="3"/>
  <c r="G79" i="3"/>
  <c r="K78" i="3"/>
  <c r="L78" i="3" s="1"/>
  <c r="M78" i="3" s="1"/>
  <c r="G78" i="3"/>
  <c r="L77" i="3"/>
  <c r="M77" i="3" s="1"/>
  <c r="K77" i="3"/>
  <c r="G77" i="3"/>
  <c r="L74" i="3"/>
  <c r="M74" i="3" s="1"/>
  <c r="K74" i="3"/>
  <c r="G74" i="3"/>
  <c r="M71" i="3"/>
  <c r="J71" i="3"/>
  <c r="K71" i="3" s="1"/>
  <c r="G71" i="3"/>
  <c r="E70" i="3"/>
  <c r="M67" i="3"/>
  <c r="G67" i="3"/>
  <c r="E67" i="3"/>
  <c r="K67" i="3" s="1"/>
  <c r="E66" i="3"/>
  <c r="M65" i="3"/>
  <c r="K65" i="3"/>
  <c r="G65" i="3"/>
  <c r="E65" i="3"/>
  <c r="K64" i="3"/>
  <c r="E64" i="3"/>
  <c r="M64" i="3" s="1"/>
  <c r="M63" i="3"/>
  <c r="J63" i="3"/>
  <c r="K63" i="3" s="1"/>
  <c r="G63" i="3"/>
  <c r="L62" i="3"/>
  <c r="K62" i="3"/>
  <c r="G62" i="3"/>
  <c r="E62" i="3"/>
  <c r="L61" i="3"/>
  <c r="M61" i="3" s="1"/>
  <c r="K61" i="3"/>
  <c r="G61" i="3"/>
  <c r="G58" i="3"/>
  <c r="K57" i="3"/>
  <c r="E57" i="3"/>
  <c r="M57" i="3" s="1"/>
  <c r="M56" i="3"/>
  <c r="G56" i="3"/>
  <c r="E56" i="3"/>
  <c r="E58" i="3" s="1"/>
  <c r="M55" i="3"/>
  <c r="K55" i="3"/>
  <c r="J55" i="3"/>
  <c r="G55" i="3"/>
  <c r="K54" i="3"/>
  <c r="E54" i="3"/>
  <c r="M54" i="3" s="1"/>
  <c r="M53" i="3"/>
  <c r="G53" i="3"/>
  <c r="E53" i="3"/>
  <c r="K53" i="3" s="1"/>
  <c r="M52" i="3"/>
  <c r="K52" i="3"/>
  <c r="J52" i="3"/>
  <c r="G52" i="3"/>
  <c r="K51" i="3"/>
  <c r="L51" i="3" s="1"/>
  <c r="E51" i="3"/>
  <c r="G51" i="3" s="1"/>
  <c r="E50" i="3"/>
  <c r="K49" i="3"/>
  <c r="G49" i="3"/>
  <c r="K45" i="3"/>
  <c r="E45" i="3"/>
  <c r="M45" i="3" s="1"/>
  <c r="K44" i="3"/>
  <c r="L44" i="3" s="1"/>
  <c r="M44" i="3" s="1"/>
  <c r="G44" i="3"/>
  <c r="L43" i="3"/>
  <c r="M43" i="3" s="1"/>
  <c r="K43" i="3"/>
  <c r="G43" i="3"/>
  <c r="K42" i="3"/>
  <c r="L42" i="3" s="1"/>
  <c r="M42" i="3" s="1"/>
  <c r="G42" i="3"/>
  <c r="L41" i="3"/>
  <c r="M41" i="3" s="1"/>
  <c r="K41" i="3"/>
  <c r="G41" i="3"/>
  <c r="M40" i="3"/>
  <c r="K40" i="3"/>
  <c r="L40" i="3" s="1"/>
  <c r="G40" i="3"/>
  <c r="E39" i="3"/>
  <c r="M38" i="3"/>
  <c r="K38" i="3"/>
  <c r="G38" i="3"/>
  <c r="J37" i="3"/>
  <c r="K37" i="3" s="1"/>
  <c r="E37" i="3"/>
  <c r="G37" i="3" s="1"/>
  <c r="K36" i="3"/>
  <c r="L36" i="3" s="1"/>
  <c r="M36" i="3" s="1"/>
  <c r="G36" i="3"/>
  <c r="M31" i="3"/>
  <c r="K31" i="3"/>
  <c r="J31" i="3"/>
  <c r="G31" i="3"/>
  <c r="K30" i="3"/>
  <c r="L30" i="3" s="1"/>
  <c r="E30" i="3"/>
  <c r="G30" i="3" s="1"/>
  <c r="M29" i="3"/>
  <c r="K29" i="3"/>
  <c r="G29" i="3"/>
  <c r="E28" i="3"/>
  <c r="J27" i="3"/>
  <c r="K27" i="3" s="1"/>
  <c r="E27" i="3"/>
  <c r="G27" i="3" s="1"/>
  <c r="K26" i="3"/>
  <c r="L26" i="3" s="1"/>
  <c r="M26" i="3" s="1"/>
  <c r="G26" i="3"/>
  <c r="M23" i="3"/>
  <c r="K23" i="3"/>
  <c r="G23" i="3"/>
  <c r="K22" i="3"/>
  <c r="L22" i="3" s="1"/>
  <c r="M22" i="3" s="1"/>
  <c r="G22" i="3"/>
  <c r="L21" i="3"/>
  <c r="M21" i="3" s="1"/>
  <c r="K21" i="3"/>
  <c r="G21" i="3"/>
  <c r="K20" i="3"/>
  <c r="L20" i="3" s="1"/>
  <c r="M20" i="3" s="1"/>
  <c r="J20" i="3"/>
  <c r="G20" i="3"/>
  <c r="J19" i="3"/>
  <c r="K19" i="3" s="1"/>
  <c r="L19" i="3" s="1"/>
  <c r="M19" i="3" s="1"/>
  <c r="G19" i="3"/>
  <c r="G18" i="3"/>
  <c r="E18" i="3"/>
  <c r="M17" i="3"/>
  <c r="K17" i="3"/>
  <c r="J17" i="3"/>
  <c r="G17" i="3"/>
  <c r="M16" i="3"/>
  <c r="J16" i="3"/>
  <c r="K16" i="3" s="1"/>
  <c r="G16" i="3"/>
  <c r="M15" i="3"/>
  <c r="K15" i="3"/>
  <c r="J15" i="3"/>
  <c r="G15" i="3"/>
  <c r="M14" i="3"/>
  <c r="J14" i="3"/>
  <c r="K14" i="3" s="1"/>
  <c r="G14" i="3"/>
  <c r="M13" i="3"/>
  <c r="K13" i="3"/>
  <c r="G13" i="3"/>
  <c r="M12" i="3"/>
  <c r="K12" i="3"/>
  <c r="G12" i="3"/>
  <c r="M11" i="3"/>
  <c r="K11" i="3"/>
  <c r="G11" i="3"/>
  <c r="M10" i="3"/>
  <c r="K10" i="3"/>
  <c r="G10" i="3"/>
  <c r="M9" i="3"/>
  <c r="K9" i="3"/>
  <c r="G9" i="3"/>
  <c r="M8" i="3"/>
  <c r="K8" i="3"/>
  <c r="G8" i="3"/>
  <c r="A8" i="3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6" i="3" s="1"/>
  <c r="A27" i="3" s="1"/>
  <c r="A28" i="3" s="1"/>
  <c r="A29" i="3" s="1"/>
  <c r="A30" i="3" s="1"/>
  <c r="A31" i="3" s="1"/>
  <c r="A32" i="3" s="1"/>
  <c r="A33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61" i="3" s="1"/>
  <c r="A62" i="3" s="1"/>
  <c r="A63" i="3" s="1"/>
  <c r="A64" i="3" s="1"/>
  <c r="L7" i="3"/>
  <c r="M7" i="3" s="1"/>
  <c r="K7" i="3"/>
  <c r="G7" i="3"/>
  <c r="A7" i="3"/>
  <c r="M6" i="3"/>
  <c r="K6" i="3"/>
  <c r="L6" i="3" s="1"/>
  <c r="G6" i="3"/>
  <c r="M182" i="2"/>
  <c r="K182" i="2"/>
  <c r="M181" i="2"/>
  <c r="K181" i="2"/>
  <c r="G181" i="2"/>
  <c r="M180" i="2"/>
  <c r="K180" i="2"/>
  <c r="G180" i="2"/>
  <c r="E179" i="2"/>
  <c r="G179" i="2" s="1"/>
  <c r="M173" i="2"/>
  <c r="K173" i="2"/>
  <c r="G173" i="2"/>
  <c r="M172" i="2"/>
  <c r="K172" i="2"/>
  <c r="G172" i="2"/>
  <c r="M171" i="2"/>
  <c r="K171" i="2"/>
  <c r="G171" i="2"/>
  <c r="M170" i="2"/>
  <c r="K170" i="2"/>
  <c r="G170" i="2"/>
  <c r="M169" i="2"/>
  <c r="K169" i="2"/>
  <c r="G169" i="2"/>
  <c r="M168" i="2"/>
  <c r="K168" i="2"/>
  <c r="G168" i="2"/>
  <c r="M167" i="2"/>
  <c r="K167" i="2"/>
  <c r="G167" i="2"/>
  <c r="M166" i="2"/>
  <c r="K166" i="2"/>
  <c r="G166" i="2"/>
  <c r="M165" i="2"/>
  <c r="K165" i="2"/>
  <c r="M164" i="2"/>
  <c r="K164" i="2"/>
  <c r="M163" i="2"/>
  <c r="K163" i="2"/>
  <c r="G163" i="2"/>
  <c r="M162" i="2"/>
  <c r="K162" i="2"/>
  <c r="G162" i="2"/>
  <c r="M161" i="2"/>
  <c r="K161" i="2"/>
  <c r="G161" i="2"/>
  <c r="M149" i="2"/>
  <c r="N149" i="2" s="1"/>
  <c r="K149" i="2"/>
  <c r="G149" i="2"/>
  <c r="L148" i="2"/>
  <c r="M148" i="2" s="1"/>
  <c r="Q148" i="2" s="1"/>
  <c r="K148" i="2"/>
  <c r="G148" i="2"/>
  <c r="M147" i="2"/>
  <c r="Q147" i="2" s="1"/>
  <c r="K147" i="2"/>
  <c r="G147" i="2"/>
  <c r="M146" i="2"/>
  <c r="Q146" i="2" s="1"/>
  <c r="K146" i="2"/>
  <c r="G146" i="2"/>
  <c r="E145" i="2"/>
  <c r="K145" i="2" s="1"/>
  <c r="E143" i="2"/>
  <c r="G143" i="2" s="1"/>
  <c r="M142" i="2"/>
  <c r="Q142" i="2" s="1"/>
  <c r="K142" i="2"/>
  <c r="G142" i="2"/>
  <c r="M141" i="2"/>
  <c r="N141" i="2" s="1"/>
  <c r="K141" i="2"/>
  <c r="G141" i="2"/>
  <c r="M140" i="2"/>
  <c r="P140" i="2" s="1"/>
  <c r="K140" i="2"/>
  <c r="G140" i="2"/>
  <c r="M139" i="2"/>
  <c r="P139" i="2" s="1"/>
  <c r="K139" i="2"/>
  <c r="G139" i="2"/>
  <c r="M138" i="2"/>
  <c r="N138" i="2" s="1"/>
  <c r="K138" i="2"/>
  <c r="G138" i="2"/>
  <c r="M137" i="2"/>
  <c r="N137" i="2" s="1"/>
  <c r="K137" i="2"/>
  <c r="G137" i="2"/>
  <c r="M136" i="2"/>
  <c r="P136" i="2" s="1"/>
  <c r="P150" i="2" s="1"/>
  <c r="K136" i="2"/>
  <c r="G136" i="2"/>
  <c r="M135" i="2"/>
  <c r="N135" i="2" s="1"/>
  <c r="K135" i="2"/>
  <c r="G135" i="2"/>
  <c r="E134" i="2"/>
  <c r="K134" i="2" s="1"/>
  <c r="M133" i="2"/>
  <c r="K133" i="2"/>
  <c r="G133" i="2"/>
  <c r="M130" i="2"/>
  <c r="J130" i="2"/>
  <c r="K130" i="2" s="1"/>
  <c r="G130" i="2"/>
  <c r="M129" i="2"/>
  <c r="J129" i="2"/>
  <c r="K129" i="2" s="1"/>
  <c r="G129" i="2"/>
  <c r="M128" i="2"/>
  <c r="J128" i="2"/>
  <c r="K128" i="2" s="1"/>
  <c r="G128" i="2"/>
  <c r="M127" i="2"/>
  <c r="K127" i="2"/>
  <c r="G127" i="2"/>
  <c r="M126" i="2"/>
  <c r="K126" i="2"/>
  <c r="G126" i="2"/>
  <c r="M125" i="2"/>
  <c r="J125" i="2"/>
  <c r="K125" i="2" s="1"/>
  <c r="G125" i="2"/>
  <c r="E123" i="2"/>
  <c r="M123" i="2" s="1"/>
  <c r="E122" i="2"/>
  <c r="M122" i="2" s="1"/>
  <c r="E121" i="2"/>
  <c r="G121" i="2" s="1"/>
  <c r="E120" i="2"/>
  <c r="E119" i="2" s="1"/>
  <c r="K119" i="2" s="1"/>
  <c r="J115" i="2"/>
  <c r="J114" i="2"/>
  <c r="E112" i="2"/>
  <c r="E113" i="2" s="1"/>
  <c r="K113" i="2" s="1"/>
  <c r="E109" i="2"/>
  <c r="M109" i="2" s="1"/>
  <c r="M107" i="2"/>
  <c r="K107" i="2"/>
  <c r="G107" i="2"/>
  <c r="E102" i="2"/>
  <c r="E103" i="2" s="1"/>
  <c r="M103" i="2" s="1"/>
  <c r="E97" i="2"/>
  <c r="E98" i="2" s="1"/>
  <c r="E100" i="2" s="1"/>
  <c r="G100" i="2" s="1"/>
  <c r="E91" i="2"/>
  <c r="K91" i="2" s="1"/>
  <c r="E89" i="2"/>
  <c r="E87" i="2"/>
  <c r="E85" i="2"/>
  <c r="E83" i="2"/>
  <c r="E81" i="2"/>
  <c r="E79" i="2"/>
  <c r="E77" i="2"/>
  <c r="E74" i="2"/>
  <c r="E72" i="2"/>
  <c r="E70" i="2"/>
  <c r="E68" i="2"/>
  <c r="E66" i="2"/>
  <c r="E64" i="2"/>
  <c r="E62" i="2"/>
  <c r="E60" i="2"/>
  <c r="E58" i="2"/>
  <c r="M55" i="2"/>
  <c r="J55" i="2"/>
  <c r="K55" i="2" s="1"/>
  <c r="G55" i="2"/>
  <c r="E53" i="2"/>
  <c r="E54" i="2" s="1"/>
  <c r="K44" i="2"/>
  <c r="L44" i="2" s="1"/>
  <c r="M44" i="2" s="1"/>
  <c r="G44" i="2"/>
  <c r="K43" i="2"/>
  <c r="L43" i="2" s="1"/>
  <c r="M43" i="2" s="1"/>
  <c r="G43" i="2"/>
  <c r="K42" i="2"/>
  <c r="L42" i="2" s="1"/>
  <c r="M42" i="2" s="1"/>
  <c r="G42" i="2"/>
  <c r="E41" i="2"/>
  <c r="E39" i="2"/>
  <c r="E37" i="2"/>
  <c r="E35" i="2"/>
  <c r="E33" i="2"/>
  <c r="E31" i="2"/>
  <c r="E29" i="2"/>
  <c r="E27" i="2"/>
  <c r="E25" i="2"/>
  <c r="E23" i="2"/>
  <c r="E20" i="2"/>
  <c r="E19" i="2"/>
  <c r="E17" i="2"/>
  <c r="E16" i="2"/>
  <c r="E15" i="2"/>
  <c r="E14" i="2"/>
  <c r="A13" i="2"/>
  <c r="A18" i="2" s="1"/>
  <c r="A21" i="2" s="1"/>
  <c r="A42" i="2" s="1"/>
  <c r="A43" i="2" s="1"/>
  <c r="A44" i="2" s="1"/>
  <c r="A46" i="2" s="1"/>
  <c r="A47" i="2" s="1"/>
  <c r="A49" i="2" s="1"/>
  <c r="A53" i="2" s="1"/>
  <c r="A54" i="2" s="1"/>
  <c r="A55" i="2" s="1"/>
  <c r="A56" i="2" s="1"/>
  <c r="E12" i="2"/>
  <c r="E11" i="2"/>
  <c r="E10" i="2"/>
  <c r="E9" i="2"/>
  <c r="E8" i="2"/>
  <c r="E7" i="2"/>
  <c r="M62" i="3" l="1"/>
  <c r="G76" i="3"/>
  <c r="G113" i="3" s="1"/>
  <c r="Q150" i="2"/>
  <c r="K179" i="2"/>
  <c r="K178" i="2" s="1"/>
  <c r="E18" i="2"/>
  <c r="K18" i="2" s="1"/>
  <c r="L18" i="2" s="1"/>
  <c r="M18" i="2" s="1"/>
  <c r="M179" i="2"/>
  <c r="E56" i="2"/>
  <c r="K56" i="2" s="1"/>
  <c r="M143" i="2"/>
  <c r="N143" i="2" s="1"/>
  <c r="E6" i="2"/>
  <c r="K6" i="2" s="1"/>
  <c r="M91" i="2"/>
  <c r="K109" i="2"/>
  <c r="G134" i="2"/>
  <c r="E156" i="2"/>
  <c r="K156" i="2" s="1"/>
  <c r="G91" i="2"/>
  <c r="E104" i="2"/>
  <c r="K104" i="2" s="1"/>
  <c r="M134" i="2"/>
  <c r="N134" i="2" s="1"/>
  <c r="M145" i="2"/>
  <c r="Q145" i="2" s="1"/>
  <c r="E106" i="2"/>
  <c r="K106" i="2" s="1"/>
  <c r="G113" i="2"/>
  <c r="K123" i="2"/>
  <c r="G145" i="2"/>
  <c r="K160" i="2"/>
  <c r="E105" i="2"/>
  <c r="G105" i="2" s="1"/>
  <c r="G122" i="2"/>
  <c r="G123" i="2"/>
  <c r="G103" i="2"/>
  <c r="K121" i="2"/>
  <c r="K122" i="2"/>
  <c r="E21" i="2"/>
  <c r="K21" i="2" s="1"/>
  <c r="L21" i="2" s="1"/>
  <c r="M21" i="2" s="1"/>
  <c r="K103" i="2"/>
  <c r="G109" i="2"/>
  <c r="M121" i="2"/>
  <c r="K143" i="2"/>
  <c r="A65" i="3"/>
  <c r="A66" i="3" s="1"/>
  <c r="A67" i="3"/>
  <c r="A70" i="3" s="1"/>
  <c r="A71" i="3" s="1"/>
  <c r="A72" i="3" s="1"/>
  <c r="A73" i="3" s="1"/>
  <c r="A74" i="3" s="1"/>
  <c r="A77" i="3" s="1"/>
  <c r="A78" i="3" s="1"/>
  <c r="A79" i="3" s="1"/>
  <c r="A80" i="3" s="1"/>
  <c r="A83" i="3" s="1"/>
  <c r="A85" i="3" s="1"/>
  <c r="A86" i="3" s="1"/>
  <c r="A87" i="3" s="1"/>
  <c r="A88" i="3" s="1"/>
  <c r="A75" i="2"/>
  <c r="A90" i="2" s="1"/>
  <c r="A91" i="2" s="1"/>
  <c r="A98" i="2" s="1"/>
  <c r="A99" i="2" s="1"/>
  <c r="A100" i="2" s="1"/>
  <c r="A101" i="2" s="1"/>
  <c r="A103" i="2" s="1"/>
  <c r="A104" i="2" s="1"/>
  <c r="A105" i="2" s="1"/>
  <c r="A106" i="2" s="1"/>
  <c r="A107" i="2" s="1"/>
  <c r="A108" i="2" s="1"/>
  <c r="A109" i="2" s="1"/>
  <c r="A110" i="2" s="1"/>
  <c r="A113" i="2" s="1"/>
  <c r="A114" i="2" s="1"/>
  <c r="A115" i="2" s="1"/>
  <c r="A116" i="2" s="1"/>
  <c r="A117" i="2" s="1"/>
  <c r="A119" i="2" s="1"/>
  <c r="A121" i="2" s="1"/>
  <c r="A122" i="2" s="1"/>
  <c r="A123" i="2" s="1"/>
  <c r="A125" i="2" s="1"/>
  <c r="A126" i="2" s="1"/>
  <c r="A127" i="2" s="1"/>
  <c r="A128" i="2" s="1"/>
  <c r="A129" i="2" s="1"/>
  <c r="A130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5" i="2" s="1"/>
  <c r="A146" i="2" s="1"/>
  <c r="A147" i="2" s="1"/>
  <c r="A148" i="2" s="1"/>
  <c r="A149" i="2" s="1"/>
  <c r="A150" i="2" s="1"/>
  <c r="A151" i="2" s="1"/>
  <c r="A152" i="2" s="1"/>
  <c r="A154" i="2" s="1"/>
  <c r="A156" i="2" s="1"/>
  <c r="A158" i="2" s="1"/>
  <c r="A161" i="2" s="1"/>
  <c r="K54" i="2"/>
  <c r="M54" i="2"/>
  <c r="G54" i="2"/>
  <c r="M53" i="2"/>
  <c r="K53" i="2"/>
  <c r="E99" i="2"/>
  <c r="G98" i="2"/>
  <c r="M98" i="2"/>
  <c r="K98" i="2"/>
  <c r="O133" i="2"/>
  <c r="E32" i="3"/>
  <c r="G28" i="3"/>
  <c r="E33" i="3"/>
  <c r="K28" i="3"/>
  <c r="L28" i="3" s="1"/>
  <c r="M28" i="3"/>
  <c r="G53" i="2"/>
  <c r="M178" i="2"/>
  <c r="G88" i="3"/>
  <c r="M88" i="3"/>
  <c r="K88" i="3"/>
  <c r="E13" i="2"/>
  <c r="G165" i="2"/>
  <c r="G164" i="2"/>
  <c r="L49" i="3"/>
  <c r="M49" i="3" s="1"/>
  <c r="K48" i="3"/>
  <c r="M100" i="2"/>
  <c r="K100" i="2"/>
  <c r="M119" i="2"/>
  <c r="G119" i="2"/>
  <c r="G70" i="3"/>
  <c r="K70" i="3"/>
  <c r="E117" i="2"/>
  <c r="E115" i="2"/>
  <c r="G115" i="2" s="1"/>
  <c r="M113" i="2"/>
  <c r="E75" i="2"/>
  <c r="E110" i="2"/>
  <c r="E114" i="2"/>
  <c r="G182" i="2"/>
  <c r="G178" i="2" s="1"/>
  <c r="G192" i="2" s="1"/>
  <c r="G39" i="3"/>
  <c r="E46" i="3"/>
  <c r="M39" i="3"/>
  <c r="K39" i="3"/>
  <c r="G5" i="3"/>
  <c r="G107" i="3" s="1"/>
  <c r="G50" i="3"/>
  <c r="K50" i="3"/>
  <c r="L50" i="3" s="1"/>
  <c r="M50" i="3" s="1"/>
  <c r="K58" i="3"/>
  <c r="M58" i="3"/>
  <c r="G66" i="3"/>
  <c r="M66" i="3"/>
  <c r="K66" i="3"/>
  <c r="K60" i="3" s="1"/>
  <c r="M27" i="3"/>
  <c r="M30" i="3"/>
  <c r="M37" i="3"/>
  <c r="M51" i="3"/>
  <c r="M89" i="3"/>
  <c r="K18" i="3"/>
  <c r="L18" i="3" s="1"/>
  <c r="M18" i="3" s="1"/>
  <c r="G45" i="3"/>
  <c r="G54" i="3"/>
  <c r="K56" i="3"/>
  <c r="G57" i="3"/>
  <c r="G64" i="3"/>
  <c r="K83" i="3"/>
  <c r="E85" i="3"/>
  <c r="G60" i="3" l="1"/>
  <c r="G111" i="3" s="1"/>
  <c r="O150" i="2"/>
  <c r="E154" i="2" s="1"/>
  <c r="R150" i="2"/>
  <c r="N150" i="2"/>
  <c r="M132" i="2"/>
  <c r="G6" i="2"/>
  <c r="G18" i="2"/>
  <c r="M105" i="2"/>
  <c r="K105" i="2"/>
  <c r="G56" i="2"/>
  <c r="M56" i="2"/>
  <c r="M104" i="2"/>
  <c r="G104" i="2"/>
  <c r="E150" i="2"/>
  <c r="E151" i="2" s="1"/>
  <c r="G160" i="2"/>
  <c r="G190" i="2" s="1"/>
  <c r="M156" i="2"/>
  <c r="G156" i="2"/>
  <c r="M106" i="2"/>
  <c r="E46" i="2"/>
  <c r="K46" i="2" s="1"/>
  <c r="L46" i="2" s="1"/>
  <c r="M46" i="2" s="1"/>
  <c r="G106" i="2"/>
  <c r="G21" i="2"/>
  <c r="E108" i="2"/>
  <c r="G108" i="2" s="1"/>
  <c r="XFD56" i="2"/>
  <c r="E116" i="2"/>
  <c r="M115" i="2"/>
  <c r="G117" i="2"/>
  <c r="M117" i="2"/>
  <c r="K117" i="2"/>
  <c r="K13" i="2"/>
  <c r="L13" i="2" s="1"/>
  <c r="M13" i="2" s="1"/>
  <c r="G13" i="2"/>
  <c r="M33" i="3"/>
  <c r="G33" i="3"/>
  <c r="E73" i="3"/>
  <c r="K33" i="3"/>
  <c r="L83" i="3"/>
  <c r="M83" i="3" s="1"/>
  <c r="K46" i="3"/>
  <c r="G46" i="3"/>
  <c r="G35" i="3" s="1"/>
  <c r="G109" i="3" s="1"/>
  <c r="K110" i="2"/>
  <c r="M110" i="2"/>
  <c r="G110" i="2"/>
  <c r="K32" i="3"/>
  <c r="G32" i="3"/>
  <c r="M32" i="3"/>
  <c r="M25" i="3" s="1"/>
  <c r="M99" i="2"/>
  <c r="K99" i="2"/>
  <c r="G99" i="2"/>
  <c r="E101" i="2"/>
  <c r="E90" i="2"/>
  <c r="G75" i="2"/>
  <c r="M75" i="2"/>
  <c r="K75" i="2"/>
  <c r="A89" i="3"/>
  <c r="A91" i="3" s="1"/>
  <c r="A92" i="3" s="1"/>
  <c r="A93" i="3" s="1"/>
  <c r="A94" i="3" s="1"/>
  <c r="A95" i="3" s="1"/>
  <c r="A96" i="3" s="1"/>
  <c r="A97" i="3" s="1"/>
  <c r="A98" i="3" s="1"/>
  <c r="A99" i="3" s="1"/>
  <c r="A102" i="3" s="1"/>
  <c r="XFD88" i="3"/>
  <c r="E86" i="3"/>
  <c r="K85" i="3"/>
  <c r="L85" i="3" s="1"/>
  <c r="M85" i="3" s="1"/>
  <c r="E87" i="3"/>
  <c r="G85" i="3"/>
  <c r="G48" i="3"/>
  <c r="G110" i="3" s="1"/>
  <c r="K114" i="2"/>
  <c r="G114" i="2"/>
  <c r="M114" i="2"/>
  <c r="L70" i="3"/>
  <c r="M70" i="3" s="1"/>
  <c r="K115" i="2"/>
  <c r="K5" i="3"/>
  <c r="L6" i="2"/>
  <c r="M6" i="2" s="1"/>
  <c r="G25" i="3" l="1"/>
  <c r="G108" i="3" s="1"/>
  <c r="K154" i="2"/>
  <c r="M154" i="2"/>
  <c r="G154" i="2"/>
  <c r="G46" i="2"/>
  <c r="Q151" i="2"/>
  <c r="E152" i="2"/>
  <c r="A162" i="2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80" i="2" s="1"/>
  <c r="A181" i="2" s="1"/>
  <c r="A182" i="2" s="1"/>
  <c r="K108" i="2"/>
  <c r="G150" i="2"/>
  <c r="K150" i="2"/>
  <c r="M150" i="2"/>
  <c r="M108" i="2"/>
  <c r="E47" i="2"/>
  <c r="G47" i="2" s="1"/>
  <c r="K87" i="3"/>
  <c r="M87" i="3"/>
  <c r="G87" i="3"/>
  <c r="G82" i="3" s="1"/>
  <c r="G114" i="3" s="1"/>
  <c r="K25" i="3"/>
  <c r="G73" i="3"/>
  <c r="K73" i="3"/>
  <c r="L73" i="3" s="1"/>
  <c r="M73" i="3" s="1"/>
  <c r="E72" i="3"/>
  <c r="K90" i="2"/>
  <c r="K52" i="2" s="1"/>
  <c r="G90" i="2"/>
  <c r="G52" i="2" s="1"/>
  <c r="G187" i="2" s="1"/>
  <c r="M90" i="2"/>
  <c r="M52" i="2" s="1"/>
  <c r="G116" i="2"/>
  <c r="K116" i="2"/>
  <c r="M116" i="2"/>
  <c r="L46" i="3"/>
  <c r="M46" i="3" s="1"/>
  <c r="K35" i="3"/>
  <c r="K151" i="2"/>
  <c r="G151" i="2"/>
  <c r="M151" i="2"/>
  <c r="K86" i="3"/>
  <c r="L86" i="3" s="1"/>
  <c r="M86" i="3" s="1"/>
  <c r="M82" i="3" s="1"/>
  <c r="G86" i="3"/>
  <c r="K101" i="2"/>
  <c r="M101" i="2"/>
  <c r="G101" i="2"/>
  <c r="K152" i="2" l="1"/>
  <c r="G152" i="2"/>
  <c r="M152" i="2"/>
  <c r="E158" i="2"/>
  <c r="E49" i="2"/>
  <c r="M49" i="2" s="1"/>
  <c r="M96" i="2"/>
  <c r="K96" i="2"/>
  <c r="K47" i="2"/>
  <c r="L47" i="2" s="1"/>
  <c r="M47" i="2" s="1"/>
  <c r="K132" i="2"/>
  <c r="G132" i="2"/>
  <c r="G189" i="2" s="1"/>
  <c r="G72" i="3"/>
  <c r="G69" i="3" s="1"/>
  <c r="G112" i="3" s="1"/>
  <c r="K72" i="3"/>
  <c r="K82" i="3"/>
  <c r="G96" i="2"/>
  <c r="G188" i="2" s="1"/>
  <c r="M158" i="2" l="1"/>
  <c r="G158" i="2"/>
  <c r="K158" i="2"/>
  <c r="K49" i="2"/>
  <c r="K5" i="2" s="1"/>
  <c r="K175" i="2" s="1"/>
  <c r="E176" i="2" s="1"/>
  <c r="M176" i="2" s="1"/>
  <c r="M175" i="2" s="1"/>
  <c r="M160" i="2" s="1"/>
  <c r="G49" i="2"/>
  <c r="G5" i="2" s="1"/>
  <c r="G186" i="2" s="1"/>
  <c r="M5" i="2"/>
  <c r="L72" i="3"/>
  <c r="M72" i="3" s="1"/>
  <c r="K69" i="3"/>
  <c r="K101" i="3" s="1"/>
  <c r="E102" i="3" s="1"/>
  <c r="K176" i="2" l="1"/>
  <c r="G176" i="2"/>
  <c r="G175" i="2" s="1"/>
  <c r="G191" i="2" s="1"/>
  <c r="G193" i="2" s="1"/>
  <c r="C5" i="1" s="1"/>
  <c r="K102" i="3"/>
  <c r="L102" i="3" s="1"/>
  <c r="M102" i="3" s="1"/>
  <c r="G102" i="3"/>
  <c r="G101" i="3" s="1"/>
  <c r="G115" i="3" s="1"/>
  <c r="G116" i="3" s="1"/>
  <c r="C6" i="1" s="1"/>
  <c r="C7" i="1" l="1"/>
  <c r="C17" i="1" l="1"/>
  <c r="C19" i="1" s="1"/>
  <c r="C20" i="1" s="1"/>
  <c r="C21" i="1" s="1"/>
</calcChain>
</file>

<file path=xl/sharedStrings.xml><?xml version="1.0" encoding="utf-8"?>
<sst xmlns="http://schemas.openxmlformats.org/spreadsheetml/2006/main" count="764" uniqueCount="336">
  <si>
    <r>
      <rPr>
        <b/>
        <sz val="10"/>
        <color theme="1"/>
        <rFont val="Arial"/>
        <family val="2"/>
        <charset val="238"/>
      </rPr>
      <t xml:space="preserve">  stavba </t>
    </r>
    <r>
      <rPr>
        <sz val="10"/>
        <color theme="1"/>
        <rFont val="Arial"/>
        <family val="2"/>
        <charset val="238"/>
      </rPr>
      <t xml:space="preserve">: </t>
    </r>
    <r>
      <rPr>
        <b/>
        <sz val="10"/>
        <color theme="1"/>
        <rFont val="Arial"/>
        <family val="2"/>
        <charset val="238"/>
      </rPr>
      <t>ÚPRAVA PARKU U VINOHRADSKÉ NEMOCNICE</t>
    </r>
  </si>
  <si>
    <t xml:space="preserve"> investor :  Městská část Praha 3</t>
  </si>
  <si>
    <t>Sestavení nákladů stavby</t>
  </si>
  <si>
    <t>D.1 Zpevněné plochy a mobiliář</t>
  </si>
  <si>
    <t>D.2 Vegetační úpravy</t>
  </si>
  <si>
    <t>Součet "A"</t>
  </si>
  <si>
    <t>Vedlejší a ostatní náklady</t>
  </si>
  <si>
    <t>Zařízení staveniště</t>
  </si>
  <si>
    <r>
      <rPr>
        <sz val="10"/>
        <color theme="1"/>
        <rFont val="Arial"/>
        <family val="2"/>
        <charset val="238"/>
      </rPr>
      <t>Dohled certifikovaného arboristy</t>
    </r>
    <r>
      <rPr>
        <sz val="10"/>
        <color theme="1"/>
        <rFont val="Arial Narrow"/>
        <family val="2"/>
        <charset val="238"/>
      </rPr>
      <t xml:space="preserve"> při práci v kořenových zónách stromů</t>
    </r>
  </si>
  <si>
    <t>Geodetické vytyčení prvků a ploch</t>
  </si>
  <si>
    <t>Dokumentace skutečného stavu</t>
  </si>
  <si>
    <t>Mimostaveništní doprava</t>
  </si>
  <si>
    <t>Součet "B"</t>
  </si>
  <si>
    <t>Součet "A + B" dodavatelská cena bez DPH</t>
  </si>
  <si>
    <t>DPH  21%</t>
  </si>
  <si>
    <t xml:space="preserve">stavba : </t>
  </si>
  <si>
    <t>ÚPRAVA PARKU U VINOHRADSKÉ NEMOCNICE</t>
  </si>
  <si>
    <t xml:space="preserve"> investor : </t>
  </si>
  <si>
    <t>Městská část Praha 3</t>
  </si>
  <si>
    <t>Rozpočet</t>
  </si>
  <si>
    <t>06 2025</t>
  </si>
  <si>
    <t>pol.č.</t>
  </si>
  <si>
    <t>kod</t>
  </si>
  <si>
    <t>popis</t>
  </si>
  <si>
    <t>mj</t>
  </si>
  <si>
    <t>počet</t>
  </si>
  <si>
    <t>jed.cena</t>
  </si>
  <si>
    <t>celkem Kč</t>
  </si>
  <si>
    <t>cen.soustava</t>
  </si>
  <si>
    <t>tun</t>
  </si>
  <si>
    <r>
      <rPr>
        <sz val="10"/>
        <rFont val="Symbol"/>
        <family val="1"/>
        <charset val="2"/>
      </rPr>
      <t>S</t>
    </r>
    <r>
      <rPr>
        <sz val="10"/>
        <rFont val="Segoe UI Symbol"/>
        <family val="1"/>
        <charset val="2"/>
      </rPr>
      <t xml:space="preserve"> tun</t>
    </r>
  </si>
  <si>
    <t>suť</t>
  </si>
  <si>
    <t xml:space="preserve"> Zemní práce</t>
  </si>
  <si>
    <t>Odkopávky a prokopávky nezapažené v hornině třídy těžitelnosti I skupiny 3 objem do 100 m3 strojně</t>
  </si>
  <si>
    <r>
      <rPr>
        <sz val="9"/>
        <color theme="1"/>
        <rFont val="Arial"/>
        <family val="2"/>
        <charset val="238"/>
      </rPr>
      <t>m</t>
    </r>
    <r>
      <rPr>
        <vertAlign val="superscript"/>
        <sz val="9"/>
        <color theme="1"/>
        <rFont val="Arial"/>
        <family val="2"/>
        <charset val="238"/>
      </rPr>
      <t>3</t>
    </r>
  </si>
  <si>
    <t>URS 2025/I</t>
  </si>
  <si>
    <t>Odkopání zeminy ze stávajících vegetačních ploch do 300 mm  47 m2</t>
  </si>
  <si>
    <r>
      <rPr>
        <i/>
        <sz val="9"/>
        <color theme="1"/>
        <rFont val="Arial"/>
        <family val="2"/>
        <charset val="238"/>
      </rPr>
      <t>m</t>
    </r>
    <r>
      <rPr>
        <i/>
        <vertAlign val="superscript"/>
        <sz val="9"/>
        <color theme="1"/>
        <rFont val="Arial"/>
        <family val="2"/>
        <charset val="238"/>
      </rPr>
      <t>3</t>
    </r>
  </si>
  <si>
    <t>Odkopání zeminy ze stávajících vegetačních ploch do 400 mm  9,3 m2</t>
  </si>
  <si>
    <t>Odkopání zeminy ze stávajících vegetačních ploch do 550 mm  6,2 m2</t>
  </si>
  <si>
    <t>Odkopávky zeminy ze stáv.vegetačních ploch pro trvalkové záhony, tl. 550 mm  22 m2</t>
  </si>
  <si>
    <t>Odkopávky zeminy pro trvalkové záhony, tl. 430 mm  11 m2</t>
  </si>
  <si>
    <t>Odkopávky zeminy pro parterový trávník, tl. 20 cm   484,73 m2</t>
  </si>
  <si>
    <t>Odkopávky a prokopávky v hornině třídy těžitelnosti I, skupiny 3 ručně</t>
  </si>
  <si>
    <t>Ruční odkopání zeminy ze stáv.vegetačních ploch do hloubky 300 mm  87 m2</t>
  </si>
  <si>
    <t>Ruční odkopání zeminy ze stáv.vegetačních ploch do hloubky 400 mm 3 m2</t>
  </si>
  <si>
    <t>Ruční odkopání zeminy ze stáv.vegetačních ploch do hloubky 550 mm  7,0 m2</t>
  </si>
  <si>
    <t>Ruční stržení drnu do hloubky 5 cm,    854,06 m2</t>
  </si>
  <si>
    <t>Hloubení rýh nezapažených š do 800 mm v hornině třídy těžitelnosti I skupiny 1 a 2 objem do 50 m3 strojně</t>
  </si>
  <si>
    <r>
      <rPr>
        <sz val="9"/>
        <rFont val="Arial"/>
        <family val="2"/>
        <charset val="238"/>
      </rPr>
      <t>m</t>
    </r>
    <r>
      <rPr>
        <vertAlign val="superscript"/>
        <sz val="9"/>
        <rFont val="Arial"/>
        <family val="2"/>
        <charset val="238"/>
      </rPr>
      <t>3</t>
    </r>
  </si>
  <si>
    <t>Odkopávky zeminy pro výsadbu živého plotu, hl. 600 mm  44,7 m2</t>
  </si>
  <si>
    <t>Kabelová chránička optického sdělovacího kabelu - odhadem 0,3*0,3*(7+3,66)</t>
  </si>
  <si>
    <t>Hloubení nezapažených šachet v hornině třídy těžitelnosti I skupiny 3 plocha výkopu do 4 m2 ručně</t>
  </si>
  <si>
    <t>Základová patka pro kotvení obruby  průměr 20 cm hl. 35cm  ks 196</t>
  </si>
  <si>
    <t>0,1*0,1*0,35*3,14</t>
  </si>
  <si>
    <t>M3</t>
  </si>
  <si>
    <t>zákl. patka pro kotvení obruby v místě styku s dřev.fošnou 30x30x35 cm ks 15</t>
  </si>
  <si>
    <t>0,3*0,3*0,35</t>
  </si>
  <si>
    <t>0,3*0,15*0,15*4+0,3*0,475*0,15*2</t>
  </si>
  <si>
    <t>Základový beton pro betonové patky koše C16/20</t>
  </si>
  <si>
    <t>0,3*0,6*0,6</t>
  </si>
  <si>
    <t>Schránka se sáčky na psí exkrementy beton.základ pr. 200 mm hl. 350, do pvc trubky tl. 6 mm</t>
  </si>
  <si>
    <t>0,1*0,1*3,154*0,35*3</t>
  </si>
  <si>
    <t>betonové patky stolku  "šachy"</t>
  </si>
  <si>
    <t>0,6*0,3*0,45*2</t>
  </si>
  <si>
    <t>beton pro betonové patky židlí  "šachy"</t>
  </si>
  <si>
    <t>0,5*0,45*0,45*2</t>
  </si>
  <si>
    <t>pororošt betonové patky 300x600x300  4x</t>
  </si>
  <si>
    <t>0,3*0,6*0,15*4</t>
  </si>
  <si>
    <t>pororošt betonové patky 300x650x300  2x</t>
  </si>
  <si>
    <t>0,3*0,65*0,15*2</t>
  </si>
  <si>
    <t>ztracené bednění do pvc trubky</t>
  </si>
  <si>
    <t>0,1*0,1*3,14*0,35</t>
  </si>
  <si>
    <t>Plošné sejmutí zeminy v kořenové zóně stromu jakékoli plochy technologií pneumatického rýče v rovině nebo na svahu do 1:5, hloubky do 150 mm</t>
  </si>
  <si>
    <r>
      <rPr>
        <sz val="9"/>
        <rFont val="Arial"/>
        <family val="2"/>
        <charset val="238"/>
      </rPr>
      <t>m</t>
    </r>
    <r>
      <rPr>
        <vertAlign val="superscript"/>
        <sz val="9"/>
        <rFont val="Arial"/>
        <family val="2"/>
        <charset val="238"/>
      </rPr>
      <t>2</t>
    </r>
  </si>
  <si>
    <t>Plošné sejmutí zeminy v kořenové zóně stromu jakékoli plochy technologií pneumatického rýče přes 150 do 300 mm v rovině nebo svahu do 1:5</t>
  </si>
  <si>
    <t>Vodorovné přemístění do 20 m výkopku/sypaniny z horniny třídy těžitelnosti I skupiny 1 až 3</t>
  </si>
  <si>
    <t>deponie, v místě řešeného území</t>
  </si>
  <si>
    <t>Nakládání výkopku z hornin třídy těžitelnosti I, skupiny 1 až 3 přes 100 m3</t>
  </si>
  <si>
    <r>
      <rPr>
        <sz val="10"/>
        <rFont val="Arial"/>
        <family val="2"/>
        <charset val="238"/>
      </rPr>
      <t>m</t>
    </r>
    <r>
      <rPr>
        <vertAlign val="superscript"/>
        <sz val="10"/>
        <rFont val="Arial"/>
        <family val="2"/>
        <charset val="238"/>
      </rPr>
      <t>3</t>
    </r>
  </si>
  <si>
    <t>Vodorovné přemístění přes 9 000 do 10000 m výkopku/sypaniny z horniny třídy těžitelnosti I skupiny 1 až 3</t>
  </si>
  <si>
    <t>246,1-58 =</t>
  </si>
  <si>
    <t>Poplatek za uložení zeminy a kamení na recyklační skládce (skládkovné) kód odpadu 17 05 04</t>
  </si>
  <si>
    <t>t</t>
  </si>
  <si>
    <t>182,0  m3 * 1,6 t</t>
  </si>
  <si>
    <t xml:space="preserve"> Základy</t>
  </si>
  <si>
    <r>
      <rPr>
        <sz val="9"/>
        <color rgb="FF000000"/>
        <rFont val="Arial"/>
        <family val="2"/>
        <charset val="238"/>
      </rPr>
      <t xml:space="preserve">Položení chráničky z plastových trubek DN přes 150 do 200 mm </t>
    </r>
    <r>
      <rPr>
        <i/>
        <sz val="9"/>
        <color rgb="FF000000"/>
        <rFont val="Arial"/>
        <family val="2"/>
        <charset val="238"/>
      </rPr>
      <t>- srovnatelně   ( 7+3,66 bm )</t>
    </r>
  </si>
  <si>
    <t>m</t>
  </si>
  <si>
    <t>3457000r</t>
  </si>
  <si>
    <t>R - pol.</t>
  </si>
  <si>
    <t>2759900r</t>
  </si>
  <si>
    <r>
      <rPr>
        <sz val="9"/>
        <color theme="1"/>
        <rFont val="Arial"/>
        <family val="2"/>
        <charset val="238"/>
      </rPr>
      <t>Úprava beton.obrubníku  na rozměr 80x80x250 mm vč.osazení do patky.</t>
    </r>
    <r>
      <rPr>
        <i/>
        <sz val="9"/>
        <color theme="1"/>
        <rFont val="Arial"/>
        <family val="2"/>
        <charset val="238"/>
      </rPr>
      <t xml:space="preserve"> JC obsahuje  dodání obrubníku ABO 8-10 500 x 80 x 250 mm a jeho úpravu na uvedený rozměr, následné osazení do připravené patky. V ceně jsou započteny  veškeré potřebné práce a technologické manipulace.</t>
    </r>
  </si>
  <si>
    <t>ks</t>
  </si>
  <si>
    <t>Základové patky z betonu tř. C 16/20</t>
  </si>
  <si>
    <r>
      <rPr>
        <sz val="9"/>
        <color rgb="FF000000"/>
        <rFont val="Arial"/>
        <family val="2"/>
        <charset val="238"/>
      </rPr>
      <t>m</t>
    </r>
    <r>
      <rPr>
        <vertAlign val="superscript"/>
        <sz val="9"/>
        <color rgb="FF000000"/>
        <rFont val="Arial"/>
        <family val="2"/>
        <charset val="238"/>
      </rPr>
      <t>3</t>
    </r>
  </si>
  <si>
    <t>zákl. patka pro kotvení obruby v místě styku s dřev. Fošnou 30x30x35 cm ks 15</t>
  </si>
  <si>
    <t>0,3*0,3*0,35*3,14</t>
  </si>
  <si>
    <t>0,3*0,3*0,3*4+0,3*0,475*0,3*2</t>
  </si>
  <si>
    <t>Základový beton pro betonové patky košů C16/20</t>
  </si>
  <si>
    <t>Schránka na psí exkrementy beton.základ pr. 200 mm hl. 350, do pvc trubky tl. 6 mm</t>
  </si>
  <si>
    <t>0,1*0,1*3,14*0,35*3</t>
  </si>
  <si>
    <t>0,6*0,3*0,6*2+0,1*0,15*0,4*2</t>
  </si>
  <si>
    <t>0,5*0,45*0,6*2+0,1*0,15*(0,35+0,45)*2</t>
  </si>
  <si>
    <t>0,3*0,6*0,3*4</t>
  </si>
  <si>
    <t>0,3*0,65*0,3*2</t>
  </si>
  <si>
    <t>Zřízení bednění základových patek</t>
  </si>
  <si>
    <r>
      <rPr>
        <sz val="9"/>
        <color rgb="FF000000"/>
        <rFont val="Arial"/>
        <family val="2"/>
        <charset val="238"/>
      </rPr>
      <t>m</t>
    </r>
    <r>
      <rPr>
        <vertAlign val="superscript"/>
        <sz val="9"/>
        <color rgb="FF000000"/>
        <rFont val="Arial"/>
        <family val="2"/>
        <charset val="238"/>
      </rPr>
      <t>2</t>
    </r>
  </si>
  <si>
    <t>0,3*0,35*4</t>
  </si>
  <si>
    <t>m2</t>
  </si>
  <si>
    <t>0,3*0,3*4*4+0,3*0,475*2+0,3*0,3*2</t>
  </si>
  <si>
    <t>0,15*(0,6+0,3)*2*2+0,15*(0,4+0,1)*2*2</t>
  </si>
  <si>
    <t>0,15*(0,45+0,45)*2*2+0,15*(0,5+0,3)*2*2+2</t>
  </si>
  <si>
    <t>0,3*0,6**4*4</t>
  </si>
  <si>
    <t>(0,3+0,65)*0,3*2*2</t>
  </si>
  <si>
    <t>Odstranění bednění základových patek</t>
  </si>
  <si>
    <t>27535000r</t>
  </si>
  <si>
    <t>Bednění základových patek, ztracené z PVC trubky pr. 200 mm, dl. 350mm. JC obsahuje  dodání trubky PVC uvedeného rozměru a osazení na místo k zabetonování. V ceně jsou započteny  veškeré potřebné práce a a technologické manipulace.</t>
  </si>
  <si>
    <t>Zpevněné plochy</t>
  </si>
  <si>
    <r>
      <rPr>
        <b/>
        <sz val="9"/>
        <rFont val="Arial"/>
        <family val="2"/>
        <charset val="238"/>
      </rPr>
      <t xml:space="preserve">4.1   Kamenná dlažba ze žulové kostky                                                  </t>
    </r>
    <r>
      <rPr>
        <sz val="9"/>
        <rFont val="Arial"/>
        <family val="2"/>
        <charset val="238"/>
      </rPr>
      <t>62,8+68,5+26+14,9 =</t>
    </r>
  </si>
  <si>
    <t>M2</t>
  </si>
  <si>
    <t>Podklad nebo kryt z kameniva hrubého drceného vel. 16-32 mm s rozprostřením a zhutněním plochy přes 100 m2, po zhutnění tl. 110 mm</t>
  </si>
  <si>
    <t>Podklad nebo kryt z kameniva hrubého drceného vel. 8-16 mm s rozprostřením a zhutněním plochy přes 100 m2, po zhutnění tl. 100 mm</t>
  </si>
  <si>
    <t>Kladení dlažby z kostek s provedením lože do tl. 50 mm, s vyplněním spár, s dvojím beraněním a se smetením přebytečného materiálu na krajnici drobných z kamene, do lože z kameniva těženého</t>
  </si>
  <si>
    <t>kostka řezanoštípaná dlažební žula 6x6x4cm</t>
  </si>
  <si>
    <r>
      <rPr>
        <i/>
        <sz val="9"/>
        <color rgb="FF0000FF"/>
        <rFont val="Arial"/>
        <family val="2"/>
        <charset val="238"/>
      </rPr>
      <t>m</t>
    </r>
    <r>
      <rPr>
        <i/>
        <vertAlign val="superscript"/>
        <sz val="9"/>
        <color rgb="FF0000FF"/>
        <rFont val="Arial"/>
        <family val="2"/>
        <charset val="238"/>
      </rPr>
      <t>2</t>
    </r>
  </si>
  <si>
    <r>
      <rPr>
        <b/>
        <sz val="9"/>
        <rFont val="Arial"/>
        <family val="2"/>
        <charset val="238"/>
      </rPr>
      <t xml:space="preserve">4.2   Betonový povrch                                                                                     </t>
    </r>
    <r>
      <rPr>
        <sz val="9"/>
        <rFont val="Arial"/>
        <family val="2"/>
        <charset val="238"/>
      </rPr>
      <t xml:space="preserve">16,0+56,9+80,3 = </t>
    </r>
  </si>
  <si>
    <t>Podklad ze štěrkodrtě ŠD plochy přes 100 m2 tl 30 mm</t>
  </si>
  <si>
    <r>
      <rPr>
        <sz val="9"/>
        <rFont val="Arial"/>
        <family val="2"/>
        <charset val="238"/>
      </rPr>
      <t>Podklad nebo kryt z kameniva hrubého drceného vel. 32-63 mm s rozprostřením a zhutněním plochy přes 100 m2, po zhutnění tl. 200 mm -</t>
    </r>
    <r>
      <rPr>
        <i/>
        <sz val="9"/>
        <rFont val="Arial"/>
        <family val="2"/>
        <charset val="238"/>
      </rPr>
      <t xml:space="preserve"> srovnatelně pro fr.0-64mm</t>
    </r>
  </si>
  <si>
    <t>Úprava pláně v hornině třídy těžitelnosti I skupiny 3 se zhutněním ručně</t>
  </si>
  <si>
    <t>Mazanina tl přes 120 do 240 mm z betonu prostého se zvýšenými nároky na prostředí tř. C 30/37  tl.170 mm</t>
  </si>
  <si>
    <t>Zdrsnění povrchu betonových podlah kartáčováním strojně s předchozím přehlazením</t>
  </si>
  <si>
    <t>Příplatek k mazaninám za přidání ocelových vláken (drátkobeton) pro objemové vyztužení 35 kg/m3</t>
  </si>
  <si>
    <t xml:space="preserve">Zřízení bednění rýh a hran v podlahách                                                             106,0 bm x 0,17 =                        </t>
  </si>
  <si>
    <t>Odstranění bednění rýh a hran v podlahách</t>
  </si>
  <si>
    <r>
      <rPr>
        <b/>
        <sz val="9"/>
        <rFont val="Arial"/>
        <family val="2"/>
        <charset val="238"/>
      </rPr>
      <t xml:space="preserve">4.3   Mlatový povrch                                                                                        </t>
    </r>
    <r>
      <rPr>
        <sz val="9"/>
        <rFont val="Arial"/>
        <family val="2"/>
        <charset val="238"/>
      </rPr>
      <t xml:space="preserve">33,65+9,4+57,7 = </t>
    </r>
  </si>
  <si>
    <t>Podklad nebo kryt z vibrovaného štěrku VŠ s rozprostřením, vlhčením a zhutněním, po zhutnění tl. 200 mm</t>
  </si>
  <si>
    <t>5640000r</t>
  </si>
  <si>
    <t>5640001r</t>
  </si>
  <si>
    <t>Geotextilie pro ochranu, separaci a filtraci netkaná měrná hm přes 300 do 500 g/m2</t>
  </si>
  <si>
    <t>6.1   Písková dopadová plocha</t>
  </si>
  <si>
    <t>Bezpečnostní dopadová plocha venkovní na dětském hřišti písek 350 mm - srovnatelně = Polštáře zhutněné pod základy ze štěrkopísku tříděného</t>
  </si>
  <si>
    <t>61,5*0,35</t>
  </si>
  <si>
    <t>m3</t>
  </si>
  <si>
    <t>Geotextilie pro ochranu, separaci a filtraci netkaná měrná hm do 200 g/m2</t>
  </si>
  <si>
    <t>Podklad ze štěrkodrti ŠD s rozprostřením a zhutněním plochy jednotlivě do 100 m2, po zhutnění tl. 200 mm</t>
  </si>
  <si>
    <t>Doplňující konstrukce a práce pozemních komunikací</t>
  </si>
  <si>
    <t>91610000r</t>
  </si>
  <si>
    <t>Dodávka - ocelový obrubník ,povrchově neupravená ocelová tyč průřezu L o rozměru 100×65×7 mm,kotvený do betonových patek roxorem tl. 8 mm, délka 300 mm.JC zahrnuje dopravu materiálu  do prostoru technologické manipulace nebo přímo do místa zabudování</t>
  </si>
  <si>
    <t>bm</t>
  </si>
  <si>
    <t>91617100r</t>
  </si>
  <si>
    <t>Osazení ocel.obrubníku do připravených beton.patek.V ceně jsou započteny  veškeré potřebné práce a a technologické manipulace.</t>
  </si>
  <si>
    <t>91617101r</t>
  </si>
  <si>
    <t>Ocelová pásovina 60x60x5 mm pro posílení svářečského spoje L-profilu a roxoru, del. 50 mm, kompletní provedení D + M vč.veškeré potřebné práce a a technologické manipulace.</t>
  </si>
  <si>
    <t>91617102r</t>
  </si>
  <si>
    <t>Obruba z dřevěné fošny 70x300, kotvená závitovou tyčí do dratkobetonu po 0,5 m, kompletní provedení D + M vč.veškeré potřebné práce a a technologické manipulace.</t>
  </si>
  <si>
    <t>91617103r</t>
  </si>
  <si>
    <t>Obruba z dřevěné fošny 70x300, kotvéná  2 závitovými tyčemi  M20 do připravrných beton.patek společných s ocelovým L-profilem / obrubou dlažby, kompletní provedení D + M vč.veškeré potřebné práce a a technologické manipulace.</t>
  </si>
  <si>
    <t>91617104r</t>
  </si>
  <si>
    <t>Obruba z dřevěné fošny 70x300, vč.kotvení zemními vruty Krinner, kompletní provedení D + M vč.veškeré potřebné práce a a technologické manipulace.</t>
  </si>
  <si>
    <t>Bourání (demontáž) konstrukcí objektů</t>
  </si>
  <si>
    <t>Odstranění podkladů nebo krytů strojně plochy jednotlivě přes 50 m2 do 200 m2 s přemístěním hmot na skládku na vzdálenost do 20 m nebo s naložením na dopravní prostředek živičných, o tl. vrstvy do 50 mm</t>
  </si>
  <si>
    <r>
      <rPr>
        <sz val="9"/>
        <rFont val="Arial"/>
        <family val="2"/>
        <charset val="238"/>
      </rPr>
      <t xml:space="preserve">Odstranění podkladů nebo krytů strojně plochy jednotlivě přes 50 m2 do 200 m2 s přemístěním hmot na skládku na vzdálenost do 20 m nebo s naložením na dopravní prostředek z betonu prostého, o tl. vrstvy do 100 mm                                                                      </t>
    </r>
    <r>
      <rPr>
        <i/>
        <sz val="9"/>
        <rFont val="Arial"/>
        <family val="2"/>
        <charset val="238"/>
      </rPr>
      <t xml:space="preserve"> = 332+94,3 m2</t>
    </r>
  </si>
  <si>
    <t>Rozebrání dlažeb ze zámkových dlaždic komunikací pro pěší strojně pl přes 50 m2</t>
  </si>
  <si>
    <t>Odstranění podkladu z kameniva drceného tl do 100 mm strojně pl přes 50 do 200 m2</t>
  </si>
  <si>
    <t xml:space="preserve">Odstranění podkladu z betonu prostého tl přes 150 do 300 mm strojně pl do 50 m2 </t>
  </si>
  <si>
    <t>Odstranění podkladů nebo krytů strojně plochy jednotlivě do 50 m2 s přemístěním hmot na skládku na vzdálenost do 3 m nebo s naložením na dopravní prostředek z betonu prostého, o tl. vrstvy přes 300 do 400 mm</t>
  </si>
  <si>
    <t>Odstranění podkladu z kameniva těženého tl přes 200 do 300 mm strojně pl přes 50 do 200 m2</t>
  </si>
  <si>
    <t>Odstranění podkladu z kameniva těženého tl přes 100 do 200 mm strojně pl do 50 m2</t>
  </si>
  <si>
    <t>Rozebrání dlažeb z betonových nebo kamenných dlaždic komunikací pro pěší strojně pl do 50 m2</t>
  </si>
  <si>
    <t>Rozebrání dřevěného oplocení se sloupky osové vzdálenosti do 4,00 m, výšky do 2,50 m, osazených do hloubky 1,00 m s příčníky a ocelovými sloupky z prken a latí</t>
  </si>
  <si>
    <r>
      <rPr>
        <sz val="9"/>
        <rFont val="Arial"/>
        <family val="2"/>
        <charset val="238"/>
      </rPr>
      <t>Bourání základů z betonu prostého -</t>
    </r>
    <r>
      <rPr>
        <i/>
        <sz val="9"/>
        <rFont val="Arial"/>
        <family val="2"/>
        <charset val="238"/>
      </rPr>
      <t xml:space="preserve"> základ.pas oplocení</t>
    </r>
  </si>
  <si>
    <t>odhadem  50*0,3*0,8</t>
  </si>
  <si>
    <t>Odstranění lavičky parkové stabilní zabetonované</t>
  </si>
  <si>
    <t>kus</t>
  </si>
  <si>
    <t>Odstranění odpadkového koše s betonovou patkou</t>
  </si>
  <si>
    <t>Odstranění dětské houpačky pružinové</t>
  </si>
  <si>
    <t>96600000r</t>
  </si>
  <si>
    <t>Rozebrání stávajícího pískoviště  200x200 cm, dřevěný rám z fošen,kopletní provedení včetně naložení suti na dopravní prostředek</t>
  </si>
  <si>
    <t>kpl</t>
  </si>
  <si>
    <t>Vytrhání obrub záhonových</t>
  </si>
  <si>
    <t>Vodorovná doprava vybouraných hmot do 1 km</t>
  </si>
  <si>
    <r>
      <rPr>
        <sz val="9"/>
        <rFont val="Arial"/>
        <family val="2"/>
        <charset val="238"/>
      </rPr>
      <t xml:space="preserve">Příplatek ZKD 1 km u vodorovné dopravy vybouraných hmot   </t>
    </r>
    <r>
      <rPr>
        <b/>
        <i/>
        <sz val="9"/>
        <rFont val="Arial"/>
        <family val="2"/>
        <charset val="238"/>
      </rPr>
      <t>= 9x</t>
    </r>
  </si>
  <si>
    <t>Poplatek za uložení na recyklační skládce (skládkovné) stavebního odpadu z prostého betonu pod kódem 17 01 01</t>
  </si>
  <si>
    <t>Poplatek za uložení na recyklační skládce (skládkovné) stavebního odpadu asfaltového bez obsahu dehtu zatříděného do Katalogu odpadů pod kódem 17 03 02</t>
  </si>
  <si>
    <t>Poplatek za uložení na recyklační skládce (skládkovné) stavebního odpadu zeminy a kamení zatříděného do Katalogu odpadů pod kódem 17 05 04</t>
  </si>
  <si>
    <t>Poplatek za uložení na skládce (skládkovné) stavebního odpadu směsného kód odpadu 17 09 04</t>
  </si>
  <si>
    <t>Mobiliář</t>
  </si>
  <si>
    <t>99991001r</t>
  </si>
  <si>
    <t>99991002r</t>
  </si>
  <si>
    <t>99991003r</t>
  </si>
  <si>
    <t>99991004r</t>
  </si>
  <si>
    <t>99991005r</t>
  </si>
  <si>
    <t>99991006r</t>
  </si>
  <si>
    <t>99991007r</t>
  </si>
  <si>
    <t>Šachový stolek, beton v pohledové kvalitě, leštěný povrch, přesná specifikace viz TZ, kap. 5.4, včetně plocháčů a 2x závitová tyč M16 dl.1,4 m - kompletní provedení D+M včetně všech nákladů na kotvení a technologické manipulace, montáž na připravené patky</t>
  </si>
  <si>
    <t>99991008r</t>
  </si>
  <si>
    <t>Sedák betonový k šachovému stolku,  beton v pohledové kvalitě, leštěný povrch, přesná specifikace viz TZ, kap. 5.4, k, včetně plocháčů a 3x závitová tyč M16 dl. 1,4 m - kompletní provedení D+M včetně všech nákladů na kotvení a technologické manipulace, montáž na připravené patky</t>
  </si>
  <si>
    <t>99991009r</t>
  </si>
  <si>
    <t>99991010r</t>
  </si>
  <si>
    <t>99991011r</t>
  </si>
  <si>
    <t>99991012r</t>
  </si>
  <si>
    <t>99991013r</t>
  </si>
  <si>
    <t xml:space="preserve">Přesun hmot </t>
  </si>
  <si>
    <t>Přesun hmot pro pozemní komunikace s krytem dlážděným</t>
  </si>
  <si>
    <t>767 Konstrukce zámečnické</t>
  </si>
  <si>
    <t xml:space="preserve">Montáž atypických zámečnických konstrukcí </t>
  </si>
  <si>
    <t>kg</t>
  </si>
  <si>
    <t>=</t>
  </si>
  <si>
    <t>76799000r</t>
  </si>
  <si>
    <t>Dodávka - Pororošt ( lavička ) žárově pozinkovaný, oka 30x30 mm, výška 30 mm, síla plechu 3 mm, podélný kroucený drát 4,7 mm, rozměr 1850×800×30 mm,kompletní provedení  včetně ocelové pásoviny 30x3 mm, del. 0,970 bm a 4x roxor, pr. 12 mm del. 300 mm,žárové pozinkování. JC zahrnuje dopravu materiálu  do prostoru technologické manipulace nebo přímo do místa zabudování</t>
  </si>
  <si>
    <t>76799001r</t>
  </si>
  <si>
    <t>Dodávka - Pororošt ( šachy ) žárově pozinkovaný, oka 33x33 mm, výška 30 mm, síla plechu 3 mm, podélný kroucený drát 4,7 mm, kruh průměr 2300 mm,kompletní provedení  včetně ocelové pásoviny 30x3 mm, dl. 13,579 bm a 44x roxorpr. 12 mm del. 300 mm,žárové pozinkování. JC zahrnuje dopravu materiálu  do prostoru technologické manipulace nebo přímo do místa zabudování</t>
  </si>
  <si>
    <t>Přesun hmot procentní pro zámečnické konstrukce v objektech v do 6 m</t>
  </si>
  <si>
    <t>%</t>
  </si>
  <si>
    <t>Rekapitulace nákladů</t>
  </si>
  <si>
    <t>Zemní práce</t>
  </si>
  <si>
    <t>Základy</t>
  </si>
  <si>
    <t>Přesun hmot</t>
  </si>
  <si>
    <t xml:space="preserve">  D.1 Zpevněné plochy a mobiliář</t>
  </si>
  <si>
    <t>Celkem</t>
  </si>
  <si>
    <t>Výsadba stromů</t>
  </si>
  <si>
    <t>Jamky pro výsadbu s výměnou 100 % půdy zeminy skupiny 1 až 4 obj přes 0,4 do 1 m3 v rovině a svahu do 1:5</t>
  </si>
  <si>
    <t>Výsadba dřeviny s balem D přes 0,5 do 0,6 m do jamky se zalitím v rovině a svahu do 1:5</t>
  </si>
  <si>
    <t>Ukotvení kmene dřevin v rovině nebo na svahu do 1:5 třemi kůly D do 0,1 m dl přes 2 do 3 m</t>
  </si>
  <si>
    <t>URS 2023/II</t>
  </si>
  <si>
    <t>18410001r</t>
  </si>
  <si>
    <t>D - Dodávka-Příčky pro kotvení stromů - půlkulatina (ve čtyřech úrovních), délka cca 64 cm</t>
  </si>
  <si>
    <t>R - položka</t>
  </si>
  <si>
    <t>kůl vyvazovací dřevěný impregnovaný D 8cm dl 3m</t>
  </si>
  <si>
    <t>18490001r</t>
  </si>
  <si>
    <t>D - Dodávka -úvazek/popruh pro kůlování stromů ,materiál: PP šířka 25 mm dl.1 m</t>
  </si>
  <si>
    <t xml:space="preserve">Zřízení ochranného nátěru kmene stromu do výšky 1 m obvodu do 180 mm </t>
  </si>
  <si>
    <t>18481000r</t>
  </si>
  <si>
    <t>D - Dodávka -Ochranný nátěr  Arboflex</t>
  </si>
  <si>
    <t>13329000r</t>
  </si>
  <si>
    <t>D - Dodávka – Liquidambar styraciflua, Vk 3xp 16–18</t>
  </si>
  <si>
    <t>D - Dodávka – Tilia x europaea 'Euchlora' , Vk 3xp 16–18</t>
  </si>
  <si>
    <t>D - Dodávka – Prunus avium ´Plena´, Vk Sol 4xp š.150-200 v. 300-350, vícekmen</t>
  </si>
  <si>
    <t>Dodávka  – zahradní substrát pro výsadbu VL</t>
  </si>
  <si>
    <t>Hnojení půdy umělým hnojivem k jednotlivým rostlinám v rovině a svahu do 1:5</t>
  </si>
  <si>
    <t>18300900r</t>
  </si>
  <si>
    <t>D - Dodávka -Půdním kondicionér Terracottem, 1,5 kg/m3</t>
  </si>
  <si>
    <t>18300902r</t>
  </si>
  <si>
    <t>D - Dodávka -Hnojivo Osmocote, 0,5 kg/m3</t>
  </si>
  <si>
    <t>Zhotovení závlahové mísy dřevin D přes 0,5 do 1,0 m v rovině nebo na svahu do 1:5</t>
  </si>
  <si>
    <t>Mulčování rostlin kůrou tl do 0,1 m v rovině a svahu do 1:5</t>
  </si>
  <si>
    <t>kůra mulčovací VL</t>
  </si>
  <si>
    <r>
      <rPr>
        <i/>
        <sz val="9"/>
        <color rgb="FF0000FF"/>
        <rFont val="Arial"/>
        <family val="2"/>
        <charset val="238"/>
      </rPr>
      <t>m</t>
    </r>
    <r>
      <rPr>
        <i/>
        <vertAlign val="superscript"/>
        <sz val="9"/>
        <color rgb="FF0000FF"/>
        <rFont val="Arial"/>
        <family val="2"/>
        <charset val="238"/>
      </rPr>
      <t>3</t>
    </r>
  </si>
  <si>
    <t>Výsadba živého plotu</t>
  </si>
  <si>
    <t>Výsadba dřeviny s balem do předem vyhloubené jamky se zalitím v rovině nebo na svahu do 1:5, při průměru balu přes 200 do 300 mm</t>
  </si>
  <si>
    <t>D - Dodávka  – Prunus laurocerasus ' Otto Luyken', 3xp v.60–80 zb</t>
  </si>
  <si>
    <t>Uložení a hrubé rozhrnutí výkopku bez zhutnění v rovině a ve svahu do 1:5</t>
  </si>
  <si>
    <t>Plošná úprava terénu v zemině skupiny 1 až 4 s urovnáním povrchu bez doplnění ornice souvislé plochy do 500 m2 při nerovnostech terénu přes 50 do 100 mm v rovině nebo na svahu do 1:5</t>
  </si>
  <si>
    <t>Zalití rostlin vodou plocha přes 20 m2</t>
  </si>
  <si>
    <t>Trvalkové výsadby</t>
  </si>
  <si>
    <t>Chemické odplevelení před založením kultury přes 20 m2 postřikem na široko v rovině a svahu do 1:5 strojně</t>
  </si>
  <si>
    <t>Hloubení jamek bez výměny půdy zeminy skupiny 1 až 4 obj do 0,002 m3 v rovině a svahu do 1:5</t>
  </si>
  <si>
    <r>
      <rPr>
        <sz val="9"/>
        <rFont val="Arial"/>
        <family val="2"/>
        <charset val="238"/>
      </rPr>
      <t xml:space="preserve">Mulčování záhonů kačírkem nebo drceným kamenivem tloušťky mulče přes 20 do 50 mm na svahu přes 1:2 do 1:1 - </t>
    </r>
    <r>
      <rPr>
        <i/>
        <sz val="9"/>
        <rFont val="Arial"/>
        <family val="2"/>
        <charset val="238"/>
      </rPr>
      <t>tl.30 mm</t>
    </r>
  </si>
  <si>
    <t>58337308r</t>
  </si>
  <si>
    <t>D - Dodávka - štěrkopísek frakce 0/8 - 0/16</t>
  </si>
  <si>
    <t>Výsadba květin krytokořenných průměru kontejneru přes 80 do 120 mm</t>
  </si>
  <si>
    <t>Dodávka trvalek na slunce - směs</t>
  </si>
  <si>
    <t>Rozrušení půdy souvislé pl přes 100 do 500 m2 hl přes 50 do 150 mm v rovině a svahu do 1:5</t>
  </si>
  <si>
    <t>Nově založený parterový trávník - přímý výsev</t>
  </si>
  <si>
    <t>Obdělání půdy kultivátorováním v rovině a svahu do 1:5</t>
  </si>
  <si>
    <t>D - Dodávka - Půdním kondicionér Terra-control, 30g/m2</t>
  </si>
  <si>
    <t>Založení parkového trávníku výsevem pl do 1000 m2 v rovině a ve svahu do 1:5</t>
  </si>
  <si>
    <t>osivo směs travní parková okrasná</t>
  </si>
  <si>
    <t xml:space="preserve"> Parkový trávník - Regenerace</t>
  </si>
  <si>
    <t xml:space="preserve"> Doplňující konstrukce a práce</t>
  </si>
  <si>
    <t>9169000r</t>
  </si>
  <si>
    <t>Oplocení ze svislých dřevěných kůlů dub 70/70/1300 mm (15 ks) zatlučených do země ,kůly jsou ve 2 řadách propojeny lankem Ø 6 mm z polypropylenu, které je opletené jutou.</t>
  </si>
  <si>
    <t>184818200r</t>
  </si>
  <si>
    <t>Ochranná opatření u ponechávaných dřevin, trojřadé dřevěné ohrady, 3×3 m, specifikace viz TZ kap. 7 - kompletní provedení vč.demontáže</t>
  </si>
  <si>
    <t>Dovoz vody pro zálivku rostlin za vzdálenost do 1000 m</t>
  </si>
  <si>
    <r>
      <rPr>
        <sz val="9"/>
        <rFont val="Segoe UI"/>
        <family val="2"/>
        <charset val="238"/>
      </rPr>
      <t>m</t>
    </r>
    <r>
      <rPr>
        <vertAlign val="superscript"/>
        <sz val="9"/>
        <rFont val="Segoe UI"/>
        <family val="2"/>
        <charset val="238"/>
      </rPr>
      <t>3</t>
    </r>
  </si>
  <si>
    <t>18599000r</t>
  </si>
  <si>
    <t xml:space="preserve">Úhrada vody pro zálivku </t>
  </si>
  <si>
    <t xml:space="preserve">Arboristické ošetření stávajících dřevin, zdravotní řez u stávajících vzrostlých stromů </t>
  </si>
  <si>
    <t>Kácení stromů</t>
  </si>
  <si>
    <t>Směrové kácení stromů s rozřezáním a odvětvením D kmene přes 100 do 200 mm</t>
  </si>
  <si>
    <t>Směrové kácení stromů s rozřezáním a odvětvením D kmene přes 300 do 400 mm</t>
  </si>
  <si>
    <t>Odstranění pařezů rovině nebo na svahu do 1:5 odfrézováním hl přes 0,2 do 0,5 m</t>
  </si>
  <si>
    <t>99711000r</t>
  </si>
  <si>
    <r>
      <rPr>
        <sz val="9"/>
        <rFont val="Arial"/>
        <family val="2"/>
        <charset val="238"/>
      </rPr>
      <t xml:space="preserve">Odvoz dřev.hmoty vč.naložení a uložení na skládku vč.poplatků  - </t>
    </r>
    <r>
      <rPr>
        <i/>
        <sz val="9"/>
        <rFont val="Arial"/>
        <family val="2"/>
        <charset val="238"/>
      </rPr>
      <t>odhadem 4 m3</t>
    </r>
  </si>
  <si>
    <t>Oplocení</t>
  </si>
  <si>
    <t>Sloupky drátěného oplocení do pvc trubky tl. 6 mm 27 ks  = 0,1*0,1*0,6*3,14*27</t>
  </si>
  <si>
    <t>Poplatek za uložení zeminy a kamení na recyklační skládce (skládkovné) kód  17 05 04</t>
  </si>
  <si>
    <t>Základové patky z betonu tř. C 16/20  27 ks  = 0,1*0,1*0,6*3,14*27</t>
  </si>
  <si>
    <t>Bednění základových patek, ztracené z PVC trubky pr. 200 mm, dl. 600 mm. Položkaobsahuje dodání trubky PVC uvedeného rozměru a osazení na místo k zabetonování. V ceně jsou započteny  veškeré potřebné práce a a technologické manipulace.</t>
  </si>
  <si>
    <t>Osazování sloupků a vzpěr plotových ocelových v do 2 m se zalitím MC</t>
  </si>
  <si>
    <t>Montáž oplocení ze strojového pletiva s napínacími dráty v do 1,6 m</t>
  </si>
  <si>
    <t>sloupek plotový Pz s černou koncovou plastovou čepičkou, d. 2000 mm pr. 38 mm</t>
  </si>
  <si>
    <t>53342001r</t>
  </si>
  <si>
    <t>D - Dodávka -Příchytka napínacího drátu zatloukací, PVC,</t>
  </si>
  <si>
    <t>53342002r</t>
  </si>
  <si>
    <t xml:space="preserve">D - Dodávka  Poplastovaný - PVC napínák (ráčna) zelený </t>
  </si>
  <si>
    <t>53342003r</t>
  </si>
  <si>
    <t>D - Dodávka  Objímka na přichycení napínáku pr. 38 mm, pozink., včetně šroubu a matice</t>
  </si>
  <si>
    <t>53342004r</t>
  </si>
  <si>
    <t>D - Dodávka  Svorky pro montáž pletiva, pozink.</t>
  </si>
  <si>
    <t>53342005r</t>
  </si>
  <si>
    <t xml:space="preserve">D - Dodávka  Vázací drát pozinkovaný (Zn) průměr 1 mm, délka 100 m </t>
  </si>
  <si>
    <t>pletivo čtyřhranné Zn pletené 55x55/2,15mm v 1000mm</t>
  </si>
  <si>
    <t>Ruční přesun hmot pro sadovnické a krajinářské úpravy do 100 m</t>
  </si>
  <si>
    <t xml:space="preserve">Poznámka: </t>
  </si>
  <si>
    <r>
      <rPr>
        <b/>
        <i/>
        <sz val="9"/>
        <rFont val="Arial"/>
        <family val="2"/>
        <charset val="238"/>
      </rPr>
      <t>D - Dodávka</t>
    </r>
    <r>
      <rPr>
        <i/>
        <sz val="9"/>
        <rFont val="Arial"/>
        <family val="2"/>
        <charset val="238"/>
      </rPr>
      <t xml:space="preserve"> - položka zahrnuje: pořízení položky, naložení, dopravu a složení (vč. přímých, nebo vyvolaných nákladů souvisejícíh s uvedenými úkony) </t>
    </r>
  </si>
  <si>
    <t>Parkový trávník - Regenerace</t>
  </si>
  <si>
    <t>Doplňující konstrukce a práce</t>
  </si>
  <si>
    <t xml:space="preserve">  D.2 Vegetační úpravy</t>
  </si>
  <si>
    <t xml:space="preserve">položka 45 </t>
  </si>
  <si>
    <t>Krycí pohledová mlatová vrstva, barva okrová  40 mm. JC obsahuje kompletní provedení D + M vč.veškeré potřebné práce a a technologické manipulace.</t>
  </si>
  <si>
    <t>Dynamická vrstva fr. 0/16 mm , barva okrová  60 mm.  JC obsahuje kompletní provedení D + M vč.veškeré potřebné práce a a technologické manipulace.</t>
  </si>
  <si>
    <t>pol.č.46+47+49+50+53+55+60</t>
  </si>
  <si>
    <t>pol.č.48+51+52</t>
  </si>
  <si>
    <t>pol.č.54+56+57+58+59</t>
  </si>
  <si>
    <t xml:space="preserve">Kompletační činnost - 045203000  URS </t>
  </si>
  <si>
    <t xml:space="preserve">Koordinační činnost - 045303000  URS </t>
  </si>
  <si>
    <t>Zkoušky hutnicí  - 043154000  URS</t>
  </si>
  <si>
    <t>červenec 2025</t>
  </si>
  <si>
    <t>Celková nabídková cena</t>
  </si>
  <si>
    <t>Soupis prací</t>
  </si>
  <si>
    <t xml:space="preserve">  Uchazeč : </t>
  </si>
  <si>
    <t xml:space="preserve">Parková lavička, 1850mm </t>
  </si>
  <si>
    <t>Herní prvek 1 - Prolézací a balanční sestava, přesná specifikace viz TZ, kap. 6.2, kompletní provedení D+M včetně všech nákladů kotvení a technologické manipulace.</t>
  </si>
  <si>
    <t>Herní prvek 2 - Páková houpací lavice,  přesná specifikace viz TZ, kap. 6.3,kompletní provedení D+M včetně všech nákladů kotvení a technologické manipulace.</t>
  </si>
  <si>
    <t>Herní prvek 3 - Kolotoč, přesná specifikace viz TZ, kap. 6.4,  kompletní provedení D+M včetně všech nákladů na kotvení a technologické manipulace.</t>
  </si>
  <si>
    <t>Herní prvek 4 - Houpadlo pružinové TYP 1, přesná specifikace viz TZ, kap. 6.5, kompletní provedení D+M včetně všech nákladů na kotvení a technologické manipulace.</t>
  </si>
  <si>
    <t>Herní prvek 5 - Houpadlo pružinové TYP 2, přesná specifikace viz TZ, kap. 6.6, kompletní provedení D+M včetně všech nákladů na kotvení a technologické manipulace.</t>
  </si>
  <si>
    <t>Schránka se sáčky na psí exkrementy, kotvení na sloupek, přesná specifikace viz TZ, kap. 5.3, RAL 9005 MAT, včetně 2x ocelový stahovací pásek.Kompletní provedení D+M včetně všech nákladů na kotvení a technologické manipulace, montáž na připravené patky</t>
  </si>
  <si>
    <t>Lavička s opěradlem, délka 1,8m, přesná specifikace viz TZ, kap. 5.1, konstrukci tvoří odlitky z hliníkové slitiny s vrstvou práškového vypalovacího laku, sedák 3 desky a opěradlo 3 desky z tropického dřeva FSC 100% bez povrchové úpravy, kotvení pod dlažbu do betonového základu pomocí závitových tyčí .Kompletní provedení D+M včetně všech nákladů na kotvení a technologické manipulace, montáž na připravené patky</t>
  </si>
  <si>
    <t>Dvojitá lavička s opěradlem, délka 3m, přesná specifikace viz TZ, kap. 5.1, konstrukci tvoří odlitky z hliníkové slitiny s vrstvou práškového vypalovacího laku, sedák 6 desek a opěradlo 6 desek z tropického dřeva FSC 100% bez povrchové úpravy o délce 1500 mm, kotvení pod dlažbu do betonového základu pomocí závitových tyčí.Kompletní provedení D+M včetně všech nákladů na kotvení a technologické manipulace, montáž na připravené patky</t>
  </si>
  <si>
    <t>Odpadkový koš, přesná specifikace viz TZ, kap. 5.2 odpadkový koš kruhového půdorysu, ocelová konstrukce opláštěna tahokovem, pozinkovaná nádoba o objemu 45l,na nožce, ocelová konstrukce opatřena ochranou vrstvou zinku a práškovým vypalovacím lakem, kotvení pod dlažbu nebo ve zhutněném terénu do betonového základu pomocí závitových tyčí. Kompletní provedení D+M včetně všech nákladů na kotvení a technologické manipulace, montáž na připravené patky</t>
  </si>
  <si>
    <t>Odpadkový koš, přesná specifikace viz TZ, kap. 5.2, odpadkový koš kruhového půdorysu, ocelová konstrukce opláštěna tahokovem, pozinkovaná nádoba o objemu 45l,na nožce, ocelová konstrukce opatřena ochranou vrstvou zinku a práškovým vypalovacím lakem, kotvení pod dlažbu nebo ve zhutněném terénu do betonového základu pomocí závitových tyčí.Kompletní provedení D+M včetně všech nákladů na kotvení a technologické manipulace, montáž na připravené patky</t>
  </si>
  <si>
    <t>Zemní kanál, šedé tělo / červené víko , JC zahrnuje dopravu materiálu  do prostoru technologické manipulace nebo přímo do místa zabudování</t>
  </si>
  <si>
    <t>Herní prvek 6 - Točidlo, přesná specifikace viz TZ, kap. 6.7, kompletní provedení D+M včetně všech nákladů na kotvení a technologické manipulace.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</si>
</sst>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.00&quot; Kč&quot;_-;\-* #,##0.00&quot; Kč&quot;_-;_-* \-??&quot; Kč&quot;_-;_-@_-"/>
    <numFmt numFmtId="165" formatCode="_-* #,##0.0&quot; Kč&quot;_-;\-* #,##0.0&quot; Kč&quot;_-;_-* \-??&quot; Kč&quot;_-;_-@_-"/>
    <numFmt numFmtId="166" formatCode="#,##0.0_ ;\-#,##0.0\ "/>
    <numFmt numFmtId="167" formatCode="0.0"/>
    <numFmt numFmtId="168" formatCode="0.000"/>
    <numFmt numFmtId="169" formatCode="#,##0.0"/>
    <numFmt numFmtId="170" formatCode="0.00000"/>
    <numFmt numFmtId="171" formatCode="#,##0.00_ ;\-#,##0.00\ "/>
    <numFmt numFmtId="172" formatCode="#,##0.000_ ;\-#,##0.000\ "/>
  </numFmts>
  <fonts count="53">
    <font>
      <sz val="11"/>
      <color theme="1"/>
      <name val="Calibri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b/>
      <sz val="10"/>
      <color rgb="FFEE0000"/>
      <name val="Arial"/>
      <family val="2"/>
      <charset val="238"/>
    </font>
    <font>
      <sz val="10"/>
      <color rgb="FFEE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0"/>
      <name val="Symbol"/>
      <family val="1"/>
      <charset val="2"/>
    </font>
    <font>
      <sz val="10"/>
      <name val="Segoe UI Symbol"/>
      <family val="1"/>
      <charset val="2"/>
    </font>
    <font>
      <sz val="10"/>
      <name val="Arial Narrow"/>
      <family val="2"/>
      <charset val="238"/>
    </font>
    <font>
      <b/>
      <sz val="10"/>
      <color rgb="FF0000CC"/>
      <name val="Arial"/>
      <family val="2"/>
      <charset val="238"/>
    </font>
    <font>
      <b/>
      <sz val="9"/>
      <color rgb="FF0000FF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9"/>
      <color rgb="FFFF0000"/>
      <name val="Arial Narrow"/>
      <family val="2"/>
      <charset val="238"/>
    </font>
    <font>
      <sz val="9"/>
      <color rgb="FFFF0000"/>
      <name val="Arial"/>
      <family val="2"/>
      <charset val="238"/>
    </font>
    <font>
      <i/>
      <sz val="9"/>
      <name val="Arial"/>
      <family val="2"/>
      <charset val="238"/>
    </font>
    <font>
      <i/>
      <sz val="9"/>
      <color theme="1"/>
      <name val="Arial"/>
      <family val="2"/>
      <charset val="238"/>
    </font>
    <font>
      <i/>
      <vertAlign val="superscript"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sz val="9"/>
      <color rgb="FF000000"/>
      <name val="Arial"/>
      <family val="2"/>
      <charset val="238"/>
    </font>
    <font>
      <i/>
      <sz val="9"/>
      <color rgb="FF000000"/>
      <name val="Arial"/>
      <family val="2"/>
      <charset val="238"/>
    </font>
    <font>
      <i/>
      <sz val="9"/>
      <color rgb="FF0000FF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i/>
      <vertAlign val="superscript"/>
      <sz val="9"/>
      <color rgb="FF0000FF"/>
      <name val="Arial"/>
      <family val="2"/>
      <charset val="238"/>
    </font>
    <font>
      <sz val="8"/>
      <color rgb="FF646464"/>
      <name val="Segoe UI"/>
      <family val="2"/>
      <charset val="238"/>
    </font>
    <font>
      <sz val="8"/>
      <color theme="1"/>
      <name val="Calibri"/>
      <family val="2"/>
      <charset val="238"/>
    </font>
    <font>
      <sz val="9"/>
      <color rgb="FF646464"/>
      <name val="Arial"/>
      <family val="2"/>
      <charset val="238"/>
    </font>
    <font>
      <b/>
      <i/>
      <sz val="9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name val="Segoe UI"/>
      <family val="2"/>
      <charset val="238"/>
    </font>
    <font>
      <vertAlign val="superscript"/>
      <sz val="9"/>
      <name val="Segoe UI"/>
      <family val="2"/>
      <charset val="238"/>
    </font>
    <font>
      <i/>
      <sz val="8"/>
      <color theme="1"/>
      <name val="Arial"/>
      <family val="2"/>
      <charset val="238"/>
    </font>
    <font>
      <sz val="9"/>
      <color rgb="FF0000FF"/>
      <name val="Arial"/>
      <family val="2"/>
      <charset val="238"/>
    </font>
    <font>
      <i/>
      <sz val="10"/>
      <color rgb="FF0000FF"/>
      <name val="Arial"/>
      <family val="2"/>
      <charset val="238"/>
    </font>
    <font>
      <sz val="11"/>
      <color theme="1"/>
      <name val="Calibri"/>
      <family val="2"/>
      <charset val="238"/>
    </font>
    <font>
      <sz val="10"/>
      <color rgb="FFC0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7" tint="0.79989013336588644"/>
        <bgColor rgb="FFF2F2F2"/>
      </patternFill>
    </fill>
    <fill>
      <patternFill patternType="solid">
        <fgColor theme="0"/>
        <bgColor rgb="FFF7F7F7"/>
      </patternFill>
    </fill>
    <fill>
      <patternFill patternType="solid">
        <fgColor rgb="FFFFFF99"/>
        <bgColor rgb="FFFFF2CC"/>
      </patternFill>
    </fill>
    <fill>
      <patternFill patternType="solid">
        <fgColor rgb="FFF7F7F7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theme="0" tint="-4.9989318521683403E-2"/>
        <bgColor rgb="FFF7F7F7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7" tint="0.79998168889431442"/>
        <bgColor rgb="FFF7F7F7"/>
      </patternFill>
    </fill>
  </fills>
  <borders count="3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164" fontId="51" fillId="0" borderId="0" applyBorder="0" applyProtection="0"/>
    <xf numFmtId="164" fontId="51" fillId="0" borderId="0" applyBorder="0" applyProtection="0"/>
    <xf numFmtId="0" fontId="51" fillId="0" borderId="0"/>
    <xf numFmtId="0" fontId="1" fillId="0" borderId="0"/>
  </cellStyleXfs>
  <cellXfs count="487">
    <xf numFmtId="0" fontId="0" fillId="0" borderId="0" xfId="0"/>
    <xf numFmtId="165" fontId="51" fillId="0" borderId="0" xfId="1" applyNumberFormat="1" applyBorder="1" applyProtection="1"/>
    <xf numFmtId="0" fontId="2" fillId="2" borderId="1" xfId="0" applyFont="1" applyFill="1" applyBorder="1" applyAlignment="1">
      <alignment horizontal="left"/>
    </xf>
    <xf numFmtId="165" fontId="3" fillId="2" borderId="2" xfId="1" applyNumberFormat="1" applyFont="1" applyFill="1" applyBorder="1" applyAlignment="1" applyProtection="1">
      <alignment horizontal="left"/>
    </xf>
    <xf numFmtId="0" fontId="2" fillId="2" borderId="4" xfId="0" applyFont="1" applyFill="1" applyBorder="1" applyAlignment="1">
      <alignment horizontal="left" vertical="center"/>
    </xf>
    <xf numFmtId="165" fontId="2" fillId="2" borderId="5" xfId="1" applyNumberFormat="1" applyFont="1" applyFill="1" applyBorder="1" applyAlignment="1" applyProtection="1">
      <alignment horizontal="left" vertical="center"/>
    </xf>
    <xf numFmtId="49" fontId="4" fillId="2" borderId="6" xfId="1" applyNumberFormat="1" applyFont="1" applyFill="1" applyBorder="1" applyAlignment="1" applyProtection="1">
      <alignment horizontal="center" vertical="center"/>
    </xf>
    <xf numFmtId="0" fontId="2" fillId="0" borderId="0" xfId="0" applyFont="1"/>
    <xf numFmtId="0" fontId="5" fillId="0" borderId="0" xfId="0" applyFont="1" applyAlignment="1">
      <alignment vertical="center"/>
    </xf>
    <xf numFmtId="165" fontId="2" fillId="0" borderId="0" xfId="1" applyNumberFormat="1" applyFont="1" applyBorder="1" applyProtection="1"/>
    <xf numFmtId="0" fontId="2" fillId="0" borderId="0" xfId="0" applyFont="1" applyAlignment="1">
      <alignment horizontal="left" vertical="center" indent="1"/>
    </xf>
    <xf numFmtId="165" fontId="2" fillId="3" borderId="0" xfId="1" applyNumberFormat="1" applyFont="1" applyFill="1" applyBorder="1" applyAlignment="1" applyProtection="1">
      <alignment vertical="center"/>
    </xf>
    <xf numFmtId="165" fontId="2" fillId="0" borderId="0" xfId="1" applyNumberFormat="1" applyFont="1" applyBorder="1" applyAlignment="1" applyProtection="1">
      <alignment vertical="center"/>
    </xf>
    <xf numFmtId="0" fontId="3" fillId="0" borderId="7" xfId="0" applyFont="1" applyBorder="1" applyAlignment="1">
      <alignment horizontal="left" vertical="center" indent="1"/>
    </xf>
    <xf numFmtId="165" fontId="2" fillId="2" borderId="8" xfId="1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horizontal="left" vertical="center" indent="1"/>
    </xf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2" fillId="2" borderId="9" xfId="1" applyNumberFormat="1" applyFont="1" applyFill="1" applyBorder="1" applyAlignment="1" applyProtection="1">
      <alignment vertical="center"/>
    </xf>
    <xf numFmtId="0" fontId="9" fillId="2" borderId="10" xfId="0" applyFont="1" applyFill="1" applyBorder="1" applyAlignment="1">
      <alignment horizontal="left" vertical="center" indent="1"/>
    </xf>
    <xf numFmtId="165" fontId="9" fillId="2" borderId="11" xfId="1" applyNumberFormat="1" applyFont="1" applyFill="1" applyBorder="1" applyAlignment="1" applyProtection="1">
      <alignment vertical="center"/>
    </xf>
    <xf numFmtId="0" fontId="2" fillId="0" borderId="0" xfId="0" applyFont="1" applyAlignment="1">
      <alignment vertical="center"/>
    </xf>
    <xf numFmtId="0" fontId="2" fillId="4" borderId="1" xfId="0" applyFont="1" applyFill="1" applyBorder="1"/>
    <xf numFmtId="0" fontId="2" fillId="4" borderId="2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166" fontId="10" fillId="4" borderId="2" xfId="0" applyNumberFormat="1" applyFont="1" applyFill="1" applyBorder="1" applyAlignment="1">
      <alignment horizontal="center"/>
    </xf>
    <xf numFmtId="167" fontId="2" fillId="4" borderId="2" xfId="0" applyNumberFormat="1" applyFont="1" applyFill="1" applyBorder="1" applyAlignment="1">
      <alignment horizontal="center" vertical="top"/>
    </xf>
    <xf numFmtId="49" fontId="3" fillId="4" borderId="2" xfId="0" applyNumberFormat="1" applyFont="1" applyFill="1" applyBorder="1" applyAlignment="1">
      <alignment horizontal="center"/>
    </xf>
    <xf numFmtId="49" fontId="11" fillId="4" borderId="3" xfId="0" applyNumberFormat="1" applyFont="1" applyFill="1" applyBorder="1" applyAlignment="1">
      <alignment horizontal="center"/>
    </xf>
    <xf numFmtId="168" fontId="6" fillId="3" borderId="2" xfId="0" applyNumberFormat="1" applyFont="1" applyFill="1" applyBorder="1" applyAlignment="1">
      <alignment horizontal="center" vertical="top"/>
    </xf>
    <xf numFmtId="0" fontId="2" fillId="3" borderId="2" xfId="0" applyFont="1" applyFill="1" applyBorder="1" applyAlignment="1">
      <alignment vertical="top"/>
    </xf>
    <xf numFmtId="168" fontId="12" fillId="3" borderId="2" xfId="0" applyNumberFormat="1" applyFont="1" applyFill="1" applyBorder="1"/>
    <xf numFmtId="0" fontId="2" fillId="3" borderId="0" xfId="0" applyFont="1" applyFill="1" applyAlignment="1">
      <alignment vertical="top"/>
    </xf>
    <xf numFmtId="0" fontId="2" fillId="4" borderId="4" xfId="0" applyFont="1" applyFill="1" applyBorder="1" applyAlignment="1">
      <alignment vertical="center"/>
    </xf>
    <xf numFmtId="0" fontId="2" fillId="4" borderId="5" xfId="0" applyFont="1" applyFill="1" applyBorder="1" applyAlignment="1">
      <alignment horizontal="right" vertical="center"/>
    </xf>
    <xf numFmtId="0" fontId="2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vertical="center"/>
    </xf>
    <xf numFmtId="166" fontId="2" fillId="4" borderId="5" xfId="0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/>
    </xf>
    <xf numFmtId="0" fontId="13" fillId="4" borderId="5" xfId="0" applyFont="1" applyFill="1" applyBorder="1" applyAlignment="1">
      <alignment horizontal="right" vertical="center"/>
    </xf>
    <xf numFmtId="49" fontId="4" fillId="4" borderId="6" xfId="0" applyNumberFormat="1" applyFont="1" applyFill="1" applyBorder="1" applyAlignment="1">
      <alignment horizontal="center" vertical="center"/>
    </xf>
    <xf numFmtId="168" fontId="6" fillId="3" borderId="5" xfId="0" applyNumberFormat="1" applyFont="1" applyFill="1" applyBorder="1" applyAlignment="1">
      <alignment horizontal="center" vertical="top"/>
    </xf>
    <xf numFmtId="0" fontId="2" fillId="3" borderId="5" xfId="0" applyFont="1" applyFill="1" applyBorder="1" applyAlignment="1">
      <alignment vertical="top"/>
    </xf>
    <xf numFmtId="168" fontId="6" fillId="3" borderId="5" xfId="0" applyNumberFormat="1" applyFont="1" applyFill="1" applyBorder="1" applyAlignment="1">
      <alignment vertical="center"/>
    </xf>
    <xf numFmtId="0" fontId="1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166" fontId="15" fillId="4" borderId="13" xfId="0" applyNumberFormat="1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168" fontId="17" fillId="3" borderId="14" xfId="0" applyNumberFormat="1" applyFont="1" applyFill="1" applyBorder="1" applyAlignment="1">
      <alignment horizontal="center" vertical="center"/>
    </xf>
    <xf numFmtId="0" fontId="18" fillId="3" borderId="15" xfId="0" applyFont="1" applyFill="1" applyBorder="1" applyAlignment="1">
      <alignment horizontal="center" vertical="center"/>
    </xf>
    <xf numFmtId="168" fontId="20" fillId="3" borderId="15" xfId="0" applyNumberFormat="1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2" fillId="0" borderId="17" xfId="0" applyFont="1" applyBorder="1"/>
    <xf numFmtId="0" fontId="2" fillId="0" borderId="17" xfId="0" applyFont="1" applyBorder="1" applyAlignment="1">
      <alignment horizontal="left"/>
    </xf>
    <xf numFmtId="0" fontId="1" fillId="3" borderId="17" xfId="0" applyFont="1" applyFill="1" applyBorder="1" applyAlignment="1">
      <alignment horizontal="center"/>
    </xf>
    <xf numFmtId="166" fontId="1" fillId="3" borderId="17" xfId="0" applyNumberFormat="1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 vertical="top"/>
    </xf>
    <xf numFmtId="0" fontId="15" fillId="3" borderId="17" xfId="0" applyFont="1" applyFill="1" applyBorder="1" applyAlignment="1">
      <alignment horizontal="center"/>
    </xf>
    <xf numFmtId="168" fontId="20" fillId="3" borderId="17" xfId="0" applyNumberFormat="1" applyFont="1" applyFill="1" applyBorder="1" applyAlignment="1">
      <alignment horizontal="center" vertical="top"/>
    </xf>
    <xf numFmtId="0" fontId="19" fillId="3" borderId="17" xfId="0" applyFont="1" applyFill="1" applyBorder="1" applyAlignment="1">
      <alignment horizontal="center" vertical="top"/>
    </xf>
    <xf numFmtId="168" fontId="20" fillId="3" borderId="17" xfId="0" applyNumberFormat="1" applyFont="1" applyFill="1" applyBorder="1" applyAlignment="1">
      <alignment horizontal="center"/>
    </xf>
    <xf numFmtId="0" fontId="19" fillId="3" borderId="0" xfId="0" applyFont="1" applyFill="1" applyAlignment="1">
      <alignment horizontal="center" vertical="top"/>
    </xf>
    <xf numFmtId="0" fontId="15" fillId="3" borderId="0" xfId="0" applyFont="1" applyFill="1"/>
    <xf numFmtId="0" fontId="15" fillId="3" borderId="0" xfId="0" applyFont="1" applyFill="1" applyAlignment="1">
      <alignment horizontal="left"/>
    </xf>
    <xf numFmtId="0" fontId="21" fillId="3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 vertical="top"/>
    </xf>
    <xf numFmtId="165" fontId="21" fillId="3" borderId="0" xfId="1" applyNumberFormat="1" applyFont="1" applyFill="1" applyBorder="1" applyAlignment="1" applyProtection="1">
      <alignment horizontal="right"/>
    </xf>
    <xf numFmtId="0" fontId="0" fillId="0" borderId="0" xfId="0" applyAlignment="1">
      <alignment horizontal="center" vertical="top"/>
    </xf>
    <xf numFmtId="168" fontId="11" fillId="0" borderId="0" xfId="0" applyNumberFormat="1" applyFont="1" applyAlignment="1">
      <alignment horizontal="center"/>
    </xf>
    <xf numFmtId="168" fontId="22" fillId="0" borderId="0" xfId="0" applyNumberFormat="1" applyFont="1" applyAlignment="1">
      <alignment horizontal="center"/>
    </xf>
    <xf numFmtId="168" fontId="23" fillId="0" borderId="0" xfId="0" applyNumberFormat="1" applyFont="1" applyAlignment="1">
      <alignment horizontal="center"/>
    </xf>
    <xf numFmtId="0" fontId="24" fillId="0" borderId="18" xfId="0" applyFont="1" applyBorder="1" applyAlignment="1">
      <alignment horizontal="center" vertical="top"/>
    </xf>
    <xf numFmtId="0" fontId="4" fillId="0" borderId="18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center" vertical="top" wrapText="1"/>
    </xf>
    <xf numFmtId="166" fontId="4" fillId="0" borderId="18" xfId="0" applyNumberFormat="1" applyFont="1" applyBorder="1" applyAlignment="1">
      <alignment horizontal="center" vertical="top"/>
    </xf>
    <xf numFmtId="169" fontId="15" fillId="0" borderId="18" xfId="0" applyNumberFormat="1" applyFont="1" applyBorder="1" applyAlignment="1">
      <alignment horizontal="center" vertical="top" wrapText="1"/>
    </xf>
    <xf numFmtId="165" fontId="15" fillId="0" borderId="19" xfId="1" applyNumberFormat="1" applyFont="1" applyBorder="1" applyAlignment="1" applyProtection="1">
      <alignment horizontal="right" vertical="top" wrapText="1"/>
    </xf>
    <xf numFmtId="0" fontId="17" fillId="0" borderId="18" xfId="0" applyFont="1" applyBorder="1" applyAlignment="1" applyProtection="1">
      <alignment horizontal="center" vertical="top"/>
      <protection locked="0"/>
    </xf>
    <xf numFmtId="170" fontId="26" fillId="0" borderId="18" xfId="0" applyNumberFormat="1" applyFont="1" applyBorder="1" applyAlignment="1">
      <alignment horizontal="center" vertical="top"/>
    </xf>
    <xf numFmtId="168" fontId="15" fillId="0" borderId="18" xfId="0" applyNumberFormat="1" applyFont="1" applyBorder="1" applyAlignment="1">
      <alignment horizontal="center" vertical="top"/>
    </xf>
    <xf numFmtId="168" fontId="26" fillId="0" borderId="18" xfId="0" applyNumberFormat="1" applyFont="1" applyBorder="1" applyAlignment="1">
      <alignment horizontal="center" vertical="top"/>
    </xf>
    <xf numFmtId="168" fontId="27" fillId="0" borderId="18" xfId="0" applyNumberFormat="1" applyFont="1" applyBorder="1" applyAlignment="1">
      <alignment horizontal="center" vertical="top"/>
    </xf>
    <xf numFmtId="0" fontId="24" fillId="0" borderId="20" xfId="0" applyFont="1" applyBorder="1" applyAlignment="1">
      <alignment horizontal="center" vertical="top"/>
    </xf>
    <xf numFmtId="0" fontId="4" fillId="0" borderId="0" xfId="0" applyFont="1" applyAlignment="1">
      <alignment horizontal="left" vertical="top" wrapText="1"/>
    </xf>
    <xf numFmtId="0" fontId="29" fillId="0" borderId="0" xfId="0" applyFont="1" applyAlignment="1">
      <alignment horizontal="center" vertical="top" wrapText="1"/>
    </xf>
    <xf numFmtId="166" fontId="29" fillId="0" borderId="0" xfId="0" applyNumberFormat="1" applyFont="1" applyAlignment="1">
      <alignment horizontal="center" vertical="top"/>
    </xf>
    <xf numFmtId="169" fontId="15" fillId="0" borderId="0" xfId="0" applyNumberFormat="1" applyFont="1" applyAlignment="1">
      <alignment horizontal="center" vertical="top" wrapText="1"/>
    </xf>
    <xf numFmtId="165" fontId="15" fillId="0" borderId="0" xfId="1" applyNumberFormat="1" applyFont="1" applyBorder="1" applyAlignment="1" applyProtection="1">
      <alignment horizontal="right" vertical="top" wrapText="1"/>
    </xf>
    <xf numFmtId="0" fontId="17" fillId="0" borderId="21" xfId="0" applyFont="1" applyBorder="1" applyAlignment="1" applyProtection="1">
      <alignment horizontal="center" vertical="top"/>
      <protection locked="0"/>
    </xf>
    <xf numFmtId="0" fontId="24" fillId="0" borderId="0" xfId="0" applyFont="1" applyAlignment="1">
      <alignment horizontal="center" vertical="top"/>
    </xf>
    <xf numFmtId="170" fontId="26" fillId="0" borderId="0" xfId="0" applyNumberFormat="1" applyFont="1" applyAlignment="1">
      <alignment horizontal="center" vertical="top"/>
    </xf>
    <xf numFmtId="168" fontId="15" fillId="0" borderId="0" xfId="0" applyNumberFormat="1" applyFont="1" applyAlignment="1">
      <alignment horizontal="center" vertical="top"/>
    </xf>
    <xf numFmtId="168" fontId="26" fillId="0" borderId="0" xfId="0" applyNumberFormat="1" applyFont="1" applyAlignment="1">
      <alignment horizontal="center" vertical="top"/>
    </xf>
    <xf numFmtId="168" fontId="27" fillId="0" borderId="0" xfId="0" applyNumberFormat="1" applyFont="1" applyAlignment="1">
      <alignment horizontal="center" vertical="top"/>
    </xf>
    <xf numFmtId="0" fontId="31" fillId="0" borderId="18" xfId="0" applyFont="1" applyBorder="1" applyAlignment="1">
      <alignment horizontal="center" vertical="top"/>
    </xf>
    <xf numFmtId="0" fontId="15" fillId="0" borderId="18" xfId="0" applyFont="1" applyBorder="1" applyAlignment="1">
      <alignment horizontal="left" vertical="top" wrapText="1"/>
    </xf>
    <xf numFmtId="166" fontId="15" fillId="0" borderId="18" xfId="0" applyNumberFormat="1" applyFont="1" applyBorder="1" applyAlignment="1">
      <alignment horizontal="center" vertical="top"/>
    </xf>
    <xf numFmtId="0" fontId="31" fillId="0" borderId="22" xfId="0" applyFont="1" applyBorder="1" applyAlignment="1">
      <alignment horizontal="center" vertical="top"/>
    </xf>
    <xf numFmtId="0" fontId="31" fillId="0" borderId="23" xfId="0" applyFont="1" applyBorder="1" applyAlignment="1">
      <alignment horizontal="center" vertical="top"/>
    </xf>
    <xf numFmtId="0" fontId="29" fillId="0" borderId="23" xfId="0" applyFont="1" applyBorder="1" applyAlignment="1">
      <alignment horizontal="center" vertical="top" wrapText="1"/>
    </xf>
    <xf numFmtId="166" fontId="28" fillId="0" borderId="23" xfId="0" applyNumberFormat="1" applyFont="1" applyBorder="1" applyAlignment="1">
      <alignment horizontal="center" vertical="top"/>
    </xf>
    <xf numFmtId="169" fontId="15" fillId="0" borderId="23" xfId="0" applyNumberFormat="1" applyFont="1" applyBorder="1" applyAlignment="1">
      <alignment horizontal="center" vertical="top" wrapText="1"/>
    </xf>
    <xf numFmtId="165" fontId="15" fillId="0" borderId="23" xfId="1" applyNumberFormat="1" applyFont="1" applyBorder="1" applyAlignment="1" applyProtection="1">
      <alignment horizontal="right" vertical="top" wrapText="1"/>
    </xf>
    <xf numFmtId="0" fontId="17" fillId="0" borderId="24" xfId="0" applyFont="1" applyBorder="1" applyAlignment="1" applyProtection="1">
      <alignment horizontal="center" vertical="top"/>
      <protection locked="0"/>
    </xf>
    <xf numFmtId="170" fontId="26" fillId="0" borderId="23" xfId="0" applyNumberFormat="1" applyFont="1" applyBorder="1" applyAlignment="1">
      <alignment horizontal="center" vertical="top"/>
    </xf>
    <xf numFmtId="168" fontId="15" fillId="0" borderId="23" xfId="0" applyNumberFormat="1" applyFont="1" applyBorder="1" applyAlignment="1">
      <alignment horizontal="center" vertical="top"/>
    </xf>
    <xf numFmtId="168" fontId="26" fillId="0" borderId="23" xfId="0" applyNumberFormat="1" applyFont="1" applyBorder="1" applyAlignment="1">
      <alignment horizontal="center" vertical="top"/>
    </xf>
    <xf numFmtId="168" fontId="27" fillId="0" borderId="24" xfId="0" applyNumberFormat="1" applyFont="1" applyBorder="1" applyAlignment="1">
      <alignment horizontal="center" vertical="top"/>
    </xf>
    <xf numFmtId="0" fontId="31" fillId="0" borderId="20" xfId="0" applyFont="1" applyBorder="1" applyAlignment="1">
      <alignment horizontal="center" vertical="top"/>
    </xf>
    <xf numFmtId="0" fontId="31" fillId="0" borderId="0" xfId="0" applyFont="1" applyAlignment="1">
      <alignment horizontal="center" vertical="top"/>
    </xf>
    <xf numFmtId="166" fontId="28" fillId="0" borderId="0" xfId="0" applyNumberFormat="1" applyFont="1" applyAlignment="1">
      <alignment horizontal="center" vertical="top"/>
    </xf>
    <xf numFmtId="168" fontId="27" fillId="0" borderId="21" xfId="0" applyNumberFormat="1" applyFont="1" applyBorder="1" applyAlignment="1">
      <alignment horizontal="center" vertical="top"/>
    </xf>
    <xf numFmtId="0" fontId="15" fillId="0" borderId="18" xfId="0" applyFont="1" applyBorder="1" applyAlignment="1">
      <alignment horizontal="center" vertical="top" wrapText="1"/>
    </xf>
    <xf numFmtId="0" fontId="15" fillId="0" borderId="23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center" vertical="top" wrapText="1"/>
    </xf>
    <xf numFmtId="166" fontId="15" fillId="0" borderId="23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166" fontId="15" fillId="0" borderId="0" xfId="0" applyNumberFormat="1" applyFont="1" applyAlignment="1">
      <alignment horizontal="center" vertical="top"/>
    </xf>
    <xf numFmtId="171" fontId="15" fillId="0" borderId="18" xfId="0" applyNumberFormat="1" applyFont="1" applyBorder="1" applyAlignment="1">
      <alignment horizontal="center" vertical="top"/>
    </xf>
    <xf numFmtId="0" fontId="31" fillId="3" borderId="22" xfId="0" applyFont="1" applyFill="1" applyBorder="1" applyAlignment="1">
      <alignment horizontal="center" vertical="top"/>
    </xf>
    <xf numFmtId="0" fontId="15" fillId="3" borderId="23" xfId="0" applyFont="1" applyFill="1" applyBorder="1" applyAlignment="1">
      <alignment horizontal="left" vertical="top" wrapText="1"/>
    </xf>
    <xf numFmtId="0" fontId="28" fillId="3" borderId="23" xfId="0" applyFont="1" applyFill="1" applyBorder="1" applyAlignment="1">
      <alignment horizontal="center" vertical="top" wrapText="1"/>
    </xf>
    <xf numFmtId="171" fontId="15" fillId="3" borderId="23" xfId="0" applyNumberFormat="1" applyFont="1" applyFill="1" applyBorder="1" applyAlignment="1">
      <alignment horizontal="center" vertical="top"/>
    </xf>
    <xf numFmtId="169" fontId="15" fillId="3" borderId="23" xfId="0" applyNumberFormat="1" applyFont="1" applyFill="1" applyBorder="1" applyAlignment="1">
      <alignment horizontal="center" vertical="top" wrapText="1"/>
    </xf>
    <xf numFmtId="165" fontId="15" fillId="3" borderId="23" xfId="1" applyNumberFormat="1" applyFont="1" applyFill="1" applyBorder="1" applyAlignment="1" applyProtection="1">
      <alignment horizontal="right" vertical="top" wrapText="1"/>
    </xf>
    <xf numFmtId="0" fontId="24" fillId="3" borderId="0" xfId="0" applyFont="1" applyFill="1" applyAlignment="1">
      <alignment horizontal="center" vertical="top"/>
    </xf>
    <xf numFmtId="170" fontId="26" fillId="3" borderId="23" xfId="0" applyNumberFormat="1" applyFont="1" applyFill="1" applyBorder="1" applyAlignment="1">
      <alignment horizontal="center" vertical="top"/>
    </xf>
    <xf numFmtId="0" fontId="31" fillId="3" borderId="20" xfId="0" applyFont="1" applyFill="1" applyBorder="1" applyAlignment="1">
      <alignment horizontal="center" vertical="top"/>
    </xf>
    <xf numFmtId="0" fontId="15" fillId="3" borderId="0" xfId="0" applyFont="1" applyFill="1" applyAlignment="1">
      <alignment horizontal="left" vertical="top" wrapText="1"/>
    </xf>
    <xf numFmtId="0" fontId="28" fillId="3" borderId="0" xfId="0" applyFont="1" applyFill="1" applyAlignment="1">
      <alignment horizontal="center" vertical="top" wrapText="1"/>
    </xf>
    <xf numFmtId="171" fontId="28" fillId="3" borderId="0" xfId="0" applyNumberFormat="1" applyFont="1" applyFill="1" applyAlignment="1">
      <alignment horizontal="center" vertical="top"/>
    </xf>
    <xf numFmtId="169" fontId="15" fillId="3" borderId="0" xfId="0" applyNumberFormat="1" applyFont="1" applyFill="1" applyAlignment="1">
      <alignment horizontal="center" vertical="top" wrapText="1"/>
    </xf>
    <xf numFmtId="165" fontId="15" fillId="3" borderId="0" xfId="1" applyNumberFormat="1" applyFont="1" applyFill="1" applyBorder="1" applyAlignment="1" applyProtection="1">
      <alignment horizontal="right" vertical="top" wrapText="1"/>
    </xf>
    <xf numFmtId="170" fontId="26" fillId="3" borderId="0" xfId="0" applyNumberFormat="1" applyFont="1" applyFill="1" applyAlignment="1">
      <alignment horizontal="center" vertical="top"/>
    </xf>
    <xf numFmtId="0" fontId="28" fillId="3" borderId="0" xfId="0" applyFont="1" applyFill="1" applyAlignment="1">
      <alignment horizontal="left" vertical="top" wrapText="1"/>
    </xf>
    <xf numFmtId="0" fontId="28" fillId="3" borderId="0" xfId="0" applyFont="1" applyFill="1" applyAlignment="1">
      <alignment horizontal="left" vertical="top"/>
    </xf>
    <xf numFmtId="0" fontId="15" fillId="0" borderId="18" xfId="0" applyFont="1" applyBorder="1" applyAlignment="1">
      <alignment vertical="top" wrapText="1" indent="1"/>
    </xf>
    <xf numFmtId="2" fontId="15" fillId="0" borderId="18" xfId="0" applyNumberFormat="1" applyFont="1" applyBorder="1" applyAlignment="1">
      <alignment horizontal="center" vertical="top"/>
    </xf>
    <xf numFmtId="169" fontId="4" fillId="0" borderId="18" xfId="0" applyNumberFormat="1" applyFont="1" applyBorder="1" applyAlignment="1">
      <alignment horizontal="center" vertical="top" wrapText="1"/>
    </xf>
    <xf numFmtId="0" fontId="31" fillId="0" borderId="25" xfId="0" applyFont="1" applyBorder="1" applyAlignment="1">
      <alignment horizontal="center" vertical="top"/>
    </xf>
    <xf numFmtId="0" fontId="15" fillId="0" borderId="25" xfId="0" applyFont="1" applyBorder="1" applyAlignment="1">
      <alignment horizontal="left" vertical="top" wrapText="1"/>
    </xf>
    <xf numFmtId="0" fontId="15" fillId="0" borderId="25" xfId="0" applyFont="1" applyBorder="1" applyAlignment="1">
      <alignment vertical="top" wrapText="1" indent="1"/>
    </xf>
    <xf numFmtId="2" fontId="15" fillId="0" borderId="25" xfId="0" applyNumberFormat="1" applyFont="1" applyBorder="1" applyAlignment="1">
      <alignment horizontal="center" vertical="top"/>
    </xf>
    <xf numFmtId="169" fontId="4" fillId="0" borderId="25" xfId="0" applyNumberFormat="1" applyFont="1" applyBorder="1" applyAlignment="1">
      <alignment horizontal="center" vertical="top" wrapText="1"/>
    </xf>
    <xf numFmtId="165" fontId="15" fillId="0" borderId="26" xfId="1" applyNumberFormat="1" applyFont="1" applyBorder="1" applyAlignment="1" applyProtection="1">
      <alignment horizontal="right" vertical="top" wrapText="1"/>
    </xf>
    <xf numFmtId="0" fontId="17" fillId="0" borderId="25" xfId="0" applyFont="1" applyBorder="1" applyAlignment="1" applyProtection="1">
      <alignment horizontal="center" vertical="top"/>
      <protection locked="0"/>
    </xf>
    <xf numFmtId="170" fontId="26" fillId="0" borderId="25" xfId="0" applyNumberFormat="1" applyFont="1" applyBorder="1" applyAlignment="1">
      <alignment horizontal="center" vertical="top"/>
    </xf>
    <xf numFmtId="168" fontId="15" fillId="0" borderId="25" xfId="0" applyNumberFormat="1" applyFont="1" applyBorder="1" applyAlignment="1">
      <alignment horizontal="center" vertical="top"/>
    </xf>
    <xf numFmtId="168" fontId="26" fillId="0" borderId="25" xfId="0" applyNumberFormat="1" applyFont="1" applyBorder="1" applyAlignment="1">
      <alignment horizontal="center" vertical="top"/>
    </xf>
    <xf numFmtId="168" fontId="27" fillId="0" borderId="25" xfId="0" applyNumberFormat="1" applyFont="1" applyBorder="1" applyAlignment="1">
      <alignment horizontal="center" vertical="top"/>
    </xf>
    <xf numFmtId="0" fontId="4" fillId="0" borderId="25" xfId="0" applyFont="1" applyBorder="1" applyAlignment="1">
      <alignment horizontal="left" vertical="top" wrapText="1"/>
    </xf>
    <xf numFmtId="0" fontId="4" fillId="0" borderId="25" xfId="0" applyFont="1" applyBorder="1" applyAlignment="1">
      <alignment vertical="top" wrapText="1" indent="1"/>
    </xf>
    <xf numFmtId="2" fontId="4" fillId="0" borderId="25" xfId="0" applyNumberFormat="1" applyFont="1" applyBorder="1" applyAlignment="1">
      <alignment vertical="top" indent="1"/>
    </xf>
    <xf numFmtId="0" fontId="31" fillId="0" borderId="27" xfId="0" applyFont="1" applyBorder="1" applyAlignment="1">
      <alignment horizontal="center" vertical="top"/>
    </xf>
    <xf numFmtId="0" fontId="15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center" vertical="top" wrapText="1"/>
    </xf>
    <xf numFmtId="172" fontId="28" fillId="0" borderId="28" xfId="0" applyNumberFormat="1" applyFont="1" applyBorder="1" applyAlignment="1">
      <alignment horizontal="center" vertical="top" wrapText="1"/>
    </xf>
    <xf numFmtId="169" fontId="15" fillId="0" borderId="28" xfId="0" applyNumberFormat="1" applyFont="1" applyBorder="1" applyAlignment="1">
      <alignment horizontal="center" vertical="top" wrapText="1"/>
    </xf>
    <xf numFmtId="169" fontId="15" fillId="0" borderId="29" xfId="0" applyNumberFormat="1" applyFont="1" applyBorder="1" applyAlignment="1">
      <alignment horizontal="center" vertical="top" wrapText="1"/>
    </xf>
    <xf numFmtId="165" fontId="13" fillId="0" borderId="19" xfId="1" applyNumberFormat="1" applyFont="1" applyBorder="1" applyAlignment="1" applyProtection="1">
      <alignment horizontal="right" vertical="top" wrapText="1"/>
    </xf>
    <xf numFmtId="170" fontId="26" fillId="0" borderId="28" xfId="0" applyNumberFormat="1" applyFont="1" applyBorder="1" applyAlignment="1">
      <alignment horizontal="center" vertical="top"/>
    </xf>
    <xf numFmtId="168" fontId="15" fillId="0" borderId="28" xfId="0" applyNumberFormat="1" applyFont="1" applyBorder="1" applyAlignment="1">
      <alignment horizontal="center" vertical="top"/>
    </xf>
    <xf numFmtId="168" fontId="26" fillId="0" borderId="28" xfId="0" applyNumberFormat="1" applyFont="1" applyBorder="1" applyAlignment="1">
      <alignment horizontal="center" vertical="top"/>
    </xf>
    <xf numFmtId="168" fontId="27" fillId="0" borderId="26" xfId="0" applyNumberFormat="1" applyFont="1" applyBorder="1" applyAlignment="1">
      <alignment horizontal="center" vertical="top"/>
    </xf>
    <xf numFmtId="0" fontId="1" fillId="0" borderId="18" xfId="0" applyFont="1" applyBorder="1" applyAlignment="1">
      <alignment horizontal="center" vertical="top" wrapText="1"/>
    </xf>
    <xf numFmtId="166" fontId="15" fillId="0" borderId="27" xfId="0" applyNumberFormat="1" applyFont="1" applyBorder="1" applyAlignment="1">
      <alignment horizontal="center" vertical="top"/>
    </xf>
    <xf numFmtId="169" fontId="4" fillId="0" borderId="18" xfId="0" applyNumberFormat="1" applyFont="1" applyBorder="1" applyAlignment="1">
      <alignment horizontal="center" vertical="top"/>
    </xf>
    <xf numFmtId="0" fontId="31" fillId="0" borderId="27" xfId="0" applyFont="1" applyBorder="1" applyAlignment="1" applyProtection="1">
      <alignment horizontal="center" vertical="top"/>
      <protection locked="0"/>
    </xf>
    <xf numFmtId="166" fontId="15" fillId="0" borderId="18" xfId="0" applyNumberFormat="1" applyFont="1" applyBorder="1" applyAlignment="1">
      <alignment horizontal="center" vertical="top" wrapText="1"/>
    </xf>
    <xf numFmtId="0" fontId="0" fillId="0" borderId="20" xfId="0" applyBorder="1"/>
    <xf numFmtId="0" fontId="4" fillId="0" borderId="0" xfId="0" applyFont="1" applyAlignment="1">
      <alignment horizontal="left"/>
    </xf>
    <xf numFmtId="0" fontId="0" fillId="0" borderId="21" xfId="0" applyBorder="1"/>
    <xf numFmtId="170" fontId="0" fillId="0" borderId="0" xfId="0" applyNumberFormat="1" applyAlignment="1">
      <alignment vertical="top"/>
    </xf>
    <xf numFmtId="165" fontId="21" fillId="3" borderId="28" xfId="1" applyNumberFormat="1" applyFont="1" applyFill="1" applyBorder="1" applyAlignment="1" applyProtection="1">
      <alignment horizontal="right"/>
    </xf>
    <xf numFmtId="170" fontId="11" fillId="0" borderId="0" xfId="0" applyNumberFormat="1" applyFont="1" applyAlignment="1">
      <alignment horizontal="center" vertical="top"/>
    </xf>
    <xf numFmtId="0" fontId="24" fillId="0" borderId="27" xfId="0" applyFont="1" applyBorder="1" applyAlignment="1">
      <alignment horizontal="center" vertical="top"/>
    </xf>
    <xf numFmtId="0" fontId="35" fillId="0" borderId="18" xfId="0" applyFont="1" applyBorder="1" applyAlignment="1">
      <alignment vertical="top" wrapText="1" indent="1"/>
    </xf>
    <xf numFmtId="171" fontId="15" fillId="0" borderId="18" xfId="0" applyNumberFormat="1" applyFont="1" applyBorder="1" applyAlignment="1">
      <alignment horizontal="center" vertical="top" wrapText="1"/>
    </xf>
    <xf numFmtId="170" fontId="17" fillId="0" borderId="18" xfId="0" applyNumberFormat="1" applyFont="1" applyBorder="1" applyAlignment="1">
      <alignment horizontal="center" vertical="top"/>
    </xf>
    <xf numFmtId="0" fontId="37" fillId="0" borderId="18" xfId="0" applyFont="1" applyBorder="1" applyAlignment="1">
      <alignment horizontal="left" vertical="top"/>
    </xf>
    <xf numFmtId="0" fontId="37" fillId="0" borderId="18" xfId="0" applyFont="1" applyBorder="1" applyAlignment="1">
      <alignment vertical="top" wrapText="1" indent="1"/>
    </xf>
    <xf numFmtId="171" fontId="37" fillId="0" borderId="18" xfId="0" applyNumberFormat="1" applyFont="1" applyBorder="1" applyAlignment="1">
      <alignment horizontal="center" vertical="top" wrapText="1"/>
    </xf>
    <xf numFmtId="169" fontId="37" fillId="0" borderId="18" xfId="0" applyNumberFormat="1" applyFont="1" applyBorder="1" applyAlignment="1">
      <alignment horizontal="center" vertical="top" wrapText="1"/>
    </xf>
    <xf numFmtId="165" fontId="37" fillId="0" borderId="19" xfId="1" applyNumberFormat="1" applyFont="1" applyBorder="1" applyAlignment="1" applyProtection="1">
      <alignment horizontal="right" vertical="top" wrapText="1"/>
    </xf>
    <xf numFmtId="0" fontId="4" fillId="0" borderId="18" xfId="0" applyFont="1" applyBorder="1" applyAlignment="1">
      <alignment horizontal="left" vertical="top"/>
    </xf>
    <xf numFmtId="0" fontId="24" fillId="3" borderId="22" xfId="0" applyFont="1" applyFill="1" applyBorder="1" applyAlignment="1">
      <alignment horizontal="center" vertical="top"/>
    </xf>
    <xf numFmtId="171" fontId="15" fillId="3" borderId="23" xfId="0" applyNumberFormat="1" applyFont="1" applyFill="1" applyBorder="1" applyAlignment="1">
      <alignment horizontal="center" vertical="top" wrapText="1"/>
    </xf>
    <xf numFmtId="170" fontId="17" fillId="3" borderId="23" xfId="0" applyNumberFormat="1" applyFont="1" applyFill="1" applyBorder="1" applyAlignment="1">
      <alignment horizontal="center" vertical="top"/>
    </xf>
    <xf numFmtId="0" fontId="24" fillId="3" borderId="20" xfId="0" applyFont="1" applyFill="1" applyBorder="1" applyAlignment="1">
      <alignment horizontal="center" vertical="top"/>
    </xf>
    <xf numFmtId="171" fontId="28" fillId="3" borderId="0" xfId="0" applyNumberFormat="1" applyFont="1" applyFill="1" applyAlignment="1">
      <alignment horizontal="center" vertical="top" wrapText="1"/>
    </xf>
    <xf numFmtId="170" fontId="17" fillId="3" borderId="0" xfId="0" applyNumberFormat="1" applyFont="1" applyFill="1" applyAlignment="1">
      <alignment horizontal="center" vertical="top"/>
    </xf>
    <xf numFmtId="4" fontId="2" fillId="0" borderId="0" xfId="0" applyNumberFormat="1" applyFont="1" applyAlignment="1">
      <alignment horizontal="center"/>
    </xf>
    <xf numFmtId="0" fontId="24" fillId="3" borderId="30" xfId="0" applyFont="1" applyFill="1" applyBorder="1" applyAlignment="1">
      <alignment horizontal="center" vertical="top"/>
    </xf>
    <xf numFmtId="0" fontId="15" fillId="3" borderId="28" xfId="0" applyFont="1" applyFill="1" applyBorder="1" applyAlignment="1">
      <alignment horizontal="left" vertical="top" wrapText="1"/>
    </xf>
    <xf numFmtId="171" fontId="28" fillId="3" borderId="28" xfId="0" applyNumberFormat="1" applyFont="1" applyFill="1" applyBorder="1" applyAlignment="1">
      <alignment horizontal="center" vertical="top" wrapText="1"/>
    </xf>
    <xf numFmtId="165" fontId="15" fillId="3" borderId="28" xfId="1" applyNumberFormat="1" applyFont="1" applyFill="1" applyBorder="1" applyAlignment="1" applyProtection="1">
      <alignment horizontal="right" vertical="top" wrapText="1"/>
    </xf>
    <xf numFmtId="0" fontId="17" fillId="0" borderId="26" xfId="0" applyFont="1" applyBorder="1" applyAlignment="1" applyProtection="1">
      <alignment horizontal="center" vertical="top"/>
      <protection locked="0"/>
    </xf>
    <xf numFmtId="170" fontId="17" fillId="3" borderId="28" xfId="0" applyNumberFormat="1" applyFont="1" applyFill="1" applyBorder="1" applyAlignment="1">
      <alignment horizontal="center" vertical="top"/>
    </xf>
    <xf numFmtId="166" fontId="28" fillId="3" borderId="0" xfId="0" applyNumberFormat="1" applyFont="1" applyFill="1" applyAlignment="1">
      <alignment horizontal="center" vertical="top"/>
    </xf>
    <xf numFmtId="172" fontId="28" fillId="3" borderId="0" xfId="0" applyNumberFormat="1" applyFont="1" applyFill="1" applyAlignment="1">
      <alignment horizontal="center" vertical="top"/>
    </xf>
    <xf numFmtId="172" fontId="28" fillId="3" borderId="0" xfId="0" applyNumberFormat="1" applyFont="1" applyFill="1" applyAlignment="1">
      <alignment horizontal="center" vertical="top" wrapText="1"/>
    </xf>
    <xf numFmtId="0" fontId="36" fillId="3" borderId="0" xfId="0" applyFont="1" applyFill="1" applyAlignment="1">
      <alignment vertical="top" wrapText="1" indent="1"/>
    </xf>
    <xf numFmtId="4" fontId="29" fillId="0" borderId="0" xfId="0" applyNumberFormat="1" applyFont="1" applyAlignment="1">
      <alignment horizontal="center"/>
    </xf>
    <xf numFmtId="4" fontId="29" fillId="0" borderId="0" xfId="0" applyNumberFormat="1" applyFont="1" applyAlignment="1">
      <alignment horizontal="center" vertical="top"/>
    </xf>
    <xf numFmtId="0" fontId="0" fillId="0" borderId="30" xfId="0" applyBorder="1"/>
    <xf numFmtId="0" fontId="0" fillId="0" borderId="28" xfId="0" applyBorder="1"/>
    <xf numFmtId="0" fontId="28" fillId="3" borderId="28" xfId="0" applyFont="1" applyFill="1" applyBorder="1" applyAlignment="1">
      <alignment horizontal="left" vertical="top" wrapText="1"/>
    </xf>
    <xf numFmtId="0" fontId="36" fillId="3" borderId="28" xfId="0" applyFont="1" applyFill="1" applyBorder="1" applyAlignment="1">
      <alignment vertical="top" wrapText="1" indent="1"/>
    </xf>
    <xf numFmtId="4" fontId="29" fillId="0" borderId="28" xfId="0" applyNumberFormat="1" applyFont="1" applyBorder="1" applyAlignment="1">
      <alignment horizontal="center" vertical="top"/>
    </xf>
    <xf numFmtId="0" fontId="0" fillId="0" borderId="26" xfId="0" applyBorder="1"/>
    <xf numFmtId="0" fontId="31" fillId="3" borderId="0" xfId="0" applyFont="1" applyFill="1" applyAlignment="1">
      <alignment horizontal="left" vertical="center"/>
    </xf>
    <xf numFmtId="166" fontId="24" fillId="0" borderId="0" xfId="0" applyNumberFormat="1" applyFont="1" applyAlignment="1">
      <alignment horizontal="center" vertical="top"/>
    </xf>
    <xf numFmtId="0" fontId="15" fillId="0" borderId="18" xfId="0" applyFont="1" applyBorder="1" applyAlignment="1">
      <alignment horizontal="left" vertical="top"/>
    </xf>
    <xf numFmtId="0" fontId="37" fillId="0" borderId="18" xfId="0" applyFont="1" applyBorder="1" applyAlignment="1">
      <alignment horizontal="left" vertical="top" wrapText="1"/>
    </xf>
    <xf numFmtId="2" fontId="37" fillId="0" borderId="18" xfId="0" applyNumberFormat="1" applyFont="1" applyBorder="1" applyAlignment="1">
      <alignment horizontal="center" vertical="top"/>
    </xf>
    <xf numFmtId="0" fontId="31" fillId="3" borderId="0" xfId="0" applyFont="1" applyFill="1" applyAlignment="1">
      <alignment horizontal="left"/>
    </xf>
    <xf numFmtId="0" fontId="24" fillId="0" borderId="0" xfId="0" applyFont="1" applyAlignment="1">
      <alignment horizontal="center"/>
    </xf>
    <xf numFmtId="166" fontId="24" fillId="0" borderId="0" xfId="0" applyNumberFormat="1" applyFont="1" applyAlignment="1">
      <alignment horizontal="center"/>
    </xf>
    <xf numFmtId="170" fontId="40" fillId="0" borderId="0" xfId="0" applyNumberFormat="1" applyFont="1" applyAlignment="1">
      <alignment vertical="top"/>
    </xf>
    <xf numFmtId="0" fontId="33" fillId="0" borderId="0" xfId="0" applyFont="1"/>
    <xf numFmtId="0" fontId="15" fillId="5" borderId="18" xfId="0" applyFont="1" applyFill="1" applyBorder="1" applyAlignment="1">
      <alignment horizontal="left" vertical="top" wrapText="1"/>
    </xf>
    <xf numFmtId="169" fontId="15" fillId="0" borderId="25" xfId="0" applyNumberFormat="1" applyFont="1" applyBorder="1" applyAlignment="1">
      <alignment horizontal="center" vertical="top" wrapText="1"/>
    </xf>
    <xf numFmtId="0" fontId="41" fillId="0" borderId="0" xfId="0" applyFont="1"/>
    <xf numFmtId="0" fontId="24" fillId="3" borderId="18" xfId="0" applyFont="1" applyFill="1" applyBorder="1" applyAlignment="1">
      <alignment horizontal="center" vertical="top"/>
    </xf>
    <xf numFmtId="0" fontId="15" fillId="3" borderId="18" xfId="0" applyFont="1" applyFill="1" applyBorder="1" applyAlignment="1">
      <alignment horizontal="left" vertical="top" wrapText="1"/>
    </xf>
    <xf numFmtId="0" fontId="15" fillId="3" borderId="18" xfId="0" applyFont="1" applyFill="1" applyBorder="1" applyAlignment="1">
      <alignment vertical="top" wrapText="1"/>
    </xf>
    <xf numFmtId="0" fontId="15" fillId="3" borderId="18" xfId="0" applyFont="1" applyFill="1" applyBorder="1" applyAlignment="1">
      <alignment vertical="top" wrapText="1" indent="1"/>
    </xf>
    <xf numFmtId="2" fontId="15" fillId="3" borderId="18" xfId="0" applyNumberFormat="1" applyFont="1" applyFill="1" applyBorder="1" applyAlignment="1">
      <alignment horizontal="center" vertical="top"/>
    </xf>
    <xf numFmtId="169" fontId="15" fillId="3" borderId="18" xfId="0" applyNumberFormat="1" applyFont="1" applyFill="1" applyBorder="1" applyAlignment="1">
      <alignment horizontal="center" vertical="top" wrapText="1"/>
    </xf>
    <xf numFmtId="165" fontId="15" fillId="3" borderId="19" xfId="1" applyNumberFormat="1" applyFont="1" applyFill="1" applyBorder="1" applyAlignment="1" applyProtection="1">
      <alignment horizontal="right" vertical="top" wrapText="1"/>
    </xf>
    <xf numFmtId="0" fontId="17" fillId="3" borderId="18" xfId="0" applyFont="1" applyFill="1" applyBorder="1" applyAlignment="1" applyProtection="1">
      <alignment horizontal="center" vertical="top"/>
      <protection locked="0"/>
    </xf>
    <xf numFmtId="0" fontId="2" fillId="3" borderId="0" xfId="0" applyFont="1" applyFill="1" applyAlignment="1">
      <alignment vertical="center"/>
    </xf>
    <xf numFmtId="170" fontId="17" fillId="3" borderId="18" xfId="0" applyNumberFormat="1" applyFont="1" applyFill="1" applyBorder="1" applyAlignment="1">
      <alignment horizontal="center" vertical="top"/>
    </xf>
    <xf numFmtId="168" fontId="15" fillId="3" borderId="18" xfId="0" applyNumberFormat="1" applyFont="1" applyFill="1" applyBorder="1" applyAlignment="1">
      <alignment horizontal="center" vertical="top"/>
    </xf>
    <xf numFmtId="168" fontId="26" fillId="3" borderId="18" xfId="0" applyNumberFormat="1" applyFont="1" applyFill="1" applyBorder="1" applyAlignment="1">
      <alignment horizontal="center" vertical="top"/>
    </xf>
    <xf numFmtId="168" fontId="27" fillId="3" borderId="18" xfId="0" applyNumberFormat="1" applyFont="1" applyFill="1" applyBorder="1" applyAlignment="1">
      <alignment horizontal="center" vertical="top"/>
    </xf>
    <xf numFmtId="0" fontId="15" fillId="5" borderId="0" xfId="0" applyFont="1" applyFill="1" applyAlignment="1">
      <alignment horizontal="left" vertical="top" wrapText="1"/>
    </xf>
    <xf numFmtId="0" fontId="15" fillId="5" borderId="0" xfId="0" applyFont="1" applyFill="1" applyAlignment="1">
      <alignment vertical="top" wrapText="1" indent="1"/>
    </xf>
    <xf numFmtId="2" fontId="15" fillId="0" borderId="0" xfId="0" applyNumberFormat="1" applyFont="1" applyAlignment="1">
      <alignment horizontal="center" vertical="top"/>
    </xf>
    <xf numFmtId="0" fontId="17" fillId="0" borderId="0" xfId="0" applyFont="1" applyAlignment="1" applyProtection="1">
      <alignment horizontal="center" vertical="top"/>
      <protection locked="0"/>
    </xf>
    <xf numFmtId="0" fontId="42" fillId="3" borderId="0" xfId="0" applyFont="1" applyFill="1" applyAlignment="1">
      <alignment horizontal="left" vertical="top" wrapText="1"/>
    </xf>
    <xf numFmtId="171" fontId="24" fillId="0" borderId="0" xfId="0" applyNumberFormat="1" applyFont="1" applyAlignment="1">
      <alignment horizontal="center"/>
    </xf>
    <xf numFmtId="0" fontId="31" fillId="3" borderId="0" xfId="0" applyFont="1" applyFill="1" applyAlignment="1">
      <alignment horizontal="left" vertical="top" wrapText="1"/>
    </xf>
    <xf numFmtId="0" fontId="15" fillId="0" borderId="29" xfId="0" applyFont="1" applyBorder="1" applyAlignment="1">
      <alignment horizontal="left" vertical="top" wrapText="1"/>
    </xf>
    <xf numFmtId="0" fontId="28" fillId="0" borderId="29" xfId="0" applyFont="1" applyBorder="1" applyAlignment="1">
      <alignment vertical="top" wrapText="1" indent="1"/>
    </xf>
    <xf numFmtId="171" fontId="28" fillId="0" borderId="29" xfId="0" applyNumberFormat="1" applyFont="1" applyBorder="1" applyAlignment="1">
      <alignment horizontal="center" vertical="top" wrapText="1"/>
    </xf>
    <xf numFmtId="165" fontId="15" fillId="0" borderId="29" xfId="1" applyNumberFormat="1" applyFont="1" applyBorder="1" applyAlignment="1" applyProtection="1">
      <alignment horizontal="right" vertical="top" wrapText="1"/>
    </xf>
    <xf numFmtId="0" fontId="17" fillId="0" borderId="29" xfId="0" applyFont="1" applyBorder="1" applyAlignment="1" applyProtection="1">
      <alignment horizontal="center" vertical="top"/>
      <protection locked="0"/>
    </xf>
    <xf numFmtId="170" fontId="17" fillId="0" borderId="29" xfId="0" applyNumberFormat="1" applyFont="1" applyBorder="1" applyAlignment="1">
      <alignment horizontal="center" vertical="top"/>
    </xf>
    <xf numFmtId="168" fontId="15" fillId="0" borderId="29" xfId="0" applyNumberFormat="1" applyFont="1" applyBorder="1" applyAlignment="1">
      <alignment horizontal="center" vertical="top"/>
    </xf>
    <xf numFmtId="168" fontId="26" fillId="0" borderId="29" xfId="0" applyNumberFormat="1" applyFont="1" applyBorder="1" applyAlignment="1">
      <alignment horizontal="center" vertical="top"/>
    </xf>
    <xf numFmtId="168" fontId="27" fillId="0" borderId="19" xfId="0" applyNumberFormat="1" applyFont="1" applyBorder="1" applyAlignment="1">
      <alignment horizontal="center" vertical="top"/>
    </xf>
    <xf numFmtId="0" fontId="31" fillId="3" borderId="0" xfId="0" applyFont="1" applyFill="1" applyAlignment="1">
      <alignment horizontal="left" wrapText="1"/>
    </xf>
    <xf numFmtId="0" fontId="15" fillId="3" borderId="0" xfId="0" applyFont="1" applyFill="1" applyAlignment="1">
      <alignment vertical="top" wrapText="1" indent="1"/>
    </xf>
    <xf numFmtId="171" fontId="15" fillId="3" borderId="0" xfId="0" applyNumberFormat="1" applyFont="1" applyFill="1" applyAlignment="1">
      <alignment horizontal="center" vertical="top" wrapText="1"/>
    </xf>
    <xf numFmtId="166" fontId="37" fillId="0" borderId="18" xfId="0" applyNumberFormat="1" applyFont="1" applyBorder="1" applyAlignment="1">
      <alignment horizontal="center" vertical="top" wrapText="1"/>
    </xf>
    <xf numFmtId="0" fontId="35" fillId="0" borderId="25" xfId="0" applyFont="1" applyBorder="1" applyAlignment="1">
      <alignment vertical="top" wrapText="1" indent="1"/>
    </xf>
    <xf numFmtId="166" fontId="15" fillId="0" borderId="25" xfId="0" applyNumberFormat="1" applyFont="1" applyBorder="1" applyAlignment="1">
      <alignment horizontal="center" vertical="top" wrapText="1"/>
    </xf>
    <xf numFmtId="0" fontId="24" fillId="3" borderId="0" xfId="0" applyFont="1" applyFill="1" applyAlignment="1">
      <alignment horizontal="left" vertical="top"/>
    </xf>
    <xf numFmtId="170" fontId="24" fillId="3" borderId="0" xfId="0" applyNumberFormat="1" applyFont="1" applyFill="1" applyAlignment="1">
      <alignment horizontal="center" vertical="top"/>
    </xf>
    <xf numFmtId="0" fontId="4" fillId="0" borderId="0" xfId="0" applyFont="1"/>
    <xf numFmtId="168" fontId="4" fillId="0" borderId="0" xfId="0" applyNumberFormat="1" applyFont="1"/>
    <xf numFmtId="0" fontId="28" fillId="3" borderId="18" xfId="0" applyFont="1" applyFill="1" applyBorder="1" applyAlignment="1">
      <alignment vertical="top" wrapText="1"/>
    </xf>
    <xf numFmtId="166" fontId="15" fillId="3" borderId="18" xfId="0" applyNumberFormat="1" applyFont="1" applyFill="1" applyBorder="1" applyAlignment="1">
      <alignment horizontal="center" vertical="top" wrapText="1"/>
    </xf>
    <xf numFmtId="0" fontId="44" fillId="0" borderId="0" xfId="0" applyFont="1" applyAlignment="1">
      <alignment vertical="center"/>
    </xf>
    <xf numFmtId="0" fontId="15" fillId="0" borderId="18" xfId="0" applyFont="1" applyBorder="1" applyAlignment="1">
      <alignment horizontal="center" vertical="top"/>
    </xf>
    <xf numFmtId="0" fontId="15" fillId="3" borderId="0" xfId="0" applyFont="1" applyFill="1" applyAlignment="1">
      <alignment vertical="top" wrapText="1"/>
    </xf>
    <xf numFmtId="0" fontId="4" fillId="3" borderId="0" xfId="0" applyFont="1" applyFill="1" applyAlignment="1">
      <alignment horizontal="left" vertical="top" wrapText="1"/>
    </xf>
    <xf numFmtId="0" fontId="15" fillId="0" borderId="0" xfId="0" applyFont="1" applyAlignment="1">
      <alignment horizontal="center" vertical="top"/>
    </xf>
    <xf numFmtId="2" fontId="15" fillId="0" borderId="18" xfId="0" applyNumberFormat="1" applyFont="1" applyBorder="1" applyAlignment="1">
      <alignment vertical="top" indent="1"/>
    </xf>
    <xf numFmtId="0" fontId="37" fillId="0" borderId="18" xfId="0" applyFont="1" applyBorder="1" applyAlignment="1">
      <alignment horizontal="center" vertical="top"/>
    </xf>
    <xf numFmtId="0" fontId="2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8" fontId="15" fillId="0" borderId="0" xfId="0" applyNumberFormat="1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168" fontId="27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2" fillId="3" borderId="0" xfId="0" applyFont="1" applyFill="1" applyAlignment="1">
      <alignment horizontal="left" vertical="center"/>
    </xf>
    <xf numFmtId="165" fontId="2" fillId="3" borderId="0" xfId="1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left" vertical="center"/>
    </xf>
    <xf numFmtId="0" fontId="24" fillId="3" borderId="5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left" vertical="center"/>
    </xf>
    <xf numFmtId="0" fontId="24" fillId="3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5" fillId="0" borderId="0" xfId="0" applyFont="1"/>
    <xf numFmtId="0" fontId="26" fillId="0" borderId="18" xfId="0" applyFont="1" applyBorder="1" applyAlignment="1">
      <alignment horizontal="center"/>
    </xf>
    <xf numFmtId="168" fontId="17" fillId="0" borderId="18" xfId="0" applyNumberFormat="1" applyFont="1" applyBorder="1" applyAlignment="1">
      <alignment horizontal="center" vertical="top"/>
    </xf>
    <xf numFmtId="0" fontId="17" fillId="0" borderId="18" xfId="0" applyFont="1" applyBorder="1" applyAlignment="1">
      <alignment horizontal="center" vertical="top"/>
    </xf>
    <xf numFmtId="0" fontId="17" fillId="3" borderId="18" xfId="0" applyFont="1" applyFill="1" applyBorder="1" applyAlignment="1">
      <alignment horizontal="center" vertical="top"/>
    </xf>
    <xf numFmtId="0" fontId="37" fillId="3" borderId="18" xfId="0" applyFont="1" applyFill="1" applyBorder="1" applyAlignment="1">
      <alignment horizontal="left" vertical="top" wrapText="1"/>
    </xf>
    <xf numFmtId="0" fontId="37" fillId="3" borderId="18" xfId="0" applyFont="1" applyFill="1" applyBorder="1" applyAlignment="1">
      <alignment horizontal="center" vertical="top" wrapText="1"/>
    </xf>
    <xf numFmtId="2" fontId="37" fillId="3" borderId="18" xfId="0" applyNumberFormat="1" applyFont="1" applyFill="1" applyBorder="1" applyAlignment="1">
      <alignment horizontal="center" vertical="top"/>
    </xf>
    <xf numFmtId="169" fontId="37" fillId="3" borderId="25" xfId="0" applyNumberFormat="1" applyFont="1" applyFill="1" applyBorder="1" applyAlignment="1">
      <alignment horizontal="center" vertical="top" wrapText="1"/>
    </xf>
    <xf numFmtId="165" fontId="37" fillId="3" borderId="19" xfId="1" applyNumberFormat="1" applyFont="1" applyFill="1" applyBorder="1" applyAlignment="1" applyProtection="1">
      <alignment horizontal="right" vertical="top" wrapText="1"/>
    </xf>
    <xf numFmtId="0" fontId="35" fillId="3" borderId="18" xfId="0" applyFont="1" applyFill="1" applyBorder="1" applyAlignment="1">
      <alignment vertical="top" wrapText="1" indent="1"/>
    </xf>
    <xf numFmtId="168" fontId="4" fillId="3" borderId="18" xfId="0" applyNumberFormat="1" applyFont="1" applyFill="1" applyBorder="1" applyAlignment="1">
      <alignment horizontal="center" vertical="top"/>
    </xf>
    <xf numFmtId="169" fontId="4" fillId="3" borderId="18" xfId="0" applyNumberFormat="1" applyFont="1" applyFill="1" applyBorder="1" applyAlignment="1">
      <alignment horizontal="center" vertical="top"/>
    </xf>
    <xf numFmtId="169" fontId="37" fillId="0" borderId="0" xfId="0" applyNumberFormat="1" applyFont="1" applyAlignment="1">
      <alignment horizontal="center" vertical="top"/>
    </xf>
    <xf numFmtId="170" fontId="37" fillId="0" borderId="0" xfId="0" applyNumberFormat="1" applyFont="1" applyAlignment="1">
      <alignment horizontal="center" vertical="top"/>
    </xf>
    <xf numFmtId="0" fontId="1" fillId="0" borderId="0" xfId="0" applyFont="1" applyAlignment="1">
      <alignment vertical="center"/>
    </xf>
    <xf numFmtId="170" fontId="31" fillId="0" borderId="0" xfId="0" applyNumberFormat="1" applyFont="1" applyAlignment="1">
      <alignment horizontal="center" vertical="top"/>
    </xf>
    <xf numFmtId="169" fontId="4" fillId="0" borderId="0" xfId="0" applyNumberFormat="1" applyFont="1" applyAlignment="1">
      <alignment horizontal="center" vertical="top"/>
    </xf>
    <xf numFmtId="170" fontId="4" fillId="0" borderId="0" xfId="0" applyNumberFormat="1" applyFont="1" applyAlignment="1">
      <alignment horizontal="center" vertical="top"/>
    </xf>
    <xf numFmtId="0" fontId="31" fillId="3" borderId="30" xfId="0" applyFont="1" applyFill="1" applyBorder="1" applyAlignment="1">
      <alignment horizontal="center" vertical="top"/>
    </xf>
    <xf numFmtId="0" fontId="0" fillId="6" borderId="0" xfId="0" applyFill="1"/>
    <xf numFmtId="170" fontId="17" fillId="0" borderId="0" xfId="0" applyNumberFormat="1" applyFont="1" applyAlignment="1">
      <alignment horizontal="center" vertical="top"/>
    </xf>
    <xf numFmtId="168" fontId="17" fillId="0" borderId="0" xfId="0" applyNumberFormat="1" applyFont="1" applyAlignment="1">
      <alignment horizontal="center" vertical="top"/>
    </xf>
    <xf numFmtId="170" fontId="15" fillId="0" borderId="25" xfId="0" applyNumberFormat="1" applyFont="1" applyBorder="1" applyAlignment="1">
      <alignment horizontal="center" vertical="top" wrapText="1"/>
    </xf>
    <xf numFmtId="0" fontId="17" fillId="7" borderId="18" xfId="0" applyFont="1" applyFill="1" applyBorder="1" applyAlignment="1">
      <alignment horizontal="center" vertical="top"/>
    </xf>
    <xf numFmtId="0" fontId="31" fillId="3" borderId="0" xfId="0" applyFont="1" applyFill="1" applyAlignment="1">
      <alignment horizontal="center" vertical="top"/>
    </xf>
    <xf numFmtId="170" fontId="15" fillId="3" borderId="0" xfId="0" applyNumberFormat="1" applyFont="1" applyFill="1" applyAlignment="1">
      <alignment vertical="top" wrapText="1"/>
    </xf>
    <xf numFmtId="166" fontId="15" fillId="3" borderId="0" xfId="0" applyNumberFormat="1" applyFont="1" applyFill="1" applyAlignment="1">
      <alignment horizontal="center" vertical="top"/>
    </xf>
    <xf numFmtId="0" fontId="0" fillId="3" borderId="0" xfId="0" applyFill="1"/>
    <xf numFmtId="0" fontId="35" fillId="3" borderId="0" xfId="0" applyFont="1" applyFill="1" applyAlignment="1">
      <alignment horizontal="center" vertical="top" wrapText="1"/>
    </xf>
    <xf numFmtId="2" fontId="4" fillId="3" borderId="0" xfId="0" applyNumberFormat="1" applyFont="1" applyFill="1" applyAlignment="1">
      <alignment horizontal="center" vertical="top"/>
    </xf>
    <xf numFmtId="169" fontId="4" fillId="3" borderId="0" xfId="0" applyNumberFormat="1" applyFont="1" applyFill="1" applyAlignment="1">
      <alignment horizontal="center" vertical="top"/>
    </xf>
    <xf numFmtId="0" fontId="43" fillId="3" borderId="0" xfId="0" applyFont="1" applyFill="1" applyAlignment="1">
      <alignment horizontal="left" vertical="center"/>
    </xf>
    <xf numFmtId="0" fontId="3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vertical="center" wrapText="1"/>
    </xf>
    <xf numFmtId="166" fontId="15" fillId="3" borderId="0" xfId="0" applyNumberFormat="1" applyFont="1" applyFill="1" applyAlignment="1">
      <alignment horizontal="center" vertical="center"/>
    </xf>
    <xf numFmtId="168" fontId="17" fillId="0" borderId="0" xfId="0" applyNumberFormat="1" applyFont="1" applyAlignment="1">
      <alignment horizontal="center" vertical="center"/>
    </xf>
    <xf numFmtId="165" fontId="2" fillId="3" borderId="0" xfId="1" applyNumberFormat="1" applyFont="1" applyFill="1" applyBorder="1" applyAlignment="1" applyProtection="1">
      <alignment horizontal="left" vertical="center"/>
    </xf>
    <xf numFmtId="168" fontId="24" fillId="0" borderId="0" xfId="0" applyNumberFormat="1" applyFont="1"/>
    <xf numFmtId="166" fontId="0" fillId="0" borderId="0" xfId="0" applyNumberFormat="1"/>
    <xf numFmtId="168" fontId="4" fillId="8" borderId="0" xfId="0" applyNumberFormat="1" applyFont="1" applyFill="1"/>
    <xf numFmtId="168" fontId="52" fillId="0" borderId="0" xfId="0" applyNumberFormat="1" applyFont="1"/>
    <xf numFmtId="0" fontId="52" fillId="0" borderId="0" xfId="0" applyFont="1"/>
    <xf numFmtId="0" fontId="2" fillId="9" borderId="0" xfId="0" applyFont="1" applyFill="1" applyAlignment="1">
      <alignment horizontal="left" vertical="center" indent="1"/>
    </xf>
    <xf numFmtId="0" fontId="4" fillId="9" borderId="18" xfId="0" applyFont="1" applyFill="1" applyBorder="1" applyAlignment="1">
      <alignment vertical="top" wrapText="1"/>
    </xf>
    <xf numFmtId="0" fontId="28" fillId="9" borderId="0" xfId="0" applyFont="1" applyFill="1" applyAlignment="1">
      <alignment wrapText="1"/>
    </xf>
    <xf numFmtId="0" fontId="15" fillId="9" borderId="18" xfId="0" applyFont="1" applyFill="1" applyBorder="1" applyAlignment="1">
      <alignment horizontal="left" vertical="top" wrapText="1"/>
    </xf>
    <xf numFmtId="0" fontId="28" fillId="9" borderId="23" xfId="0" applyFont="1" applyFill="1" applyBorder="1" applyAlignment="1">
      <alignment wrapText="1"/>
    </xf>
    <xf numFmtId="0" fontId="15" fillId="9" borderId="18" xfId="0" applyFont="1" applyFill="1" applyBorder="1" applyAlignment="1">
      <alignment vertical="top" wrapText="1"/>
    </xf>
    <xf numFmtId="0" fontId="29" fillId="9" borderId="23" xfId="0" applyFont="1" applyFill="1" applyBorder="1" applyAlignment="1">
      <alignment horizontal="left" vertical="top" wrapText="1"/>
    </xf>
    <xf numFmtId="0" fontId="29" fillId="9" borderId="0" xfId="0" applyFont="1" applyFill="1" applyAlignment="1">
      <alignment horizontal="left" vertical="top" wrapText="1"/>
    </xf>
    <xf numFmtId="0" fontId="28" fillId="9" borderId="23" xfId="0" applyFont="1" applyFill="1" applyBorder="1"/>
    <xf numFmtId="0" fontId="28" fillId="9" borderId="0" xfId="0" applyFont="1" applyFill="1"/>
    <xf numFmtId="0" fontId="15" fillId="9" borderId="25" xfId="0" applyFont="1" applyFill="1" applyBorder="1" applyAlignment="1">
      <alignment horizontal="left" vertical="top" wrapText="1"/>
    </xf>
    <xf numFmtId="0" fontId="4" fillId="9" borderId="25" xfId="0" applyFont="1" applyFill="1" applyBorder="1" applyAlignment="1">
      <alignment vertical="top" wrapText="1"/>
    </xf>
    <xf numFmtId="0" fontId="28" fillId="9" borderId="28" xfId="0" applyFont="1" applyFill="1" applyBorder="1" applyAlignment="1">
      <alignment horizontal="left" vertical="top" wrapText="1"/>
    </xf>
    <xf numFmtId="0" fontId="29" fillId="9" borderId="0" xfId="0" applyFont="1" applyFill="1"/>
    <xf numFmtId="0" fontId="35" fillId="9" borderId="18" xfId="0" applyFont="1" applyFill="1" applyBorder="1" applyAlignment="1">
      <alignment horizontal="left" vertical="top" wrapText="1"/>
    </xf>
    <xf numFmtId="0" fontId="37" fillId="10" borderId="18" xfId="0" applyFont="1" applyFill="1" applyBorder="1" applyAlignment="1">
      <alignment horizontal="left" vertical="top" wrapText="1"/>
    </xf>
    <xf numFmtId="0" fontId="4" fillId="10" borderId="18" xfId="0" applyFont="1" applyFill="1" applyBorder="1" applyAlignment="1">
      <alignment horizontal="left" vertical="top" wrapText="1"/>
    </xf>
    <xf numFmtId="0" fontId="35" fillId="10" borderId="18" xfId="0" applyFont="1" applyFill="1" applyBorder="1" applyAlignment="1">
      <alignment horizontal="left" vertical="top" wrapText="1"/>
    </xf>
    <xf numFmtId="0" fontId="0" fillId="9" borderId="0" xfId="0" applyFill="1"/>
    <xf numFmtId="0" fontId="15" fillId="9" borderId="18" xfId="0" applyFont="1" applyFill="1" applyBorder="1" applyAlignment="1">
      <alignment horizontal="left" wrapText="1"/>
    </xf>
    <xf numFmtId="0" fontId="37" fillId="9" borderId="18" xfId="0" applyFont="1" applyFill="1" applyBorder="1" applyAlignment="1">
      <alignment vertical="top" wrapText="1" indent="1"/>
    </xf>
    <xf numFmtId="0" fontId="15" fillId="10" borderId="18" xfId="0" applyFont="1" applyFill="1" applyBorder="1" applyAlignment="1">
      <alignment horizontal="left" vertical="top" wrapText="1"/>
    </xf>
    <xf numFmtId="0" fontId="15" fillId="9" borderId="25" xfId="0" applyFont="1" applyFill="1" applyBorder="1" applyAlignment="1">
      <alignment vertical="top" wrapText="1"/>
    </xf>
    <xf numFmtId="0" fontId="15" fillId="10" borderId="0" xfId="0" applyFont="1" applyFill="1" applyAlignment="1">
      <alignment vertical="top" wrapText="1"/>
    </xf>
    <xf numFmtId="0" fontId="31" fillId="9" borderId="0" xfId="0" applyFont="1" applyFill="1"/>
    <xf numFmtId="0" fontId="28" fillId="9" borderId="29" xfId="0" applyFont="1" applyFill="1" applyBorder="1" applyAlignment="1">
      <alignment horizontal="left" vertical="top" wrapText="1"/>
    </xf>
    <xf numFmtId="0" fontId="37" fillId="10" borderId="22" xfId="0" applyFont="1" applyFill="1" applyBorder="1" applyAlignment="1">
      <alignment vertical="top" wrapText="1"/>
    </xf>
    <xf numFmtId="0" fontId="15" fillId="10" borderId="18" xfId="0" applyFont="1" applyFill="1" applyBorder="1" applyAlignment="1">
      <alignment vertical="top" wrapText="1"/>
    </xf>
    <xf numFmtId="0" fontId="28" fillId="9" borderId="18" xfId="0" applyFont="1" applyFill="1" applyBorder="1" applyAlignment="1">
      <alignment horizontal="left" vertical="top" wrapText="1"/>
    </xf>
    <xf numFmtId="0" fontId="15" fillId="9" borderId="18" xfId="3" applyFont="1" applyFill="1" applyBorder="1" applyAlignment="1">
      <alignment horizontal="left" vertical="center" wrapText="1"/>
    </xf>
    <xf numFmtId="0" fontId="4" fillId="9" borderId="18" xfId="0" applyFont="1" applyFill="1" applyBorder="1" applyAlignment="1">
      <alignment horizontal="left" vertical="top" wrapText="1"/>
    </xf>
    <xf numFmtId="0" fontId="35" fillId="9" borderId="18" xfId="0" applyFont="1" applyFill="1" applyBorder="1" applyAlignment="1">
      <alignment vertical="top" wrapText="1"/>
    </xf>
    <xf numFmtId="0" fontId="37" fillId="9" borderId="18" xfId="0" applyFont="1" applyFill="1" applyBorder="1" applyAlignment="1">
      <alignment horizontal="left" vertical="top"/>
    </xf>
    <xf numFmtId="0" fontId="24" fillId="0" borderId="30" xfId="0" applyFont="1" applyBorder="1" applyAlignment="1">
      <alignment horizontal="center" vertical="top"/>
    </xf>
    <xf numFmtId="0" fontId="35" fillId="9" borderId="25" xfId="0" applyFont="1" applyFill="1" applyBorder="1" applyAlignment="1">
      <alignment horizontal="left" vertical="top" wrapText="1"/>
    </xf>
    <xf numFmtId="171" fontId="15" fillId="0" borderId="25" xfId="0" applyNumberFormat="1" applyFont="1" applyBorder="1" applyAlignment="1">
      <alignment horizontal="center" vertical="top" wrapText="1"/>
    </xf>
    <xf numFmtId="0" fontId="31" fillId="9" borderId="27" xfId="0" applyFont="1" applyFill="1" applyBorder="1" applyAlignment="1">
      <alignment horizontal="center" vertical="top"/>
    </xf>
    <xf numFmtId="49" fontId="15" fillId="9" borderId="18" xfId="0" applyNumberFormat="1" applyFont="1" applyFill="1" applyBorder="1" applyAlignment="1" applyProtection="1">
      <alignment horizontal="center" vertical="top"/>
      <protection locked="0"/>
    </xf>
    <xf numFmtId="166" fontId="15" fillId="9" borderId="18" xfId="0" applyNumberFormat="1" applyFont="1" applyFill="1" applyBorder="1" applyAlignment="1">
      <alignment horizontal="center" vertical="top"/>
    </xf>
    <xf numFmtId="169" fontId="15" fillId="9" borderId="18" xfId="0" applyNumberFormat="1" applyFont="1" applyFill="1" applyBorder="1" applyAlignment="1">
      <alignment horizontal="center" vertical="top" wrapText="1"/>
    </xf>
    <xf numFmtId="165" fontId="15" fillId="9" borderId="19" xfId="1" applyNumberFormat="1" applyFont="1" applyFill="1" applyBorder="1" applyAlignment="1" applyProtection="1">
      <alignment horizontal="right" vertical="top" wrapText="1"/>
    </xf>
    <xf numFmtId="49" fontId="15" fillId="9" borderId="25" xfId="0" applyNumberFormat="1" applyFont="1" applyFill="1" applyBorder="1" applyAlignment="1" applyProtection="1">
      <alignment horizontal="center" vertical="top"/>
      <protection locked="0"/>
    </xf>
    <xf numFmtId="166" fontId="15" fillId="9" borderId="25" xfId="0" applyNumberFormat="1" applyFont="1" applyFill="1" applyBorder="1" applyAlignment="1">
      <alignment horizontal="center" vertical="top"/>
    </xf>
    <xf numFmtId="4" fontId="28" fillId="9" borderId="19" xfId="0" applyNumberFormat="1" applyFont="1" applyFill="1" applyBorder="1" applyAlignment="1">
      <alignment horizontal="center" vertical="top"/>
    </xf>
    <xf numFmtId="165" fontId="28" fillId="9" borderId="18" xfId="1" applyNumberFormat="1" applyFont="1" applyFill="1" applyBorder="1" applyAlignment="1" applyProtection="1">
      <alignment horizontal="right" vertical="top" wrapText="1"/>
    </xf>
    <xf numFmtId="0" fontId="37" fillId="10" borderId="18" xfId="0" applyFont="1" applyFill="1" applyBorder="1" applyAlignment="1">
      <alignment horizontal="left" vertical="top"/>
    </xf>
    <xf numFmtId="0" fontId="37" fillId="10" borderId="18" xfId="0" applyFont="1" applyFill="1" applyBorder="1" applyAlignment="1">
      <alignment horizontal="center" vertical="top" wrapText="1"/>
    </xf>
    <xf numFmtId="166" fontId="37" fillId="10" borderId="18" xfId="0" applyNumberFormat="1" applyFont="1" applyFill="1" applyBorder="1" applyAlignment="1">
      <alignment horizontal="center" vertical="top"/>
    </xf>
    <xf numFmtId="4" fontId="37" fillId="10" borderId="19" xfId="0" applyNumberFormat="1" applyFont="1" applyFill="1" applyBorder="1" applyAlignment="1">
      <alignment horizontal="center" vertical="top"/>
    </xf>
    <xf numFmtId="165" fontId="37" fillId="10" borderId="19" xfId="1" applyNumberFormat="1" applyFont="1" applyFill="1" applyBorder="1" applyAlignment="1" applyProtection="1">
      <alignment horizontal="right" vertical="top" wrapText="1"/>
    </xf>
    <xf numFmtId="0" fontId="37" fillId="9" borderId="18" xfId="4" applyFont="1" applyFill="1" applyBorder="1" applyAlignment="1">
      <alignment horizontal="left" vertical="top"/>
    </xf>
    <xf numFmtId="0" fontId="37" fillId="9" borderId="18" xfId="4" applyFont="1" applyFill="1" applyBorder="1" applyAlignment="1">
      <alignment horizontal="center" vertical="top"/>
    </xf>
    <xf numFmtId="166" fontId="37" fillId="9" borderId="18" xfId="4" applyNumberFormat="1" applyFont="1" applyFill="1" applyBorder="1" applyAlignment="1">
      <alignment horizontal="center" vertical="top"/>
    </xf>
    <xf numFmtId="4" fontId="37" fillId="9" borderId="19" xfId="0" applyNumberFormat="1" applyFont="1" applyFill="1" applyBorder="1" applyAlignment="1">
      <alignment horizontal="center" vertical="top"/>
    </xf>
    <xf numFmtId="165" fontId="37" fillId="9" borderId="19" xfId="1" applyNumberFormat="1" applyFont="1" applyFill="1" applyBorder="1" applyAlignment="1" applyProtection="1">
      <alignment horizontal="right" vertical="top" wrapText="1"/>
    </xf>
    <xf numFmtId="0" fontId="37" fillId="10" borderId="18" xfId="4" applyFont="1" applyFill="1" applyBorder="1" applyAlignment="1">
      <alignment horizontal="left" vertical="top"/>
    </xf>
    <xf numFmtId="0" fontId="37" fillId="10" borderId="18" xfId="4" applyFont="1" applyFill="1" applyBorder="1" applyAlignment="1">
      <alignment horizontal="center" vertical="top"/>
    </xf>
    <xf numFmtId="166" fontId="37" fillId="10" borderId="18" xfId="4" applyNumberFormat="1" applyFont="1" applyFill="1" applyBorder="1" applyAlignment="1">
      <alignment horizontal="center" vertical="top"/>
    </xf>
    <xf numFmtId="49" fontId="37" fillId="10" borderId="18" xfId="0" applyNumberFormat="1" applyFont="1" applyFill="1" applyBorder="1" applyAlignment="1" applyProtection="1">
      <alignment horizontal="center" vertical="top"/>
      <protection locked="0"/>
    </xf>
    <xf numFmtId="165" fontId="37" fillId="10" borderId="18" xfId="1" applyNumberFormat="1" applyFont="1" applyFill="1" applyBorder="1" applyAlignment="1" applyProtection="1">
      <alignment horizontal="right" vertical="top" wrapText="1"/>
    </xf>
    <xf numFmtId="2" fontId="37" fillId="10" borderId="18" xfId="0" applyNumberFormat="1" applyFont="1" applyFill="1" applyBorder="1" applyAlignment="1">
      <alignment horizontal="center" vertical="top"/>
    </xf>
    <xf numFmtId="169" fontId="37" fillId="10" borderId="18" xfId="0" applyNumberFormat="1" applyFont="1" applyFill="1" applyBorder="1" applyAlignment="1">
      <alignment horizontal="center" vertical="top" wrapText="1"/>
    </xf>
    <xf numFmtId="169" fontId="37" fillId="10" borderId="25" xfId="0" applyNumberFormat="1" applyFont="1" applyFill="1" applyBorder="1" applyAlignment="1">
      <alignment horizontal="center" vertical="top" wrapText="1"/>
    </xf>
    <xf numFmtId="0" fontId="37" fillId="10" borderId="18" xfId="0" applyFont="1" applyFill="1" applyBorder="1" applyAlignment="1">
      <alignment vertical="top" wrapText="1"/>
    </xf>
    <xf numFmtId="0" fontId="37" fillId="10" borderId="18" xfId="0" applyFont="1" applyFill="1" applyBorder="1" applyAlignment="1">
      <alignment vertical="top" wrapText="1" indent="1"/>
    </xf>
    <xf numFmtId="169" fontId="37" fillId="10" borderId="18" xfId="0" applyNumberFormat="1" applyFont="1" applyFill="1" applyBorder="1" applyAlignment="1">
      <alignment horizontal="center" vertical="top"/>
    </xf>
    <xf numFmtId="0" fontId="35" fillId="9" borderId="18" xfId="0" applyFont="1" applyFill="1" applyBorder="1" applyAlignment="1">
      <alignment vertical="top" wrapText="1" indent="1"/>
    </xf>
    <xf numFmtId="2" fontId="4" fillId="9" borderId="18" xfId="0" applyNumberFormat="1" applyFont="1" applyFill="1" applyBorder="1" applyAlignment="1">
      <alignment horizontal="center" vertical="top"/>
    </xf>
    <xf numFmtId="169" fontId="4" fillId="9" borderId="18" xfId="0" applyNumberFormat="1" applyFont="1" applyFill="1" applyBorder="1" applyAlignment="1">
      <alignment horizontal="center" vertical="top"/>
    </xf>
    <xf numFmtId="0" fontId="37" fillId="9" borderId="18" xfId="0" applyFont="1" applyFill="1" applyBorder="1" applyAlignment="1">
      <alignment horizontal="left" vertical="top" wrapText="1"/>
    </xf>
    <xf numFmtId="2" fontId="37" fillId="9" borderId="18" xfId="0" applyNumberFormat="1" applyFont="1" applyFill="1" applyBorder="1" applyAlignment="1">
      <alignment horizontal="center" vertical="top"/>
    </xf>
    <xf numFmtId="169" fontId="37" fillId="9" borderId="18" xfId="0" applyNumberFormat="1" applyFont="1" applyFill="1" applyBorder="1" applyAlignment="1">
      <alignment horizontal="center" vertical="top"/>
    </xf>
    <xf numFmtId="0" fontId="31" fillId="9" borderId="0" xfId="0" applyFont="1" applyFill="1" applyAlignment="1">
      <alignment horizontal="center" vertical="top"/>
    </xf>
    <xf numFmtId="0" fontId="15" fillId="9" borderId="0" xfId="0" applyFont="1" applyFill="1"/>
    <xf numFmtId="0" fontId="15" fillId="9" borderId="0" xfId="0" applyFont="1" applyFill="1" applyAlignment="1">
      <alignment horizontal="left"/>
    </xf>
    <xf numFmtId="0" fontId="21" fillId="9" borderId="0" xfId="0" applyFont="1" applyFill="1" applyAlignment="1">
      <alignment horizontal="left"/>
    </xf>
    <xf numFmtId="0" fontId="2" fillId="9" borderId="0" xfId="0" applyFont="1" applyFill="1" applyAlignment="1">
      <alignment horizontal="center"/>
    </xf>
    <xf numFmtId="166" fontId="0" fillId="9" borderId="0" xfId="0" applyNumberFormat="1" applyFill="1" applyAlignment="1">
      <alignment horizontal="center"/>
    </xf>
    <xf numFmtId="169" fontId="0" fillId="9" borderId="0" xfId="0" applyNumberFormat="1" applyFill="1" applyAlignment="1">
      <alignment horizontal="center" vertical="top"/>
    </xf>
    <xf numFmtId="165" fontId="21" fillId="9" borderId="28" xfId="1" applyNumberFormat="1" applyFont="1" applyFill="1" applyBorder="1" applyAlignment="1" applyProtection="1">
      <alignment horizontal="right"/>
    </xf>
    <xf numFmtId="0" fontId="31" fillId="9" borderId="18" xfId="0" applyFont="1" applyFill="1" applyBorder="1" applyAlignment="1">
      <alignment horizontal="center" vertical="top"/>
    </xf>
    <xf numFmtId="0" fontId="15" fillId="9" borderId="18" xfId="0" applyFont="1" applyFill="1" applyBorder="1" applyAlignment="1">
      <alignment vertical="top" wrapText="1" indent="1"/>
    </xf>
    <xf numFmtId="0" fontId="31" fillId="9" borderId="30" xfId="0" applyFont="1" applyFill="1" applyBorder="1" applyAlignment="1">
      <alignment horizontal="center" vertical="top"/>
    </xf>
    <xf numFmtId="0" fontId="37" fillId="10" borderId="25" xfId="0" applyFont="1" applyFill="1" applyBorder="1" applyAlignment="1">
      <alignment horizontal="left" vertical="top" wrapText="1"/>
    </xf>
    <xf numFmtId="0" fontId="37" fillId="10" borderId="25" xfId="0" applyFont="1" applyFill="1" applyBorder="1" applyAlignment="1">
      <alignment horizontal="center" vertical="top" wrapText="1"/>
    </xf>
    <xf numFmtId="2" fontId="37" fillId="10" borderId="25" xfId="0" applyNumberFormat="1" applyFont="1" applyFill="1" applyBorder="1" applyAlignment="1">
      <alignment horizontal="center" vertical="top"/>
    </xf>
    <xf numFmtId="0" fontId="35" fillId="9" borderId="18" xfId="0" applyFont="1" applyFill="1" applyBorder="1" applyAlignment="1">
      <alignment horizontal="center" vertical="top" wrapText="1"/>
    </xf>
    <xf numFmtId="0" fontId="37" fillId="9" borderId="18" xfId="0" applyFont="1" applyFill="1" applyBorder="1" applyAlignment="1">
      <alignment horizontal="center" vertical="top" wrapText="1"/>
    </xf>
    <xf numFmtId="0" fontId="37" fillId="9" borderId="25" xfId="0" applyFont="1" applyFill="1" applyBorder="1" applyAlignment="1">
      <alignment horizontal="left" vertical="top" wrapText="1"/>
    </xf>
    <xf numFmtId="0" fontId="37" fillId="9" borderId="25" xfId="0" applyFont="1" applyFill="1" applyBorder="1" applyAlignment="1">
      <alignment horizontal="center" vertical="top" wrapText="1"/>
    </xf>
    <xf numFmtId="169" fontId="37" fillId="9" borderId="25" xfId="0" applyNumberFormat="1" applyFont="1" applyFill="1" applyBorder="1" applyAlignment="1">
      <alignment horizontal="center" vertical="top" wrapText="1"/>
    </xf>
    <xf numFmtId="169" fontId="15" fillId="9" borderId="25" xfId="0" applyNumberFormat="1" applyFont="1" applyFill="1" applyBorder="1" applyAlignment="1">
      <alignment horizontal="center" vertical="top" wrapText="1"/>
    </xf>
    <xf numFmtId="0" fontId="35" fillId="9" borderId="25" xfId="0" applyFont="1" applyFill="1" applyBorder="1" applyAlignment="1">
      <alignment vertical="top" wrapText="1" indent="1"/>
    </xf>
    <xf numFmtId="2" fontId="4" fillId="9" borderId="25" xfId="0" applyNumberFormat="1" applyFont="1" applyFill="1" applyBorder="1" applyAlignment="1">
      <alignment horizontal="center" vertical="top"/>
    </xf>
    <xf numFmtId="0" fontId="15" fillId="9" borderId="18" xfId="0" applyFont="1" applyFill="1" applyBorder="1" applyAlignment="1">
      <alignment horizontal="center" vertical="top" wrapText="1"/>
    </xf>
    <xf numFmtId="2" fontId="15" fillId="9" borderId="18" xfId="0" applyNumberFormat="1" applyFont="1" applyFill="1" applyBorder="1" applyAlignment="1">
      <alignment horizontal="center" vertical="top"/>
    </xf>
    <xf numFmtId="0" fontId="15" fillId="9" borderId="25" xfId="0" applyFont="1" applyFill="1" applyBorder="1" applyAlignment="1">
      <alignment horizontal="center" vertical="top" wrapText="1"/>
    </xf>
    <xf numFmtId="2" fontId="15" fillId="9" borderId="25" xfId="0" applyNumberFormat="1" applyFont="1" applyFill="1" applyBorder="1" applyAlignment="1">
      <alignment horizontal="center" vertical="top"/>
    </xf>
    <xf numFmtId="169" fontId="4" fillId="9" borderId="0" xfId="0" applyNumberFormat="1" applyFont="1" applyFill="1" applyAlignment="1">
      <alignment horizontal="center" vertical="top"/>
    </xf>
    <xf numFmtId="169" fontId="15" fillId="9" borderId="18" xfId="0" applyNumberFormat="1" applyFont="1" applyFill="1" applyBorder="1" applyAlignment="1">
      <alignment horizontal="center" vertical="top"/>
    </xf>
    <xf numFmtId="0" fontId="15" fillId="9" borderId="0" xfId="0" applyFont="1" applyFill="1" applyAlignment="1">
      <alignment horizontal="left" vertical="top" wrapText="1"/>
    </xf>
    <xf numFmtId="0" fontId="15" fillId="9" borderId="0" xfId="0" applyFont="1" applyFill="1" applyAlignment="1">
      <alignment vertical="top" wrapText="1" indent="1"/>
    </xf>
    <xf numFmtId="166" fontId="15" fillId="9" borderId="0" xfId="0" applyNumberFormat="1" applyFont="1" applyFill="1" applyAlignment="1">
      <alignment horizontal="center" vertical="top"/>
    </xf>
    <xf numFmtId="169" fontId="15" fillId="9" borderId="0" xfId="0" applyNumberFormat="1" applyFont="1" applyFill="1" applyAlignment="1">
      <alignment horizontal="center" vertical="top" wrapText="1"/>
    </xf>
    <xf numFmtId="0" fontId="35" fillId="9" borderId="0" xfId="0" applyFont="1" applyFill="1" applyAlignment="1">
      <alignment horizontal="center" vertical="top" wrapText="1"/>
    </xf>
    <xf numFmtId="2" fontId="4" fillId="9" borderId="0" xfId="0" applyNumberFormat="1" applyFont="1" applyFill="1" applyAlignment="1">
      <alignment horizontal="center" vertical="top"/>
    </xf>
    <xf numFmtId="0" fontId="15" fillId="9" borderId="0" xfId="0" applyFont="1" applyFill="1" applyAlignment="1">
      <alignment horizontal="center" vertical="top" wrapText="1"/>
    </xf>
    <xf numFmtId="0" fontId="31" fillId="9" borderId="25" xfId="0" applyFont="1" applyFill="1" applyBorder="1" applyAlignment="1">
      <alignment horizontal="center" vertical="top"/>
    </xf>
    <xf numFmtId="0" fontId="46" fillId="9" borderId="18" xfId="0" applyFont="1" applyFill="1" applyBorder="1" applyAlignment="1">
      <alignment horizontal="left" vertical="top" wrapText="1"/>
    </xf>
    <xf numFmtId="0" fontId="46" fillId="9" borderId="18" xfId="0" applyFont="1" applyFill="1" applyBorder="1" applyAlignment="1">
      <alignment horizontal="center" vertical="top" wrapText="1"/>
    </xf>
    <xf numFmtId="0" fontId="46" fillId="10" borderId="18" xfId="0" applyFont="1" applyFill="1" applyBorder="1" applyAlignment="1">
      <alignment horizontal="left" vertical="top" wrapText="1"/>
    </xf>
    <xf numFmtId="0" fontId="46" fillId="10" borderId="18" xfId="0" applyFont="1" applyFill="1" applyBorder="1" applyAlignment="1">
      <alignment horizontal="center" vertical="top" wrapText="1"/>
    </xf>
    <xf numFmtId="166" fontId="15" fillId="10" borderId="18" xfId="0" applyNumberFormat="1" applyFont="1" applyFill="1" applyBorder="1" applyAlignment="1">
      <alignment horizontal="center" vertical="top"/>
    </xf>
    <xf numFmtId="169" fontId="15" fillId="10" borderId="25" xfId="0" applyNumberFormat="1" applyFont="1" applyFill="1" applyBorder="1" applyAlignment="1">
      <alignment horizontal="center" vertical="top" wrapText="1"/>
    </xf>
    <xf numFmtId="165" fontId="15" fillId="10" borderId="19" xfId="1" applyNumberFormat="1" applyFont="1" applyFill="1" applyBorder="1" applyAlignment="1" applyProtection="1">
      <alignment horizontal="right" vertical="top" wrapText="1"/>
    </xf>
    <xf numFmtId="0" fontId="24" fillId="9" borderId="27" xfId="0" applyFont="1" applyFill="1" applyBorder="1" applyAlignment="1">
      <alignment horizontal="center" vertical="top"/>
    </xf>
    <xf numFmtId="0" fontId="15" fillId="10" borderId="29" xfId="0" applyFont="1" applyFill="1" applyBorder="1" applyAlignment="1">
      <alignment vertical="top" wrapText="1"/>
    </xf>
    <xf numFmtId="0" fontId="35" fillId="10" borderId="18" xfId="0" applyFont="1" applyFill="1" applyBorder="1" applyAlignment="1">
      <alignment vertical="top" wrapText="1" indent="1"/>
    </xf>
    <xf numFmtId="169" fontId="15" fillId="10" borderId="18" xfId="0" applyNumberFormat="1" applyFont="1" applyFill="1" applyBorder="1" applyAlignment="1">
      <alignment horizontal="center" vertical="top" wrapText="1"/>
    </xf>
    <xf numFmtId="171" fontId="15" fillId="9" borderId="18" xfId="0" applyNumberFormat="1" applyFont="1" applyFill="1" applyBorder="1" applyAlignment="1">
      <alignment horizontal="center" vertical="top"/>
    </xf>
    <xf numFmtId="0" fontId="28" fillId="9" borderId="0" xfId="0" applyFont="1" applyFill="1" applyAlignment="1">
      <alignment horizontal="left" vertical="top" wrapText="1"/>
    </xf>
    <xf numFmtId="0" fontId="28" fillId="9" borderId="0" xfId="0" applyFont="1" applyFill="1" applyAlignment="1">
      <alignment horizontal="center" vertical="top" wrapText="1"/>
    </xf>
    <xf numFmtId="0" fontId="1" fillId="9" borderId="18" xfId="0" applyFont="1" applyFill="1" applyBorder="1" applyAlignment="1">
      <alignment horizontal="center" vertical="top" wrapText="1"/>
    </xf>
    <xf numFmtId="166" fontId="15" fillId="9" borderId="27" xfId="0" applyNumberFormat="1" applyFont="1" applyFill="1" applyBorder="1" applyAlignment="1">
      <alignment horizontal="center" vertical="top"/>
    </xf>
    <xf numFmtId="166" fontId="15" fillId="9" borderId="18" xfId="0" applyNumberFormat="1" applyFont="1" applyFill="1" applyBorder="1" applyAlignment="1">
      <alignment horizontal="center" vertical="top" wrapText="1"/>
    </xf>
    <xf numFmtId="171" fontId="15" fillId="9" borderId="18" xfId="0" applyNumberFormat="1" applyFont="1" applyFill="1" applyBorder="1" applyAlignment="1">
      <alignment horizontal="center" vertical="top" wrapText="1"/>
    </xf>
    <xf numFmtId="171" fontId="15" fillId="10" borderId="18" xfId="0" applyNumberFormat="1" applyFont="1" applyFill="1" applyBorder="1" applyAlignment="1">
      <alignment horizontal="center" vertical="top" wrapText="1"/>
    </xf>
    <xf numFmtId="0" fontId="4" fillId="9" borderId="29" xfId="0" applyFont="1" applyFill="1" applyBorder="1" applyAlignment="1">
      <alignment horizontal="left" vertical="top"/>
    </xf>
    <xf numFmtId="0" fontId="48" fillId="9" borderId="29" xfId="0" applyFont="1" applyFill="1" applyBorder="1" applyAlignment="1">
      <alignment horizontal="left" vertical="top" wrapText="1"/>
    </xf>
    <xf numFmtId="0" fontId="35" fillId="9" borderId="29" xfId="0" applyFont="1" applyFill="1" applyBorder="1" applyAlignment="1">
      <alignment vertical="top" wrapText="1" indent="1"/>
    </xf>
    <xf numFmtId="171" fontId="15" fillId="9" borderId="29" xfId="0" applyNumberFormat="1" applyFont="1" applyFill="1" applyBorder="1" applyAlignment="1">
      <alignment horizontal="center" vertical="top" wrapText="1"/>
    </xf>
    <xf numFmtId="169" fontId="15" fillId="9" borderId="29" xfId="0" applyNumberFormat="1" applyFont="1" applyFill="1" applyBorder="1" applyAlignment="1">
      <alignment horizontal="center" vertical="top" wrapText="1"/>
    </xf>
    <xf numFmtId="165" fontId="15" fillId="9" borderId="29" xfId="1" applyNumberFormat="1" applyFont="1" applyFill="1" applyBorder="1" applyAlignment="1" applyProtection="1">
      <alignment horizontal="right" vertical="top" wrapText="1"/>
    </xf>
    <xf numFmtId="0" fontId="24" fillId="9" borderId="18" xfId="0" applyFont="1" applyFill="1" applyBorder="1" applyAlignment="1">
      <alignment horizontal="center" vertical="top"/>
    </xf>
    <xf numFmtId="0" fontId="49" fillId="9" borderId="18" xfId="0" applyFont="1" applyFill="1" applyBorder="1" applyAlignment="1">
      <alignment vertical="top" wrapText="1" indent="1"/>
    </xf>
    <xf numFmtId="166" fontId="37" fillId="9" borderId="18" xfId="0" applyNumberFormat="1" applyFont="1" applyFill="1" applyBorder="1" applyAlignment="1">
      <alignment horizontal="center" vertical="top" wrapText="1"/>
    </xf>
    <xf numFmtId="169" fontId="37" fillId="9" borderId="18" xfId="0" applyNumberFormat="1" applyFont="1" applyFill="1" applyBorder="1" applyAlignment="1">
      <alignment horizontal="center" vertical="top" wrapText="1"/>
    </xf>
    <xf numFmtId="0" fontId="50" fillId="10" borderId="0" xfId="0" applyFont="1" applyFill="1" applyAlignment="1">
      <alignment horizontal="left" vertical="center" indent="1"/>
    </xf>
    <xf numFmtId="166" fontId="37" fillId="10" borderId="18" xfId="0" applyNumberFormat="1" applyFont="1" applyFill="1" applyBorder="1" applyAlignment="1">
      <alignment horizontal="center" vertical="top" wrapText="1"/>
    </xf>
    <xf numFmtId="0" fontId="37" fillId="10" borderId="18" xfId="0" applyFont="1" applyFill="1" applyBorder="1" applyAlignment="1">
      <alignment horizontal="left" vertical="top" wrapText="1" indent="1"/>
    </xf>
    <xf numFmtId="0" fontId="31" fillId="9" borderId="0" xfId="0" applyFont="1" applyFill="1" applyAlignment="1">
      <alignment horizontal="center" vertical="center"/>
    </xf>
    <xf numFmtId="0" fontId="31" fillId="9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indent="1"/>
    </xf>
    <xf numFmtId="49" fontId="24" fillId="2" borderId="3" xfId="1" applyNumberFormat="1" applyFont="1" applyFill="1" applyBorder="1" applyAlignment="1" applyProtection="1">
      <alignment horizontal="center" vertical="center"/>
    </xf>
    <xf numFmtId="0" fontId="2" fillId="0" borderId="1" xfId="0" applyFont="1" applyBorder="1"/>
    <xf numFmtId="0" fontId="2" fillId="0" borderId="3" xfId="0" applyFont="1" applyBorder="1"/>
    <xf numFmtId="0" fontId="2" fillId="0" borderId="31" xfId="0" applyFont="1" applyBorder="1"/>
    <xf numFmtId="0" fontId="2" fillId="0" borderId="32" xfId="0" applyFont="1" applyBorder="1"/>
    <xf numFmtId="0" fontId="0" fillId="0" borderId="31" xfId="0" applyBorder="1"/>
    <xf numFmtId="165" fontId="51" fillId="0" borderId="32" xfId="1" applyNumberFormat="1" applyBorder="1" applyProtection="1"/>
    <xf numFmtId="0" fontId="0" fillId="0" borderId="4" xfId="0" applyBorder="1"/>
    <xf numFmtId="165" fontId="51" fillId="0" borderId="6" xfId="1" applyNumberFormat="1" applyBorder="1" applyProtection="1"/>
    <xf numFmtId="165" fontId="24" fillId="11" borderId="9" xfId="0" applyNumberFormat="1" applyFont="1" applyFill="1" applyBorder="1" applyAlignment="1">
      <alignment horizontal="center" vertical="center"/>
    </xf>
    <xf numFmtId="165" fontId="24" fillId="11" borderId="9" xfId="1" applyNumberFormat="1" applyFont="1" applyFill="1" applyBorder="1" applyAlignment="1" applyProtection="1">
      <alignment horizontal="center" vertical="center"/>
    </xf>
  </cellXfs>
  <cellStyles count="5">
    <cellStyle name="Měna" xfId="1" builtinId="4"/>
    <cellStyle name="Měna 2" xfId="2"/>
    <cellStyle name="Normální" xfId="0" builtinId="0"/>
    <cellStyle name="Normální 2" xfId="3"/>
    <cellStyle name="Normální 3 2" xf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EE0000"/>
      <rgbColor rgb="FF008080"/>
      <rgbColor rgb="FF0000CC"/>
      <rgbColor rgb="FF00CCFF"/>
      <rgbColor rgb="FFF7F7F7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46464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G28"/>
  <sheetViews>
    <sheetView tabSelected="1" zoomScaleNormal="100" workbookViewId="0">
      <selection activeCell="G32" sqref="G32"/>
    </sheetView>
  </sheetViews>
  <sheetFormatPr defaultColWidth="8.7109375" defaultRowHeight="14.25" customHeight="1"/>
  <cols>
    <col min="1" max="1" width="4" customWidth="1"/>
    <col min="2" max="2" width="58.28515625" customWidth="1"/>
    <col min="3" max="3" width="20.5703125" style="1" customWidth="1"/>
    <col min="6" max="6" width="4" customWidth="1"/>
    <col min="7" max="7" width="28.28515625" customWidth="1"/>
  </cols>
  <sheetData>
    <row r="2" spans="1:7" ht="16.5" customHeight="1">
      <c r="A2" s="2"/>
      <c r="B2" s="3" t="s">
        <v>0</v>
      </c>
      <c r="C2" s="476" t="s">
        <v>321</v>
      </c>
    </row>
    <row r="3" spans="1:7" ht="18" customHeight="1">
      <c r="A3" s="4"/>
      <c r="B3" s="5" t="s">
        <v>1</v>
      </c>
      <c r="C3" s="6" t="s">
        <v>319</v>
      </c>
    </row>
    <row r="4" spans="1:7" s="7" customFormat="1" ht="24" customHeight="1">
      <c r="B4" s="8" t="s">
        <v>2</v>
      </c>
      <c r="C4" s="9"/>
    </row>
    <row r="5" spans="1:7" s="7" customFormat="1" ht="18" customHeight="1">
      <c r="B5" s="10" t="s">
        <v>3</v>
      </c>
      <c r="C5" s="11">
        <f>'D1 Zpev.plochy'!G193</f>
        <v>0</v>
      </c>
    </row>
    <row r="6" spans="1:7" s="7" customFormat="1" ht="18" customHeight="1">
      <c r="B6" s="10" t="s">
        <v>4</v>
      </c>
      <c r="C6" s="12">
        <f>'D2 Veget.upravy'!G116</f>
        <v>0</v>
      </c>
    </row>
    <row r="7" spans="1:7" s="7" customFormat="1" ht="18" customHeight="1">
      <c r="B7" s="13" t="s">
        <v>5</v>
      </c>
      <c r="C7" s="14">
        <f>SUM(C5:C6)</f>
        <v>0</v>
      </c>
    </row>
    <row r="8" spans="1:7" s="7" customFormat="1" ht="18" customHeight="1">
      <c r="B8" s="475" t="s">
        <v>6</v>
      </c>
      <c r="C8" s="12"/>
    </row>
    <row r="9" spans="1:7" s="7" customFormat="1" ht="18" customHeight="1">
      <c r="B9" s="10" t="s">
        <v>7</v>
      </c>
      <c r="C9" s="12">
        <v>0</v>
      </c>
    </row>
    <row r="10" spans="1:7" s="7" customFormat="1" ht="18" customHeight="1">
      <c r="B10" s="333" t="s">
        <v>318</v>
      </c>
      <c r="C10" s="12">
        <v>0</v>
      </c>
    </row>
    <row r="11" spans="1:7" s="7" customFormat="1" ht="19.899999999999999" customHeight="1">
      <c r="B11" s="333" t="s">
        <v>317</v>
      </c>
      <c r="C11" s="12">
        <v>0</v>
      </c>
    </row>
    <row r="12" spans="1:7" s="7" customFormat="1" ht="19.899999999999999" customHeight="1">
      <c r="B12" s="333" t="s">
        <v>316</v>
      </c>
      <c r="C12" s="12">
        <v>0</v>
      </c>
    </row>
    <row r="13" spans="1:7" s="7" customFormat="1" ht="18" customHeight="1">
      <c r="B13" s="333" t="s">
        <v>8</v>
      </c>
      <c r="C13" s="12">
        <v>0</v>
      </c>
    </row>
    <row r="14" spans="1:7" s="7" customFormat="1" ht="18" customHeight="1">
      <c r="B14" s="10" t="s">
        <v>9</v>
      </c>
      <c r="C14" s="12">
        <v>0</v>
      </c>
    </row>
    <row r="15" spans="1:7" s="7" customFormat="1" ht="18" customHeight="1">
      <c r="B15" s="15" t="s">
        <v>10</v>
      </c>
      <c r="C15" s="12">
        <v>0</v>
      </c>
    </row>
    <row r="16" spans="1:7" s="7" customFormat="1" ht="18" customHeight="1">
      <c r="B16" s="15" t="s">
        <v>11</v>
      </c>
      <c r="C16" s="12">
        <v>0</v>
      </c>
      <c r="D16" s="16"/>
      <c r="G16" s="17"/>
    </row>
    <row r="17" spans="2:7" s="7" customFormat="1" ht="18" customHeight="1">
      <c r="B17" s="13" t="s">
        <v>12</v>
      </c>
      <c r="C17" s="14">
        <f>SUM(C9:C16)</f>
        <v>0</v>
      </c>
      <c r="G17" s="18"/>
    </row>
    <row r="18" spans="2:7" s="7" customFormat="1" ht="18" customHeight="1">
      <c r="B18" s="10"/>
      <c r="C18" s="12"/>
    </row>
    <row r="19" spans="2:7" s="7" customFormat="1" ht="18" customHeight="1">
      <c r="B19" s="13" t="s">
        <v>13</v>
      </c>
      <c r="C19" s="19">
        <f>C17+C7</f>
        <v>0</v>
      </c>
    </row>
    <row r="20" spans="2:7" s="7" customFormat="1" ht="18" customHeight="1">
      <c r="B20" s="10" t="s">
        <v>14</v>
      </c>
      <c r="C20" s="12">
        <f>C19*0.21</f>
        <v>0</v>
      </c>
    </row>
    <row r="21" spans="2:7" s="7" customFormat="1" ht="23.25" customHeight="1">
      <c r="B21" s="20" t="s">
        <v>320</v>
      </c>
      <c r="C21" s="21">
        <f>C20+C19</f>
        <v>0</v>
      </c>
    </row>
    <row r="22" spans="2:7" s="7" customFormat="1" ht="12.75">
      <c r="B22" s="22"/>
      <c r="C22" s="12"/>
    </row>
    <row r="23" spans="2:7" s="7" customFormat="1" ht="12.75">
      <c r="B23" s="477" t="s">
        <v>322</v>
      </c>
      <c r="C23" s="478"/>
    </row>
    <row r="24" spans="2:7" s="7" customFormat="1" ht="12.75">
      <c r="B24" s="479"/>
      <c r="C24" s="480"/>
    </row>
    <row r="25" spans="2:7" ht="14.25" customHeight="1">
      <c r="B25" s="481"/>
      <c r="C25" s="482"/>
    </row>
    <row r="26" spans="2:7" ht="14.25" customHeight="1">
      <c r="B26" s="481"/>
      <c r="C26" s="482"/>
    </row>
    <row r="27" spans="2:7" ht="14.25" customHeight="1">
      <c r="B27" s="481"/>
      <c r="C27" s="482"/>
    </row>
    <row r="28" spans="2:7" ht="14.25" customHeight="1">
      <c r="B28" s="483"/>
      <c r="C28" s="484"/>
    </row>
  </sheetData>
  <pageMargins left="0.80972222222222201" right="0.7" top="0.78749999999999998" bottom="0.78749999999999998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XFD287"/>
  <sheetViews>
    <sheetView topLeftCell="A169" zoomScaleNormal="100" workbookViewId="0">
      <selection activeCell="C167" sqref="C167"/>
    </sheetView>
  </sheetViews>
  <sheetFormatPr defaultColWidth="8.7109375" defaultRowHeight="14.25" customHeight="1"/>
  <cols>
    <col min="1" max="1" width="4.7109375" customWidth="1"/>
    <col min="2" max="2" width="11.28515625" customWidth="1"/>
    <col min="3" max="3" width="68.42578125" customWidth="1"/>
    <col min="4" max="4" width="5.85546875" customWidth="1"/>
    <col min="5" max="5" width="8.5703125" customWidth="1"/>
    <col min="6" max="6" width="10.28515625" customWidth="1"/>
    <col min="7" max="7" width="15.7109375" customWidth="1"/>
    <col min="8" max="8" width="9" customWidth="1"/>
    <col min="9" max="9" width="3.28515625" customWidth="1"/>
    <col min="12" max="13" width="8.7109375" customWidth="1"/>
    <col min="14" max="16" width="6.7109375" hidden="1" customWidth="1"/>
    <col min="17" max="18" width="8.7109375" hidden="1" customWidth="1"/>
    <col min="19" max="29" width="8.7109375" customWidth="1"/>
  </cols>
  <sheetData>
    <row r="1" spans="1:15" s="7" customFormat="1" ht="16.5" customHeight="1">
      <c r="A1" s="23"/>
      <c r="B1" s="24" t="s">
        <v>15</v>
      </c>
      <c r="C1" s="25" t="s">
        <v>16</v>
      </c>
      <c r="D1" s="25" t="s">
        <v>3</v>
      </c>
      <c r="E1" s="26"/>
      <c r="F1" s="27"/>
      <c r="G1" s="28"/>
      <c r="H1" s="29"/>
      <c r="J1" s="30"/>
      <c r="K1" s="31"/>
      <c r="L1" s="32"/>
      <c r="M1" s="31"/>
      <c r="N1" s="33"/>
    </row>
    <row r="2" spans="1:15" s="22" customFormat="1" ht="16.5" customHeight="1">
      <c r="A2" s="34"/>
      <c r="B2" s="35" t="s">
        <v>17</v>
      </c>
      <c r="C2" s="36" t="s">
        <v>18</v>
      </c>
      <c r="D2" s="37" t="s">
        <v>19</v>
      </c>
      <c r="E2" s="38"/>
      <c r="F2" s="39"/>
      <c r="G2" s="40"/>
      <c r="H2" s="41" t="s">
        <v>20</v>
      </c>
      <c r="J2" s="42"/>
      <c r="K2" s="43"/>
      <c r="L2" s="44"/>
      <c r="M2" s="43"/>
      <c r="N2" s="33"/>
    </row>
    <row r="3" spans="1:15" s="22" customFormat="1">
      <c r="A3" s="45" t="s">
        <v>21</v>
      </c>
      <c r="B3" s="46" t="s">
        <v>22</v>
      </c>
      <c r="C3" s="46" t="s">
        <v>23</v>
      </c>
      <c r="D3" s="47" t="s">
        <v>24</v>
      </c>
      <c r="E3" s="48" t="s">
        <v>25</v>
      </c>
      <c r="F3" s="47" t="s">
        <v>26</v>
      </c>
      <c r="G3" s="47" t="s">
        <v>27</v>
      </c>
      <c r="H3" s="49" t="s">
        <v>28</v>
      </c>
      <c r="J3" s="50" t="s">
        <v>29</v>
      </c>
      <c r="K3" s="51" t="s">
        <v>30</v>
      </c>
      <c r="L3" s="52" t="s">
        <v>31</v>
      </c>
      <c r="M3" s="53" t="s">
        <v>30</v>
      </c>
      <c r="N3" s="54"/>
    </row>
    <row r="4" spans="1:15" s="7" customFormat="1" ht="4.5" customHeight="1">
      <c r="A4" s="55"/>
      <c r="B4" s="56"/>
      <c r="C4" s="56"/>
      <c r="D4" s="57"/>
      <c r="E4" s="58"/>
      <c r="F4" s="59"/>
      <c r="G4" s="57"/>
      <c r="H4" s="60"/>
      <c r="I4" s="22"/>
      <c r="J4" s="61"/>
      <c r="K4" s="62"/>
      <c r="L4" s="63"/>
      <c r="M4" s="62"/>
      <c r="N4" s="64"/>
    </row>
    <row r="5" spans="1:15" ht="18" customHeight="1">
      <c r="A5" s="65"/>
      <c r="B5" s="66"/>
      <c r="C5" s="67" t="s">
        <v>32</v>
      </c>
      <c r="D5" s="68"/>
      <c r="E5" s="69"/>
      <c r="F5" s="70"/>
      <c r="G5" s="71">
        <f>SUM(G6:G49)</f>
        <v>0</v>
      </c>
      <c r="H5" s="72"/>
      <c r="I5" s="22"/>
      <c r="J5" s="73"/>
      <c r="K5" s="74">
        <f>SUM(K6:K49)</f>
        <v>0</v>
      </c>
      <c r="L5" s="73"/>
      <c r="M5" s="75">
        <f>SUM(M6:M50)</f>
        <v>0</v>
      </c>
      <c r="N5" s="75"/>
    </row>
    <row r="6" spans="1:15" ht="27" customHeight="1">
      <c r="A6" s="76">
        <v>1</v>
      </c>
      <c r="B6" s="77">
        <v>122251103</v>
      </c>
      <c r="C6" s="334" t="s">
        <v>33</v>
      </c>
      <c r="D6" s="78" t="s">
        <v>34</v>
      </c>
      <c r="E6" s="79">
        <f>SUM(E7:E12)</f>
        <v>135.006</v>
      </c>
      <c r="F6" s="80"/>
      <c r="G6" s="81">
        <f>F6*E6</f>
        <v>0</v>
      </c>
      <c r="H6" s="82" t="s">
        <v>35</v>
      </c>
      <c r="I6" s="22"/>
      <c r="J6" s="83"/>
      <c r="K6" s="84">
        <f>E6*J6</f>
        <v>0</v>
      </c>
      <c r="L6" s="85">
        <f>K6*F6</f>
        <v>0</v>
      </c>
      <c r="M6" s="86">
        <f>E6*L6</f>
        <v>0</v>
      </c>
      <c r="O6" s="81"/>
    </row>
    <row r="7" spans="1:15" ht="15.75" customHeight="1">
      <c r="A7" s="87"/>
      <c r="B7" s="88"/>
      <c r="C7" s="335" t="s">
        <v>36</v>
      </c>
      <c r="D7" s="89" t="s">
        <v>37</v>
      </c>
      <c r="E7" s="90">
        <f>47*0.3</f>
        <v>14.1</v>
      </c>
      <c r="F7" s="91"/>
      <c r="G7" s="92"/>
      <c r="H7" s="93"/>
      <c r="I7" s="94"/>
      <c r="J7" s="95"/>
      <c r="K7" s="96"/>
      <c r="L7" s="97"/>
      <c r="M7" s="98"/>
    </row>
    <row r="8" spans="1:15" ht="15.75" customHeight="1">
      <c r="A8" s="87"/>
      <c r="B8" s="88"/>
      <c r="C8" s="335" t="s">
        <v>38</v>
      </c>
      <c r="D8" s="89" t="s">
        <v>37</v>
      </c>
      <c r="E8" s="90">
        <f>0.4*9.3</f>
        <v>3.7200000000000006</v>
      </c>
      <c r="F8" s="91"/>
      <c r="G8" s="92"/>
      <c r="H8" s="93"/>
      <c r="I8" s="94"/>
      <c r="J8" s="95"/>
      <c r="K8" s="96"/>
      <c r="L8" s="97"/>
      <c r="M8" s="98"/>
    </row>
    <row r="9" spans="1:15" ht="15">
      <c r="A9" s="87"/>
      <c r="B9" s="88"/>
      <c r="C9" s="335" t="s">
        <v>39</v>
      </c>
      <c r="D9" s="89" t="s">
        <v>37</v>
      </c>
      <c r="E9" s="90">
        <f>0.55*6.2</f>
        <v>3.4100000000000006</v>
      </c>
      <c r="F9" s="91"/>
      <c r="G9" s="92"/>
      <c r="H9" s="93"/>
      <c r="I9" s="94"/>
      <c r="J9" s="95"/>
      <c r="K9" s="96"/>
      <c r="L9" s="97"/>
      <c r="M9" s="98"/>
    </row>
    <row r="10" spans="1:15" ht="24.75">
      <c r="A10" s="87"/>
      <c r="B10" s="88"/>
      <c r="C10" s="335" t="s">
        <v>40</v>
      </c>
      <c r="D10" s="89" t="s">
        <v>37</v>
      </c>
      <c r="E10" s="90">
        <f>22*0.55</f>
        <v>12.100000000000001</v>
      </c>
      <c r="F10" s="91"/>
      <c r="G10" s="92"/>
      <c r="H10" s="93"/>
      <c r="I10" s="22"/>
      <c r="J10" s="95"/>
      <c r="K10" s="96"/>
      <c r="L10" s="97"/>
      <c r="M10" s="98"/>
    </row>
    <row r="11" spans="1:15" ht="15.75" customHeight="1">
      <c r="A11" s="87"/>
      <c r="B11" s="88"/>
      <c r="C11" s="335" t="s">
        <v>41</v>
      </c>
      <c r="D11" s="89" t="s">
        <v>37</v>
      </c>
      <c r="E11" s="90">
        <f>11*0.43</f>
        <v>4.7299999999999995</v>
      </c>
      <c r="F11" s="91"/>
      <c r="G11" s="92"/>
      <c r="H11" s="93"/>
      <c r="I11" s="22"/>
      <c r="J11" s="95"/>
      <c r="K11" s="96"/>
      <c r="L11" s="97"/>
      <c r="M11" s="98"/>
    </row>
    <row r="12" spans="1:15" ht="15.75" customHeight="1">
      <c r="A12" s="87"/>
      <c r="B12" s="88"/>
      <c r="C12" s="335" t="s">
        <v>42</v>
      </c>
      <c r="D12" s="89" t="s">
        <v>37</v>
      </c>
      <c r="E12" s="90">
        <f>484.73*0.2</f>
        <v>96.946000000000012</v>
      </c>
      <c r="F12" s="91"/>
      <c r="G12" s="92"/>
      <c r="H12" s="93"/>
      <c r="I12" s="22"/>
      <c r="J12" s="95"/>
      <c r="K12" s="96"/>
      <c r="L12" s="97"/>
      <c r="M12" s="98"/>
    </row>
    <row r="13" spans="1:15" ht="16.5" customHeight="1">
      <c r="A13" s="99">
        <f>A6+1</f>
        <v>2</v>
      </c>
      <c r="B13" s="100">
        <v>122211101</v>
      </c>
      <c r="C13" s="336" t="s">
        <v>43</v>
      </c>
      <c r="D13" s="78" t="s">
        <v>34</v>
      </c>
      <c r="E13" s="101">
        <f>SUM(E14:E17)</f>
        <v>73.853000000000009</v>
      </c>
      <c r="F13" s="80"/>
      <c r="G13" s="81">
        <f>F13*E13</f>
        <v>0</v>
      </c>
      <c r="H13" s="82" t="s">
        <v>35</v>
      </c>
      <c r="I13" s="22"/>
      <c r="J13" s="83"/>
      <c r="K13" s="84">
        <f>E13*J13</f>
        <v>0</v>
      </c>
      <c r="L13" s="85">
        <f>K13*F13</f>
        <v>0</v>
      </c>
      <c r="M13" s="86">
        <f>E13*L13</f>
        <v>0</v>
      </c>
    </row>
    <row r="14" spans="1:15" ht="13.5" customHeight="1">
      <c r="A14" s="102"/>
      <c r="B14" s="103"/>
      <c r="C14" s="337" t="s">
        <v>44</v>
      </c>
      <c r="D14" s="104" t="s">
        <v>37</v>
      </c>
      <c r="E14" s="105">
        <f>87*0.3</f>
        <v>26.099999999999998</v>
      </c>
      <c r="F14" s="106"/>
      <c r="G14" s="107"/>
      <c r="H14" s="108"/>
      <c r="I14" s="94"/>
      <c r="J14" s="109"/>
      <c r="K14" s="110"/>
      <c r="L14" s="111"/>
      <c r="M14" s="112"/>
    </row>
    <row r="15" spans="1:15" ht="13.5" customHeight="1">
      <c r="A15" s="113"/>
      <c r="B15" s="114"/>
      <c r="C15" s="335" t="s">
        <v>45</v>
      </c>
      <c r="D15" s="89" t="s">
        <v>37</v>
      </c>
      <c r="E15" s="115">
        <f>3*0.4</f>
        <v>1.2000000000000002</v>
      </c>
      <c r="F15" s="91"/>
      <c r="G15" s="92"/>
      <c r="H15" s="93"/>
      <c r="I15" s="94"/>
      <c r="J15" s="95"/>
      <c r="K15" s="96"/>
      <c r="L15" s="97"/>
      <c r="M15" s="116"/>
    </row>
    <row r="16" spans="1:15" ht="13.5" customHeight="1">
      <c r="A16" s="113"/>
      <c r="B16" s="114"/>
      <c r="C16" s="335" t="s">
        <v>46</v>
      </c>
      <c r="D16" s="89" t="s">
        <v>37</v>
      </c>
      <c r="E16" s="115">
        <f>7*0.55</f>
        <v>3.8500000000000005</v>
      </c>
      <c r="F16" s="91"/>
      <c r="G16" s="92"/>
      <c r="H16" s="93"/>
      <c r="I16" s="94"/>
      <c r="J16" s="95"/>
      <c r="K16" s="96"/>
      <c r="L16" s="97"/>
      <c r="M16" s="116"/>
    </row>
    <row r="17" spans="1:18" ht="13.5" customHeight="1">
      <c r="A17" s="113"/>
      <c r="B17" s="114"/>
      <c r="C17" s="335" t="s">
        <v>47</v>
      </c>
      <c r="D17" s="89" t="s">
        <v>37</v>
      </c>
      <c r="E17" s="115">
        <f>854.06*0.05</f>
        <v>42.703000000000003</v>
      </c>
      <c r="F17" s="91"/>
      <c r="G17" s="92"/>
      <c r="H17" s="93"/>
      <c r="I17" s="22"/>
      <c r="J17" s="95"/>
      <c r="K17" s="96"/>
      <c r="L17" s="97"/>
      <c r="M17" s="116"/>
    </row>
    <row r="18" spans="1:18" ht="26.25" customHeight="1">
      <c r="A18" s="99">
        <f>A13+1</f>
        <v>3</v>
      </c>
      <c r="B18" s="100">
        <v>132151102</v>
      </c>
      <c r="C18" s="338" t="s">
        <v>48</v>
      </c>
      <c r="D18" s="117" t="s">
        <v>49</v>
      </c>
      <c r="E18" s="101">
        <f>E19+E20</f>
        <v>27.779399999999999</v>
      </c>
      <c r="F18" s="80"/>
      <c r="G18" s="81">
        <f>F18*E18</f>
        <v>0</v>
      </c>
      <c r="H18" s="82" t="s">
        <v>35</v>
      </c>
      <c r="I18" s="22"/>
      <c r="J18" s="83"/>
      <c r="K18" s="84">
        <f>E18*J18</f>
        <v>0</v>
      </c>
      <c r="L18" s="85">
        <f>K18*F18</f>
        <v>0</v>
      </c>
      <c r="M18" s="86">
        <f>E18*L18</f>
        <v>0</v>
      </c>
    </row>
    <row r="19" spans="1:18" ht="15.75" customHeight="1">
      <c r="A19" s="102"/>
      <c r="B19" s="118"/>
      <c r="C19" s="339" t="s">
        <v>50</v>
      </c>
      <c r="D19" s="119" t="s">
        <v>49</v>
      </c>
      <c r="E19" s="120">
        <f>44.7*0.6</f>
        <v>26.82</v>
      </c>
      <c r="F19" s="106"/>
      <c r="G19" s="107"/>
      <c r="H19" s="108"/>
      <c r="I19" s="94"/>
      <c r="J19" s="109"/>
      <c r="K19" s="110"/>
      <c r="L19" s="111"/>
      <c r="M19" s="112"/>
    </row>
    <row r="20" spans="1:18" ht="15.75" customHeight="1">
      <c r="A20" s="113"/>
      <c r="B20" s="121"/>
      <c r="C20" s="340" t="s">
        <v>51</v>
      </c>
      <c r="D20" s="122" t="s">
        <v>49</v>
      </c>
      <c r="E20" s="123">
        <f>0.3*0.3*(7+3.66)</f>
        <v>0.95940000000000003</v>
      </c>
      <c r="F20" s="91"/>
      <c r="G20" s="92"/>
      <c r="H20" s="93"/>
      <c r="I20" s="94"/>
      <c r="J20" s="95"/>
      <c r="K20" s="96"/>
      <c r="L20" s="97"/>
      <c r="M20" s="116"/>
    </row>
    <row r="21" spans="1:18" ht="25.5" customHeight="1">
      <c r="A21" s="99">
        <f>A18+1</f>
        <v>4</v>
      </c>
      <c r="B21" s="100">
        <v>133212811</v>
      </c>
      <c r="C21" s="338" t="s">
        <v>52</v>
      </c>
      <c r="D21" s="117" t="s">
        <v>49</v>
      </c>
      <c r="E21" s="124">
        <f>SUM(E23:E41)</f>
        <v>3.3793970000000004</v>
      </c>
      <c r="F21" s="80"/>
      <c r="G21" s="81">
        <f>F21*E21</f>
        <v>0</v>
      </c>
      <c r="H21" s="82" t="s">
        <v>35</v>
      </c>
      <c r="I21" s="94"/>
      <c r="J21" s="83"/>
      <c r="K21" s="84">
        <f>E21*J21</f>
        <v>0</v>
      </c>
      <c r="L21" s="85">
        <f>K21*F21</f>
        <v>0</v>
      </c>
      <c r="M21" s="86">
        <f>E21*L21</f>
        <v>0</v>
      </c>
    </row>
    <row r="22" spans="1:18" ht="15" customHeight="1">
      <c r="A22" s="125"/>
      <c r="B22" s="126"/>
      <c r="C22" s="341" t="s">
        <v>53</v>
      </c>
      <c r="D22" s="127"/>
      <c r="E22" s="128"/>
      <c r="F22" s="129"/>
      <c r="G22" s="130"/>
      <c r="H22" s="108"/>
      <c r="I22" s="131"/>
      <c r="J22" s="132"/>
      <c r="K22" s="110"/>
      <c r="L22" s="111"/>
      <c r="M22" s="112"/>
    </row>
    <row r="23" spans="1:18" ht="15" customHeight="1">
      <c r="A23" s="133"/>
      <c r="B23" s="134"/>
      <c r="C23" s="342" t="s">
        <v>54</v>
      </c>
      <c r="D23" s="135" t="s">
        <v>55</v>
      </c>
      <c r="E23" s="136">
        <f>0.1*0.1*0.35*3.14*196</f>
        <v>2.1540400000000002</v>
      </c>
      <c r="F23" s="137"/>
      <c r="G23" s="138"/>
      <c r="H23" s="93"/>
      <c r="I23" s="22"/>
      <c r="J23" s="139"/>
      <c r="K23" s="96"/>
      <c r="L23" s="97"/>
      <c r="M23" s="116"/>
    </row>
    <row r="24" spans="1:18" ht="15" customHeight="1">
      <c r="A24" s="133"/>
      <c r="B24" s="134"/>
      <c r="C24" s="335" t="s">
        <v>56</v>
      </c>
      <c r="D24" s="135"/>
      <c r="E24" s="136"/>
      <c r="F24" s="137"/>
      <c r="G24" s="138"/>
      <c r="H24" s="93"/>
      <c r="I24" s="22"/>
      <c r="J24" s="139"/>
      <c r="K24" s="96"/>
      <c r="L24" s="97"/>
      <c r="M24" s="116"/>
    </row>
    <row r="25" spans="1:18" ht="15" customHeight="1">
      <c r="A25" s="133"/>
      <c r="B25" s="134"/>
      <c r="C25" s="335" t="s">
        <v>57</v>
      </c>
      <c r="D25" s="135" t="s">
        <v>55</v>
      </c>
      <c r="E25" s="136">
        <f>0.3*0.3*0.35*15</f>
        <v>0.47250000000000003</v>
      </c>
      <c r="F25" s="137"/>
      <c r="G25" s="138"/>
      <c r="H25" s="93"/>
      <c r="I25" s="22"/>
      <c r="J25" s="139"/>
      <c r="K25" s="96"/>
      <c r="L25" s="97"/>
      <c r="M25" s="116"/>
    </row>
    <row r="26" spans="1:18" ht="15" customHeight="1">
      <c r="A26" s="133"/>
      <c r="B26" s="134"/>
      <c r="C26" s="140" t="s">
        <v>323</v>
      </c>
      <c r="D26" s="135"/>
      <c r="E26" s="136"/>
      <c r="F26" s="137"/>
      <c r="G26" s="138"/>
      <c r="H26" s="93"/>
      <c r="I26" s="22"/>
      <c r="J26" s="139"/>
      <c r="K26" s="96"/>
      <c r="L26" s="97"/>
      <c r="M26" s="116"/>
      <c r="Q26" s="140"/>
      <c r="R26" s="135"/>
    </row>
    <row r="27" spans="1:18" ht="15" customHeight="1">
      <c r="A27" s="133"/>
      <c r="B27" s="134"/>
      <c r="C27" s="140" t="s">
        <v>58</v>
      </c>
      <c r="D27" s="135" t="s">
        <v>55</v>
      </c>
      <c r="E27" s="136">
        <f>0.3*0.15*0.15*4+0.3*0.475*0.15*2</f>
        <v>6.9749999999999993E-2</v>
      </c>
      <c r="F27" s="137"/>
      <c r="G27" s="138"/>
      <c r="H27" s="93"/>
      <c r="I27" s="22"/>
      <c r="J27" s="139"/>
      <c r="K27" s="96"/>
      <c r="L27" s="97"/>
      <c r="M27" s="116"/>
      <c r="Q27" s="140"/>
      <c r="R27" s="135"/>
    </row>
    <row r="28" spans="1:18" ht="15" customHeight="1">
      <c r="A28" s="133"/>
      <c r="B28" s="134"/>
      <c r="C28" s="140" t="s">
        <v>59</v>
      </c>
      <c r="D28" s="135"/>
      <c r="E28" s="136"/>
      <c r="F28" s="137"/>
      <c r="G28" s="138"/>
      <c r="H28" s="93"/>
      <c r="I28" s="22"/>
      <c r="J28" s="139"/>
      <c r="K28" s="96"/>
      <c r="L28" s="97"/>
      <c r="M28" s="116"/>
      <c r="Q28" s="140"/>
      <c r="R28" s="135"/>
    </row>
    <row r="29" spans="1:18" ht="15" customHeight="1">
      <c r="A29" s="133"/>
      <c r="B29" s="134"/>
      <c r="C29" s="140" t="s">
        <v>60</v>
      </c>
      <c r="D29" s="135" t="s">
        <v>55</v>
      </c>
      <c r="E29" s="136">
        <f>0.3*0.6*0.6</f>
        <v>0.108</v>
      </c>
      <c r="F29" s="137"/>
      <c r="G29" s="138"/>
      <c r="H29" s="93"/>
      <c r="I29" s="22"/>
      <c r="J29" s="139"/>
      <c r="K29" s="96"/>
      <c r="L29" s="97"/>
      <c r="M29" s="116"/>
      <c r="Q29" s="140"/>
      <c r="R29" s="135"/>
    </row>
    <row r="30" spans="1:18" ht="15" customHeight="1">
      <c r="A30" s="133"/>
      <c r="B30" s="134"/>
      <c r="C30" s="140" t="s">
        <v>61</v>
      </c>
      <c r="D30" s="135"/>
      <c r="E30" s="136"/>
      <c r="F30" s="137"/>
      <c r="G30" s="138"/>
      <c r="H30" s="93"/>
      <c r="I30" s="22"/>
      <c r="J30" s="139"/>
      <c r="K30" s="96"/>
      <c r="L30" s="97"/>
      <c r="M30" s="116"/>
      <c r="Q30" s="140"/>
      <c r="R30" s="135"/>
    </row>
    <row r="31" spans="1:18" ht="15" customHeight="1">
      <c r="A31" s="133"/>
      <c r="B31" s="134"/>
      <c r="C31" s="141" t="s">
        <v>62</v>
      </c>
      <c r="D31" s="135" t="s">
        <v>55</v>
      </c>
      <c r="E31" s="136">
        <f>0.1*0.1*3.154*0.35*3</f>
        <v>3.3117000000000008E-2</v>
      </c>
      <c r="F31" s="137"/>
      <c r="G31" s="138"/>
      <c r="H31" s="93"/>
      <c r="I31" s="22"/>
      <c r="J31" s="139"/>
      <c r="K31" s="96"/>
      <c r="L31" s="97"/>
      <c r="M31" s="116"/>
      <c r="Q31" s="140"/>
      <c r="R31" s="135"/>
    </row>
    <row r="32" spans="1:18" ht="15" customHeight="1">
      <c r="A32" s="133"/>
      <c r="B32" s="134"/>
      <c r="C32" s="140" t="s">
        <v>63</v>
      </c>
      <c r="D32" s="135"/>
      <c r="E32" s="136"/>
      <c r="F32" s="137"/>
      <c r="G32" s="138"/>
      <c r="H32" s="93"/>
      <c r="I32" s="22"/>
      <c r="J32" s="139"/>
      <c r="K32" s="96"/>
      <c r="L32" s="97"/>
      <c r="M32" s="116"/>
      <c r="Q32" s="140"/>
      <c r="R32" s="135"/>
    </row>
    <row r="33" spans="1:18" ht="15" customHeight="1">
      <c r="A33" s="133"/>
      <c r="B33" s="134"/>
      <c r="C33" s="140" t="s">
        <v>64</v>
      </c>
      <c r="D33" s="135" t="s">
        <v>55</v>
      </c>
      <c r="E33" s="136">
        <f>0.6*0.3*0.45*2</f>
        <v>0.16200000000000001</v>
      </c>
      <c r="F33" s="137"/>
      <c r="G33" s="138"/>
      <c r="H33" s="93"/>
      <c r="I33" s="22"/>
      <c r="J33" s="139"/>
      <c r="K33" s="96"/>
      <c r="L33" s="97"/>
      <c r="M33" s="116"/>
      <c r="Q33" s="140"/>
      <c r="R33" s="135"/>
    </row>
    <row r="34" spans="1:18" ht="15" customHeight="1">
      <c r="A34" s="133"/>
      <c r="B34" s="134"/>
      <c r="C34" s="140" t="s">
        <v>65</v>
      </c>
      <c r="D34" s="141"/>
      <c r="E34" s="136"/>
      <c r="F34" s="137"/>
      <c r="G34" s="138"/>
      <c r="H34" s="93"/>
      <c r="I34" s="22"/>
      <c r="J34" s="139"/>
      <c r="K34" s="96"/>
      <c r="L34" s="97"/>
      <c r="M34" s="116"/>
      <c r="Q34" s="140"/>
      <c r="R34" s="135"/>
    </row>
    <row r="35" spans="1:18" ht="15" customHeight="1">
      <c r="A35" s="133"/>
      <c r="B35" s="134"/>
      <c r="C35" s="140" t="s">
        <v>66</v>
      </c>
      <c r="D35" s="135" t="s">
        <v>55</v>
      </c>
      <c r="E35" s="136">
        <f>0.5*0.45*0.45*2</f>
        <v>0.20250000000000001</v>
      </c>
      <c r="F35" s="137"/>
      <c r="G35" s="138"/>
      <c r="H35" s="93"/>
      <c r="I35" s="22"/>
      <c r="J35" s="139"/>
      <c r="K35" s="96"/>
      <c r="L35" s="97"/>
      <c r="M35" s="116"/>
      <c r="Q35" s="140"/>
      <c r="R35" s="135"/>
    </row>
    <row r="36" spans="1:18" ht="15" customHeight="1">
      <c r="A36" s="133"/>
      <c r="B36" s="134"/>
      <c r="C36" s="140" t="s">
        <v>67</v>
      </c>
      <c r="D36" s="135"/>
      <c r="E36" s="136"/>
      <c r="F36" s="137"/>
      <c r="G36" s="138"/>
      <c r="H36" s="93"/>
      <c r="I36" s="22"/>
      <c r="J36" s="139"/>
      <c r="K36" s="96"/>
      <c r="L36" s="97"/>
      <c r="M36" s="116"/>
      <c r="Q36" s="140"/>
      <c r="R36" s="135"/>
    </row>
    <row r="37" spans="1:18" ht="15" customHeight="1">
      <c r="A37" s="133"/>
      <c r="B37" s="134"/>
      <c r="C37" s="140" t="s">
        <v>68</v>
      </c>
      <c r="D37" s="135" t="s">
        <v>55</v>
      </c>
      <c r="E37" s="136">
        <f>0.3*0.6*0.15*4</f>
        <v>0.108</v>
      </c>
      <c r="F37" s="137"/>
      <c r="G37" s="138"/>
      <c r="H37" s="93"/>
      <c r="I37" s="22"/>
      <c r="J37" s="139"/>
      <c r="K37" s="96"/>
      <c r="L37" s="97"/>
      <c r="M37" s="116"/>
      <c r="Q37" s="140"/>
      <c r="R37" s="135"/>
    </row>
    <row r="38" spans="1:18" ht="15" customHeight="1">
      <c r="A38" s="133"/>
      <c r="B38" s="134"/>
      <c r="C38" s="140" t="s">
        <v>69</v>
      </c>
      <c r="D38" s="135"/>
      <c r="E38" s="136"/>
      <c r="F38" s="137"/>
      <c r="G38" s="138"/>
      <c r="H38" s="93"/>
      <c r="I38" s="22"/>
      <c r="J38" s="139"/>
      <c r="K38" s="96"/>
      <c r="L38" s="97"/>
      <c r="M38" s="116"/>
      <c r="Q38" s="140"/>
      <c r="R38" s="135"/>
    </row>
    <row r="39" spans="1:18" ht="15" customHeight="1">
      <c r="A39" s="133"/>
      <c r="B39" s="134"/>
      <c r="C39" s="140" t="s">
        <v>70</v>
      </c>
      <c r="D39" s="135" t="s">
        <v>55</v>
      </c>
      <c r="E39" s="136">
        <f>0.3*0.65*0.15*2</f>
        <v>5.8499999999999996E-2</v>
      </c>
      <c r="F39" s="137"/>
      <c r="G39" s="138"/>
      <c r="H39" s="93"/>
      <c r="I39" s="22"/>
      <c r="J39" s="139"/>
      <c r="K39" s="96"/>
      <c r="L39" s="97"/>
      <c r="M39" s="116"/>
      <c r="Q39" s="140"/>
      <c r="R39" s="135"/>
    </row>
    <row r="40" spans="1:18" ht="15" customHeight="1">
      <c r="A40" s="133"/>
      <c r="B40" s="134"/>
      <c r="C40" s="140" t="s">
        <v>71</v>
      </c>
      <c r="D40" s="141"/>
      <c r="E40" s="136"/>
      <c r="F40" s="137"/>
      <c r="G40" s="138"/>
      <c r="H40" s="93"/>
      <c r="I40" s="22"/>
      <c r="J40" s="139"/>
      <c r="K40" s="96"/>
      <c r="L40" s="97"/>
      <c r="M40" s="116"/>
      <c r="Q40" s="140"/>
      <c r="R40" s="135"/>
    </row>
    <row r="41" spans="1:18" ht="15" customHeight="1">
      <c r="A41" s="133"/>
      <c r="B41" s="134"/>
      <c r="C41" s="140" t="s">
        <v>72</v>
      </c>
      <c r="D41" s="135" t="s">
        <v>55</v>
      </c>
      <c r="E41" s="136">
        <f>0.1*0.1*3.14*0.35</f>
        <v>1.0990000000000002E-2</v>
      </c>
      <c r="F41" s="137"/>
      <c r="G41" s="138"/>
      <c r="H41" s="93"/>
      <c r="I41" s="22"/>
      <c r="J41" s="139"/>
      <c r="K41" s="96"/>
      <c r="L41" s="97"/>
      <c r="M41" s="116"/>
      <c r="Q41" s="140"/>
      <c r="R41" s="135"/>
    </row>
    <row r="42" spans="1:18" ht="24">
      <c r="A42" s="99">
        <f>A21+1</f>
        <v>5</v>
      </c>
      <c r="B42" s="100">
        <v>183117431</v>
      </c>
      <c r="C42" s="336" t="s">
        <v>73</v>
      </c>
      <c r="D42" s="142" t="s">
        <v>74</v>
      </c>
      <c r="E42" s="143">
        <v>3.1</v>
      </c>
      <c r="F42" s="144"/>
      <c r="G42" s="81">
        <f>F42*E42</f>
        <v>0</v>
      </c>
      <c r="H42" s="82" t="s">
        <v>35</v>
      </c>
      <c r="I42" s="22"/>
      <c r="J42" s="83"/>
      <c r="K42" s="84">
        <f>E42*J42</f>
        <v>0</v>
      </c>
      <c r="L42" s="85">
        <f>K42*F42</f>
        <v>0</v>
      </c>
      <c r="M42" s="86">
        <f>E42*L42</f>
        <v>0</v>
      </c>
    </row>
    <row r="43" spans="1:18" ht="24" customHeight="1">
      <c r="A43" s="145">
        <f>A42+1</f>
        <v>6</v>
      </c>
      <c r="B43" s="146">
        <v>183117432</v>
      </c>
      <c r="C43" s="343" t="s">
        <v>75</v>
      </c>
      <c r="D43" s="147" t="s">
        <v>74</v>
      </c>
      <c r="E43" s="148">
        <v>17.2</v>
      </c>
      <c r="F43" s="149"/>
      <c r="G43" s="150">
        <f>F43*E43</f>
        <v>0</v>
      </c>
      <c r="H43" s="151" t="s">
        <v>35</v>
      </c>
      <c r="I43" s="94"/>
      <c r="J43" s="152"/>
      <c r="K43" s="153">
        <f>E43*J43</f>
        <v>0</v>
      </c>
      <c r="L43" s="154">
        <f>K43*F43</f>
        <v>0</v>
      </c>
      <c r="M43" s="155">
        <f>E43*L43</f>
        <v>0</v>
      </c>
    </row>
    <row r="44" spans="1:18" ht="24">
      <c r="A44" s="99">
        <f>A43+1</f>
        <v>7</v>
      </c>
      <c r="B44" s="156">
        <v>162251101</v>
      </c>
      <c r="C44" s="344" t="s">
        <v>76</v>
      </c>
      <c r="D44" s="157" t="s">
        <v>34</v>
      </c>
      <c r="E44" s="158">
        <v>58</v>
      </c>
      <c r="F44" s="144"/>
      <c r="G44" s="81">
        <f>F44*E44</f>
        <v>0</v>
      </c>
      <c r="H44" s="82" t="s">
        <v>35</v>
      </c>
      <c r="I44" s="94"/>
      <c r="J44" s="83"/>
      <c r="K44" s="84">
        <f>J44*E45</f>
        <v>0</v>
      </c>
      <c r="L44" s="85">
        <f>K44*F44</f>
        <v>0</v>
      </c>
      <c r="M44" s="86">
        <f>L44*E45</f>
        <v>0</v>
      </c>
    </row>
    <row r="45" spans="1:18" ht="15" customHeight="1">
      <c r="A45" s="159"/>
      <c r="B45" s="160"/>
      <c r="C45" s="345" t="s">
        <v>77</v>
      </c>
      <c r="D45" s="161"/>
      <c r="E45" s="162"/>
      <c r="F45" s="163"/>
      <c r="G45" s="164"/>
      <c r="H45" s="165"/>
      <c r="I45" s="94"/>
      <c r="J45" s="166"/>
      <c r="K45" s="167"/>
      <c r="L45" s="168"/>
      <c r="M45" s="169"/>
    </row>
    <row r="46" spans="1:18" ht="15" customHeight="1">
      <c r="A46" s="99">
        <f>A44+1</f>
        <v>8</v>
      </c>
      <c r="B46" s="100">
        <v>167151111</v>
      </c>
      <c r="C46" s="336" t="s">
        <v>78</v>
      </c>
      <c r="D46" s="170" t="s">
        <v>79</v>
      </c>
      <c r="E46" s="171">
        <f>E21+E18+E13+E6</f>
        <v>240.017797</v>
      </c>
      <c r="F46" s="172"/>
      <c r="G46" s="81">
        <f>F46*E46</f>
        <v>0</v>
      </c>
      <c r="H46" s="82" t="s">
        <v>35</v>
      </c>
      <c r="I46" s="22"/>
      <c r="J46" s="83"/>
      <c r="K46" s="84">
        <f>J46*E46</f>
        <v>0</v>
      </c>
      <c r="L46" s="85">
        <f>K46*F46</f>
        <v>0</v>
      </c>
      <c r="M46" s="86">
        <f>L46*E46</f>
        <v>0</v>
      </c>
    </row>
    <row r="47" spans="1:18" ht="24.75" customHeight="1">
      <c r="A47" s="173">
        <f>A46+1</f>
        <v>9</v>
      </c>
      <c r="B47" s="146">
        <v>162751117</v>
      </c>
      <c r="C47" s="343" t="s">
        <v>80</v>
      </c>
      <c r="D47" s="117" t="s">
        <v>49</v>
      </c>
      <c r="E47" s="174">
        <f>E46-E44</f>
        <v>182.017797</v>
      </c>
      <c r="F47" s="80"/>
      <c r="G47" s="81">
        <f>F47*E47</f>
        <v>0</v>
      </c>
      <c r="H47" s="82" t="s">
        <v>35</v>
      </c>
      <c r="I47" s="22"/>
      <c r="J47" s="152"/>
      <c r="K47" s="153">
        <f>J47*E47</f>
        <v>0</v>
      </c>
      <c r="L47" s="154">
        <f>K47*F47</f>
        <v>0</v>
      </c>
      <c r="M47" s="155">
        <f>L47*E47</f>
        <v>0</v>
      </c>
    </row>
    <row r="48" spans="1:18" ht="15">
      <c r="A48" s="175"/>
      <c r="B48" s="176"/>
      <c r="C48" s="346" t="s">
        <v>81</v>
      </c>
      <c r="H48" s="177"/>
      <c r="J48" s="178"/>
    </row>
    <row r="49" spans="1:14 16384:16384" ht="15" customHeight="1">
      <c r="A49" s="173">
        <f>A47+1</f>
        <v>10</v>
      </c>
      <c r="B49" s="100">
        <v>171201231</v>
      </c>
      <c r="C49" s="338" t="s">
        <v>82</v>
      </c>
      <c r="D49" s="117" t="s">
        <v>83</v>
      </c>
      <c r="E49" s="174">
        <f>E47*1.6</f>
        <v>291.22847519999999</v>
      </c>
      <c r="F49" s="80"/>
      <c r="G49" s="81">
        <f>F49*E49</f>
        <v>0</v>
      </c>
      <c r="H49" s="82" t="s">
        <v>35</v>
      </c>
      <c r="I49" s="22"/>
      <c r="J49" s="152"/>
      <c r="K49" s="153">
        <f>J49*E49</f>
        <v>0</v>
      </c>
      <c r="L49" s="154">
        <v>0</v>
      </c>
      <c r="M49" s="155">
        <f>L49*E49</f>
        <v>0</v>
      </c>
    </row>
    <row r="50" spans="1:14 16384:16384" ht="15">
      <c r="B50" s="176"/>
      <c r="C50" s="346" t="s">
        <v>84</v>
      </c>
      <c r="J50" s="178"/>
    </row>
    <row r="51" spans="1:14 16384:16384" ht="15">
      <c r="B51" s="176"/>
      <c r="C51" s="346"/>
      <c r="J51" s="178"/>
    </row>
    <row r="52" spans="1:14 16384:16384" ht="18" customHeight="1">
      <c r="A52" s="65"/>
      <c r="B52" s="66"/>
      <c r="C52" s="67" t="s">
        <v>85</v>
      </c>
      <c r="D52" s="68"/>
      <c r="E52" s="69"/>
      <c r="F52" s="70"/>
      <c r="G52" s="179">
        <f>SUM(G53:G91)</f>
        <v>0</v>
      </c>
      <c r="H52" s="72"/>
      <c r="I52" s="22"/>
      <c r="J52" s="180"/>
      <c r="K52" s="74">
        <f>SUM(K53:K91)</f>
        <v>8.9189006471999992</v>
      </c>
      <c r="L52" s="73"/>
      <c r="M52" s="75">
        <f>SUM(M53:M91)</f>
        <v>0</v>
      </c>
      <c r="N52" s="75"/>
    </row>
    <row r="53" spans="1:14 16384:16384" ht="24">
      <c r="A53" s="181">
        <f>A49+1</f>
        <v>11</v>
      </c>
      <c r="B53" s="100">
        <v>219991115</v>
      </c>
      <c r="C53" s="347" t="s">
        <v>86</v>
      </c>
      <c r="D53" s="182" t="s">
        <v>87</v>
      </c>
      <c r="E53" s="183">
        <f>7+3.66</f>
        <v>10.66</v>
      </c>
      <c r="F53" s="80"/>
      <c r="G53" s="81">
        <f>F53*E53</f>
        <v>0</v>
      </c>
      <c r="H53" s="82" t="s">
        <v>35</v>
      </c>
      <c r="I53" s="22"/>
      <c r="J53" s="184"/>
      <c r="K53" s="84">
        <f>J53*E53</f>
        <v>0</v>
      </c>
      <c r="L53" s="85">
        <v>0</v>
      </c>
      <c r="M53" s="86">
        <f>L53*E53</f>
        <v>0</v>
      </c>
    </row>
    <row r="54" spans="1:14 16384:16384" ht="27" customHeight="1">
      <c r="A54" s="181">
        <f>A53+1</f>
        <v>12</v>
      </c>
      <c r="B54" s="185" t="s">
        <v>88</v>
      </c>
      <c r="C54" s="348" t="s">
        <v>334</v>
      </c>
      <c r="D54" s="186" t="s">
        <v>87</v>
      </c>
      <c r="E54" s="187">
        <f>E53*1.05</f>
        <v>11.193000000000001</v>
      </c>
      <c r="F54" s="188"/>
      <c r="G54" s="189">
        <f>F54*E54</f>
        <v>0</v>
      </c>
      <c r="H54" s="82" t="s">
        <v>89</v>
      </c>
      <c r="I54" s="22"/>
      <c r="J54" s="184">
        <v>2.2000000000000001E-3</v>
      </c>
      <c r="K54" s="84">
        <f>J54*E54</f>
        <v>2.4624600000000003E-2</v>
      </c>
      <c r="L54" s="85">
        <v>0</v>
      </c>
      <c r="M54" s="86">
        <f>L54*E54</f>
        <v>0</v>
      </c>
    </row>
    <row r="55" spans="1:14 16384:16384" ht="34.5" customHeight="1">
      <c r="A55" s="181">
        <f>A54+1</f>
        <v>13</v>
      </c>
      <c r="B55" s="190" t="s">
        <v>90</v>
      </c>
      <c r="C55" s="349" t="s">
        <v>91</v>
      </c>
      <c r="D55" s="182" t="s">
        <v>92</v>
      </c>
      <c r="E55" s="183">
        <v>4</v>
      </c>
      <c r="F55" s="80"/>
      <c r="G55" s="81">
        <f>F55*E55</f>
        <v>0</v>
      </c>
      <c r="H55" s="82" t="s">
        <v>89</v>
      </c>
      <c r="I55" s="22"/>
      <c r="J55" s="184">
        <f>0.08*0.08*0.25*2.3</f>
        <v>3.6799999999999997E-3</v>
      </c>
      <c r="K55" s="84">
        <f>J55*E55</f>
        <v>1.4719999999999999E-2</v>
      </c>
      <c r="L55" s="85">
        <v>0</v>
      </c>
      <c r="M55" s="86">
        <f>L55*E55</f>
        <v>0</v>
      </c>
    </row>
    <row r="56" spans="1:14 16384:16384" ht="18.75" customHeight="1">
      <c r="A56" s="181">
        <f>A55+1</f>
        <v>14</v>
      </c>
      <c r="B56" s="100">
        <v>275313611</v>
      </c>
      <c r="C56" s="347" t="s">
        <v>93</v>
      </c>
      <c r="D56" s="182" t="s">
        <v>94</v>
      </c>
      <c r="E56" s="183">
        <f>SUM(E57:E74)</f>
        <v>3.5083600000000006</v>
      </c>
      <c r="F56" s="80"/>
      <c r="G56" s="81">
        <f>F56*E56</f>
        <v>0</v>
      </c>
      <c r="H56" s="82" t="s">
        <v>35</v>
      </c>
      <c r="I56" s="22"/>
      <c r="J56" s="184">
        <v>2.3010199999999998</v>
      </c>
      <c r="K56" s="84">
        <f>J56*E56</f>
        <v>8.0728065272000009</v>
      </c>
      <c r="L56" s="85">
        <v>0</v>
      </c>
      <c r="M56" s="86">
        <f>L56*E56</f>
        <v>0</v>
      </c>
      <c r="XFD56">
        <f>SUM(A56:XFC56)</f>
        <v>275313638.88218659</v>
      </c>
    </row>
    <row r="57" spans="1:14 16384:16384" ht="15.75" customHeight="1">
      <c r="A57" s="191"/>
      <c r="B57" s="126"/>
      <c r="C57" s="342" t="s">
        <v>53</v>
      </c>
      <c r="D57" s="135"/>
      <c r="E57" s="192"/>
      <c r="F57" s="129"/>
      <c r="G57" s="130"/>
      <c r="H57" s="108"/>
      <c r="I57" s="22"/>
      <c r="J57" s="193"/>
      <c r="K57" s="110"/>
      <c r="L57" s="111"/>
      <c r="M57" s="112"/>
    </row>
    <row r="58" spans="1:14 16384:16384" ht="15.75" customHeight="1">
      <c r="A58" s="194"/>
      <c r="B58" s="134"/>
      <c r="C58" s="342" t="s">
        <v>54</v>
      </c>
      <c r="D58" s="135" t="s">
        <v>55</v>
      </c>
      <c r="E58" s="195">
        <f>0.1*0.1*3.14*0.35*196</f>
        <v>2.1540400000000002</v>
      </c>
      <c r="F58" s="137"/>
      <c r="G58" s="138"/>
      <c r="H58" s="93"/>
      <c r="I58" s="22"/>
      <c r="J58" s="196"/>
      <c r="K58" s="96"/>
      <c r="L58" s="97"/>
      <c r="M58" s="116"/>
    </row>
    <row r="59" spans="1:14 16384:16384" ht="15.75" customHeight="1">
      <c r="A59" s="194"/>
      <c r="B59" s="134"/>
      <c r="C59" s="335" t="s">
        <v>95</v>
      </c>
      <c r="D59" s="135"/>
      <c r="E59" s="195"/>
      <c r="F59" s="137"/>
      <c r="G59" s="138"/>
      <c r="H59" s="93"/>
      <c r="I59" s="22"/>
      <c r="J59" s="196"/>
      <c r="K59" s="96"/>
      <c r="L59" s="97"/>
      <c r="M59" s="116"/>
    </row>
    <row r="60" spans="1:14 16384:16384" ht="15.75" customHeight="1">
      <c r="A60" s="194"/>
      <c r="B60" s="134"/>
      <c r="C60" s="335" t="s">
        <v>96</v>
      </c>
      <c r="D60" s="135" t="s">
        <v>55</v>
      </c>
      <c r="E60" s="195">
        <f>0.1*0.1*3.14*0.35*15</f>
        <v>0.16485000000000002</v>
      </c>
      <c r="F60" s="137"/>
      <c r="G60" s="138"/>
      <c r="H60" s="93"/>
      <c r="I60" s="22"/>
      <c r="J60" s="196"/>
      <c r="K60" s="96"/>
      <c r="L60" s="97"/>
      <c r="M60" s="116"/>
    </row>
    <row r="61" spans="1:14 16384:16384" ht="15.75" customHeight="1">
      <c r="A61" s="194"/>
      <c r="B61" s="134"/>
      <c r="C61" s="140" t="s">
        <v>323</v>
      </c>
      <c r="D61" s="135"/>
      <c r="E61" s="195"/>
      <c r="F61" s="137"/>
      <c r="G61" s="138"/>
      <c r="H61" s="93"/>
      <c r="I61" s="22"/>
      <c r="J61" s="196"/>
      <c r="K61" s="96"/>
      <c r="L61" s="97"/>
      <c r="M61" s="116"/>
    </row>
    <row r="62" spans="1:14 16384:16384" ht="15.75" customHeight="1">
      <c r="A62" s="194"/>
      <c r="B62" s="134"/>
      <c r="C62" s="140" t="s">
        <v>97</v>
      </c>
      <c r="D62" s="135" t="s">
        <v>55</v>
      </c>
      <c r="E62" s="195">
        <f>0.3*0.3*0.3*4+0.3*0.475*0.3*2</f>
        <v>0.19350000000000001</v>
      </c>
      <c r="F62" s="137"/>
      <c r="G62" s="138"/>
      <c r="H62" s="93"/>
      <c r="I62" s="22"/>
      <c r="J62" s="196"/>
      <c r="K62" s="96"/>
      <c r="L62" s="97"/>
      <c r="M62" s="116"/>
    </row>
    <row r="63" spans="1:14 16384:16384" ht="15.75" customHeight="1">
      <c r="A63" s="194"/>
      <c r="B63" s="134"/>
      <c r="C63" s="140" t="s">
        <v>98</v>
      </c>
      <c r="D63" s="135"/>
      <c r="E63" s="195"/>
      <c r="F63" s="137"/>
      <c r="G63" s="138"/>
      <c r="H63" s="93"/>
      <c r="I63" s="22"/>
      <c r="J63" s="196"/>
      <c r="K63" s="96"/>
      <c r="L63" s="97"/>
      <c r="M63" s="116"/>
    </row>
    <row r="64" spans="1:14 16384:16384" ht="15.75" customHeight="1">
      <c r="A64" s="194"/>
      <c r="B64" s="134"/>
      <c r="C64" s="140" t="s">
        <v>60</v>
      </c>
      <c r="D64" s="135" t="s">
        <v>55</v>
      </c>
      <c r="E64" s="195">
        <f>0.3*0.6*0.6</f>
        <v>0.108</v>
      </c>
      <c r="F64" s="137"/>
      <c r="G64" s="138"/>
      <c r="H64" s="93"/>
      <c r="I64" s="22"/>
      <c r="J64" s="196"/>
      <c r="K64" s="96"/>
      <c r="L64" s="97"/>
      <c r="M64" s="116"/>
    </row>
    <row r="65" spans="1:13" ht="15.75" customHeight="1">
      <c r="A65" s="194"/>
      <c r="B65" s="134"/>
      <c r="C65" s="140" t="s">
        <v>99</v>
      </c>
      <c r="D65" s="141"/>
      <c r="E65" s="195"/>
      <c r="F65" s="137"/>
      <c r="G65" s="138"/>
      <c r="H65" s="93"/>
      <c r="I65" s="22"/>
      <c r="J65" s="196"/>
      <c r="K65" s="96"/>
      <c r="L65" s="97"/>
      <c r="M65" s="116"/>
    </row>
    <row r="66" spans="1:13" ht="15.75" customHeight="1">
      <c r="A66" s="194"/>
      <c r="B66" s="134"/>
      <c r="C66" s="141" t="s">
        <v>100</v>
      </c>
      <c r="D66" s="135" t="s">
        <v>55</v>
      </c>
      <c r="E66" s="195">
        <f>0.1*0.1*3.14*0.35*3</f>
        <v>3.2970000000000006E-2</v>
      </c>
      <c r="F66" s="137"/>
      <c r="G66" s="138"/>
      <c r="H66" s="93"/>
      <c r="I66" s="22"/>
      <c r="J66" s="196"/>
      <c r="K66" s="96"/>
      <c r="L66" s="97"/>
      <c r="M66" s="116"/>
    </row>
    <row r="67" spans="1:13" ht="15.75" customHeight="1">
      <c r="A67" s="194"/>
      <c r="B67" s="134"/>
      <c r="C67" s="140" t="s">
        <v>63</v>
      </c>
      <c r="D67" s="135"/>
      <c r="E67" s="195"/>
      <c r="F67" s="137"/>
      <c r="G67" s="138"/>
      <c r="H67" s="93"/>
      <c r="I67" s="22"/>
      <c r="J67" s="196"/>
      <c r="K67" s="96"/>
      <c r="L67" s="97"/>
      <c r="M67" s="116"/>
    </row>
    <row r="68" spans="1:13" ht="15.75" customHeight="1">
      <c r="A68" s="194"/>
      <c r="B68" s="134"/>
      <c r="C68" s="140" t="s">
        <v>101</v>
      </c>
      <c r="D68" s="135" t="s">
        <v>55</v>
      </c>
      <c r="E68" s="195">
        <f>0.6*0.3*0.6*2+0.1*0.15*0.4*2</f>
        <v>0.22800000000000001</v>
      </c>
      <c r="F68" s="137"/>
      <c r="G68" s="138"/>
      <c r="H68" s="93"/>
      <c r="I68" s="22"/>
      <c r="J68" s="196"/>
      <c r="K68" s="96"/>
      <c r="L68" s="97"/>
      <c r="M68" s="116"/>
    </row>
    <row r="69" spans="1:13" ht="15.75" customHeight="1">
      <c r="A69" s="194"/>
      <c r="B69" s="134"/>
      <c r="C69" s="140" t="s">
        <v>65</v>
      </c>
      <c r="D69" s="141"/>
      <c r="E69" s="195"/>
      <c r="F69" s="137"/>
      <c r="G69" s="138"/>
      <c r="H69" s="93"/>
      <c r="I69" s="22"/>
      <c r="J69" s="196"/>
      <c r="K69" s="96"/>
      <c r="L69" s="97"/>
      <c r="M69" s="116"/>
    </row>
    <row r="70" spans="1:13" ht="15.75" customHeight="1">
      <c r="A70" s="194"/>
      <c r="B70" s="134"/>
      <c r="C70" s="140" t="s">
        <v>102</v>
      </c>
      <c r="D70" s="135" t="s">
        <v>55</v>
      </c>
      <c r="E70" s="195">
        <f>0.5*0.45*0.6*2+0.1*0.15*(0.35+0.45)*2</f>
        <v>0.29400000000000004</v>
      </c>
      <c r="F70" s="137"/>
      <c r="G70" s="138"/>
      <c r="H70" s="93"/>
      <c r="I70" s="22"/>
      <c r="J70" s="196"/>
      <c r="K70" s="96"/>
      <c r="L70" s="97"/>
      <c r="M70" s="116"/>
    </row>
    <row r="71" spans="1:13" ht="15.75" customHeight="1">
      <c r="A71" s="194"/>
      <c r="B71" s="134"/>
      <c r="C71" s="140" t="s">
        <v>67</v>
      </c>
      <c r="D71" s="135"/>
      <c r="E71" s="195"/>
      <c r="F71" s="137"/>
      <c r="G71" s="138"/>
      <c r="H71" s="93"/>
      <c r="I71" s="22"/>
      <c r="J71" s="196"/>
      <c r="K71" s="96"/>
      <c r="L71" s="97"/>
      <c r="M71" s="116"/>
    </row>
    <row r="72" spans="1:13" ht="15.75" customHeight="1">
      <c r="A72" s="194"/>
      <c r="B72" s="134"/>
      <c r="C72" s="140" t="s">
        <v>103</v>
      </c>
      <c r="D72" s="135" t="s">
        <v>55</v>
      </c>
      <c r="E72" s="195">
        <f>0.3*0.6*0.3*4</f>
        <v>0.216</v>
      </c>
      <c r="F72" s="137"/>
      <c r="G72" s="138"/>
      <c r="H72" s="93"/>
      <c r="I72" s="22"/>
      <c r="J72" s="196"/>
      <c r="K72" s="96"/>
      <c r="L72" s="97"/>
      <c r="M72" s="116"/>
    </row>
    <row r="73" spans="1:13" ht="15.75" customHeight="1">
      <c r="A73" s="194"/>
      <c r="B73" s="134"/>
      <c r="C73" s="140" t="s">
        <v>69</v>
      </c>
      <c r="D73" s="141"/>
      <c r="E73" s="195"/>
      <c r="F73" s="197"/>
      <c r="G73" s="138"/>
      <c r="H73" s="93"/>
      <c r="I73" s="22"/>
      <c r="J73" s="196"/>
      <c r="K73" s="96"/>
      <c r="L73" s="97"/>
      <c r="M73" s="116"/>
    </row>
    <row r="74" spans="1:13" ht="15.75" customHeight="1">
      <c r="A74" s="198"/>
      <c r="B74" s="199"/>
      <c r="C74" s="140" t="s">
        <v>104</v>
      </c>
      <c r="D74" s="135" t="s">
        <v>55</v>
      </c>
      <c r="E74" s="200">
        <f>0.3*0.65*0.3*2</f>
        <v>0.11699999999999999</v>
      </c>
      <c r="F74" s="197"/>
      <c r="G74" s="201"/>
      <c r="H74" s="202"/>
      <c r="I74" s="22"/>
      <c r="J74" s="203"/>
      <c r="K74" s="167"/>
      <c r="L74" s="168"/>
      <c r="M74" s="169"/>
    </row>
    <row r="75" spans="1:13" ht="16.5" customHeight="1">
      <c r="A75" s="181">
        <f>A56+1</f>
        <v>15</v>
      </c>
      <c r="B75" s="100">
        <v>275351121</v>
      </c>
      <c r="C75" s="336" t="s">
        <v>105</v>
      </c>
      <c r="D75" s="182" t="s">
        <v>106</v>
      </c>
      <c r="E75" s="183">
        <f>SUM(E77:E89)</f>
        <v>16.193000000000001</v>
      </c>
      <c r="F75" s="80"/>
      <c r="G75" s="81">
        <f>F75*E75</f>
        <v>0</v>
      </c>
      <c r="H75" s="82" t="s">
        <v>35</v>
      </c>
      <c r="I75" s="22"/>
      <c r="J75" s="184">
        <v>2.64E-3</v>
      </c>
      <c r="K75" s="84">
        <f>J75*E75</f>
        <v>4.2749520000000006E-2</v>
      </c>
      <c r="L75" s="85">
        <v>0</v>
      </c>
      <c r="M75" s="86">
        <f>L75*E75</f>
        <v>0</v>
      </c>
    </row>
    <row r="76" spans="1:13" ht="15.6" customHeight="1">
      <c r="A76" s="191"/>
      <c r="B76" s="126"/>
      <c r="C76" s="335" t="s">
        <v>56</v>
      </c>
      <c r="D76" s="135"/>
      <c r="E76" s="204"/>
      <c r="F76" s="129"/>
      <c r="G76" s="130"/>
      <c r="H76" s="108"/>
      <c r="I76" s="22"/>
      <c r="J76" s="193"/>
      <c r="K76" s="110"/>
      <c r="L76" s="111"/>
      <c r="M76" s="112"/>
    </row>
    <row r="77" spans="1:13" ht="15.6" customHeight="1">
      <c r="A77" s="194"/>
      <c r="B77" s="134"/>
      <c r="C77" s="335" t="s">
        <v>107</v>
      </c>
      <c r="D77" s="135" t="s">
        <v>108</v>
      </c>
      <c r="E77" s="205">
        <f>0.3*0.35*4*15</f>
        <v>6.3</v>
      </c>
      <c r="F77" s="137"/>
      <c r="G77" s="138"/>
      <c r="H77" s="93"/>
      <c r="I77" s="22"/>
      <c r="J77" s="196"/>
      <c r="K77" s="96"/>
      <c r="L77" s="97"/>
      <c r="M77" s="116"/>
    </row>
    <row r="78" spans="1:13" ht="15.6" customHeight="1">
      <c r="A78" s="194"/>
      <c r="B78" s="134"/>
      <c r="C78" s="140" t="s">
        <v>323</v>
      </c>
      <c r="D78" s="135"/>
      <c r="E78" s="136"/>
      <c r="F78" s="137"/>
      <c r="G78" s="138"/>
      <c r="H78" s="93"/>
      <c r="I78" s="22"/>
      <c r="J78" s="196"/>
      <c r="K78" s="96"/>
      <c r="L78" s="97"/>
      <c r="M78" s="116"/>
    </row>
    <row r="79" spans="1:13" ht="15.6" customHeight="1">
      <c r="A79" s="194"/>
      <c r="B79" s="134"/>
      <c r="C79" s="140" t="s">
        <v>109</v>
      </c>
      <c r="D79" s="135" t="s">
        <v>108</v>
      </c>
      <c r="E79" s="136">
        <f>0.3*0.3*4*4+0.3*0.475*2+0.3*0.3*2</f>
        <v>1.9049999999999998</v>
      </c>
      <c r="F79" s="137"/>
      <c r="G79" s="138"/>
      <c r="H79" s="93"/>
      <c r="I79" s="22"/>
      <c r="J79" s="196"/>
      <c r="K79" s="96"/>
      <c r="L79" s="97"/>
      <c r="M79" s="116"/>
    </row>
    <row r="80" spans="1:13" ht="15.6" customHeight="1">
      <c r="A80" s="194"/>
      <c r="B80" s="134"/>
      <c r="C80" s="140" t="s">
        <v>98</v>
      </c>
      <c r="D80" s="135"/>
      <c r="E80" s="136"/>
      <c r="F80" s="137"/>
      <c r="G80" s="138"/>
      <c r="H80" s="93"/>
      <c r="I80" s="22"/>
      <c r="J80" s="196"/>
      <c r="K80" s="96"/>
      <c r="L80" s="97"/>
      <c r="M80" s="116"/>
    </row>
    <row r="81" spans="1:14" ht="15.6" customHeight="1">
      <c r="A81" s="194"/>
      <c r="B81" s="134"/>
      <c r="C81" s="140" t="s">
        <v>60</v>
      </c>
      <c r="D81" s="135" t="s">
        <v>108</v>
      </c>
      <c r="E81" s="136">
        <f>0.3*0.6*0.6</f>
        <v>0.108</v>
      </c>
      <c r="F81" s="137"/>
      <c r="G81" s="138"/>
      <c r="H81" s="93"/>
      <c r="I81" s="22"/>
      <c r="J81" s="196"/>
      <c r="K81" s="96"/>
      <c r="L81" s="97"/>
      <c r="M81" s="116"/>
    </row>
    <row r="82" spans="1:14" ht="15.6" customHeight="1">
      <c r="A82" s="194"/>
      <c r="B82" s="134"/>
      <c r="C82" s="140" t="s">
        <v>63</v>
      </c>
      <c r="D82" s="141"/>
      <c r="E82" s="206"/>
      <c r="F82" s="137"/>
      <c r="G82" s="138"/>
      <c r="H82" s="93"/>
      <c r="I82" s="22"/>
      <c r="J82" s="196"/>
      <c r="K82" s="96"/>
      <c r="L82" s="97"/>
      <c r="M82" s="116"/>
    </row>
    <row r="83" spans="1:14" ht="15.6" customHeight="1">
      <c r="A83" s="194"/>
      <c r="B83" s="134"/>
      <c r="C83" s="140" t="s">
        <v>110</v>
      </c>
      <c r="D83" s="135" t="s">
        <v>108</v>
      </c>
      <c r="E83" s="206">
        <f>0.15*(0.6+0.3)*2*2+0.15*(0.4+0.1)*2*2</f>
        <v>0.83999999999999986</v>
      </c>
      <c r="F83" s="137"/>
      <c r="G83" s="138"/>
      <c r="H83" s="93"/>
      <c r="I83" s="22"/>
      <c r="J83" s="196"/>
      <c r="K83" s="96"/>
      <c r="L83" s="97"/>
      <c r="M83" s="116"/>
    </row>
    <row r="84" spans="1:14" ht="15.6" customHeight="1">
      <c r="A84" s="194"/>
      <c r="B84" s="134"/>
      <c r="C84" s="140" t="s">
        <v>65</v>
      </c>
      <c r="D84" s="141"/>
      <c r="E84" s="206"/>
      <c r="F84" s="137"/>
      <c r="G84" s="138"/>
      <c r="H84" s="93"/>
      <c r="I84" s="22"/>
      <c r="J84" s="196"/>
      <c r="K84" s="96"/>
      <c r="L84" s="97"/>
      <c r="M84" s="116"/>
    </row>
    <row r="85" spans="1:14" ht="15.6" customHeight="1">
      <c r="A85" s="194"/>
      <c r="B85" s="134"/>
      <c r="C85" s="140" t="s">
        <v>111</v>
      </c>
      <c r="D85" s="135" t="s">
        <v>108</v>
      </c>
      <c r="E85" s="206">
        <f>0.15*(0.45+0.45)*2*2+0.15*(0.5+0.3)*2*2+2</f>
        <v>3.02</v>
      </c>
      <c r="F85" s="137"/>
      <c r="G85" s="138"/>
      <c r="H85" s="93"/>
      <c r="I85" s="22"/>
      <c r="J85" s="196"/>
      <c r="K85" s="96"/>
      <c r="L85" s="97"/>
      <c r="M85" s="116"/>
    </row>
    <row r="86" spans="1:14" ht="15.6" customHeight="1">
      <c r="A86" s="194"/>
      <c r="B86" s="134"/>
      <c r="C86" s="140" t="s">
        <v>67</v>
      </c>
      <c r="D86" s="141"/>
      <c r="E86" s="206"/>
      <c r="F86" s="137"/>
      <c r="G86" s="138"/>
      <c r="H86" s="93"/>
      <c r="I86" s="22"/>
      <c r="J86" s="196"/>
      <c r="K86" s="96"/>
      <c r="L86" s="97"/>
      <c r="M86" s="116"/>
    </row>
    <row r="87" spans="1:14" ht="15.6" customHeight="1">
      <c r="A87" s="194"/>
      <c r="B87" s="134"/>
      <c r="C87" s="140" t="s">
        <v>112</v>
      </c>
      <c r="D87" s="135" t="s">
        <v>108</v>
      </c>
      <c r="E87" s="206">
        <f>0.3*0.6*4*4</f>
        <v>2.88</v>
      </c>
      <c r="F87" s="137"/>
      <c r="G87" s="138"/>
      <c r="H87" s="93"/>
      <c r="I87" s="22"/>
      <c r="J87" s="196"/>
      <c r="K87" s="96"/>
      <c r="L87" s="97"/>
      <c r="M87" s="116"/>
    </row>
    <row r="88" spans="1:14" ht="15.6" customHeight="1">
      <c r="A88" s="194"/>
      <c r="B88" s="134"/>
      <c r="C88" s="140" t="s">
        <v>69</v>
      </c>
      <c r="D88" s="141"/>
      <c r="E88" s="206"/>
      <c r="F88" s="137"/>
      <c r="G88" s="138"/>
      <c r="H88" s="93"/>
      <c r="I88" s="22"/>
      <c r="J88" s="196"/>
      <c r="K88" s="96"/>
      <c r="L88" s="97"/>
      <c r="M88" s="116"/>
    </row>
    <row r="89" spans="1:14" ht="15.6" customHeight="1">
      <c r="A89" s="194"/>
      <c r="B89" s="134"/>
      <c r="C89" s="140" t="s">
        <v>113</v>
      </c>
      <c r="D89" s="135" t="s">
        <v>108</v>
      </c>
      <c r="E89" s="206">
        <f>(0.3+0.65)*0.3*2*2</f>
        <v>1.1399999999999999</v>
      </c>
      <c r="F89" s="137"/>
      <c r="G89" s="138"/>
      <c r="H89" s="93"/>
      <c r="I89" s="22"/>
      <c r="J89" s="203"/>
      <c r="K89" s="167"/>
      <c r="L89" s="168"/>
      <c r="M89" s="169"/>
    </row>
    <row r="90" spans="1:14" ht="16.5" customHeight="1">
      <c r="A90" s="366">
        <f>A75+1</f>
        <v>16</v>
      </c>
      <c r="B90" s="146">
        <v>275351122</v>
      </c>
      <c r="C90" s="367" t="s">
        <v>114</v>
      </c>
      <c r="D90" s="262" t="s">
        <v>106</v>
      </c>
      <c r="E90" s="368">
        <f>E75</f>
        <v>16.193000000000001</v>
      </c>
      <c r="F90" s="227"/>
      <c r="G90" s="150">
        <f>F90*E90</f>
        <v>0</v>
      </c>
      <c r="H90" s="151" t="s">
        <v>35</v>
      </c>
      <c r="I90" s="22"/>
      <c r="J90" s="184">
        <v>0</v>
      </c>
      <c r="K90" s="84">
        <f>J90*E90</f>
        <v>0</v>
      </c>
      <c r="L90" s="85">
        <v>0</v>
      </c>
      <c r="M90" s="86">
        <f>L90*E90</f>
        <v>0</v>
      </c>
    </row>
    <row r="91" spans="1:14" ht="36.75" customHeight="1">
      <c r="A91" s="181">
        <f>A90+1</f>
        <v>17</v>
      </c>
      <c r="B91" s="100" t="s">
        <v>115</v>
      </c>
      <c r="C91" s="350" t="s">
        <v>116</v>
      </c>
      <c r="D91" s="182" t="s">
        <v>92</v>
      </c>
      <c r="E91" s="183">
        <f>SUM(E92:E94)</f>
        <v>200</v>
      </c>
      <c r="F91" s="80"/>
      <c r="G91" s="81">
        <f>F91*E91</f>
        <v>0</v>
      </c>
      <c r="H91" s="82" t="s">
        <v>89</v>
      </c>
      <c r="I91" s="22"/>
      <c r="J91" s="184">
        <v>3.82E-3</v>
      </c>
      <c r="K91" s="84">
        <f>J91*E91</f>
        <v>0.76400000000000001</v>
      </c>
      <c r="L91" s="85">
        <v>0</v>
      </c>
      <c r="M91" s="86">
        <f>L91*E91</f>
        <v>0</v>
      </c>
    </row>
    <row r="92" spans="1:14" ht="13.5" customHeight="1">
      <c r="A92" s="175"/>
      <c r="C92" s="342" t="s">
        <v>53</v>
      </c>
      <c r="D92" s="207" t="s">
        <v>92</v>
      </c>
      <c r="E92" s="208">
        <v>196</v>
      </c>
      <c r="H92" s="177"/>
      <c r="I92" s="22"/>
      <c r="J92" s="196"/>
      <c r="K92" s="96"/>
      <c r="L92" s="97"/>
      <c r="M92" s="98"/>
    </row>
    <row r="93" spans="1:14" ht="13.5" customHeight="1">
      <c r="A93" s="175"/>
      <c r="C93" s="140" t="s">
        <v>61</v>
      </c>
      <c r="D93" s="207" t="s">
        <v>92</v>
      </c>
      <c r="E93" s="209">
        <v>3</v>
      </c>
      <c r="H93" s="177"/>
      <c r="I93" s="22"/>
      <c r="J93" s="196"/>
      <c r="K93" s="96"/>
      <c r="L93" s="97"/>
      <c r="M93" s="98"/>
    </row>
    <row r="94" spans="1:14" ht="13.5" customHeight="1">
      <c r="A94" s="210"/>
      <c r="B94" s="211"/>
      <c r="C94" s="212" t="s">
        <v>71</v>
      </c>
      <c r="D94" s="213" t="s">
        <v>92</v>
      </c>
      <c r="E94" s="214">
        <v>1</v>
      </c>
      <c r="F94" s="211"/>
      <c r="G94" s="211"/>
      <c r="H94" s="215"/>
      <c r="I94" s="22"/>
      <c r="J94" s="196"/>
      <c r="K94" s="96"/>
      <c r="L94" s="97"/>
      <c r="M94" s="98"/>
    </row>
    <row r="95" spans="1:14" ht="13.5" customHeight="1">
      <c r="C95" s="351"/>
      <c r="I95" s="22"/>
      <c r="J95" s="196"/>
      <c r="K95" s="96"/>
      <c r="L95" s="97"/>
      <c r="M95" s="98"/>
    </row>
    <row r="96" spans="1:14" ht="18" customHeight="1">
      <c r="A96" s="65"/>
      <c r="B96" s="66"/>
      <c r="C96" s="67" t="s">
        <v>117</v>
      </c>
      <c r="D96" s="68"/>
      <c r="E96" s="69"/>
      <c r="F96" s="70"/>
      <c r="G96" s="71">
        <f>SUM(G98:G130)</f>
        <v>0</v>
      </c>
      <c r="H96" s="72"/>
      <c r="I96" s="22"/>
      <c r="J96" s="180"/>
      <c r="K96" s="74">
        <f>SUM(K98:K130)</f>
        <v>571.96070357999997</v>
      </c>
      <c r="L96" s="73"/>
      <c r="M96" s="75">
        <f>SUM(M98:M130)</f>
        <v>0</v>
      </c>
      <c r="N96" s="75"/>
    </row>
    <row r="97" spans="1:28" ht="18" customHeight="1">
      <c r="A97" s="65"/>
      <c r="B97" s="66"/>
      <c r="C97" s="216" t="s">
        <v>118</v>
      </c>
      <c r="D97" s="94" t="s">
        <v>119</v>
      </c>
      <c r="E97" s="217">
        <f>62.8+68.5+26+14.9</f>
        <v>172.20000000000002</v>
      </c>
      <c r="F97" s="70"/>
      <c r="G97" s="179"/>
      <c r="H97" s="72"/>
      <c r="I97" s="22"/>
      <c r="J97" s="180"/>
      <c r="K97" s="74"/>
      <c r="L97" s="73"/>
      <c r="M97" s="75"/>
      <c r="N97" s="75"/>
    </row>
    <row r="98" spans="1:28" ht="24" customHeight="1">
      <c r="A98" s="76">
        <f>A91+1</f>
        <v>18</v>
      </c>
      <c r="B98" s="100">
        <v>564730112</v>
      </c>
      <c r="C98" s="336" t="s">
        <v>120</v>
      </c>
      <c r="D98" s="142" t="s">
        <v>74</v>
      </c>
      <c r="E98" s="143">
        <f>E97</f>
        <v>172.20000000000002</v>
      </c>
      <c r="F98" s="80"/>
      <c r="G98" s="81">
        <f>F98*E98</f>
        <v>0</v>
      </c>
      <c r="H98" s="82" t="s">
        <v>35</v>
      </c>
      <c r="I98" s="22"/>
      <c r="J98" s="184">
        <v>0.218</v>
      </c>
      <c r="K98" s="84">
        <f>J98*E98</f>
        <v>37.5396</v>
      </c>
      <c r="L98" s="85">
        <v>0</v>
      </c>
      <c r="M98" s="86">
        <f>L98*E98</f>
        <v>0</v>
      </c>
      <c r="N98" s="75"/>
    </row>
    <row r="99" spans="1:28" ht="24" customHeight="1">
      <c r="A99" s="76">
        <f>A98+1</f>
        <v>19</v>
      </c>
      <c r="B99" s="100">
        <v>564730011</v>
      </c>
      <c r="C99" s="336" t="s">
        <v>121</v>
      </c>
      <c r="D99" s="142" t="s">
        <v>74</v>
      </c>
      <c r="E99" s="143">
        <f>E98</f>
        <v>172.20000000000002</v>
      </c>
      <c r="F99" s="80"/>
      <c r="G99" s="81">
        <f>F99*E99</f>
        <v>0</v>
      </c>
      <c r="H99" s="82" t="s">
        <v>35</v>
      </c>
      <c r="I99" s="22"/>
      <c r="J99" s="184">
        <v>0.19900000000000001</v>
      </c>
      <c r="K99" s="84">
        <f>J99*E99</f>
        <v>34.267800000000008</v>
      </c>
      <c r="L99" s="85">
        <v>0</v>
      </c>
      <c r="M99" s="86">
        <f>L99*E99</f>
        <v>0</v>
      </c>
      <c r="N99" s="75"/>
    </row>
    <row r="100" spans="1:28" ht="37.5" customHeight="1">
      <c r="A100" s="76">
        <f>A99+1</f>
        <v>20</v>
      </c>
      <c r="B100" s="218">
        <v>591211111</v>
      </c>
      <c r="C100" s="352" t="s">
        <v>122</v>
      </c>
      <c r="D100" s="142" t="s">
        <v>74</v>
      </c>
      <c r="E100" s="143">
        <f>E98</f>
        <v>172.20000000000002</v>
      </c>
      <c r="F100" s="80"/>
      <c r="G100" s="81">
        <f>F100*E100</f>
        <v>0</v>
      </c>
      <c r="H100" s="82" t="s">
        <v>35</v>
      </c>
      <c r="I100" s="22"/>
      <c r="J100" s="184">
        <v>0.1837</v>
      </c>
      <c r="K100" s="84">
        <f>J100*E100</f>
        <v>31.633140000000004</v>
      </c>
      <c r="L100" s="85">
        <v>0</v>
      </c>
      <c r="M100" s="86">
        <f>L100*E100</f>
        <v>0</v>
      </c>
      <c r="N100" s="75"/>
    </row>
    <row r="101" spans="1:28" ht="18" customHeight="1">
      <c r="A101" s="76">
        <f>A100+1</f>
        <v>21</v>
      </c>
      <c r="B101" s="219">
        <v>58381010</v>
      </c>
      <c r="C101" s="353" t="s">
        <v>123</v>
      </c>
      <c r="D101" s="186" t="s">
        <v>124</v>
      </c>
      <c r="E101" s="220">
        <f>E99*1.02</f>
        <v>175.64400000000003</v>
      </c>
      <c r="F101" s="188"/>
      <c r="G101" s="189">
        <f>F101*E101</f>
        <v>0</v>
      </c>
      <c r="H101" s="82" t="s">
        <v>35</v>
      </c>
      <c r="I101" s="22"/>
      <c r="J101" s="184">
        <v>0.11799999999999999</v>
      </c>
      <c r="K101" s="84">
        <f>J101*E101</f>
        <v>20.725992000000002</v>
      </c>
      <c r="L101" s="85">
        <v>0</v>
      </c>
      <c r="M101" s="86">
        <f>L101*E101</f>
        <v>0</v>
      </c>
      <c r="N101" s="75"/>
    </row>
    <row r="102" spans="1:28" ht="18" customHeight="1">
      <c r="A102" s="65"/>
      <c r="B102" s="66"/>
      <c r="C102" s="221" t="s">
        <v>125</v>
      </c>
      <c r="D102" s="222" t="s">
        <v>119</v>
      </c>
      <c r="E102" s="223">
        <f>16+56.9+80.3</f>
        <v>153.19999999999999</v>
      </c>
      <c r="F102" s="70"/>
      <c r="G102" s="179"/>
      <c r="H102" s="72"/>
      <c r="I102" s="22"/>
      <c r="J102" s="224"/>
      <c r="K102" s="74"/>
      <c r="L102" s="73"/>
      <c r="M102" s="75"/>
      <c r="N102" s="75"/>
      <c r="AB102" s="225"/>
    </row>
    <row r="103" spans="1:28" ht="16.5" customHeight="1">
      <c r="A103" s="181">
        <f>A101+1</f>
        <v>22</v>
      </c>
      <c r="B103" s="100">
        <v>564801111</v>
      </c>
      <c r="C103" s="338" t="s">
        <v>126</v>
      </c>
      <c r="D103" s="142" t="s">
        <v>74</v>
      </c>
      <c r="E103" s="143">
        <f>E102</f>
        <v>153.19999999999999</v>
      </c>
      <c r="F103" s="80"/>
      <c r="G103" s="81">
        <f t="shared" ref="G103:G110" si="0">F103*E103</f>
        <v>0</v>
      </c>
      <c r="H103" s="82" t="s">
        <v>35</v>
      </c>
      <c r="I103" s="22"/>
      <c r="J103" s="184">
        <v>6.9000000000000006E-2</v>
      </c>
      <c r="K103" s="84">
        <f t="shared" ref="K103:K110" si="1">J103*E103</f>
        <v>10.5708</v>
      </c>
      <c r="L103" s="85">
        <v>0</v>
      </c>
      <c r="M103" s="86">
        <f t="shared" ref="M103:M110" si="2">L103*E103</f>
        <v>0</v>
      </c>
      <c r="AB103" s="225"/>
    </row>
    <row r="104" spans="1:28" ht="24.75" customHeight="1">
      <c r="A104" s="76">
        <f t="shared" ref="A104:A110" si="3">A103+1</f>
        <v>23</v>
      </c>
      <c r="B104" s="100">
        <v>564761111</v>
      </c>
      <c r="C104" s="338" t="s">
        <v>127</v>
      </c>
      <c r="D104" s="142" t="s">
        <v>74</v>
      </c>
      <c r="E104" s="143">
        <f>E103</f>
        <v>153.19999999999999</v>
      </c>
      <c r="F104" s="80"/>
      <c r="G104" s="81">
        <f t="shared" si="0"/>
        <v>0</v>
      </c>
      <c r="H104" s="82" t="s">
        <v>35</v>
      </c>
      <c r="I104" s="22"/>
      <c r="J104" s="184">
        <v>0.38700000000000001</v>
      </c>
      <c r="K104" s="84">
        <f t="shared" si="1"/>
        <v>59.288399999999996</v>
      </c>
      <c r="L104" s="85">
        <v>0</v>
      </c>
      <c r="M104" s="86">
        <f t="shared" si="2"/>
        <v>0</v>
      </c>
    </row>
    <row r="105" spans="1:28" ht="15">
      <c r="A105" s="76">
        <f t="shared" si="3"/>
        <v>24</v>
      </c>
      <c r="B105" s="226">
        <v>181912112</v>
      </c>
      <c r="C105" s="354" t="s">
        <v>128</v>
      </c>
      <c r="D105" s="142" t="s">
        <v>74</v>
      </c>
      <c r="E105" s="183">
        <f>E103</f>
        <v>153.19999999999999</v>
      </c>
      <c r="F105" s="80"/>
      <c r="G105" s="81">
        <f t="shared" si="0"/>
        <v>0</v>
      </c>
      <c r="H105" s="82" t="s">
        <v>35</v>
      </c>
      <c r="I105" s="22"/>
      <c r="J105" s="184">
        <v>0.46</v>
      </c>
      <c r="K105" s="84">
        <f t="shared" si="1"/>
        <v>70.471999999999994</v>
      </c>
      <c r="L105" s="85">
        <v>0</v>
      </c>
      <c r="M105" s="86">
        <f t="shared" si="2"/>
        <v>0</v>
      </c>
    </row>
    <row r="106" spans="1:28" ht="24" customHeight="1">
      <c r="A106" s="76">
        <f t="shared" si="3"/>
        <v>25</v>
      </c>
      <c r="B106" s="100">
        <v>631311235</v>
      </c>
      <c r="C106" s="336" t="s">
        <v>129</v>
      </c>
      <c r="D106" s="142" t="s">
        <v>49</v>
      </c>
      <c r="E106" s="143">
        <f>E102*0.17</f>
        <v>26.044</v>
      </c>
      <c r="F106" s="80"/>
      <c r="G106" s="81">
        <f t="shared" si="0"/>
        <v>0</v>
      </c>
      <c r="H106" s="82" t="s">
        <v>35</v>
      </c>
      <c r="I106" s="22"/>
      <c r="J106" s="184">
        <v>2.5018699999999998</v>
      </c>
      <c r="K106" s="84">
        <f t="shared" si="1"/>
        <v>65.15870228</v>
      </c>
      <c r="L106" s="85">
        <v>0</v>
      </c>
      <c r="M106" s="86">
        <f t="shared" si="2"/>
        <v>0</v>
      </c>
    </row>
    <row r="107" spans="1:28" ht="16.5" customHeight="1">
      <c r="A107" s="76">
        <f t="shared" si="3"/>
        <v>26</v>
      </c>
      <c r="B107" s="146">
        <v>633831115</v>
      </c>
      <c r="C107" s="355" t="s">
        <v>130</v>
      </c>
      <c r="D107" s="147" t="s">
        <v>74</v>
      </c>
      <c r="E107" s="143">
        <v>153.19999999999999</v>
      </c>
      <c r="F107" s="227"/>
      <c r="G107" s="81">
        <f t="shared" si="0"/>
        <v>0</v>
      </c>
      <c r="H107" s="82" t="s">
        <v>35</v>
      </c>
      <c r="I107" s="22"/>
      <c r="J107" s="184">
        <v>0.11700000000000001</v>
      </c>
      <c r="K107" s="84">
        <f t="shared" si="1"/>
        <v>17.924399999999999</v>
      </c>
      <c r="L107" s="85">
        <v>0</v>
      </c>
      <c r="M107" s="86">
        <f t="shared" si="2"/>
        <v>0</v>
      </c>
      <c r="N107" s="228"/>
    </row>
    <row r="108" spans="1:28" ht="24" customHeight="1">
      <c r="A108" s="229">
        <f t="shared" si="3"/>
        <v>27</v>
      </c>
      <c r="B108" s="230">
        <v>31319205</v>
      </c>
      <c r="C108" s="231" t="s">
        <v>131</v>
      </c>
      <c r="D108" s="232" t="s">
        <v>49</v>
      </c>
      <c r="E108" s="233">
        <f>E106</f>
        <v>26.044</v>
      </c>
      <c r="F108" s="234"/>
      <c r="G108" s="235">
        <f t="shared" si="0"/>
        <v>0</v>
      </c>
      <c r="H108" s="236" t="s">
        <v>35</v>
      </c>
      <c r="I108" s="237"/>
      <c r="J108" s="238">
        <v>3.5349999999999999E-2</v>
      </c>
      <c r="K108" s="239">
        <f t="shared" si="1"/>
        <v>0.92065540000000001</v>
      </c>
      <c r="L108" s="240">
        <v>0</v>
      </c>
      <c r="M108" s="241">
        <f t="shared" si="2"/>
        <v>0</v>
      </c>
    </row>
    <row r="109" spans="1:28" ht="16.5" customHeight="1">
      <c r="A109" s="76">
        <f t="shared" si="3"/>
        <v>28</v>
      </c>
      <c r="B109" s="100">
        <v>631351101</v>
      </c>
      <c r="C109" s="338" t="s">
        <v>132</v>
      </c>
      <c r="D109" s="142" t="s">
        <v>74</v>
      </c>
      <c r="E109" s="143">
        <f>106*0.17</f>
        <v>18.02</v>
      </c>
      <c r="F109" s="80"/>
      <c r="G109" s="81">
        <f t="shared" si="0"/>
        <v>0</v>
      </c>
      <c r="H109" s="82" t="s">
        <v>35</v>
      </c>
      <c r="I109" s="22"/>
      <c r="J109" s="184">
        <v>1.6070000000000001E-2</v>
      </c>
      <c r="K109" s="84">
        <f t="shared" si="1"/>
        <v>0.28958139999999999</v>
      </c>
      <c r="L109" s="85">
        <v>0</v>
      </c>
      <c r="M109" s="86">
        <f t="shared" si="2"/>
        <v>0</v>
      </c>
    </row>
    <row r="110" spans="1:28" ht="16.5" customHeight="1">
      <c r="A110" s="76">
        <f t="shared" si="3"/>
        <v>29</v>
      </c>
      <c r="B110" s="100">
        <v>631351102</v>
      </c>
      <c r="C110" s="338" t="s">
        <v>133</v>
      </c>
      <c r="D110" s="142" t="s">
        <v>74</v>
      </c>
      <c r="E110" s="143">
        <f>E109</f>
        <v>18.02</v>
      </c>
      <c r="F110" s="80"/>
      <c r="G110" s="81">
        <f t="shared" si="0"/>
        <v>0</v>
      </c>
      <c r="H110" s="82" t="s">
        <v>35</v>
      </c>
      <c r="I110" s="22"/>
      <c r="J110" s="184">
        <v>0</v>
      </c>
      <c r="K110" s="84">
        <f t="shared" si="1"/>
        <v>0</v>
      </c>
      <c r="L110" s="85">
        <v>0</v>
      </c>
      <c r="M110" s="86">
        <f t="shared" si="2"/>
        <v>0</v>
      </c>
    </row>
    <row r="111" spans="1:28" ht="49.15" customHeight="1">
      <c r="A111" s="131"/>
      <c r="B111" s="242"/>
      <c r="C111" s="356"/>
      <c r="D111" s="243"/>
      <c r="E111" s="244"/>
      <c r="F111" s="137"/>
      <c r="G111" s="138"/>
      <c r="H111" s="245"/>
      <c r="I111" s="22"/>
      <c r="J111" s="196"/>
      <c r="K111" s="96"/>
      <c r="L111" s="97"/>
      <c r="M111" s="98"/>
    </row>
    <row r="112" spans="1:28" ht="18.600000000000001" customHeight="1">
      <c r="A112" s="131"/>
      <c r="B112" s="246"/>
      <c r="C112" s="357" t="s">
        <v>134</v>
      </c>
      <c r="D112" s="222" t="s">
        <v>119</v>
      </c>
      <c r="E112" s="247">
        <f>33.65+9.4+57.7</f>
        <v>100.75</v>
      </c>
      <c r="F112" s="137"/>
      <c r="G112" s="138"/>
      <c r="H112" s="245"/>
      <c r="I112" s="22"/>
      <c r="J112" s="196"/>
      <c r="K112" s="96"/>
      <c r="L112" s="97"/>
      <c r="M112" s="98"/>
    </row>
    <row r="113" spans="1:13" ht="25.5" customHeight="1">
      <c r="A113" s="76">
        <f>A110+1</f>
        <v>30</v>
      </c>
      <c r="B113" s="100">
        <v>564762111</v>
      </c>
      <c r="C113" s="336" t="s">
        <v>135</v>
      </c>
      <c r="D113" s="142" t="s">
        <v>74</v>
      </c>
      <c r="E113" s="124">
        <f>E112</f>
        <v>100.75</v>
      </c>
      <c r="F113" s="80"/>
      <c r="G113" s="81">
        <f>F113*E113</f>
        <v>0</v>
      </c>
      <c r="H113" s="82" t="s">
        <v>35</v>
      </c>
      <c r="I113" s="22"/>
      <c r="J113" s="184">
        <v>0.48574000000000001</v>
      </c>
      <c r="K113" s="84">
        <f>J113*E113</f>
        <v>48.938305</v>
      </c>
      <c r="L113" s="85">
        <v>0</v>
      </c>
      <c r="M113" s="86">
        <f>L113*E113</f>
        <v>0</v>
      </c>
    </row>
    <row r="114" spans="1:13" ht="24.75" customHeight="1">
      <c r="A114" s="76">
        <f>A113+1</f>
        <v>31</v>
      </c>
      <c r="B114" s="336" t="s">
        <v>136</v>
      </c>
      <c r="C114" s="354" t="s">
        <v>311</v>
      </c>
      <c r="D114" s="142" t="s">
        <v>74</v>
      </c>
      <c r="E114" s="183">
        <f>E113</f>
        <v>100.75</v>
      </c>
      <c r="F114" s="80"/>
      <c r="G114" s="81">
        <f>F114*E114</f>
        <v>0</v>
      </c>
      <c r="H114" s="236" t="s">
        <v>89</v>
      </c>
      <c r="I114" s="22"/>
      <c r="J114" s="184">
        <f>2.171*0.04</f>
        <v>8.6840000000000001E-2</v>
      </c>
      <c r="K114" s="84">
        <f>J114*E114</f>
        <v>8.7491299999999992</v>
      </c>
      <c r="L114" s="85">
        <v>0</v>
      </c>
      <c r="M114" s="86">
        <f>L114*E114</f>
        <v>0</v>
      </c>
    </row>
    <row r="115" spans="1:13" ht="27" customHeight="1">
      <c r="A115" s="76">
        <f>A114+1</f>
        <v>32</v>
      </c>
      <c r="B115" s="336" t="s">
        <v>137</v>
      </c>
      <c r="C115" s="354" t="s">
        <v>312</v>
      </c>
      <c r="D115" s="142" t="s">
        <v>74</v>
      </c>
      <c r="E115" s="183">
        <f>E113</f>
        <v>100.75</v>
      </c>
      <c r="F115" s="80"/>
      <c r="G115" s="81">
        <f>F115*E115</f>
        <v>0</v>
      </c>
      <c r="H115" s="236" t="s">
        <v>89</v>
      </c>
      <c r="I115" s="22"/>
      <c r="J115" s="184">
        <f>2.171*0.06</f>
        <v>0.13025999999999999</v>
      </c>
      <c r="K115" s="84">
        <f>J115*E115</f>
        <v>13.123694999999998</v>
      </c>
      <c r="L115" s="85">
        <v>0</v>
      </c>
      <c r="M115" s="86">
        <f>L115*E115</f>
        <v>0</v>
      </c>
    </row>
    <row r="116" spans="1:13" ht="16.5" customHeight="1">
      <c r="A116" s="76">
        <f>A115+1</f>
        <v>33</v>
      </c>
      <c r="B116" s="100">
        <v>919726123</v>
      </c>
      <c r="C116" s="336" t="s">
        <v>138</v>
      </c>
      <c r="D116" s="142" t="s">
        <v>74</v>
      </c>
      <c r="E116" s="183">
        <f>E115</f>
        <v>100.75</v>
      </c>
      <c r="F116" s="80"/>
      <c r="G116" s="81">
        <f>F116*E116</f>
        <v>0</v>
      </c>
      <c r="H116" s="82" t="s">
        <v>35</v>
      </c>
      <c r="I116" s="22"/>
      <c r="J116" s="184">
        <v>6.8999999999999997E-4</v>
      </c>
      <c r="K116" s="84">
        <f>J116*E116</f>
        <v>6.9517499999999996E-2</v>
      </c>
      <c r="L116" s="85">
        <v>0</v>
      </c>
      <c r="M116" s="86">
        <f>L116*E116</f>
        <v>0</v>
      </c>
    </row>
    <row r="117" spans="1:13" ht="15">
      <c r="A117" s="76">
        <f>A116+1</f>
        <v>34</v>
      </c>
      <c r="B117" s="226">
        <v>181912112</v>
      </c>
      <c r="C117" s="354" t="s">
        <v>128</v>
      </c>
      <c r="D117" s="142" t="s">
        <v>74</v>
      </c>
      <c r="E117" s="183">
        <f>E113</f>
        <v>100.75</v>
      </c>
      <c r="F117" s="80"/>
      <c r="G117" s="81">
        <f>F117*E117</f>
        <v>0</v>
      </c>
      <c r="H117" s="82" t="s">
        <v>35</v>
      </c>
      <c r="I117" s="22"/>
      <c r="J117" s="184">
        <v>0.46</v>
      </c>
      <c r="K117" s="84">
        <f>J117*E117</f>
        <v>46.344999999999999</v>
      </c>
      <c r="L117" s="85">
        <v>0</v>
      </c>
      <c r="M117" s="86">
        <f>L117*E117</f>
        <v>0</v>
      </c>
    </row>
    <row r="118" spans="1:13" ht="16.5" customHeight="1">
      <c r="A118" s="131"/>
      <c r="B118" s="134"/>
      <c r="C118" s="248" t="s">
        <v>139</v>
      </c>
      <c r="D118" s="222" t="s">
        <v>119</v>
      </c>
      <c r="E118" s="247">
        <v>175.7</v>
      </c>
      <c r="F118" s="137"/>
      <c r="G118" s="138"/>
      <c r="H118" s="245"/>
      <c r="I118" s="22"/>
      <c r="J118" s="238"/>
      <c r="K118" s="84"/>
      <c r="L118" s="85"/>
      <c r="M118" s="86"/>
    </row>
    <row r="119" spans="1:13" ht="24">
      <c r="A119" s="76">
        <f>A117+1</f>
        <v>35</v>
      </c>
      <c r="B119" s="100">
        <v>213311141</v>
      </c>
      <c r="C119" s="336" t="s">
        <v>140</v>
      </c>
      <c r="D119" s="142" t="s">
        <v>49</v>
      </c>
      <c r="E119" s="183">
        <f>E120</f>
        <v>21.524999999999999</v>
      </c>
      <c r="F119" s="80"/>
      <c r="G119" s="81">
        <f>F119*E119</f>
        <v>0</v>
      </c>
      <c r="H119" s="82" t="s">
        <v>35</v>
      </c>
      <c r="I119" s="22"/>
      <c r="J119" s="184">
        <v>2.16</v>
      </c>
      <c r="K119" s="84">
        <f>J119*E119</f>
        <v>46.494</v>
      </c>
      <c r="L119" s="85">
        <v>0</v>
      </c>
      <c r="M119" s="86">
        <f>L119*E119</f>
        <v>0</v>
      </c>
    </row>
    <row r="120" spans="1:13" ht="15">
      <c r="A120" s="181"/>
      <c r="B120" s="249"/>
      <c r="C120" s="358" t="s">
        <v>141</v>
      </c>
      <c r="D120" s="250" t="s">
        <v>142</v>
      </c>
      <c r="E120" s="251">
        <f>61.5*0.35</f>
        <v>21.524999999999999</v>
      </c>
      <c r="F120" s="164"/>
      <c r="G120" s="252"/>
      <c r="H120" s="253"/>
      <c r="I120" s="22"/>
      <c r="J120" s="254"/>
      <c r="K120" s="255"/>
      <c r="L120" s="256"/>
      <c r="M120" s="257"/>
    </row>
    <row r="121" spans="1:13" ht="15">
      <c r="A121" s="76">
        <f>A119+1</f>
        <v>36</v>
      </c>
      <c r="B121" s="230">
        <v>919726121</v>
      </c>
      <c r="C121" s="230" t="s">
        <v>143</v>
      </c>
      <c r="D121" s="142" t="s">
        <v>74</v>
      </c>
      <c r="E121" s="183">
        <f>61.5</f>
        <v>61.5</v>
      </c>
      <c r="F121" s="80"/>
      <c r="G121" s="81">
        <f>F121*E121</f>
        <v>0</v>
      </c>
      <c r="H121" s="82" t="s">
        <v>35</v>
      </c>
      <c r="I121" s="22"/>
      <c r="J121" s="184">
        <v>3.6000000000000002E-4</v>
      </c>
      <c r="K121" s="84">
        <f>J121*E121</f>
        <v>2.214E-2</v>
      </c>
      <c r="L121" s="85">
        <v>0</v>
      </c>
      <c r="M121" s="86">
        <f>L121*E121</f>
        <v>0</v>
      </c>
    </row>
    <row r="122" spans="1:13" ht="24">
      <c r="A122" s="76">
        <f>A121+1</f>
        <v>37</v>
      </c>
      <c r="B122" s="226">
        <v>564861011</v>
      </c>
      <c r="C122" s="354" t="s">
        <v>144</v>
      </c>
      <c r="D122" s="142" t="s">
        <v>74</v>
      </c>
      <c r="E122" s="183">
        <f>61.5</f>
        <v>61.5</v>
      </c>
      <c r="F122" s="80"/>
      <c r="G122" s="81">
        <f>F122*E122</f>
        <v>0</v>
      </c>
      <c r="H122" s="82" t="s">
        <v>35</v>
      </c>
      <c r="I122" s="22"/>
      <c r="J122" s="184">
        <v>0.46</v>
      </c>
      <c r="K122" s="84">
        <f>J122*E122</f>
        <v>28.290000000000003</v>
      </c>
      <c r="L122" s="85">
        <v>0</v>
      </c>
      <c r="M122" s="86">
        <f>L122*E122</f>
        <v>0</v>
      </c>
    </row>
    <row r="123" spans="1:13" ht="15">
      <c r="A123" s="76">
        <f>A122+1</f>
        <v>38</v>
      </c>
      <c r="B123" s="226">
        <v>181912112</v>
      </c>
      <c r="C123" s="354" t="s">
        <v>128</v>
      </c>
      <c r="D123" s="142" t="s">
        <v>74</v>
      </c>
      <c r="E123" s="183">
        <f>61.5</f>
        <v>61.5</v>
      </c>
      <c r="F123" s="80"/>
      <c r="G123" s="81">
        <f>F123*E123</f>
        <v>0</v>
      </c>
      <c r="H123" s="82" t="s">
        <v>35</v>
      </c>
      <c r="I123" s="22"/>
      <c r="J123" s="184">
        <v>0.46</v>
      </c>
      <c r="K123" s="84">
        <f>J123*E123</f>
        <v>28.290000000000003</v>
      </c>
      <c r="L123" s="85">
        <v>0</v>
      </c>
      <c r="M123" s="86">
        <f>L123*E123</f>
        <v>0</v>
      </c>
    </row>
    <row r="124" spans="1:13" ht="21" customHeight="1">
      <c r="A124" s="131"/>
      <c r="B124" s="134"/>
      <c r="C124" s="258" t="s">
        <v>145</v>
      </c>
      <c r="D124" s="259"/>
      <c r="E124" s="260"/>
      <c r="F124" s="137"/>
      <c r="G124" s="138"/>
      <c r="H124" s="245"/>
      <c r="I124" s="22"/>
      <c r="J124" s="238"/>
      <c r="K124" s="84"/>
      <c r="L124" s="85"/>
      <c r="M124" s="86"/>
    </row>
    <row r="125" spans="1:13" ht="39.75" customHeight="1">
      <c r="A125" s="76">
        <f>A123+1</f>
        <v>39</v>
      </c>
      <c r="B125" s="219" t="s">
        <v>146</v>
      </c>
      <c r="C125" s="359" t="s">
        <v>147</v>
      </c>
      <c r="D125" s="186" t="s">
        <v>148</v>
      </c>
      <c r="E125" s="261">
        <v>211.2</v>
      </c>
      <c r="F125" s="188"/>
      <c r="G125" s="189">
        <f t="shared" ref="G125:G130" si="4">F125*E125</f>
        <v>0</v>
      </c>
      <c r="H125" s="236" t="s">
        <v>89</v>
      </c>
      <c r="I125" s="22"/>
      <c r="J125" s="184">
        <f>0.00895</f>
        <v>8.9499999999999996E-3</v>
      </c>
      <c r="K125" s="84">
        <f t="shared" ref="K125:K130" si="5">J125*E125</f>
        <v>1.8902399999999999</v>
      </c>
      <c r="L125" s="85">
        <v>0</v>
      </c>
      <c r="M125" s="86">
        <f t="shared" ref="M125:M130" si="6">L125*E125</f>
        <v>0</v>
      </c>
    </row>
    <row r="126" spans="1:13" ht="27" customHeight="1">
      <c r="A126" s="76">
        <f>A125+1</f>
        <v>40</v>
      </c>
      <c r="B126" s="218" t="s">
        <v>149</v>
      </c>
      <c r="C126" s="350" t="s">
        <v>150</v>
      </c>
      <c r="D126" s="262" t="s">
        <v>148</v>
      </c>
      <c r="E126" s="263">
        <v>211.2</v>
      </c>
      <c r="F126" s="80"/>
      <c r="G126" s="81">
        <f t="shared" si="4"/>
        <v>0</v>
      </c>
      <c r="H126" s="236" t="s">
        <v>89</v>
      </c>
      <c r="I126" s="22"/>
      <c r="J126" s="184">
        <v>0</v>
      </c>
      <c r="K126" s="84">
        <f t="shared" si="5"/>
        <v>0</v>
      </c>
      <c r="L126" s="85">
        <v>0</v>
      </c>
      <c r="M126" s="86">
        <f t="shared" si="6"/>
        <v>0</v>
      </c>
    </row>
    <row r="127" spans="1:13" ht="24" customHeight="1">
      <c r="A127" s="76">
        <f>A126+1</f>
        <v>41</v>
      </c>
      <c r="B127" s="218" t="s">
        <v>151</v>
      </c>
      <c r="C127" s="350" t="s">
        <v>152</v>
      </c>
      <c r="D127" s="262" t="s">
        <v>92</v>
      </c>
      <c r="E127" s="263">
        <v>15</v>
      </c>
      <c r="F127" s="80"/>
      <c r="G127" s="81">
        <f t="shared" si="4"/>
        <v>0</v>
      </c>
      <c r="H127" s="236" t="s">
        <v>89</v>
      </c>
      <c r="I127" s="22"/>
      <c r="J127" s="184">
        <v>1E-3</v>
      </c>
      <c r="K127" s="84">
        <f t="shared" si="5"/>
        <v>1.4999999999999999E-2</v>
      </c>
      <c r="L127" s="85">
        <v>0</v>
      </c>
      <c r="M127" s="86">
        <f t="shared" si="6"/>
        <v>0</v>
      </c>
    </row>
    <row r="128" spans="1:13" ht="25.5" customHeight="1">
      <c r="A128" s="76">
        <f>A127+1</f>
        <v>42</v>
      </c>
      <c r="B128" s="218" t="s">
        <v>153</v>
      </c>
      <c r="C128" s="350" t="s">
        <v>154</v>
      </c>
      <c r="D128" s="262" t="s">
        <v>92</v>
      </c>
      <c r="E128" s="263">
        <v>19.2</v>
      </c>
      <c r="F128" s="80"/>
      <c r="G128" s="81">
        <f t="shared" si="4"/>
        <v>0</v>
      </c>
      <c r="H128" s="236" t="s">
        <v>89</v>
      </c>
      <c r="I128" s="22"/>
      <c r="J128" s="184">
        <f>0.07*0.3*0.55+0.001*2</f>
        <v>1.3550000000000001E-2</v>
      </c>
      <c r="K128" s="84">
        <f t="shared" si="5"/>
        <v>0.26016</v>
      </c>
      <c r="L128" s="85">
        <v>0</v>
      </c>
      <c r="M128" s="86">
        <f t="shared" si="6"/>
        <v>0</v>
      </c>
    </row>
    <row r="129" spans="1:17" ht="33.75" customHeight="1">
      <c r="A129" s="76">
        <f>A128+1</f>
        <v>43</v>
      </c>
      <c r="B129" s="218" t="s">
        <v>155</v>
      </c>
      <c r="C129" s="350" t="s">
        <v>156</v>
      </c>
      <c r="D129" s="262" t="s">
        <v>92</v>
      </c>
      <c r="E129" s="263">
        <v>15.2</v>
      </c>
      <c r="F129" s="80"/>
      <c r="G129" s="81">
        <f t="shared" si="4"/>
        <v>0</v>
      </c>
      <c r="H129" s="236" t="s">
        <v>89</v>
      </c>
      <c r="I129" s="22"/>
      <c r="J129" s="184">
        <f>0.07*0.3*0.55+0.001*2*2</f>
        <v>1.5550000000000001E-2</v>
      </c>
      <c r="K129" s="84">
        <f t="shared" si="5"/>
        <v>0.23636000000000001</v>
      </c>
      <c r="L129" s="85">
        <v>0</v>
      </c>
      <c r="M129" s="86">
        <f t="shared" si="6"/>
        <v>0</v>
      </c>
    </row>
    <row r="130" spans="1:17" ht="24">
      <c r="A130" s="76">
        <f>A129+1</f>
        <v>44</v>
      </c>
      <c r="B130" s="218" t="s">
        <v>157</v>
      </c>
      <c r="C130" s="350" t="s">
        <v>158</v>
      </c>
      <c r="D130" s="262" t="s">
        <v>92</v>
      </c>
      <c r="E130" s="263">
        <v>20.7</v>
      </c>
      <c r="F130" s="80"/>
      <c r="G130" s="81">
        <f t="shared" si="4"/>
        <v>0</v>
      </c>
      <c r="H130" s="236" t="s">
        <v>89</v>
      </c>
      <c r="I130" s="22"/>
      <c r="J130" s="184">
        <f>0.07*0.3*0.55+0.005*2</f>
        <v>2.155E-2</v>
      </c>
      <c r="K130" s="84">
        <f t="shared" si="5"/>
        <v>0.44608499999999995</v>
      </c>
      <c r="L130" s="85">
        <v>0</v>
      </c>
      <c r="M130" s="86">
        <f t="shared" si="6"/>
        <v>0</v>
      </c>
    </row>
    <row r="131" spans="1:17" ht="32.450000000000003" customHeight="1">
      <c r="A131" s="131"/>
      <c r="B131" s="264"/>
      <c r="C131" s="131"/>
      <c r="D131" s="131"/>
      <c r="E131" s="131"/>
      <c r="F131" s="131"/>
      <c r="G131" s="131"/>
      <c r="H131" s="131"/>
      <c r="I131" s="131"/>
      <c r="J131" s="265"/>
      <c r="K131" s="131"/>
      <c r="L131" s="131"/>
      <c r="M131" s="131"/>
      <c r="N131" s="131"/>
    </row>
    <row r="132" spans="1:17" ht="19.899999999999999" customHeight="1">
      <c r="A132" s="65"/>
      <c r="B132" s="66"/>
      <c r="C132" s="67" t="s">
        <v>159</v>
      </c>
      <c r="D132" s="68"/>
      <c r="E132" s="69"/>
      <c r="F132" s="70"/>
      <c r="G132" s="179">
        <f>SUM(G133:G157)</f>
        <v>0</v>
      </c>
      <c r="H132" s="72"/>
      <c r="I132" s="22"/>
      <c r="J132" s="180"/>
      <c r="K132" s="74">
        <f>SUM(K133:K157)</f>
        <v>0</v>
      </c>
      <c r="L132" s="73"/>
      <c r="M132" s="75">
        <f>SUM(M133:M149)</f>
        <v>376.70249999999999</v>
      </c>
      <c r="N132" s="75"/>
      <c r="O132" s="266"/>
      <c r="P132" s="266"/>
    </row>
    <row r="133" spans="1:17" ht="36" customHeight="1">
      <c r="A133" s="181">
        <f>A130+1</f>
        <v>45</v>
      </c>
      <c r="B133" s="100">
        <v>113107181</v>
      </c>
      <c r="C133" s="338" t="s">
        <v>160</v>
      </c>
      <c r="D133" s="142" t="s">
        <v>74</v>
      </c>
      <c r="E133" s="174">
        <v>332</v>
      </c>
      <c r="F133" s="80"/>
      <c r="G133" s="81">
        <f t="shared" ref="G133:G143" si="7">F133*E133</f>
        <v>0</v>
      </c>
      <c r="H133" s="82" t="s">
        <v>35</v>
      </c>
      <c r="I133" s="22"/>
      <c r="J133" s="184"/>
      <c r="K133" s="84">
        <f t="shared" ref="K133:K143" si="8">J133*E133</f>
        <v>0</v>
      </c>
      <c r="L133" s="85">
        <v>9.8000000000000004E-2</v>
      </c>
      <c r="M133" s="86">
        <f t="shared" ref="M133:M143" si="9">L133*E133</f>
        <v>32.536000000000001</v>
      </c>
      <c r="N133" s="266"/>
      <c r="O133" s="330">
        <f>M133</f>
        <v>32.536000000000001</v>
      </c>
      <c r="P133" s="266"/>
    </row>
    <row r="134" spans="1:17" ht="36" customHeight="1">
      <c r="A134" s="76">
        <f t="shared" ref="A134:A143" si="10">A133+1</f>
        <v>46</v>
      </c>
      <c r="B134" s="100">
        <v>113107170</v>
      </c>
      <c r="C134" s="338" t="s">
        <v>161</v>
      </c>
      <c r="D134" s="142" t="s">
        <v>74</v>
      </c>
      <c r="E134" s="174">
        <f>332+94.3</f>
        <v>426.3</v>
      </c>
      <c r="F134" s="80"/>
      <c r="G134" s="81">
        <f t="shared" si="7"/>
        <v>0</v>
      </c>
      <c r="H134" s="82" t="s">
        <v>35</v>
      </c>
      <c r="I134" s="22"/>
      <c r="J134" s="184"/>
      <c r="K134" s="84">
        <f t="shared" si="8"/>
        <v>0</v>
      </c>
      <c r="L134" s="85">
        <v>0.24</v>
      </c>
      <c r="M134" s="86">
        <f t="shared" si="9"/>
        <v>102.312</v>
      </c>
      <c r="N134" s="330">
        <f>M134</f>
        <v>102.312</v>
      </c>
      <c r="O134" s="266"/>
      <c r="P134" s="267"/>
    </row>
    <row r="135" spans="1:17" ht="16.5" customHeight="1">
      <c r="A135" s="76">
        <f t="shared" si="10"/>
        <v>47</v>
      </c>
      <c r="B135" s="100">
        <v>113106144</v>
      </c>
      <c r="C135" s="338" t="s">
        <v>162</v>
      </c>
      <c r="D135" s="142" t="s">
        <v>74</v>
      </c>
      <c r="E135" s="174">
        <v>120</v>
      </c>
      <c r="F135" s="80"/>
      <c r="G135" s="81">
        <f t="shared" si="7"/>
        <v>0</v>
      </c>
      <c r="H135" s="82" t="s">
        <v>35</v>
      </c>
      <c r="I135" s="22"/>
      <c r="J135" s="184"/>
      <c r="K135" s="84">
        <f t="shared" si="8"/>
        <v>0</v>
      </c>
      <c r="L135" s="85">
        <v>0.26</v>
      </c>
      <c r="M135" s="86">
        <f t="shared" si="9"/>
        <v>31.200000000000003</v>
      </c>
      <c r="N135" s="330">
        <f>M135</f>
        <v>31.200000000000003</v>
      </c>
      <c r="O135" s="266"/>
      <c r="P135" s="266"/>
    </row>
    <row r="136" spans="1:17" ht="16.5" customHeight="1">
      <c r="A136" s="76">
        <f t="shared" si="10"/>
        <v>48</v>
      </c>
      <c r="B136" s="100">
        <v>113107161</v>
      </c>
      <c r="C136" s="338" t="s">
        <v>163</v>
      </c>
      <c r="D136" s="142" t="s">
        <v>74</v>
      </c>
      <c r="E136" s="174">
        <v>120</v>
      </c>
      <c r="F136" s="80"/>
      <c r="G136" s="81">
        <f t="shared" si="7"/>
        <v>0</v>
      </c>
      <c r="H136" s="82" t="s">
        <v>35</v>
      </c>
      <c r="I136" s="22"/>
      <c r="J136" s="184"/>
      <c r="K136" s="84">
        <f t="shared" si="8"/>
        <v>0</v>
      </c>
      <c r="L136" s="85">
        <v>0.17</v>
      </c>
      <c r="M136" s="86">
        <f t="shared" si="9"/>
        <v>20.400000000000002</v>
      </c>
      <c r="N136" s="266"/>
      <c r="O136" s="266"/>
      <c r="P136" s="330">
        <f>M136</f>
        <v>20.400000000000002</v>
      </c>
    </row>
    <row r="137" spans="1:17" ht="16.5" customHeight="1">
      <c r="A137" s="76">
        <f t="shared" si="10"/>
        <v>49</v>
      </c>
      <c r="B137" s="100">
        <v>113107332</v>
      </c>
      <c r="C137" s="338" t="s">
        <v>164</v>
      </c>
      <c r="D137" s="142" t="s">
        <v>74</v>
      </c>
      <c r="E137" s="174">
        <v>44.9</v>
      </c>
      <c r="F137" s="80"/>
      <c r="G137" s="81">
        <f t="shared" si="7"/>
        <v>0</v>
      </c>
      <c r="H137" s="82" t="s">
        <v>35</v>
      </c>
      <c r="I137" s="22"/>
      <c r="J137" s="184"/>
      <c r="K137" s="84">
        <f t="shared" si="8"/>
        <v>0</v>
      </c>
      <c r="L137" s="85">
        <v>0.625</v>
      </c>
      <c r="M137" s="86">
        <f t="shared" si="9"/>
        <v>28.0625</v>
      </c>
      <c r="N137" s="330">
        <f>M137</f>
        <v>28.0625</v>
      </c>
      <c r="O137" s="266"/>
      <c r="P137" s="266"/>
    </row>
    <row r="138" spans="1:17" ht="36" customHeight="1">
      <c r="A138" s="76">
        <f t="shared" si="10"/>
        <v>50</v>
      </c>
      <c r="B138" s="100">
        <v>113107333</v>
      </c>
      <c r="C138" s="338" t="s">
        <v>165</v>
      </c>
      <c r="D138" s="142" t="s">
        <v>74</v>
      </c>
      <c r="E138" s="174">
        <v>23.9</v>
      </c>
      <c r="F138" s="80"/>
      <c r="G138" s="81">
        <f t="shared" si="7"/>
        <v>0</v>
      </c>
      <c r="H138" s="82" t="s">
        <v>35</v>
      </c>
      <c r="I138" s="22"/>
      <c r="J138" s="184"/>
      <c r="K138" s="84">
        <f t="shared" si="8"/>
        <v>0</v>
      </c>
      <c r="L138" s="85">
        <v>0.93</v>
      </c>
      <c r="M138" s="86">
        <f t="shared" si="9"/>
        <v>22.227</v>
      </c>
      <c r="N138" s="330">
        <f>M138</f>
        <v>22.227</v>
      </c>
      <c r="O138" s="266"/>
      <c r="P138" s="266"/>
    </row>
    <row r="139" spans="1:17" ht="27" customHeight="1">
      <c r="A139" s="76">
        <f t="shared" si="10"/>
        <v>51</v>
      </c>
      <c r="B139" s="100">
        <v>113107153</v>
      </c>
      <c r="C139" s="338" t="s">
        <v>166</v>
      </c>
      <c r="D139" s="142" t="s">
        <v>74</v>
      </c>
      <c r="E139" s="174">
        <v>94.3</v>
      </c>
      <c r="F139" s="80"/>
      <c r="G139" s="81">
        <f t="shared" si="7"/>
        <v>0</v>
      </c>
      <c r="H139" s="82" t="s">
        <v>35</v>
      </c>
      <c r="I139" s="22"/>
      <c r="J139" s="184"/>
      <c r="K139" s="84">
        <f t="shared" si="8"/>
        <v>0</v>
      </c>
      <c r="L139" s="85">
        <v>0.93</v>
      </c>
      <c r="M139" s="86">
        <f t="shared" si="9"/>
        <v>87.698999999999998</v>
      </c>
      <c r="N139" s="266"/>
      <c r="O139" s="266"/>
      <c r="P139" s="330">
        <f>M139</f>
        <v>87.698999999999998</v>
      </c>
    </row>
    <row r="140" spans="1:17" ht="16.5" customHeight="1">
      <c r="A140" s="76">
        <f t="shared" si="10"/>
        <v>52</v>
      </c>
      <c r="B140" s="100">
        <v>113107312</v>
      </c>
      <c r="C140" s="338" t="s">
        <v>167</v>
      </c>
      <c r="D140" s="142" t="s">
        <v>74</v>
      </c>
      <c r="E140" s="174">
        <v>15.6</v>
      </c>
      <c r="F140" s="80"/>
      <c r="G140" s="81">
        <f t="shared" si="7"/>
        <v>0</v>
      </c>
      <c r="H140" s="82" t="s">
        <v>35</v>
      </c>
      <c r="I140" s="22"/>
      <c r="J140" s="184"/>
      <c r="K140" s="84">
        <f t="shared" si="8"/>
        <v>0</v>
      </c>
      <c r="L140" s="85">
        <v>0.3</v>
      </c>
      <c r="M140" s="86">
        <f t="shared" si="9"/>
        <v>4.68</v>
      </c>
      <c r="N140" s="266"/>
      <c r="O140" s="266"/>
      <c r="P140" s="330">
        <f>M140</f>
        <v>4.68</v>
      </c>
    </row>
    <row r="141" spans="1:17" ht="24.75" customHeight="1">
      <c r="A141" s="76">
        <f t="shared" si="10"/>
        <v>53</v>
      </c>
      <c r="B141" s="100">
        <v>113106132</v>
      </c>
      <c r="C141" s="338" t="s">
        <v>168</v>
      </c>
      <c r="D141" s="142" t="s">
        <v>74</v>
      </c>
      <c r="E141" s="174">
        <v>15.6</v>
      </c>
      <c r="F141" s="80"/>
      <c r="G141" s="81">
        <f t="shared" si="7"/>
        <v>0</v>
      </c>
      <c r="H141" s="82" t="s">
        <v>35</v>
      </c>
      <c r="I141" s="22"/>
      <c r="J141" s="184"/>
      <c r="K141" s="84">
        <f t="shared" si="8"/>
        <v>0</v>
      </c>
      <c r="L141" s="85">
        <v>0.255</v>
      </c>
      <c r="M141" s="86">
        <f t="shared" si="9"/>
        <v>3.9779999999999998</v>
      </c>
      <c r="N141" s="330">
        <f>M141</f>
        <v>3.9779999999999998</v>
      </c>
      <c r="O141" s="266"/>
      <c r="P141" s="266"/>
    </row>
    <row r="142" spans="1:17" ht="24">
      <c r="A142" s="76">
        <f t="shared" si="10"/>
        <v>54</v>
      </c>
      <c r="B142" s="100">
        <v>966003818</v>
      </c>
      <c r="C142" s="338" t="s">
        <v>169</v>
      </c>
      <c r="D142" s="142" t="s">
        <v>87</v>
      </c>
      <c r="E142" s="174">
        <v>50</v>
      </c>
      <c r="F142" s="80"/>
      <c r="G142" s="81">
        <f t="shared" si="7"/>
        <v>0</v>
      </c>
      <c r="H142" s="82" t="s">
        <v>35</v>
      </c>
      <c r="I142" s="22"/>
      <c r="J142" s="184"/>
      <c r="K142" s="84">
        <f t="shared" si="8"/>
        <v>0</v>
      </c>
      <c r="L142" s="85">
        <v>0.06</v>
      </c>
      <c r="M142" s="86">
        <f t="shared" si="9"/>
        <v>3</v>
      </c>
      <c r="N142" s="266"/>
      <c r="O142" s="266"/>
      <c r="P142" s="266"/>
      <c r="Q142" s="331">
        <f>M142</f>
        <v>3</v>
      </c>
    </row>
    <row r="143" spans="1:17" ht="16.5" customHeight="1">
      <c r="A143" s="76">
        <f t="shared" si="10"/>
        <v>55</v>
      </c>
      <c r="B143" s="100">
        <v>961044111</v>
      </c>
      <c r="C143" s="338" t="s">
        <v>170</v>
      </c>
      <c r="D143" s="142" t="s">
        <v>49</v>
      </c>
      <c r="E143" s="174">
        <f>50*0.3*0.8</f>
        <v>12</v>
      </c>
      <c r="F143" s="80"/>
      <c r="G143" s="81">
        <f t="shared" si="7"/>
        <v>0</v>
      </c>
      <c r="H143" s="82" t="s">
        <v>35</v>
      </c>
      <c r="I143" s="22"/>
      <c r="J143" s="184"/>
      <c r="K143" s="84">
        <f t="shared" si="8"/>
        <v>0</v>
      </c>
      <c r="L143" s="85">
        <v>2</v>
      </c>
      <c r="M143" s="86">
        <f t="shared" si="9"/>
        <v>24</v>
      </c>
      <c r="N143" s="330">
        <f>M143</f>
        <v>24</v>
      </c>
      <c r="O143" s="266"/>
      <c r="P143" s="266"/>
      <c r="Q143" s="332"/>
    </row>
    <row r="144" spans="1:17" ht="16.5" customHeight="1">
      <c r="B144" s="230"/>
      <c r="C144" s="268" t="s">
        <v>171</v>
      </c>
      <c r="D144" s="232"/>
      <c r="E144" s="269"/>
      <c r="F144" s="234"/>
      <c r="G144" s="235"/>
      <c r="H144" s="245"/>
      <c r="I144" s="22"/>
      <c r="J144" s="196"/>
      <c r="K144" s="96"/>
      <c r="L144" s="97"/>
      <c r="M144" s="98"/>
      <c r="N144" s="266"/>
      <c r="O144" s="266"/>
      <c r="P144" s="266"/>
      <c r="Q144" s="332"/>
    </row>
    <row r="145" spans="1:18" ht="16.5" customHeight="1">
      <c r="A145" s="76">
        <f>A143+1</f>
        <v>56</v>
      </c>
      <c r="B145" s="336">
        <v>966001211</v>
      </c>
      <c r="C145" s="338" t="s">
        <v>172</v>
      </c>
      <c r="D145" s="142" t="s">
        <v>173</v>
      </c>
      <c r="E145" s="174">
        <f>50*0.3*0.8</f>
        <v>12</v>
      </c>
      <c r="F145" s="80"/>
      <c r="G145" s="81">
        <f t="shared" ref="G145:G156" si="11">F145*E145</f>
        <v>0</v>
      </c>
      <c r="H145" s="82" t="s">
        <v>35</v>
      </c>
      <c r="I145" s="22"/>
      <c r="J145" s="184"/>
      <c r="K145" s="84">
        <f t="shared" ref="K145:K156" si="12">J145*E145</f>
        <v>0</v>
      </c>
      <c r="L145" s="85">
        <v>0.48199999999999998</v>
      </c>
      <c r="M145" s="86">
        <f t="shared" ref="M145:M156" si="13">L145*E145</f>
        <v>5.7839999999999998</v>
      </c>
      <c r="N145" s="266"/>
      <c r="O145" s="266"/>
      <c r="P145" s="266"/>
      <c r="Q145" s="331">
        <f>M145</f>
        <v>5.7839999999999998</v>
      </c>
    </row>
    <row r="146" spans="1:18" ht="16.5" customHeight="1">
      <c r="A146" s="76">
        <f t="shared" ref="A146:A152" si="14">A145+1</f>
        <v>57</v>
      </c>
      <c r="B146" s="336">
        <v>966001311</v>
      </c>
      <c r="C146" s="338" t="s">
        <v>174</v>
      </c>
      <c r="D146" s="142" t="s">
        <v>173</v>
      </c>
      <c r="E146" s="174">
        <v>2</v>
      </c>
      <c r="F146" s="80"/>
      <c r="G146" s="81">
        <f t="shared" si="11"/>
        <v>0</v>
      </c>
      <c r="H146" s="82" t="s">
        <v>35</v>
      </c>
      <c r="I146" s="22"/>
      <c r="J146" s="184"/>
      <c r="K146" s="84">
        <f t="shared" si="12"/>
        <v>0</v>
      </c>
      <c r="L146" s="85">
        <v>8.6999999999999994E-2</v>
      </c>
      <c r="M146" s="86">
        <f t="shared" si="13"/>
        <v>0.17399999999999999</v>
      </c>
      <c r="N146" s="266"/>
      <c r="O146" s="266"/>
      <c r="P146" s="266"/>
      <c r="Q146" s="331">
        <f t="shared" ref="Q146:Q148" si="15">M146</f>
        <v>0.17399999999999999</v>
      </c>
    </row>
    <row r="147" spans="1:18" ht="15">
      <c r="A147" s="76">
        <f t="shared" si="14"/>
        <v>58</v>
      </c>
      <c r="B147" s="336">
        <v>966001113</v>
      </c>
      <c r="C147" s="338" t="s">
        <v>175</v>
      </c>
      <c r="D147" s="142" t="s">
        <v>173</v>
      </c>
      <c r="E147" s="174">
        <v>3</v>
      </c>
      <c r="F147" s="80"/>
      <c r="G147" s="81">
        <f t="shared" si="11"/>
        <v>0</v>
      </c>
      <c r="H147" s="82" t="s">
        <v>35</v>
      </c>
      <c r="I147" s="22"/>
      <c r="J147" s="184"/>
      <c r="K147" s="84">
        <f t="shared" si="12"/>
        <v>0</v>
      </c>
      <c r="L147" s="85">
        <v>0.32</v>
      </c>
      <c r="M147" s="86">
        <f t="shared" si="13"/>
        <v>0.96</v>
      </c>
      <c r="N147" s="266"/>
      <c r="O147" s="266"/>
      <c r="P147" s="266"/>
      <c r="Q147" s="331">
        <f t="shared" si="15"/>
        <v>0.96</v>
      </c>
    </row>
    <row r="148" spans="1:18" ht="27" customHeight="1">
      <c r="A148" s="76">
        <f t="shared" si="14"/>
        <v>59</v>
      </c>
      <c r="B148" s="336" t="s">
        <v>176</v>
      </c>
      <c r="C148" s="360" t="s">
        <v>177</v>
      </c>
      <c r="D148" s="117" t="s">
        <v>178</v>
      </c>
      <c r="E148" s="174">
        <v>1</v>
      </c>
      <c r="F148" s="80"/>
      <c r="G148" s="81">
        <f t="shared" si="11"/>
        <v>0</v>
      </c>
      <c r="H148" s="236" t="s">
        <v>89</v>
      </c>
      <c r="I148" s="22"/>
      <c r="J148" s="184"/>
      <c r="K148" s="84">
        <f t="shared" si="12"/>
        <v>0</v>
      </c>
      <c r="L148" s="85">
        <f>2*2*0.35*1.85</f>
        <v>2.59</v>
      </c>
      <c r="M148" s="86">
        <f t="shared" si="13"/>
        <v>2.59</v>
      </c>
      <c r="N148" s="266"/>
      <c r="O148" s="266"/>
      <c r="P148" s="266"/>
      <c r="Q148" s="331">
        <f t="shared" si="15"/>
        <v>2.59</v>
      </c>
    </row>
    <row r="149" spans="1:18" ht="16.5" customHeight="1">
      <c r="A149" s="76">
        <f t="shared" si="14"/>
        <v>60</v>
      </c>
      <c r="B149" s="336">
        <v>113204111</v>
      </c>
      <c r="C149" s="336" t="s">
        <v>179</v>
      </c>
      <c r="D149" s="117" t="s">
        <v>87</v>
      </c>
      <c r="E149" s="174">
        <v>177.5</v>
      </c>
      <c r="F149" s="80"/>
      <c r="G149" s="81">
        <f t="shared" si="11"/>
        <v>0</v>
      </c>
      <c r="H149" s="82" t="s">
        <v>35</v>
      </c>
      <c r="I149" s="22"/>
      <c r="J149" s="184"/>
      <c r="K149" s="84">
        <f t="shared" si="12"/>
        <v>0</v>
      </c>
      <c r="L149" s="85">
        <v>0.04</v>
      </c>
      <c r="M149" s="86">
        <f t="shared" si="13"/>
        <v>7.1000000000000005</v>
      </c>
      <c r="N149" s="330">
        <f>M149</f>
        <v>7.1000000000000005</v>
      </c>
      <c r="O149" s="266"/>
      <c r="P149" s="266"/>
    </row>
    <row r="150" spans="1:18" ht="16.5" customHeight="1">
      <c r="A150" s="76">
        <f t="shared" si="14"/>
        <v>61</v>
      </c>
      <c r="B150" s="336">
        <v>997221571</v>
      </c>
      <c r="C150" s="336" t="s">
        <v>180</v>
      </c>
      <c r="D150" s="117" t="s">
        <v>83</v>
      </c>
      <c r="E150" s="174">
        <f>M132</f>
        <v>376.70249999999999</v>
      </c>
      <c r="F150" s="80"/>
      <c r="G150" s="81">
        <f t="shared" si="11"/>
        <v>0</v>
      </c>
      <c r="H150" s="82" t="s">
        <v>35</v>
      </c>
      <c r="I150" s="22"/>
      <c r="J150" s="184"/>
      <c r="K150" s="84">
        <f t="shared" si="12"/>
        <v>0</v>
      </c>
      <c r="L150" s="85">
        <v>0</v>
      </c>
      <c r="M150" s="86">
        <f t="shared" si="13"/>
        <v>0</v>
      </c>
      <c r="N150" s="328">
        <f>SUM(N133:N149)</f>
        <v>218.87950000000001</v>
      </c>
      <c r="O150" s="328">
        <f t="shared" ref="O150:Q150" si="16">SUM(O133:O149)</f>
        <v>32.536000000000001</v>
      </c>
      <c r="P150" s="328">
        <f t="shared" si="16"/>
        <v>112.779</v>
      </c>
      <c r="Q150" s="328">
        <f t="shared" si="16"/>
        <v>12.507999999999999</v>
      </c>
      <c r="R150">
        <f>SUM(N133:Q149)</f>
        <v>376.70249999999999</v>
      </c>
    </row>
    <row r="151" spans="1:18" ht="16.5" customHeight="1">
      <c r="A151" s="76">
        <f t="shared" si="14"/>
        <v>62</v>
      </c>
      <c r="B151" s="336">
        <v>997221579</v>
      </c>
      <c r="C151" s="336" t="s">
        <v>181</v>
      </c>
      <c r="D151" s="117" t="s">
        <v>83</v>
      </c>
      <c r="E151" s="174">
        <f>E150*9</f>
        <v>3390.3224999999998</v>
      </c>
      <c r="F151" s="80"/>
      <c r="G151" s="81">
        <f t="shared" si="11"/>
        <v>0</v>
      </c>
      <c r="H151" s="82" t="s">
        <v>35</v>
      </c>
      <c r="I151" s="22"/>
      <c r="J151" s="184"/>
      <c r="K151" s="84">
        <f t="shared" si="12"/>
        <v>0</v>
      </c>
      <c r="L151" s="85">
        <v>0</v>
      </c>
      <c r="M151" s="86">
        <f t="shared" si="13"/>
        <v>0</v>
      </c>
      <c r="Q151" s="329">
        <f>N150+O150+P150+Q150</f>
        <v>376.70249999999999</v>
      </c>
    </row>
    <row r="152" spans="1:18" ht="23.25" customHeight="1">
      <c r="A152" s="76">
        <f t="shared" si="14"/>
        <v>63</v>
      </c>
      <c r="B152" s="336">
        <v>997221861</v>
      </c>
      <c r="C152" s="336" t="s">
        <v>182</v>
      </c>
      <c r="D152" s="117" t="s">
        <v>83</v>
      </c>
      <c r="E152" s="174">
        <f>N150</f>
        <v>218.87950000000001</v>
      </c>
      <c r="F152" s="80"/>
      <c r="G152" s="81">
        <f t="shared" si="11"/>
        <v>0</v>
      </c>
      <c r="H152" s="82" t="s">
        <v>35</v>
      </c>
      <c r="I152" s="22"/>
      <c r="J152" s="184"/>
      <c r="K152" s="84">
        <f t="shared" si="12"/>
        <v>0</v>
      </c>
      <c r="L152" s="85">
        <v>0</v>
      </c>
      <c r="M152" s="86">
        <f t="shared" si="13"/>
        <v>0</v>
      </c>
    </row>
    <row r="153" spans="1:18" ht="16.149999999999999" customHeight="1">
      <c r="A153" s="76"/>
      <c r="B153" s="336"/>
      <c r="C153" s="361" t="s">
        <v>313</v>
      </c>
      <c r="D153" s="117"/>
      <c r="E153" s="174"/>
      <c r="F153" s="80"/>
      <c r="G153" s="81"/>
      <c r="H153" s="82"/>
      <c r="I153" s="22"/>
      <c r="J153" s="184"/>
      <c r="K153" s="84"/>
      <c r="L153" s="85"/>
      <c r="M153" s="86"/>
    </row>
    <row r="154" spans="1:18" ht="23.25" customHeight="1">
      <c r="A154" s="76">
        <f>A152+1</f>
        <v>64</v>
      </c>
      <c r="B154" s="336">
        <v>997221875</v>
      </c>
      <c r="C154" s="336" t="s">
        <v>183</v>
      </c>
      <c r="D154" s="117" t="s">
        <v>83</v>
      </c>
      <c r="E154" s="174">
        <f>O150</f>
        <v>32.536000000000001</v>
      </c>
      <c r="F154" s="80"/>
      <c r="G154" s="81">
        <f t="shared" si="11"/>
        <v>0</v>
      </c>
      <c r="H154" s="82" t="s">
        <v>35</v>
      </c>
      <c r="I154" s="22"/>
      <c r="J154" s="184"/>
      <c r="K154" s="84">
        <f t="shared" si="12"/>
        <v>0</v>
      </c>
      <c r="L154" s="85">
        <v>0</v>
      </c>
      <c r="M154" s="86">
        <f t="shared" si="13"/>
        <v>0</v>
      </c>
    </row>
    <row r="155" spans="1:18" ht="14.45" customHeight="1">
      <c r="A155" s="76"/>
      <c r="B155" s="336"/>
      <c r="C155" s="361" t="s">
        <v>310</v>
      </c>
      <c r="D155" s="117"/>
      <c r="E155" s="174"/>
      <c r="F155" s="80"/>
      <c r="G155" s="81"/>
      <c r="H155" s="82"/>
      <c r="I155" s="22"/>
      <c r="J155" s="184"/>
      <c r="K155" s="84"/>
      <c r="L155" s="85"/>
      <c r="M155" s="86"/>
    </row>
    <row r="156" spans="1:18" ht="23.25" customHeight="1">
      <c r="A156" s="76">
        <f>A154+1</f>
        <v>65</v>
      </c>
      <c r="B156" s="336">
        <v>997221873</v>
      </c>
      <c r="C156" s="336" t="s">
        <v>184</v>
      </c>
      <c r="D156" s="117" t="s">
        <v>83</v>
      </c>
      <c r="E156" s="174">
        <f>P150</f>
        <v>112.779</v>
      </c>
      <c r="F156" s="80"/>
      <c r="G156" s="81">
        <f t="shared" si="11"/>
        <v>0</v>
      </c>
      <c r="H156" s="82" t="s">
        <v>35</v>
      </c>
      <c r="I156" s="22"/>
      <c r="J156" s="184"/>
      <c r="K156" s="84">
        <f t="shared" si="12"/>
        <v>0</v>
      </c>
      <c r="L156" s="85">
        <v>0</v>
      </c>
      <c r="M156" s="86">
        <f t="shared" si="13"/>
        <v>0</v>
      </c>
    </row>
    <row r="157" spans="1:18" ht="15" customHeight="1">
      <c r="A157" s="76"/>
      <c r="B157" s="336"/>
      <c r="C157" s="361" t="s">
        <v>314</v>
      </c>
      <c r="D157" s="117"/>
      <c r="E157" s="174"/>
      <c r="F157" s="80"/>
      <c r="G157" s="81"/>
      <c r="H157" s="82"/>
      <c r="I157" s="22"/>
      <c r="J157" s="184"/>
      <c r="K157" s="84"/>
      <c r="L157" s="85"/>
      <c r="M157" s="86"/>
    </row>
    <row r="158" spans="1:18" ht="23.25" customHeight="1">
      <c r="A158" s="76">
        <f>A156+1</f>
        <v>66</v>
      </c>
      <c r="B158" s="336">
        <v>997013631</v>
      </c>
      <c r="C158" s="336" t="s">
        <v>185</v>
      </c>
      <c r="D158" s="117" t="s">
        <v>83</v>
      </c>
      <c r="E158" s="174">
        <f>M132-E152-E154-E156</f>
        <v>12.507999999999981</v>
      </c>
      <c r="F158" s="80"/>
      <c r="G158" s="81">
        <f t="shared" ref="G158" si="17">F158*E158</f>
        <v>0</v>
      </c>
      <c r="H158" s="82" t="s">
        <v>35</v>
      </c>
      <c r="I158" s="22"/>
      <c r="J158" s="184"/>
      <c r="K158" s="84">
        <f t="shared" ref="K158" si="18">J158*E158</f>
        <v>0</v>
      </c>
      <c r="L158" s="85">
        <v>0</v>
      </c>
      <c r="M158" s="86">
        <f t="shared" ref="M158" si="19">L158*E158</f>
        <v>0</v>
      </c>
    </row>
    <row r="159" spans="1:18" ht="16.149999999999999" customHeight="1">
      <c r="A159" s="76"/>
      <c r="B159" s="336"/>
      <c r="C159" s="361" t="s">
        <v>315</v>
      </c>
      <c r="D159" s="117"/>
      <c r="E159" s="174"/>
      <c r="F159" s="80"/>
      <c r="G159" s="81"/>
      <c r="H159" s="82"/>
      <c r="I159" s="22"/>
      <c r="J159" s="184"/>
      <c r="K159" s="84"/>
      <c r="L159" s="85"/>
      <c r="M159" s="86"/>
      <c r="N159" s="270"/>
    </row>
    <row r="160" spans="1:18" ht="21" customHeight="1">
      <c r="A160" s="65"/>
      <c r="B160" s="66"/>
      <c r="C160" s="67" t="s">
        <v>186</v>
      </c>
      <c r="D160" s="68"/>
      <c r="E160" s="69"/>
      <c r="F160" s="70"/>
      <c r="G160" s="179">
        <f>SUM(G161:G173)</f>
        <v>0</v>
      </c>
      <c r="H160" s="72"/>
      <c r="I160" s="22"/>
      <c r="J160" s="180"/>
      <c r="K160" s="74">
        <f>SUM(K161:K173)</f>
        <v>2.875</v>
      </c>
      <c r="L160" s="73"/>
      <c r="M160" s="75">
        <f>SUM(M161:M181)</f>
        <v>0</v>
      </c>
    </row>
    <row r="161" spans="1:14" ht="24" customHeight="1">
      <c r="A161" s="181">
        <f>A158+1</f>
        <v>67</v>
      </c>
      <c r="B161" s="338" t="s">
        <v>187</v>
      </c>
      <c r="C161" s="362" t="s">
        <v>324</v>
      </c>
      <c r="D161" s="271" t="s">
        <v>178</v>
      </c>
      <c r="E161" s="143">
        <v>1</v>
      </c>
      <c r="F161" s="80"/>
      <c r="G161" s="81">
        <f t="shared" ref="G161:G173" si="20">F161*E161</f>
        <v>0</v>
      </c>
      <c r="H161" s="82" t="s">
        <v>35</v>
      </c>
      <c r="I161" s="22"/>
      <c r="J161" s="184">
        <v>0.5</v>
      </c>
      <c r="K161" s="84">
        <f t="shared" ref="K161:K173" si="21">J161*E161</f>
        <v>0.5</v>
      </c>
      <c r="L161" s="85">
        <v>0</v>
      </c>
      <c r="M161" s="86">
        <f t="shared" ref="M161:M173" si="22">L161*E161</f>
        <v>0</v>
      </c>
    </row>
    <row r="162" spans="1:14" ht="24">
      <c r="A162" s="76">
        <f t="shared" ref="A162:A173" si="23">A161+1</f>
        <v>68</v>
      </c>
      <c r="B162" s="338" t="s">
        <v>188</v>
      </c>
      <c r="C162" s="362" t="s">
        <v>325</v>
      </c>
      <c r="D162" s="271" t="s">
        <v>178</v>
      </c>
      <c r="E162" s="143">
        <v>1</v>
      </c>
      <c r="F162" s="80"/>
      <c r="G162" s="81">
        <f t="shared" si="20"/>
        <v>0</v>
      </c>
      <c r="H162" s="82" t="s">
        <v>35</v>
      </c>
      <c r="I162" s="94"/>
      <c r="J162" s="184">
        <v>0.15</v>
      </c>
      <c r="K162" s="84">
        <f t="shared" si="21"/>
        <v>0.15</v>
      </c>
      <c r="L162" s="85">
        <v>0</v>
      </c>
      <c r="M162" s="86">
        <f t="shared" si="22"/>
        <v>0</v>
      </c>
    </row>
    <row r="163" spans="1:14" ht="24" customHeight="1">
      <c r="A163" s="76">
        <f t="shared" si="23"/>
        <v>69</v>
      </c>
      <c r="B163" s="338" t="s">
        <v>189</v>
      </c>
      <c r="C163" s="362" t="s">
        <v>326</v>
      </c>
      <c r="D163" s="271" t="s">
        <v>178</v>
      </c>
      <c r="E163" s="143">
        <v>1</v>
      </c>
      <c r="F163" s="80"/>
      <c r="G163" s="81">
        <f t="shared" si="20"/>
        <v>0</v>
      </c>
      <c r="H163" s="82" t="s">
        <v>35</v>
      </c>
      <c r="I163" s="94"/>
      <c r="J163" s="184">
        <v>0.15</v>
      </c>
      <c r="K163" s="84">
        <f t="shared" si="21"/>
        <v>0.15</v>
      </c>
      <c r="L163" s="85">
        <v>0</v>
      </c>
      <c r="M163" s="86">
        <f t="shared" si="22"/>
        <v>0</v>
      </c>
    </row>
    <row r="164" spans="1:14" ht="36" customHeight="1">
      <c r="A164" s="76">
        <f t="shared" si="23"/>
        <v>70</v>
      </c>
      <c r="B164" s="338" t="s">
        <v>190</v>
      </c>
      <c r="C164" s="362" t="s">
        <v>327</v>
      </c>
      <c r="D164" s="271" t="s">
        <v>178</v>
      </c>
      <c r="E164" s="143">
        <v>1</v>
      </c>
      <c r="F164" s="80"/>
      <c r="G164" s="81">
        <f t="shared" si="20"/>
        <v>0</v>
      </c>
      <c r="H164" s="82" t="s">
        <v>35</v>
      </c>
      <c r="I164" s="94"/>
      <c r="J164" s="184">
        <v>0.15</v>
      </c>
      <c r="K164" s="84">
        <f t="shared" si="21"/>
        <v>0.15</v>
      </c>
      <c r="L164" s="85">
        <v>0</v>
      </c>
      <c r="M164" s="86">
        <f t="shared" si="22"/>
        <v>0</v>
      </c>
    </row>
    <row r="165" spans="1:14" ht="33" customHeight="1">
      <c r="A165" s="76">
        <f t="shared" si="23"/>
        <v>71</v>
      </c>
      <c r="B165" s="338" t="s">
        <v>191</v>
      </c>
      <c r="C165" s="362" t="s">
        <v>328</v>
      </c>
      <c r="D165" s="271" t="s">
        <v>178</v>
      </c>
      <c r="E165" s="143">
        <v>1</v>
      </c>
      <c r="F165" s="80"/>
      <c r="G165" s="81">
        <f t="shared" si="20"/>
        <v>0</v>
      </c>
      <c r="H165" s="82" t="s">
        <v>35</v>
      </c>
      <c r="I165" s="94"/>
      <c r="J165" s="184">
        <v>0.15</v>
      </c>
      <c r="K165" s="84">
        <f t="shared" si="21"/>
        <v>0.15</v>
      </c>
      <c r="L165" s="85">
        <v>0</v>
      </c>
      <c r="M165" s="86">
        <f t="shared" si="22"/>
        <v>0</v>
      </c>
    </row>
    <row r="166" spans="1:14" ht="24">
      <c r="A166" s="76">
        <f t="shared" si="23"/>
        <v>72</v>
      </c>
      <c r="B166" s="338" t="s">
        <v>192</v>
      </c>
      <c r="C166" s="362" t="s">
        <v>335</v>
      </c>
      <c r="D166" s="271" t="s">
        <v>178</v>
      </c>
      <c r="E166" s="143">
        <v>2</v>
      </c>
      <c r="F166" s="80"/>
      <c r="G166" s="81">
        <f t="shared" si="20"/>
        <v>0</v>
      </c>
      <c r="H166" s="82" t="s">
        <v>35</v>
      </c>
      <c r="I166" s="94"/>
      <c r="J166" s="184">
        <v>0.15</v>
      </c>
      <c r="K166" s="84">
        <f t="shared" si="21"/>
        <v>0.3</v>
      </c>
      <c r="L166" s="85">
        <v>0</v>
      </c>
      <c r="M166" s="86">
        <f t="shared" si="22"/>
        <v>0</v>
      </c>
      <c r="N166" s="228"/>
    </row>
    <row r="167" spans="1:14" ht="36" customHeight="1">
      <c r="A167" s="76">
        <f t="shared" si="23"/>
        <v>73</v>
      </c>
      <c r="B167" s="338" t="s">
        <v>193</v>
      </c>
      <c r="C167" s="363" t="s">
        <v>194</v>
      </c>
      <c r="D167" s="271" t="s">
        <v>178</v>
      </c>
      <c r="E167" s="143">
        <v>1</v>
      </c>
      <c r="F167" s="80"/>
      <c r="G167" s="81">
        <f t="shared" si="20"/>
        <v>0</v>
      </c>
      <c r="H167" s="82" t="s">
        <v>35</v>
      </c>
      <c r="I167" s="94"/>
      <c r="J167" s="184">
        <v>0.28999999999999998</v>
      </c>
      <c r="K167" s="84">
        <f t="shared" si="21"/>
        <v>0.28999999999999998</v>
      </c>
      <c r="L167" s="85">
        <v>0</v>
      </c>
      <c r="M167" s="86">
        <f t="shared" si="22"/>
        <v>0</v>
      </c>
    </row>
    <row r="168" spans="1:14" ht="48" customHeight="1">
      <c r="A168" s="76">
        <f t="shared" si="23"/>
        <v>74</v>
      </c>
      <c r="B168" s="338" t="s">
        <v>195</v>
      </c>
      <c r="C168" s="363" t="s">
        <v>196</v>
      </c>
      <c r="D168" s="271" t="s">
        <v>178</v>
      </c>
      <c r="E168" s="143">
        <v>2</v>
      </c>
      <c r="F168" s="80"/>
      <c r="G168" s="81">
        <f t="shared" si="20"/>
        <v>0</v>
      </c>
      <c r="H168" s="82" t="s">
        <v>35</v>
      </c>
      <c r="I168" s="94"/>
      <c r="J168" s="184">
        <v>0.115</v>
      </c>
      <c r="K168" s="84">
        <f t="shared" si="21"/>
        <v>0.23</v>
      </c>
      <c r="L168" s="85">
        <v>0</v>
      </c>
      <c r="M168" s="86">
        <f t="shared" si="22"/>
        <v>0</v>
      </c>
    </row>
    <row r="169" spans="1:14" ht="60" customHeight="1">
      <c r="A169" s="76">
        <f t="shared" si="23"/>
        <v>75</v>
      </c>
      <c r="B169" s="338" t="s">
        <v>197</v>
      </c>
      <c r="C169" s="336" t="s">
        <v>330</v>
      </c>
      <c r="D169" s="271" t="s">
        <v>178</v>
      </c>
      <c r="E169" s="143">
        <v>3</v>
      </c>
      <c r="F169" s="80"/>
      <c r="G169" s="81">
        <f t="shared" si="20"/>
        <v>0</v>
      </c>
      <c r="H169" s="82" t="s">
        <v>35</v>
      </c>
      <c r="I169" s="94"/>
      <c r="J169" s="184">
        <v>0.08</v>
      </c>
      <c r="K169" s="84">
        <f t="shared" si="21"/>
        <v>0.24</v>
      </c>
      <c r="L169" s="85">
        <v>0</v>
      </c>
      <c r="M169" s="86">
        <f t="shared" si="22"/>
        <v>0</v>
      </c>
    </row>
    <row r="170" spans="1:14" ht="60" customHeight="1">
      <c r="A170" s="76">
        <f t="shared" si="23"/>
        <v>76</v>
      </c>
      <c r="B170" s="338" t="s">
        <v>198</v>
      </c>
      <c r="C170" s="336" t="s">
        <v>331</v>
      </c>
      <c r="D170" s="271" t="s">
        <v>178</v>
      </c>
      <c r="E170" s="143">
        <v>4</v>
      </c>
      <c r="F170" s="80"/>
      <c r="G170" s="81">
        <f t="shared" si="20"/>
        <v>0</v>
      </c>
      <c r="H170" s="82" t="s">
        <v>35</v>
      </c>
      <c r="I170" s="94"/>
      <c r="J170" s="184">
        <v>0.16</v>
      </c>
      <c r="K170" s="84">
        <f t="shared" si="21"/>
        <v>0.64</v>
      </c>
      <c r="L170" s="85">
        <v>0</v>
      </c>
      <c r="M170" s="86">
        <f t="shared" si="22"/>
        <v>0</v>
      </c>
    </row>
    <row r="171" spans="1:14" ht="69" customHeight="1">
      <c r="A171" s="76">
        <f t="shared" si="23"/>
        <v>77</v>
      </c>
      <c r="B171" s="338" t="s">
        <v>199</v>
      </c>
      <c r="C171" s="336" t="s">
        <v>332</v>
      </c>
      <c r="D171" s="271" t="s">
        <v>178</v>
      </c>
      <c r="E171" s="143">
        <v>1</v>
      </c>
      <c r="F171" s="80"/>
      <c r="G171" s="81">
        <f t="shared" si="20"/>
        <v>0</v>
      </c>
      <c r="H171" s="82" t="s">
        <v>35</v>
      </c>
      <c r="I171" s="94"/>
      <c r="J171" s="184">
        <v>1.4999999999999999E-2</v>
      </c>
      <c r="K171" s="84">
        <f t="shared" si="21"/>
        <v>1.4999999999999999E-2</v>
      </c>
      <c r="L171" s="85">
        <v>0</v>
      </c>
      <c r="M171" s="86">
        <f t="shared" si="22"/>
        <v>0</v>
      </c>
    </row>
    <row r="172" spans="1:14" ht="60" customHeight="1">
      <c r="A172" s="76">
        <f t="shared" si="23"/>
        <v>78</v>
      </c>
      <c r="B172" s="338" t="s">
        <v>200</v>
      </c>
      <c r="C172" s="336" t="s">
        <v>333</v>
      </c>
      <c r="D172" s="271" t="s">
        <v>178</v>
      </c>
      <c r="E172" s="143">
        <v>2</v>
      </c>
      <c r="F172" s="80"/>
      <c r="G172" s="81">
        <f t="shared" si="20"/>
        <v>0</v>
      </c>
      <c r="H172" s="82" t="s">
        <v>35</v>
      </c>
      <c r="I172" s="94"/>
      <c r="J172" s="184">
        <v>1.4999999999999999E-2</v>
      </c>
      <c r="K172" s="84">
        <f t="shared" si="21"/>
        <v>0.03</v>
      </c>
      <c r="L172" s="85">
        <v>0</v>
      </c>
      <c r="M172" s="86">
        <f t="shared" si="22"/>
        <v>0</v>
      </c>
    </row>
    <row r="173" spans="1:14" ht="48">
      <c r="A173" s="76">
        <f t="shared" si="23"/>
        <v>79</v>
      </c>
      <c r="B173" s="338" t="s">
        <v>201</v>
      </c>
      <c r="C173" s="363" t="s">
        <v>329</v>
      </c>
      <c r="D173" s="271" t="s">
        <v>178</v>
      </c>
      <c r="E173" s="143">
        <v>3</v>
      </c>
      <c r="F173" s="80"/>
      <c r="G173" s="81">
        <f t="shared" si="20"/>
        <v>0</v>
      </c>
      <c r="H173" s="82" t="s">
        <v>35</v>
      </c>
      <c r="I173" s="94"/>
      <c r="J173" s="184">
        <v>0.01</v>
      </c>
      <c r="K173" s="84">
        <f t="shared" si="21"/>
        <v>0.03</v>
      </c>
      <c r="L173" s="85">
        <v>0</v>
      </c>
      <c r="M173" s="86">
        <f t="shared" si="22"/>
        <v>0</v>
      </c>
    </row>
    <row r="174" spans="1:14" ht="15">
      <c r="A174" s="131"/>
      <c r="B174" s="272"/>
      <c r="C174" s="273"/>
      <c r="D174" s="274"/>
      <c r="E174" s="244"/>
      <c r="F174" s="137"/>
      <c r="G174" s="137"/>
      <c r="H174" s="245"/>
      <c r="I174" s="131"/>
      <c r="J174" s="265"/>
      <c r="K174" s="96"/>
      <c r="L174" s="97"/>
      <c r="M174" s="98"/>
    </row>
    <row r="175" spans="1:14" ht="15">
      <c r="A175" s="65"/>
      <c r="B175" s="66"/>
      <c r="C175" s="67" t="s">
        <v>202</v>
      </c>
      <c r="D175" s="68"/>
      <c r="E175" s="69"/>
      <c r="F175" s="70"/>
      <c r="G175" s="179">
        <f>G176</f>
        <v>0</v>
      </c>
      <c r="H175" s="72"/>
      <c r="I175" s="22"/>
      <c r="J175" s="180"/>
      <c r="K175" s="74">
        <f>K132+K96+K52+K5+K160</f>
        <v>583.75460422719993</v>
      </c>
      <c r="L175" s="73"/>
      <c r="M175" s="75">
        <f>SUM(M176:M178)</f>
        <v>0</v>
      </c>
    </row>
    <row r="176" spans="1:14" ht="18" customHeight="1">
      <c r="A176" s="181">
        <f>A173+1</f>
        <v>80</v>
      </c>
      <c r="B176" s="336">
        <v>998223011</v>
      </c>
      <c r="C176" s="338" t="s">
        <v>203</v>
      </c>
      <c r="D176" s="142" t="s">
        <v>83</v>
      </c>
      <c r="E176" s="275">
        <f>K175</f>
        <v>583.75460422719993</v>
      </c>
      <c r="F176" s="80"/>
      <c r="G176" s="81">
        <f>F176*E176</f>
        <v>0</v>
      </c>
      <c r="H176" s="82" t="s">
        <v>35</v>
      </c>
      <c r="I176" s="22"/>
      <c r="J176" s="184"/>
      <c r="K176" s="84">
        <f>J176*E176</f>
        <v>0</v>
      </c>
      <c r="L176" s="85">
        <v>0</v>
      </c>
      <c r="M176" s="86">
        <f>L176*E176</f>
        <v>0</v>
      </c>
    </row>
    <row r="177" spans="1:15" ht="15">
      <c r="A177" s="131"/>
      <c r="B177" s="272"/>
      <c r="C177" s="273"/>
      <c r="D177" s="274"/>
      <c r="E177" s="244"/>
      <c r="F177" s="137"/>
      <c r="G177" s="137"/>
      <c r="H177" s="245"/>
      <c r="I177" s="131"/>
      <c r="J177" s="265"/>
      <c r="K177" s="96"/>
      <c r="L177" s="97"/>
      <c r="M177" s="98"/>
    </row>
    <row r="178" spans="1:15" ht="19.5" customHeight="1">
      <c r="A178" s="65"/>
      <c r="B178" s="66"/>
      <c r="C178" s="67" t="s">
        <v>204</v>
      </c>
      <c r="D178" s="68"/>
      <c r="E178" s="69"/>
      <c r="F178" s="70"/>
      <c r="G178" s="179">
        <f>SUM(G179:G182)</f>
        <v>0</v>
      </c>
      <c r="H178" s="72"/>
      <c r="I178" s="22"/>
      <c r="J178" s="180"/>
      <c r="K178" s="74">
        <f>SUM(K179:K182)</f>
        <v>0.13889699999999999</v>
      </c>
      <c r="L178" s="73"/>
      <c r="M178" s="75">
        <f>SUM(M179:M182)</f>
        <v>0</v>
      </c>
    </row>
    <row r="179" spans="1:15" ht="18" customHeight="1">
      <c r="A179" s="181">
        <f>A176+1</f>
        <v>81</v>
      </c>
      <c r="B179" s="336">
        <v>767995113</v>
      </c>
      <c r="C179" s="364" t="s">
        <v>205</v>
      </c>
      <c r="D179" s="182" t="s">
        <v>206</v>
      </c>
      <c r="E179" s="174">
        <f>36+95</f>
        <v>131</v>
      </c>
      <c r="F179" s="80"/>
      <c r="G179" s="81">
        <f>F179*E179</f>
        <v>0</v>
      </c>
      <c r="H179" s="82" t="s">
        <v>35</v>
      </c>
      <c r="I179" s="22"/>
      <c r="J179" s="184">
        <v>6.0000000000000002E-5</v>
      </c>
      <c r="K179" s="84">
        <f>J179*E179</f>
        <v>7.8600000000000007E-3</v>
      </c>
      <c r="L179" s="85">
        <v>0</v>
      </c>
      <c r="M179" s="86">
        <f>L179*E179</f>
        <v>0</v>
      </c>
      <c r="O179" t="s">
        <v>207</v>
      </c>
    </row>
    <row r="180" spans="1:15" ht="57.75" customHeight="1">
      <c r="A180" s="181">
        <f>A179+1</f>
        <v>82</v>
      </c>
      <c r="B180" s="365" t="s">
        <v>208</v>
      </c>
      <c r="C180" s="348" t="s">
        <v>209</v>
      </c>
      <c r="D180" s="276" t="s">
        <v>178</v>
      </c>
      <c r="E180" s="261">
        <v>1</v>
      </c>
      <c r="F180" s="188"/>
      <c r="G180" s="189">
        <f>F180*E180</f>
        <v>0</v>
      </c>
      <c r="H180" s="236" t="s">
        <v>89</v>
      </c>
      <c r="I180" s="22"/>
      <c r="J180" s="184">
        <v>3.5999999999999997E-2</v>
      </c>
      <c r="K180" s="84">
        <f>J180*E180</f>
        <v>3.5999999999999997E-2</v>
      </c>
      <c r="L180" s="85">
        <v>0</v>
      </c>
      <c r="M180" s="86">
        <f>L180*E180</f>
        <v>0</v>
      </c>
    </row>
    <row r="181" spans="1:15" ht="59.25" customHeight="1">
      <c r="A181" s="181">
        <f>A180+1</f>
        <v>83</v>
      </c>
      <c r="B181" s="365" t="s">
        <v>210</v>
      </c>
      <c r="C181" s="348" t="s">
        <v>211</v>
      </c>
      <c r="D181" s="276" t="s">
        <v>178</v>
      </c>
      <c r="E181" s="261">
        <v>1</v>
      </c>
      <c r="F181" s="188"/>
      <c r="G181" s="189">
        <f>F181*E181</f>
        <v>0</v>
      </c>
      <c r="H181" s="236" t="s">
        <v>89</v>
      </c>
      <c r="I181" s="22"/>
      <c r="J181" s="184">
        <v>9.5000000000000001E-2</v>
      </c>
      <c r="K181" s="84">
        <f>J181*E181</f>
        <v>9.5000000000000001E-2</v>
      </c>
      <c r="L181" s="85">
        <v>0</v>
      </c>
      <c r="M181" s="86">
        <f>L181*E181</f>
        <v>0</v>
      </c>
    </row>
    <row r="182" spans="1:15" ht="18" customHeight="1">
      <c r="A182" s="181">
        <f>A181+1</f>
        <v>84</v>
      </c>
      <c r="B182" s="336">
        <v>998767201</v>
      </c>
      <c r="C182" s="364" t="s">
        <v>212</v>
      </c>
      <c r="D182" s="182" t="s">
        <v>213</v>
      </c>
      <c r="E182" s="183">
        <v>0.74</v>
      </c>
      <c r="F182" s="80"/>
      <c r="G182" s="81">
        <f>F182*E182</f>
        <v>0</v>
      </c>
      <c r="H182" s="82" t="s">
        <v>35</v>
      </c>
      <c r="I182" s="22"/>
      <c r="J182" s="184">
        <v>5.0000000000000002E-5</v>
      </c>
      <c r="K182" s="84">
        <f>J182*E182</f>
        <v>3.6999999999999998E-5</v>
      </c>
      <c r="L182" s="85">
        <v>0</v>
      </c>
      <c r="M182" s="86">
        <f>L182*E182</f>
        <v>0</v>
      </c>
    </row>
    <row r="183" spans="1:15" ht="15">
      <c r="A183" s="131"/>
      <c r="B183" s="131"/>
      <c r="C183" s="131"/>
      <c r="D183" s="131"/>
      <c r="E183" s="131"/>
      <c r="F183" s="131"/>
      <c r="G183" s="131"/>
      <c r="H183" s="131"/>
      <c r="I183" s="131"/>
      <c r="J183" s="131"/>
      <c r="K183" s="96"/>
      <c r="L183" s="97"/>
      <c r="M183" s="98"/>
    </row>
    <row r="184" spans="1:15" ht="27.75" customHeight="1">
      <c r="A184" s="131"/>
      <c r="B184" s="131"/>
      <c r="C184" s="131"/>
      <c r="D184" s="131"/>
      <c r="E184" s="131"/>
      <c r="F184" s="131"/>
      <c r="G184" s="131"/>
      <c r="H184" s="131"/>
      <c r="I184" s="131"/>
      <c r="J184" s="131"/>
      <c r="K184" s="96"/>
      <c r="L184" s="97"/>
      <c r="M184" s="98"/>
    </row>
    <row r="185" spans="1:15" s="282" customFormat="1" ht="25.5" customHeight="1">
      <c r="A185" s="277"/>
      <c r="B185" s="277"/>
      <c r="C185" s="278" t="s">
        <v>214</v>
      </c>
      <c r="D185" s="277"/>
      <c r="E185" s="277"/>
      <c r="F185" s="277"/>
      <c r="G185" s="277"/>
      <c r="H185" s="277"/>
      <c r="I185" s="277"/>
      <c r="J185" s="277"/>
      <c r="K185" s="279"/>
      <c r="L185" s="280"/>
      <c r="M185" s="281"/>
    </row>
    <row r="186" spans="1:15" ht="18" customHeight="1">
      <c r="A186" s="131"/>
      <c r="B186" s="131"/>
      <c r="C186" s="283" t="s">
        <v>215</v>
      </c>
      <c r="D186" s="277"/>
      <c r="E186" s="277"/>
      <c r="F186" s="277"/>
      <c r="G186" s="284">
        <f>G5</f>
        <v>0</v>
      </c>
      <c r="H186" s="131"/>
      <c r="I186" s="131"/>
      <c r="J186" s="131"/>
      <c r="K186" s="96"/>
      <c r="L186" s="97"/>
      <c r="M186" s="98"/>
    </row>
    <row r="187" spans="1:15" ht="18" customHeight="1">
      <c r="A187" s="131"/>
      <c r="B187" s="131"/>
      <c r="C187" s="283" t="s">
        <v>216</v>
      </c>
      <c r="D187" s="277"/>
      <c r="E187" s="277"/>
      <c r="F187" s="277"/>
      <c r="G187" s="284">
        <f>G52</f>
        <v>0</v>
      </c>
      <c r="H187" s="131"/>
      <c r="I187" s="131"/>
      <c r="J187" s="131"/>
      <c r="K187" s="96"/>
      <c r="L187" s="97"/>
      <c r="M187" s="98"/>
    </row>
    <row r="188" spans="1:15" ht="18" customHeight="1">
      <c r="A188" s="131"/>
      <c r="B188" s="131"/>
      <c r="C188" s="283" t="s">
        <v>117</v>
      </c>
      <c r="D188" s="277"/>
      <c r="E188" s="277"/>
      <c r="F188" s="277"/>
      <c r="G188" s="284">
        <f>G96</f>
        <v>0</v>
      </c>
      <c r="H188" s="131"/>
      <c r="I188" s="131"/>
      <c r="J188" s="131"/>
      <c r="K188" s="96"/>
      <c r="L188" s="97"/>
      <c r="M188" s="98"/>
    </row>
    <row r="189" spans="1:15" ht="18" customHeight="1">
      <c r="A189" s="131"/>
      <c r="B189" s="131"/>
      <c r="C189" s="283" t="s">
        <v>159</v>
      </c>
      <c r="D189" s="277"/>
      <c r="E189" s="277"/>
      <c r="F189" s="277"/>
      <c r="G189" s="284">
        <f>G132</f>
        <v>0</v>
      </c>
      <c r="H189" s="131"/>
      <c r="I189" s="131"/>
      <c r="J189" s="131"/>
      <c r="K189" s="96"/>
      <c r="L189" s="97"/>
      <c r="M189" s="98"/>
    </row>
    <row r="190" spans="1:15" ht="18" customHeight="1">
      <c r="A190" s="131"/>
      <c r="B190" s="131"/>
      <c r="C190" s="283" t="s">
        <v>186</v>
      </c>
      <c r="D190" s="277"/>
      <c r="E190" s="277"/>
      <c r="F190" s="277"/>
      <c r="G190" s="284">
        <f>G160</f>
        <v>0</v>
      </c>
      <c r="H190" s="131"/>
      <c r="I190" s="131"/>
      <c r="J190" s="131"/>
      <c r="K190" s="96"/>
      <c r="L190" s="97"/>
      <c r="M190" s="98"/>
    </row>
    <row r="191" spans="1:15" ht="18" customHeight="1">
      <c r="A191" s="131"/>
      <c r="B191" s="131"/>
      <c r="C191" s="283" t="s">
        <v>217</v>
      </c>
      <c r="D191" s="277"/>
      <c r="E191" s="277"/>
      <c r="F191" s="277"/>
      <c r="G191" s="284">
        <f>G175</f>
        <v>0</v>
      </c>
      <c r="H191" s="131"/>
      <c r="I191" s="131"/>
      <c r="J191" s="131"/>
      <c r="K191" s="96"/>
      <c r="L191" s="97"/>
      <c r="M191" s="98"/>
    </row>
    <row r="192" spans="1:15" ht="18" customHeight="1">
      <c r="A192" s="131"/>
      <c r="B192" s="131"/>
      <c r="C192" s="285" t="s">
        <v>204</v>
      </c>
      <c r="D192" s="286"/>
      <c r="E192" s="286"/>
      <c r="F192" s="286"/>
      <c r="G192" s="284">
        <f>G178</f>
        <v>0</v>
      </c>
      <c r="H192" s="131"/>
      <c r="I192" s="131"/>
      <c r="J192" s="131"/>
      <c r="K192" s="96"/>
      <c r="L192" s="97"/>
      <c r="M192" s="98"/>
    </row>
    <row r="193" spans="1:13" ht="18" customHeight="1">
      <c r="A193" s="131"/>
      <c r="B193" s="131"/>
      <c r="C193" s="287" t="s">
        <v>218</v>
      </c>
      <c r="D193" s="288"/>
      <c r="E193" s="288"/>
      <c r="F193" s="288" t="s">
        <v>219</v>
      </c>
      <c r="G193" s="485">
        <f>SUM(G186:G192)</f>
        <v>0</v>
      </c>
      <c r="H193" s="131"/>
      <c r="I193" s="131"/>
      <c r="J193" s="131"/>
      <c r="K193" s="96"/>
      <c r="L193" s="97"/>
      <c r="M193" s="98"/>
    </row>
    <row r="194" spans="1:13" ht="15">
      <c r="A194" s="131"/>
      <c r="B194" s="131"/>
      <c r="C194" s="131"/>
      <c r="D194" s="131"/>
      <c r="E194" s="131"/>
      <c r="F194" s="131"/>
      <c r="G194" s="131"/>
      <c r="H194" s="131"/>
      <c r="I194" s="131"/>
      <c r="J194" s="131"/>
      <c r="K194" s="96"/>
      <c r="L194" s="97"/>
      <c r="M194" s="98"/>
    </row>
    <row r="195" spans="1:13" ht="15">
      <c r="A195" s="131"/>
      <c r="B195" s="131"/>
      <c r="C195" s="131"/>
      <c r="D195" s="131"/>
      <c r="E195" s="131"/>
      <c r="F195" s="131"/>
      <c r="G195" s="131"/>
      <c r="H195" s="131"/>
      <c r="I195" s="131"/>
      <c r="J195" s="131"/>
      <c r="K195" s="96"/>
      <c r="L195" s="97"/>
      <c r="M195" s="98"/>
    </row>
    <row r="196" spans="1:13" ht="15">
      <c r="A196" s="131"/>
      <c r="B196" s="131"/>
      <c r="C196" s="131"/>
      <c r="D196" s="131"/>
      <c r="E196" s="131"/>
      <c r="F196" s="131"/>
      <c r="G196" s="131"/>
      <c r="H196" s="131"/>
      <c r="I196" s="131"/>
      <c r="J196" s="131"/>
      <c r="K196" s="96"/>
      <c r="L196" s="97"/>
      <c r="M196" s="98"/>
    </row>
    <row r="197" spans="1:13" ht="15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96"/>
      <c r="L197" s="97"/>
      <c r="M197" s="98"/>
    </row>
    <row r="198" spans="1:13" ht="15">
      <c r="A198" s="131"/>
      <c r="B198" s="131"/>
      <c r="C198" s="131"/>
      <c r="D198" s="131"/>
      <c r="E198" s="131"/>
      <c r="F198" s="131"/>
      <c r="G198" s="131"/>
      <c r="H198" s="131"/>
      <c r="I198" s="131"/>
      <c r="J198" s="131"/>
      <c r="K198" s="96"/>
      <c r="L198" s="97"/>
      <c r="M198" s="98"/>
    </row>
    <row r="199" spans="1:13" ht="15">
      <c r="A199" s="131"/>
      <c r="B199" s="131"/>
      <c r="C199" s="131"/>
      <c r="D199" s="131"/>
      <c r="E199" s="131"/>
      <c r="F199" s="131"/>
      <c r="G199" s="131"/>
      <c r="H199" s="131"/>
      <c r="I199" s="131"/>
      <c r="J199" s="131"/>
      <c r="K199" s="96"/>
      <c r="L199" s="97"/>
      <c r="M199" s="98"/>
    </row>
    <row r="200" spans="1:13" ht="15">
      <c r="A200" s="131"/>
      <c r="B200" s="131"/>
      <c r="C200" s="131"/>
      <c r="D200" s="131"/>
      <c r="E200" s="131"/>
      <c r="F200" s="131"/>
      <c r="G200" s="131"/>
      <c r="H200" s="131"/>
      <c r="I200" s="131"/>
      <c r="J200" s="131"/>
      <c r="K200" s="96"/>
      <c r="L200" s="97"/>
      <c r="M200" s="98"/>
    </row>
    <row r="201" spans="1:13" ht="15">
      <c r="A201" s="131"/>
      <c r="B201" s="131"/>
      <c r="C201" s="131"/>
      <c r="D201" s="131"/>
      <c r="E201" s="131"/>
      <c r="F201" s="131"/>
      <c r="G201" s="131"/>
      <c r="H201" s="131"/>
      <c r="I201" s="131"/>
      <c r="J201" s="131"/>
      <c r="K201" s="96"/>
      <c r="L201" s="97"/>
      <c r="M201" s="98"/>
    </row>
    <row r="202" spans="1:13" ht="15">
      <c r="A202" s="131"/>
      <c r="B202" s="131"/>
      <c r="C202" s="131"/>
      <c r="D202" s="131"/>
      <c r="E202" s="131"/>
      <c r="F202" s="131"/>
      <c r="G202" s="131"/>
      <c r="H202" s="131"/>
      <c r="I202" s="131"/>
      <c r="J202" s="131"/>
      <c r="K202" s="96"/>
      <c r="L202" s="97"/>
      <c r="M202" s="98"/>
    </row>
    <row r="203" spans="1:13" ht="15">
      <c r="A203" s="131"/>
      <c r="B203" s="131"/>
      <c r="C203" s="131"/>
      <c r="D203" s="131"/>
      <c r="E203" s="131"/>
      <c r="F203" s="131"/>
      <c r="G203" s="131"/>
      <c r="H203" s="131"/>
      <c r="I203" s="131"/>
      <c r="J203" s="131"/>
      <c r="K203" s="96"/>
      <c r="L203" s="97"/>
      <c r="M203" s="98"/>
    </row>
    <row r="204" spans="1:13" ht="15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96"/>
      <c r="L204" s="97"/>
      <c r="M204" s="98"/>
    </row>
    <row r="205" spans="1:13" ht="15">
      <c r="A205" s="131"/>
      <c r="B205" s="131"/>
      <c r="C205" s="131"/>
      <c r="D205" s="131"/>
      <c r="E205" s="131"/>
      <c r="F205" s="131"/>
      <c r="G205" s="131"/>
      <c r="H205" s="131"/>
      <c r="I205" s="131"/>
      <c r="J205" s="131"/>
      <c r="K205" s="96"/>
      <c r="L205" s="97"/>
      <c r="M205" s="98"/>
    </row>
    <row r="206" spans="1:13" ht="15">
      <c r="A206" s="131"/>
      <c r="B206" s="131"/>
      <c r="C206" s="131"/>
      <c r="D206" s="131"/>
      <c r="E206" s="131"/>
      <c r="F206" s="131"/>
      <c r="G206" s="131"/>
      <c r="H206" s="131"/>
      <c r="I206" s="131"/>
      <c r="J206" s="131"/>
      <c r="K206" s="96"/>
      <c r="L206" s="97"/>
      <c r="M206" s="98"/>
    </row>
    <row r="207" spans="1:13" ht="15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96"/>
      <c r="L207" s="97"/>
      <c r="M207" s="98"/>
    </row>
    <row r="208" spans="1:13" ht="15">
      <c r="A208" s="131"/>
      <c r="B208" s="131"/>
      <c r="C208" s="131"/>
      <c r="D208" s="131"/>
      <c r="E208" s="131"/>
      <c r="F208" s="131"/>
      <c r="G208" s="131"/>
      <c r="H208" s="131"/>
      <c r="I208" s="131"/>
      <c r="J208" s="131"/>
      <c r="K208" s="96"/>
      <c r="L208" s="97"/>
      <c r="M208" s="98"/>
    </row>
    <row r="209" spans="3:8" ht="15.75" customHeight="1">
      <c r="C209" s="68"/>
      <c r="D209" s="68"/>
      <c r="E209" s="289"/>
      <c r="H209" s="290"/>
    </row>
    <row r="210" spans="3:8" ht="15.75" customHeight="1">
      <c r="C210" s="68"/>
      <c r="D210" s="68"/>
      <c r="E210" s="289"/>
      <c r="H210" s="290"/>
    </row>
    <row r="211" spans="3:8" ht="15.75" customHeight="1">
      <c r="C211" s="68"/>
      <c r="D211" s="68"/>
      <c r="E211" s="289"/>
      <c r="H211" s="290"/>
    </row>
    <row r="212" spans="3:8" ht="15.75" customHeight="1">
      <c r="C212" s="68"/>
      <c r="D212" s="68"/>
      <c r="E212" s="289"/>
      <c r="H212" s="290"/>
    </row>
    <row r="213" spans="3:8" ht="15.75" customHeight="1">
      <c r="C213" s="68"/>
      <c r="D213" s="68"/>
      <c r="E213" s="289"/>
      <c r="H213" s="290"/>
    </row>
    <row r="214" spans="3:8" ht="15.75" customHeight="1">
      <c r="C214" s="68"/>
      <c r="D214" s="68"/>
      <c r="E214" s="289"/>
      <c r="H214" s="290"/>
    </row>
    <row r="215" spans="3:8" ht="15.75" customHeight="1">
      <c r="C215" s="68"/>
      <c r="D215" s="68"/>
      <c r="E215" s="289"/>
      <c r="H215" s="290"/>
    </row>
    <row r="216" spans="3:8" ht="15.75" customHeight="1">
      <c r="C216" s="68"/>
      <c r="D216" s="68"/>
      <c r="E216" s="289"/>
      <c r="H216" s="290"/>
    </row>
    <row r="217" spans="3:8" ht="15.75" customHeight="1">
      <c r="C217" s="68"/>
      <c r="D217" s="68"/>
      <c r="E217" s="289"/>
      <c r="H217" s="290"/>
    </row>
    <row r="218" spans="3:8" ht="15.75" customHeight="1">
      <c r="C218" s="68"/>
      <c r="D218" s="68"/>
      <c r="E218" s="289"/>
      <c r="H218" s="290"/>
    </row>
    <row r="219" spans="3:8" ht="15.75" customHeight="1">
      <c r="C219" s="68"/>
      <c r="D219" s="68"/>
      <c r="E219" s="289"/>
      <c r="H219" s="290"/>
    </row>
    <row r="220" spans="3:8" ht="15.75" customHeight="1">
      <c r="C220" s="68"/>
      <c r="D220" s="68"/>
      <c r="E220" s="289"/>
      <c r="H220" s="290"/>
    </row>
    <row r="221" spans="3:8" ht="15.75" customHeight="1">
      <c r="C221" s="68"/>
      <c r="D221" s="68"/>
      <c r="E221" s="289"/>
      <c r="H221" s="290"/>
    </row>
    <row r="222" spans="3:8" ht="15.75" customHeight="1">
      <c r="C222" s="68"/>
      <c r="D222" s="68"/>
      <c r="E222" s="289"/>
      <c r="H222" s="290"/>
    </row>
    <row r="223" spans="3:8" ht="15.75" customHeight="1">
      <c r="C223" s="68"/>
      <c r="D223" s="68"/>
      <c r="E223" s="289"/>
      <c r="H223" s="290"/>
    </row>
    <row r="224" spans="3:8" ht="15.75" customHeight="1">
      <c r="C224" s="68"/>
      <c r="D224" s="68"/>
      <c r="E224" s="289"/>
      <c r="H224" s="290"/>
    </row>
    <row r="225" spans="3:8" ht="15.75" customHeight="1">
      <c r="C225" s="68"/>
      <c r="D225" s="68"/>
      <c r="E225" s="289"/>
      <c r="H225" s="290"/>
    </row>
    <row r="226" spans="3:8" ht="15.75" customHeight="1">
      <c r="C226" s="68"/>
      <c r="D226" s="68"/>
      <c r="E226" s="289"/>
      <c r="H226" s="290"/>
    </row>
    <row r="227" spans="3:8" ht="15.75" customHeight="1">
      <c r="C227" s="68"/>
      <c r="D227" s="68"/>
      <c r="E227" s="289"/>
      <c r="H227" s="290"/>
    </row>
    <row r="228" spans="3:8" ht="15.75" customHeight="1">
      <c r="C228" s="68"/>
      <c r="D228" s="68"/>
      <c r="E228" s="289"/>
      <c r="H228" s="290"/>
    </row>
    <row r="229" spans="3:8" ht="15.75" customHeight="1">
      <c r="C229" s="68"/>
      <c r="D229" s="68"/>
      <c r="E229" s="289"/>
      <c r="H229" s="290"/>
    </row>
    <row r="230" spans="3:8" ht="15.75" customHeight="1">
      <c r="C230" s="68"/>
      <c r="D230" s="68"/>
      <c r="E230" s="289"/>
      <c r="H230" s="290"/>
    </row>
    <row r="231" spans="3:8" ht="15.75" customHeight="1">
      <c r="C231" s="68"/>
      <c r="D231" s="68"/>
      <c r="E231" s="289"/>
      <c r="H231" s="290"/>
    </row>
    <row r="232" spans="3:8" ht="15.75" customHeight="1">
      <c r="C232" s="68"/>
      <c r="D232" s="68"/>
      <c r="E232" s="289"/>
      <c r="H232" s="290"/>
    </row>
    <row r="233" spans="3:8" ht="15.75" customHeight="1">
      <c r="C233" s="68"/>
      <c r="D233" s="68"/>
      <c r="E233" s="289"/>
      <c r="H233" s="290"/>
    </row>
    <row r="234" spans="3:8" ht="15.75" customHeight="1">
      <c r="C234" s="68"/>
      <c r="D234" s="68"/>
      <c r="E234" s="289"/>
      <c r="H234" s="290"/>
    </row>
    <row r="235" spans="3:8" ht="15.75" customHeight="1">
      <c r="C235" s="68"/>
      <c r="D235" s="68"/>
      <c r="E235" s="289"/>
      <c r="H235" s="290"/>
    </row>
    <row r="236" spans="3:8" ht="15.75" customHeight="1">
      <c r="C236" s="68"/>
      <c r="D236" s="68"/>
      <c r="E236" s="289"/>
      <c r="H236" s="290"/>
    </row>
    <row r="237" spans="3:8" ht="15.75" customHeight="1">
      <c r="C237" s="68"/>
      <c r="D237" s="68"/>
      <c r="E237" s="289"/>
      <c r="H237" s="290"/>
    </row>
    <row r="238" spans="3:8" ht="15.75" customHeight="1">
      <c r="C238" s="68"/>
      <c r="D238" s="68"/>
      <c r="E238" s="289"/>
      <c r="H238" s="290"/>
    </row>
    <row r="239" spans="3:8" ht="15.75" customHeight="1">
      <c r="C239" s="68"/>
      <c r="D239" s="68"/>
      <c r="E239" s="289"/>
      <c r="H239" s="290"/>
    </row>
    <row r="240" spans="3:8" ht="15.75" customHeight="1">
      <c r="C240" s="68"/>
      <c r="D240" s="68"/>
      <c r="E240" s="289"/>
      <c r="H240" s="290"/>
    </row>
    <row r="241" spans="3:8" ht="15.75" customHeight="1">
      <c r="C241" s="68"/>
      <c r="D241" s="68"/>
      <c r="E241" s="289"/>
      <c r="H241" s="290"/>
    </row>
    <row r="242" spans="3:8" ht="15.75" customHeight="1">
      <c r="C242" s="68"/>
      <c r="D242" s="68"/>
      <c r="E242" s="289"/>
      <c r="H242" s="290"/>
    </row>
    <row r="243" spans="3:8" ht="15.75" customHeight="1">
      <c r="C243" s="68"/>
      <c r="D243" s="68"/>
      <c r="E243" s="289"/>
      <c r="H243" s="290"/>
    </row>
    <row r="244" spans="3:8" ht="15.75" customHeight="1">
      <c r="C244" s="68"/>
      <c r="D244" s="68"/>
      <c r="E244" s="289"/>
      <c r="H244" s="290"/>
    </row>
    <row r="245" spans="3:8" ht="15.75" customHeight="1">
      <c r="C245" s="68"/>
      <c r="D245" s="68"/>
      <c r="E245" s="289"/>
      <c r="H245" s="290"/>
    </row>
    <row r="246" spans="3:8" ht="15.75" customHeight="1">
      <c r="C246" s="68"/>
      <c r="D246" s="68"/>
      <c r="E246" s="289"/>
      <c r="H246" s="290"/>
    </row>
    <row r="247" spans="3:8" ht="15.75" customHeight="1">
      <c r="C247" s="68"/>
      <c r="D247" s="68"/>
      <c r="E247" s="289"/>
      <c r="H247" s="290"/>
    </row>
    <row r="248" spans="3:8" ht="15.75" customHeight="1">
      <c r="C248" s="68"/>
      <c r="D248" s="68"/>
      <c r="E248" s="289"/>
      <c r="H248" s="290"/>
    </row>
    <row r="249" spans="3:8" ht="15.75" customHeight="1">
      <c r="C249" s="68"/>
      <c r="D249" s="68"/>
      <c r="E249" s="289"/>
      <c r="H249" s="290"/>
    </row>
    <row r="250" spans="3:8" ht="15.75" customHeight="1">
      <c r="C250" s="68"/>
      <c r="D250" s="68"/>
      <c r="E250" s="289"/>
      <c r="H250" s="290"/>
    </row>
    <row r="251" spans="3:8" ht="15.75" customHeight="1">
      <c r="C251" s="68"/>
      <c r="D251" s="68"/>
      <c r="E251" s="289"/>
      <c r="H251" s="290"/>
    </row>
    <row r="252" spans="3:8" ht="15.75" customHeight="1">
      <c r="C252" s="68"/>
      <c r="D252" s="68"/>
      <c r="E252" s="289"/>
      <c r="H252" s="290"/>
    </row>
    <row r="253" spans="3:8" ht="15.75" customHeight="1">
      <c r="C253" s="68"/>
      <c r="D253" s="68"/>
      <c r="E253" s="289"/>
      <c r="H253" s="290"/>
    </row>
    <row r="254" spans="3:8" ht="15.75" customHeight="1">
      <c r="C254" s="68"/>
      <c r="D254" s="68"/>
      <c r="E254" s="289"/>
      <c r="H254" s="290"/>
    </row>
    <row r="255" spans="3:8" ht="15.75" customHeight="1">
      <c r="C255" s="68"/>
      <c r="D255" s="68"/>
      <c r="E255" s="289"/>
      <c r="H255" s="290"/>
    </row>
    <row r="256" spans="3:8" ht="15.75" customHeight="1">
      <c r="C256" s="68"/>
      <c r="D256" s="68"/>
      <c r="E256" s="289"/>
      <c r="H256" s="290"/>
    </row>
    <row r="257" spans="3:8" ht="15.75" customHeight="1">
      <c r="C257" s="68"/>
      <c r="D257" s="68"/>
      <c r="E257" s="289"/>
      <c r="H257" s="290"/>
    </row>
    <row r="258" spans="3:8" ht="15.75" customHeight="1">
      <c r="C258" s="68"/>
      <c r="D258" s="68"/>
      <c r="E258" s="289"/>
      <c r="H258" s="290"/>
    </row>
    <row r="259" spans="3:8" ht="15.75" customHeight="1">
      <c r="C259" s="68"/>
      <c r="D259" s="68"/>
      <c r="E259" s="289"/>
      <c r="H259" s="290"/>
    </row>
    <row r="260" spans="3:8" ht="15.75" customHeight="1">
      <c r="C260" s="68"/>
      <c r="D260" s="68"/>
      <c r="E260" s="289"/>
      <c r="H260" s="290"/>
    </row>
    <row r="261" spans="3:8" ht="15.75" customHeight="1">
      <c r="C261" s="68"/>
      <c r="D261" s="68"/>
      <c r="E261" s="289"/>
      <c r="H261" s="290"/>
    </row>
    <row r="262" spans="3:8" ht="15.75" customHeight="1">
      <c r="C262" s="68"/>
      <c r="D262" s="68"/>
      <c r="E262" s="289"/>
      <c r="H262" s="290"/>
    </row>
    <row r="263" spans="3:8" ht="15.75" customHeight="1">
      <c r="C263" s="68"/>
      <c r="D263" s="68"/>
      <c r="E263" s="289"/>
      <c r="H263" s="290"/>
    </row>
    <row r="264" spans="3:8" ht="15.75" customHeight="1">
      <c r="C264" s="68"/>
      <c r="D264" s="68"/>
      <c r="E264" s="289"/>
      <c r="H264" s="290"/>
    </row>
    <row r="265" spans="3:8" ht="15.75" customHeight="1">
      <c r="C265" s="68"/>
      <c r="D265" s="68"/>
      <c r="E265" s="289"/>
      <c r="H265" s="290"/>
    </row>
    <row r="266" spans="3:8" ht="15.75" customHeight="1">
      <c r="C266" s="68"/>
      <c r="D266" s="68"/>
      <c r="E266" s="289"/>
      <c r="H266" s="290"/>
    </row>
    <row r="267" spans="3:8" ht="15.75" customHeight="1">
      <c r="C267" s="68"/>
      <c r="D267" s="68"/>
      <c r="E267" s="289"/>
      <c r="H267" s="290"/>
    </row>
    <row r="268" spans="3:8" ht="15.75" customHeight="1">
      <c r="C268" s="68"/>
      <c r="D268" s="68"/>
      <c r="E268" s="289"/>
      <c r="H268" s="290"/>
    </row>
    <row r="269" spans="3:8" ht="15.75" customHeight="1">
      <c r="C269" s="68"/>
      <c r="D269" s="68"/>
      <c r="E269" s="289"/>
      <c r="H269" s="290"/>
    </row>
    <row r="270" spans="3:8" ht="15.75" customHeight="1">
      <c r="C270" s="68"/>
      <c r="D270" s="68"/>
      <c r="E270" s="289"/>
      <c r="H270" s="290"/>
    </row>
    <row r="271" spans="3:8" ht="15.75" customHeight="1">
      <c r="C271" s="68"/>
      <c r="D271" s="68"/>
      <c r="E271" s="289"/>
      <c r="H271" s="290"/>
    </row>
    <row r="272" spans="3:8" ht="15.75" customHeight="1">
      <c r="C272" s="68"/>
      <c r="D272" s="68"/>
      <c r="E272" s="289"/>
      <c r="H272" s="290"/>
    </row>
    <row r="273" spans="3:8" ht="15.75" customHeight="1">
      <c r="C273" s="68"/>
      <c r="D273" s="68"/>
      <c r="E273" s="289"/>
      <c r="H273" s="290"/>
    </row>
    <row r="274" spans="3:8" ht="15.75" customHeight="1">
      <c r="C274" s="68"/>
      <c r="D274" s="68"/>
      <c r="E274" s="289"/>
      <c r="H274" s="290"/>
    </row>
    <row r="275" spans="3:8" ht="15.75" customHeight="1">
      <c r="C275" s="68"/>
      <c r="D275" s="68"/>
      <c r="E275" s="289"/>
      <c r="H275" s="290"/>
    </row>
    <row r="276" spans="3:8" ht="15.75" customHeight="1">
      <c r="C276" s="68"/>
      <c r="D276" s="68"/>
      <c r="E276" s="289"/>
      <c r="H276" s="290"/>
    </row>
    <row r="277" spans="3:8" ht="15.75" customHeight="1">
      <c r="C277" s="68"/>
      <c r="D277" s="68"/>
      <c r="E277" s="289"/>
      <c r="H277" s="290"/>
    </row>
    <row r="278" spans="3:8" ht="15.75" customHeight="1">
      <c r="C278" s="68"/>
      <c r="D278" s="68"/>
      <c r="E278" s="289"/>
      <c r="H278" s="290"/>
    </row>
    <row r="279" spans="3:8" ht="15.75" customHeight="1">
      <c r="C279" s="68"/>
      <c r="D279" s="68"/>
      <c r="E279" s="289"/>
      <c r="H279" s="290"/>
    </row>
    <row r="280" spans="3:8" ht="15.75" customHeight="1">
      <c r="C280" s="68"/>
      <c r="D280" s="68"/>
      <c r="E280" s="289"/>
      <c r="H280" s="290"/>
    </row>
    <row r="281" spans="3:8" ht="15.75" customHeight="1">
      <c r="C281" s="68"/>
      <c r="D281" s="68"/>
      <c r="E281" s="289"/>
      <c r="H281" s="290"/>
    </row>
    <row r="282" spans="3:8" ht="15.75" customHeight="1">
      <c r="C282" s="68"/>
      <c r="D282" s="68"/>
      <c r="E282" s="289"/>
      <c r="H282" s="290"/>
    </row>
    <row r="283" spans="3:8" ht="15.75" customHeight="1">
      <c r="C283" s="68"/>
      <c r="D283" s="68"/>
      <c r="E283" s="289"/>
      <c r="H283" s="290"/>
    </row>
    <row r="284" spans="3:8" ht="15.75" customHeight="1">
      <c r="C284" s="68"/>
      <c r="D284" s="68"/>
      <c r="E284" s="289"/>
      <c r="H284" s="290"/>
    </row>
    <row r="285" spans="3:8" ht="15.75" customHeight="1">
      <c r="C285" s="68"/>
      <c r="D285" s="68"/>
      <c r="E285" s="289"/>
      <c r="H285" s="290"/>
    </row>
    <row r="286" spans="3:8" ht="15.75" customHeight="1">
      <c r="C286" s="68"/>
      <c r="D286" s="68"/>
      <c r="E286" s="289"/>
      <c r="H286" s="290"/>
    </row>
    <row r="287" spans="3:8" ht="15.75" customHeight="1">
      <c r="C287" s="68"/>
      <c r="D287" s="68"/>
      <c r="E287" s="289"/>
      <c r="H287" s="290"/>
    </row>
  </sheetData>
  <pageMargins left="0.59055118110236227" right="0.27559055118110237" top="0.31496062992125984" bottom="0.6692913385826772" header="0.51181102362204722" footer="0.31496062992125984"/>
  <pageSetup paperSize="9" orientation="landscape" horizontalDpi="300" verticalDpi="300" r:id="rId1"/>
  <headerFooter>
    <oddFooter>Stránka &amp;P&amp;R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155"/>
  <sheetViews>
    <sheetView zoomScaleNormal="100" workbookViewId="0">
      <selection activeCell="N114" sqref="N114"/>
    </sheetView>
  </sheetViews>
  <sheetFormatPr defaultColWidth="8.7109375" defaultRowHeight="14.25" customHeight="1"/>
  <cols>
    <col min="1" max="1" width="4.42578125" customWidth="1"/>
    <col min="2" max="2" width="11.42578125" customWidth="1"/>
    <col min="3" max="3" width="67.28515625" customWidth="1"/>
    <col min="4" max="4" width="6.28515625" customWidth="1"/>
    <col min="5" max="5" width="8.140625" customWidth="1"/>
    <col min="6" max="6" width="9.28515625" customWidth="1"/>
    <col min="7" max="7" width="15.7109375" customWidth="1"/>
    <col min="9" max="9" width="2.85546875" customWidth="1"/>
  </cols>
  <sheetData>
    <row r="1" spans="1:13" s="7" customFormat="1" ht="16.5" customHeight="1">
      <c r="A1" s="23"/>
      <c r="B1" s="24" t="s">
        <v>15</v>
      </c>
      <c r="C1" s="25" t="s">
        <v>16</v>
      </c>
      <c r="D1" s="25" t="s">
        <v>4</v>
      </c>
      <c r="E1" s="26"/>
      <c r="F1" s="27"/>
      <c r="G1" s="28"/>
      <c r="H1" s="29"/>
      <c r="J1" s="30"/>
      <c r="K1" s="31"/>
      <c r="L1" s="32"/>
      <c r="M1" s="31"/>
    </row>
    <row r="2" spans="1:13" s="22" customFormat="1" ht="16.5" customHeight="1">
      <c r="A2" s="34"/>
      <c r="B2" s="35" t="s">
        <v>17</v>
      </c>
      <c r="C2" s="36" t="s">
        <v>18</v>
      </c>
      <c r="D2" s="37" t="s">
        <v>19</v>
      </c>
      <c r="E2" s="38"/>
      <c r="F2" s="39"/>
      <c r="G2" s="40"/>
      <c r="H2" s="41" t="s">
        <v>20</v>
      </c>
      <c r="J2" s="42"/>
      <c r="K2" s="43"/>
      <c r="L2" s="44"/>
      <c r="M2" s="43"/>
    </row>
    <row r="3" spans="1:13" s="22" customFormat="1">
      <c r="A3" s="45" t="s">
        <v>21</v>
      </c>
      <c r="B3" s="46" t="s">
        <v>22</v>
      </c>
      <c r="C3" s="46" t="s">
        <v>23</v>
      </c>
      <c r="D3" s="47" t="s">
        <v>24</v>
      </c>
      <c r="E3" s="48" t="s">
        <v>25</v>
      </c>
      <c r="F3" s="47" t="s">
        <v>26</v>
      </c>
      <c r="G3" s="47" t="s">
        <v>27</v>
      </c>
      <c r="H3" s="49" t="s">
        <v>28</v>
      </c>
      <c r="J3" s="50" t="s">
        <v>29</v>
      </c>
      <c r="K3" s="51" t="s">
        <v>30</v>
      </c>
      <c r="L3" s="52" t="s">
        <v>31</v>
      </c>
      <c r="M3" s="53" t="s">
        <v>30</v>
      </c>
    </row>
    <row r="4" spans="1:13" s="7" customFormat="1" ht="4.5" customHeight="1">
      <c r="A4" s="55"/>
      <c r="B4" s="56"/>
      <c r="C4" s="56"/>
      <c r="D4" s="57"/>
      <c r="E4" s="58"/>
      <c r="F4" s="59"/>
      <c r="G4" s="57"/>
      <c r="H4" s="60"/>
      <c r="I4" s="22"/>
      <c r="J4" s="61"/>
      <c r="K4" s="62"/>
      <c r="L4" s="63"/>
      <c r="M4" s="62"/>
    </row>
    <row r="5" spans="1:13" ht="18" customHeight="1">
      <c r="A5" s="65"/>
      <c r="B5" s="66"/>
      <c r="C5" s="67" t="s">
        <v>220</v>
      </c>
      <c r="D5" s="68"/>
      <c r="E5" s="69"/>
      <c r="F5" s="70"/>
      <c r="G5" s="179">
        <f>SUM(G6:G23)</f>
        <v>0</v>
      </c>
      <c r="H5" s="72"/>
      <c r="I5" s="22"/>
      <c r="J5" s="73"/>
      <c r="K5" s="74">
        <f>SUM(K6:K23)</f>
        <v>7.4194499999999994</v>
      </c>
      <c r="L5" s="73"/>
      <c r="M5" s="75">
        <v>0</v>
      </c>
    </row>
    <row r="6" spans="1:13" ht="24">
      <c r="A6" s="369">
        <v>1</v>
      </c>
      <c r="B6" s="230">
        <v>183101321</v>
      </c>
      <c r="C6" s="230" t="s">
        <v>221</v>
      </c>
      <c r="D6" s="370" t="s">
        <v>92</v>
      </c>
      <c r="E6" s="371">
        <v>5</v>
      </c>
      <c r="F6" s="372"/>
      <c r="G6" s="373">
        <f t="shared" ref="G6:G23" si="0">F6*E6</f>
        <v>0</v>
      </c>
      <c r="H6" s="82" t="s">
        <v>35</v>
      </c>
      <c r="I6" s="22"/>
      <c r="J6" s="291"/>
      <c r="K6" s="84">
        <f>E6*J6</f>
        <v>0</v>
      </c>
      <c r="L6" s="85">
        <f>K6*F6</f>
        <v>0</v>
      </c>
      <c r="M6" s="86">
        <f>E6*L6</f>
        <v>0</v>
      </c>
    </row>
    <row r="7" spans="1:13" ht="16.5" customHeight="1">
      <c r="A7" s="369">
        <f t="shared" ref="A7:A23" si="1">A6+1</f>
        <v>2</v>
      </c>
      <c r="B7" s="354">
        <v>184102115</v>
      </c>
      <c r="C7" s="354" t="s">
        <v>222</v>
      </c>
      <c r="D7" s="370" t="s">
        <v>92</v>
      </c>
      <c r="E7" s="371">
        <v>5</v>
      </c>
      <c r="F7" s="372"/>
      <c r="G7" s="373">
        <f t="shared" si="0"/>
        <v>0</v>
      </c>
      <c r="H7" s="82" t="s">
        <v>35</v>
      </c>
      <c r="I7" s="22"/>
      <c r="J7" s="83"/>
      <c r="K7" s="84">
        <f>E7*J7</f>
        <v>0</v>
      </c>
      <c r="L7" s="85">
        <f>K7*F7</f>
        <v>0</v>
      </c>
      <c r="M7" s="86">
        <f>E7*L7</f>
        <v>0</v>
      </c>
    </row>
    <row r="8" spans="1:13" ht="16.5" customHeight="1">
      <c r="A8" s="369">
        <f t="shared" si="1"/>
        <v>3</v>
      </c>
      <c r="B8" s="343">
        <v>184215133</v>
      </c>
      <c r="C8" s="343" t="s">
        <v>223</v>
      </c>
      <c r="D8" s="374" t="s">
        <v>92</v>
      </c>
      <c r="E8" s="375">
        <v>5</v>
      </c>
      <c r="F8" s="376"/>
      <c r="G8" s="377">
        <f t="shared" si="0"/>
        <v>0</v>
      </c>
      <c r="H8" s="82" t="s">
        <v>224</v>
      </c>
      <c r="I8" s="22"/>
      <c r="J8" s="184">
        <v>6.0000000000000002E-5</v>
      </c>
      <c r="K8" s="292">
        <f t="shared" ref="K8:K23" si="2">J8*E8</f>
        <v>3.0000000000000003E-4</v>
      </c>
      <c r="L8" s="86">
        <v>0</v>
      </c>
      <c r="M8" s="86">
        <f t="shared" ref="M8:M13" si="3">L8*E8</f>
        <v>0</v>
      </c>
    </row>
    <row r="9" spans="1:13" ht="17.25" customHeight="1">
      <c r="A9" s="369">
        <f t="shared" si="1"/>
        <v>4</v>
      </c>
      <c r="B9" s="348" t="s">
        <v>225</v>
      </c>
      <c r="C9" s="378" t="s">
        <v>226</v>
      </c>
      <c r="D9" s="379" t="s">
        <v>173</v>
      </c>
      <c r="E9" s="380">
        <v>60</v>
      </c>
      <c r="F9" s="381"/>
      <c r="G9" s="382">
        <f t="shared" si="0"/>
        <v>0</v>
      </c>
      <c r="H9" s="293" t="s">
        <v>227</v>
      </c>
      <c r="I9" s="22"/>
      <c r="J9" s="184">
        <v>3.5000000000000001E-3</v>
      </c>
      <c r="K9" s="84">
        <f t="shared" si="2"/>
        <v>0.21</v>
      </c>
      <c r="L9" s="86">
        <v>0</v>
      </c>
      <c r="M9" s="86">
        <f t="shared" si="3"/>
        <v>0</v>
      </c>
    </row>
    <row r="10" spans="1:13" ht="17.25" customHeight="1">
      <c r="A10" s="369">
        <f t="shared" si="1"/>
        <v>5</v>
      </c>
      <c r="B10" s="365">
        <v>60591257</v>
      </c>
      <c r="C10" s="383" t="s">
        <v>228</v>
      </c>
      <c r="D10" s="384" t="s">
        <v>92</v>
      </c>
      <c r="E10" s="385">
        <v>15</v>
      </c>
      <c r="F10" s="386"/>
      <c r="G10" s="387">
        <f t="shared" si="0"/>
        <v>0</v>
      </c>
      <c r="H10" s="82" t="s">
        <v>224</v>
      </c>
      <c r="I10" s="22"/>
      <c r="J10" s="184">
        <v>7.0899999999999999E-3</v>
      </c>
      <c r="K10" s="84">
        <f t="shared" si="2"/>
        <v>0.10635</v>
      </c>
      <c r="L10" s="86">
        <v>0</v>
      </c>
      <c r="M10" s="86">
        <f t="shared" si="3"/>
        <v>0</v>
      </c>
    </row>
    <row r="11" spans="1:13" ht="17.25" customHeight="1">
      <c r="A11" s="369">
        <f t="shared" si="1"/>
        <v>6</v>
      </c>
      <c r="B11" s="348" t="s">
        <v>229</v>
      </c>
      <c r="C11" s="388" t="s">
        <v>230</v>
      </c>
      <c r="D11" s="389" t="s">
        <v>92</v>
      </c>
      <c r="E11" s="390">
        <v>60</v>
      </c>
      <c r="F11" s="381"/>
      <c r="G11" s="382">
        <f t="shared" si="0"/>
        <v>0</v>
      </c>
      <c r="H11" s="293" t="s">
        <v>227</v>
      </c>
      <c r="I11" s="22"/>
      <c r="J11" s="184">
        <v>0</v>
      </c>
      <c r="K11" s="84">
        <f t="shared" si="2"/>
        <v>0</v>
      </c>
      <c r="L11" s="86">
        <v>0</v>
      </c>
      <c r="M11" s="86">
        <f t="shared" si="3"/>
        <v>0</v>
      </c>
    </row>
    <row r="12" spans="1:13" ht="17.25" customHeight="1">
      <c r="A12" s="369">
        <f t="shared" si="1"/>
        <v>7</v>
      </c>
      <c r="B12" s="336">
        <v>184813161</v>
      </c>
      <c r="C12" s="336" t="s">
        <v>231</v>
      </c>
      <c r="D12" s="370" t="s">
        <v>92</v>
      </c>
      <c r="E12" s="371">
        <v>5</v>
      </c>
      <c r="F12" s="376"/>
      <c r="G12" s="377">
        <f t="shared" si="0"/>
        <v>0</v>
      </c>
      <c r="H12" s="82" t="s">
        <v>224</v>
      </c>
      <c r="I12" s="22"/>
      <c r="J12" s="184">
        <v>3.6000000000000002E-4</v>
      </c>
      <c r="K12" s="84">
        <f t="shared" si="2"/>
        <v>1.8000000000000002E-3</v>
      </c>
      <c r="L12" s="86">
        <v>0</v>
      </c>
      <c r="M12" s="86">
        <f t="shared" si="3"/>
        <v>0</v>
      </c>
    </row>
    <row r="13" spans="1:13" ht="17.25" customHeight="1">
      <c r="A13" s="369">
        <f t="shared" si="1"/>
        <v>8</v>
      </c>
      <c r="B13" s="348" t="s">
        <v>232</v>
      </c>
      <c r="C13" s="348" t="s">
        <v>233</v>
      </c>
      <c r="D13" s="391" t="s">
        <v>206</v>
      </c>
      <c r="E13" s="380">
        <v>1</v>
      </c>
      <c r="F13" s="381"/>
      <c r="G13" s="392">
        <f t="shared" si="0"/>
        <v>0</v>
      </c>
      <c r="H13" s="294" t="s">
        <v>227</v>
      </c>
      <c r="I13" s="22"/>
      <c r="J13" s="184">
        <v>1E-3</v>
      </c>
      <c r="K13" s="84">
        <f t="shared" si="2"/>
        <v>1E-3</v>
      </c>
      <c r="L13" s="86">
        <v>0</v>
      </c>
      <c r="M13" s="86">
        <f t="shared" si="3"/>
        <v>0</v>
      </c>
    </row>
    <row r="14" spans="1:13" ht="17.25" customHeight="1">
      <c r="A14" s="369">
        <f t="shared" si="1"/>
        <v>9</v>
      </c>
      <c r="B14" s="348" t="s">
        <v>234</v>
      </c>
      <c r="C14" s="348" t="s">
        <v>235</v>
      </c>
      <c r="D14" s="379" t="s">
        <v>92</v>
      </c>
      <c r="E14" s="393">
        <v>3</v>
      </c>
      <c r="F14" s="394"/>
      <c r="G14" s="382">
        <f t="shared" si="0"/>
        <v>0</v>
      </c>
      <c r="H14" s="294" t="s">
        <v>227</v>
      </c>
      <c r="I14" s="22"/>
      <c r="J14" s="184">
        <f>0.7*1.6</f>
        <v>1.1199999999999999</v>
      </c>
      <c r="K14" s="84">
        <f t="shared" si="2"/>
        <v>3.3599999999999994</v>
      </c>
      <c r="L14" s="85">
        <v>0</v>
      </c>
      <c r="M14" s="86">
        <f t="shared" ref="M14:M23" si="4">E14*L14</f>
        <v>0</v>
      </c>
    </row>
    <row r="15" spans="1:13" ht="17.25" customHeight="1">
      <c r="A15" s="369">
        <f t="shared" si="1"/>
        <v>10</v>
      </c>
      <c r="B15" s="348">
        <v>162251101</v>
      </c>
      <c r="C15" s="348" t="s">
        <v>236</v>
      </c>
      <c r="D15" s="379" t="s">
        <v>92</v>
      </c>
      <c r="E15" s="393">
        <v>1</v>
      </c>
      <c r="F15" s="394"/>
      <c r="G15" s="382">
        <f t="shared" si="0"/>
        <v>0</v>
      </c>
      <c r="H15" s="294" t="s">
        <v>227</v>
      </c>
      <c r="I15" s="22"/>
      <c r="J15" s="184">
        <f>0.7*1.6</f>
        <v>1.1199999999999999</v>
      </c>
      <c r="K15" s="84">
        <f t="shared" si="2"/>
        <v>1.1199999999999999</v>
      </c>
      <c r="L15" s="85">
        <v>0</v>
      </c>
      <c r="M15" s="86">
        <f t="shared" si="4"/>
        <v>0</v>
      </c>
    </row>
    <row r="16" spans="1:13" ht="17.25" customHeight="1">
      <c r="A16" s="369">
        <f t="shared" si="1"/>
        <v>11</v>
      </c>
      <c r="B16" s="348">
        <v>162251101</v>
      </c>
      <c r="C16" s="348" t="s">
        <v>237</v>
      </c>
      <c r="D16" s="379" t="s">
        <v>92</v>
      </c>
      <c r="E16" s="393">
        <v>1</v>
      </c>
      <c r="F16" s="395"/>
      <c r="G16" s="382">
        <f t="shared" si="0"/>
        <v>0</v>
      </c>
      <c r="H16" s="294" t="s">
        <v>227</v>
      </c>
      <c r="I16" s="22"/>
      <c r="J16" s="184">
        <f>0.7*1.6</f>
        <v>1.1199999999999999</v>
      </c>
      <c r="K16" s="84">
        <f t="shared" si="2"/>
        <v>1.1199999999999999</v>
      </c>
      <c r="L16" s="85">
        <v>0</v>
      </c>
      <c r="M16" s="86">
        <f t="shared" si="4"/>
        <v>0</v>
      </c>
    </row>
    <row r="17" spans="1:13" ht="17.25" customHeight="1">
      <c r="A17" s="369">
        <f t="shared" si="1"/>
        <v>12</v>
      </c>
      <c r="B17" s="295">
        <v>10321100</v>
      </c>
      <c r="C17" s="295" t="s">
        <v>238</v>
      </c>
      <c r="D17" s="296" t="s">
        <v>142</v>
      </c>
      <c r="E17" s="297">
        <v>6</v>
      </c>
      <c r="F17" s="298"/>
      <c r="G17" s="299">
        <f t="shared" si="0"/>
        <v>0</v>
      </c>
      <c r="H17" s="82" t="s">
        <v>35</v>
      </c>
      <c r="I17" s="22"/>
      <c r="J17" s="184">
        <f>0.222</f>
        <v>0.222</v>
      </c>
      <c r="K17" s="84">
        <f t="shared" si="2"/>
        <v>1.3320000000000001</v>
      </c>
      <c r="L17" s="85">
        <v>0</v>
      </c>
      <c r="M17" s="86">
        <f t="shared" si="4"/>
        <v>0</v>
      </c>
    </row>
    <row r="18" spans="1:13" ht="17.25" customHeight="1">
      <c r="A18" s="369">
        <f t="shared" si="1"/>
        <v>13</v>
      </c>
      <c r="B18" s="230">
        <v>185802114</v>
      </c>
      <c r="C18" s="230" t="s">
        <v>239</v>
      </c>
      <c r="D18" s="300" t="s">
        <v>206</v>
      </c>
      <c r="E18" s="301">
        <f>(E20+E19)*0.001</f>
        <v>8.0000000000000002E-3</v>
      </c>
      <c r="F18" s="302"/>
      <c r="G18" s="235">
        <f t="shared" si="0"/>
        <v>0</v>
      </c>
      <c r="H18" s="82" t="s">
        <v>35</v>
      </c>
      <c r="I18" s="22"/>
      <c r="J18" s="184">
        <v>0</v>
      </c>
      <c r="K18" s="84">
        <f t="shared" si="2"/>
        <v>0</v>
      </c>
      <c r="L18" s="85">
        <f>K18*F18</f>
        <v>0</v>
      </c>
      <c r="M18" s="86">
        <f t="shared" si="4"/>
        <v>0</v>
      </c>
    </row>
    <row r="19" spans="1:13" ht="17.25" customHeight="1">
      <c r="A19" s="369">
        <f t="shared" si="1"/>
        <v>14</v>
      </c>
      <c r="B19" s="396" t="s">
        <v>240</v>
      </c>
      <c r="C19" s="397" t="s">
        <v>241</v>
      </c>
      <c r="D19" s="397" t="s">
        <v>206</v>
      </c>
      <c r="E19" s="393">
        <v>6</v>
      </c>
      <c r="F19" s="398"/>
      <c r="G19" s="382">
        <f t="shared" si="0"/>
        <v>0</v>
      </c>
      <c r="H19" s="294" t="s">
        <v>227</v>
      </c>
      <c r="I19" s="22"/>
      <c r="J19" s="184">
        <f>0.001</f>
        <v>1E-3</v>
      </c>
      <c r="K19" s="84">
        <f t="shared" si="2"/>
        <v>6.0000000000000001E-3</v>
      </c>
      <c r="L19" s="85">
        <f>K19*F19</f>
        <v>0</v>
      </c>
      <c r="M19" s="86">
        <f t="shared" si="4"/>
        <v>0</v>
      </c>
    </row>
    <row r="20" spans="1:13" ht="17.25" customHeight="1">
      <c r="A20" s="369">
        <f t="shared" si="1"/>
        <v>15</v>
      </c>
      <c r="B20" s="396" t="s">
        <v>242</v>
      </c>
      <c r="C20" s="397" t="s">
        <v>243</v>
      </c>
      <c r="D20" s="397" t="s">
        <v>206</v>
      </c>
      <c r="E20" s="393">
        <v>2</v>
      </c>
      <c r="F20" s="398"/>
      <c r="G20" s="382">
        <f t="shared" si="0"/>
        <v>0</v>
      </c>
      <c r="H20" s="294" t="s">
        <v>227</v>
      </c>
      <c r="I20" s="22"/>
      <c r="J20" s="184">
        <f>0.001</f>
        <v>1E-3</v>
      </c>
      <c r="K20" s="84">
        <f t="shared" si="2"/>
        <v>2E-3</v>
      </c>
      <c r="L20" s="85">
        <f>K20*F20</f>
        <v>0</v>
      </c>
      <c r="M20" s="86">
        <f t="shared" si="4"/>
        <v>0</v>
      </c>
    </row>
    <row r="21" spans="1:13" ht="17.25" customHeight="1">
      <c r="A21" s="369">
        <f t="shared" si="1"/>
        <v>16</v>
      </c>
      <c r="B21" s="336">
        <v>184215412</v>
      </c>
      <c r="C21" s="347" t="s">
        <v>244</v>
      </c>
      <c r="D21" s="399" t="s">
        <v>173</v>
      </c>
      <c r="E21" s="400">
        <v>5</v>
      </c>
      <c r="F21" s="401"/>
      <c r="G21" s="373">
        <f t="shared" si="0"/>
        <v>0</v>
      </c>
      <c r="H21" s="82" t="s">
        <v>35</v>
      </c>
      <c r="I21" s="22"/>
      <c r="J21" s="184">
        <v>0</v>
      </c>
      <c r="K21" s="84">
        <f t="shared" si="2"/>
        <v>0</v>
      </c>
      <c r="L21" s="85">
        <f>K21*F21</f>
        <v>0</v>
      </c>
      <c r="M21" s="86">
        <f t="shared" si="4"/>
        <v>0</v>
      </c>
    </row>
    <row r="22" spans="1:13" ht="17.25" customHeight="1">
      <c r="A22" s="369">
        <f t="shared" si="1"/>
        <v>17</v>
      </c>
      <c r="B22" s="336">
        <v>184911421</v>
      </c>
      <c r="C22" s="336" t="s">
        <v>245</v>
      </c>
      <c r="D22" s="399" t="s">
        <v>106</v>
      </c>
      <c r="E22" s="400">
        <v>10</v>
      </c>
      <c r="F22" s="401"/>
      <c r="G22" s="373">
        <f t="shared" si="0"/>
        <v>0</v>
      </c>
      <c r="H22" s="82" t="s">
        <v>35</v>
      </c>
      <c r="I22" s="22"/>
      <c r="J22" s="184">
        <v>0</v>
      </c>
      <c r="K22" s="84">
        <f t="shared" si="2"/>
        <v>0</v>
      </c>
      <c r="L22" s="85">
        <f>K22*F22</f>
        <v>0</v>
      </c>
      <c r="M22" s="86">
        <f t="shared" si="4"/>
        <v>0</v>
      </c>
    </row>
    <row r="23" spans="1:13" ht="17.25" customHeight="1">
      <c r="A23" s="369">
        <f t="shared" si="1"/>
        <v>18</v>
      </c>
      <c r="B23" s="402">
        <v>10391100</v>
      </c>
      <c r="C23" s="402" t="s">
        <v>246</v>
      </c>
      <c r="D23" s="353" t="s">
        <v>247</v>
      </c>
      <c r="E23" s="403">
        <v>0.8</v>
      </c>
      <c r="F23" s="404"/>
      <c r="G23" s="387">
        <f t="shared" si="0"/>
        <v>0</v>
      </c>
      <c r="H23" s="82" t="s">
        <v>35</v>
      </c>
      <c r="I23" s="22"/>
      <c r="J23" s="184">
        <v>0.2</v>
      </c>
      <c r="K23" s="84">
        <f t="shared" si="2"/>
        <v>0.16000000000000003</v>
      </c>
      <c r="L23" s="85">
        <v>0</v>
      </c>
      <c r="M23" s="86">
        <f t="shared" si="4"/>
        <v>0</v>
      </c>
    </row>
    <row r="24" spans="1:13" ht="15" customHeight="1">
      <c r="A24" s="405"/>
      <c r="B24" s="405"/>
      <c r="C24" s="405"/>
      <c r="D24" s="405"/>
      <c r="E24" s="405"/>
      <c r="F24" s="405"/>
      <c r="G24" s="405"/>
      <c r="H24" s="303"/>
      <c r="I24" s="303"/>
      <c r="J24" s="304"/>
      <c r="K24" s="96"/>
      <c r="L24" s="97"/>
      <c r="M24" s="98"/>
    </row>
    <row r="25" spans="1:13" ht="18" customHeight="1">
      <c r="A25" s="406"/>
      <c r="B25" s="407"/>
      <c r="C25" s="408" t="s">
        <v>248</v>
      </c>
      <c r="D25" s="409"/>
      <c r="E25" s="410"/>
      <c r="F25" s="411"/>
      <c r="G25" s="412">
        <f>SUM(G26:G33)</f>
        <v>0</v>
      </c>
      <c r="H25" s="72"/>
      <c r="I25" s="22"/>
      <c r="J25" s="180"/>
      <c r="K25" s="74">
        <f>SUM(K26:K33)</f>
        <v>12.476800000000001</v>
      </c>
      <c r="L25" s="73"/>
      <c r="M25" s="75">
        <f>SUM(M26:M33)</f>
        <v>0</v>
      </c>
    </row>
    <row r="26" spans="1:13" ht="25.5" customHeight="1">
      <c r="A26" s="413">
        <f>A23+1</f>
        <v>19</v>
      </c>
      <c r="B26" s="414">
        <v>184102112</v>
      </c>
      <c r="C26" s="336" t="s">
        <v>249</v>
      </c>
      <c r="D26" s="399" t="s">
        <v>173</v>
      </c>
      <c r="E26" s="371">
        <v>193</v>
      </c>
      <c r="F26" s="372"/>
      <c r="G26" s="373">
        <f t="shared" ref="G26:G33" si="5">F26*E26</f>
        <v>0</v>
      </c>
      <c r="H26" s="82" t="s">
        <v>35</v>
      </c>
      <c r="I26" s="22"/>
      <c r="J26" s="184">
        <v>0</v>
      </c>
      <c r="K26" s="84">
        <f>E26*J26</f>
        <v>0</v>
      </c>
      <c r="L26" s="85">
        <f>K26*F26</f>
        <v>0</v>
      </c>
      <c r="M26" s="86">
        <f t="shared" ref="M26:M33" si="6">E26*L26</f>
        <v>0</v>
      </c>
    </row>
    <row r="27" spans="1:13" ht="17.25" customHeight="1">
      <c r="A27" s="415">
        <f t="shared" ref="A27:A33" si="7">A26+1</f>
        <v>20</v>
      </c>
      <c r="B27" s="416">
        <v>162251101</v>
      </c>
      <c r="C27" s="416" t="s">
        <v>250</v>
      </c>
      <c r="D27" s="417" t="s">
        <v>92</v>
      </c>
      <c r="E27" s="418">
        <f>E26</f>
        <v>193</v>
      </c>
      <c r="F27" s="395"/>
      <c r="G27" s="382">
        <f t="shared" si="5"/>
        <v>0</v>
      </c>
      <c r="H27" s="293" t="s">
        <v>227</v>
      </c>
      <c r="I27" s="22"/>
      <c r="J27" s="184">
        <f>0.02*1.6</f>
        <v>3.2000000000000001E-2</v>
      </c>
      <c r="K27" s="84">
        <f t="shared" ref="K27:K33" si="8">J27*E27</f>
        <v>6.1760000000000002</v>
      </c>
      <c r="L27" s="85">
        <v>0</v>
      </c>
      <c r="M27" s="86">
        <f t="shared" si="6"/>
        <v>0</v>
      </c>
    </row>
    <row r="28" spans="1:13" ht="17.25" customHeight="1">
      <c r="A28" s="415">
        <f t="shared" si="7"/>
        <v>21</v>
      </c>
      <c r="B28" s="336">
        <v>184911421</v>
      </c>
      <c r="C28" s="336" t="s">
        <v>245</v>
      </c>
      <c r="D28" s="419" t="s">
        <v>106</v>
      </c>
      <c r="E28" s="400">
        <f>0.8*55.9</f>
        <v>44.72</v>
      </c>
      <c r="F28" s="401"/>
      <c r="G28" s="373">
        <f t="shared" si="5"/>
        <v>0</v>
      </c>
      <c r="H28" s="82" t="s">
        <v>35</v>
      </c>
      <c r="I28" s="22"/>
      <c r="J28" s="184">
        <v>0</v>
      </c>
      <c r="K28" s="84">
        <f t="shared" si="8"/>
        <v>0</v>
      </c>
      <c r="L28" s="85">
        <f>K28*F28</f>
        <v>0</v>
      </c>
      <c r="M28" s="86">
        <f t="shared" si="6"/>
        <v>0</v>
      </c>
    </row>
    <row r="29" spans="1:13" ht="17.25" customHeight="1">
      <c r="A29" s="415">
        <f t="shared" si="7"/>
        <v>22</v>
      </c>
      <c r="B29" s="402">
        <v>10391100</v>
      </c>
      <c r="C29" s="402" t="s">
        <v>246</v>
      </c>
      <c r="D29" s="420" t="s">
        <v>247</v>
      </c>
      <c r="E29" s="403">
        <v>2.2000000000000002</v>
      </c>
      <c r="F29" s="404"/>
      <c r="G29" s="387">
        <f t="shared" si="5"/>
        <v>0</v>
      </c>
      <c r="H29" s="82" t="s">
        <v>35</v>
      </c>
      <c r="I29" s="22"/>
      <c r="J29" s="184">
        <v>0.2</v>
      </c>
      <c r="K29" s="84">
        <f t="shared" si="8"/>
        <v>0.44000000000000006</v>
      </c>
      <c r="L29" s="85">
        <v>0</v>
      </c>
      <c r="M29" s="86">
        <f t="shared" si="6"/>
        <v>0</v>
      </c>
    </row>
    <row r="30" spans="1:13" ht="17.25" customHeight="1">
      <c r="A30" s="415">
        <f t="shared" si="7"/>
        <v>23</v>
      </c>
      <c r="B30" s="336">
        <v>171203111</v>
      </c>
      <c r="C30" s="347" t="s">
        <v>251</v>
      </c>
      <c r="D30" s="419" t="s">
        <v>94</v>
      </c>
      <c r="E30" s="400">
        <f>E31</f>
        <v>26.4</v>
      </c>
      <c r="F30" s="401"/>
      <c r="G30" s="373">
        <f t="shared" si="5"/>
        <v>0</v>
      </c>
      <c r="H30" s="82" t="s">
        <v>35</v>
      </c>
      <c r="I30" s="22"/>
      <c r="J30" s="184">
        <v>0</v>
      </c>
      <c r="K30" s="84">
        <f t="shared" si="8"/>
        <v>0</v>
      </c>
      <c r="L30" s="85">
        <f>K30*F30</f>
        <v>0</v>
      </c>
      <c r="M30" s="86">
        <f t="shared" si="6"/>
        <v>0</v>
      </c>
    </row>
    <row r="31" spans="1:13" ht="17.25" customHeight="1">
      <c r="A31" s="415">
        <f t="shared" si="7"/>
        <v>24</v>
      </c>
      <c r="B31" s="421">
        <v>10321100</v>
      </c>
      <c r="C31" s="421" t="s">
        <v>238</v>
      </c>
      <c r="D31" s="422" t="s">
        <v>142</v>
      </c>
      <c r="E31" s="403">
        <v>26.4</v>
      </c>
      <c r="F31" s="423"/>
      <c r="G31" s="387">
        <f t="shared" si="5"/>
        <v>0</v>
      </c>
      <c r="H31" s="82" t="s">
        <v>35</v>
      </c>
      <c r="I31" s="22"/>
      <c r="J31" s="184">
        <f>0.222</f>
        <v>0.222</v>
      </c>
      <c r="K31" s="84">
        <f t="shared" si="8"/>
        <v>5.8607999999999993</v>
      </c>
      <c r="L31" s="85">
        <v>0</v>
      </c>
      <c r="M31" s="86">
        <f t="shared" si="6"/>
        <v>0</v>
      </c>
    </row>
    <row r="32" spans="1:13" ht="24" customHeight="1">
      <c r="A32" s="415">
        <f t="shared" si="7"/>
        <v>25</v>
      </c>
      <c r="B32" s="336">
        <v>181111111</v>
      </c>
      <c r="C32" s="336" t="s">
        <v>252</v>
      </c>
      <c r="D32" s="414" t="s">
        <v>74</v>
      </c>
      <c r="E32" s="371">
        <f>E28</f>
        <v>44.72</v>
      </c>
      <c r="F32" s="424"/>
      <c r="G32" s="373">
        <f t="shared" si="5"/>
        <v>0</v>
      </c>
      <c r="H32" s="82" t="s">
        <v>35</v>
      </c>
      <c r="I32" s="305"/>
      <c r="J32" s="184">
        <v>0</v>
      </c>
      <c r="K32" s="84">
        <f t="shared" si="8"/>
        <v>0</v>
      </c>
      <c r="L32" s="85">
        <v>0</v>
      </c>
      <c r="M32" s="86">
        <f t="shared" si="6"/>
        <v>0</v>
      </c>
    </row>
    <row r="33" spans="1:13" ht="16.5" customHeight="1">
      <c r="A33" s="415">
        <f t="shared" si="7"/>
        <v>26</v>
      </c>
      <c r="B33" s="336">
        <v>185804312</v>
      </c>
      <c r="C33" s="336" t="s">
        <v>253</v>
      </c>
      <c r="D33" s="414" t="s">
        <v>49</v>
      </c>
      <c r="E33" s="371">
        <f>0.03*E28</f>
        <v>1.3415999999999999</v>
      </c>
      <c r="F33" s="424"/>
      <c r="G33" s="373">
        <f t="shared" si="5"/>
        <v>0</v>
      </c>
      <c r="H33" s="82" t="s">
        <v>35</v>
      </c>
      <c r="I33" s="305"/>
      <c r="J33" s="184"/>
      <c r="K33" s="84">
        <f t="shared" si="8"/>
        <v>0</v>
      </c>
      <c r="L33" s="292">
        <v>0</v>
      </c>
      <c r="M33" s="84">
        <f t="shared" si="6"/>
        <v>0</v>
      </c>
    </row>
    <row r="34" spans="1:13" ht="15" customHeight="1">
      <c r="A34" s="405"/>
      <c r="B34" s="405"/>
      <c r="C34" s="405"/>
      <c r="D34" s="405"/>
      <c r="E34" s="405"/>
      <c r="F34" s="405"/>
      <c r="G34" s="405"/>
      <c r="H34" s="114"/>
      <c r="I34" s="114"/>
      <c r="J34" s="306"/>
      <c r="K34" s="96"/>
      <c r="L34" s="97"/>
      <c r="M34" s="98"/>
    </row>
    <row r="35" spans="1:13" ht="18" customHeight="1">
      <c r="A35" s="406"/>
      <c r="B35" s="407"/>
      <c r="C35" s="408" t="s">
        <v>254</v>
      </c>
      <c r="D35" s="409"/>
      <c r="E35" s="410"/>
      <c r="F35" s="411"/>
      <c r="G35" s="412">
        <f>SUM(G36:G46)</f>
        <v>0</v>
      </c>
      <c r="H35" s="72"/>
      <c r="I35" s="22"/>
      <c r="J35" s="180"/>
      <c r="K35" s="74">
        <f>SUM(K36:K46)</f>
        <v>3.996</v>
      </c>
      <c r="L35" s="73"/>
      <c r="M35" s="75">
        <v>0</v>
      </c>
    </row>
    <row r="36" spans="1:13" ht="17.25" customHeight="1">
      <c r="A36" s="413">
        <f>A33+1</f>
        <v>27</v>
      </c>
      <c r="B36" s="336">
        <v>171203111</v>
      </c>
      <c r="C36" s="347" t="s">
        <v>251</v>
      </c>
      <c r="D36" s="419" t="s">
        <v>94</v>
      </c>
      <c r="E36" s="400">
        <v>18</v>
      </c>
      <c r="F36" s="401"/>
      <c r="G36" s="373">
        <f t="shared" ref="G36:G46" si="9">F36*E36</f>
        <v>0</v>
      </c>
      <c r="H36" s="82" t="s">
        <v>35</v>
      </c>
      <c r="I36" s="22"/>
      <c r="J36" s="184">
        <v>0</v>
      </c>
      <c r="K36" s="84">
        <f>J36*E36</f>
        <v>0</v>
      </c>
      <c r="L36" s="85">
        <f>K36*F36</f>
        <v>0</v>
      </c>
      <c r="M36" s="86">
        <f t="shared" ref="M36:M46" si="10">E36*L36</f>
        <v>0</v>
      </c>
    </row>
    <row r="37" spans="1:13" ht="17.25" customHeight="1">
      <c r="A37" s="415">
        <f t="shared" ref="A37:A46" si="11">A36+1</f>
        <v>28</v>
      </c>
      <c r="B37" s="402">
        <v>10321100</v>
      </c>
      <c r="C37" s="402" t="s">
        <v>238</v>
      </c>
      <c r="D37" s="420" t="s">
        <v>142</v>
      </c>
      <c r="E37" s="403">
        <f>E36</f>
        <v>18</v>
      </c>
      <c r="F37" s="423"/>
      <c r="G37" s="387">
        <f t="shared" si="9"/>
        <v>0</v>
      </c>
      <c r="H37" s="82" t="s">
        <v>35</v>
      </c>
      <c r="I37" s="22"/>
      <c r="J37" s="184">
        <f>0.222</f>
        <v>0.222</v>
      </c>
      <c r="K37" s="84">
        <f t="shared" ref="K37:K46" si="12">J37*E37</f>
        <v>3.996</v>
      </c>
      <c r="L37" s="85">
        <v>0</v>
      </c>
      <c r="M37" s="86">
        <f t="shared" si="10"/>
        <v>0</v>
      </c>
    </row>
    <row r="38" spans="1:13" ht="24" customHeight="1">
      <c r="A38" s="415">
        <f t="shared" si="11"/>
        <v>29</v>
      </c>
      <c r="B38" s="336">
        <v>181111111</v>
      </c>
      <c r="C38" s="336" t="s">
        <v>252</v>
      </c>
      <c r="D38" s="414" t="s">
        <v>74</v>
      </c>
      <c r="E38" s="371">
        <v>33.200000000000003</v>
      </c>
      <c r="F38" s="424"/>
      <c r="G38" s="373">
        <f t="shared" si="9"/>
        <v>0</v>
      </c>
      <c r="H38" s="82" t="s">
        <v>35</v>
      </c>
      <c r="I38" s="305"/>
      <c r="J38" s="184">
        <v>0</v>
      </c>
      <c r="K38" s="84">
        <f t="shared" si="12"/>
        <v>0</v>
      </c>
      <c r="L38" s="85">
        <v>0</v>
      </c>
      <c r="M38" s="86">
        <f t="shared" si="10"/>
        <v>0</v>
      </c>
    </row>
    <row r="39" spans="1:13" ht="25.5" customHeight="1">
      <c r="A39" s="415">
        <f t="shared" si="11"/>
        <v>30</v>
      </c>
      <c r="B39" s="343">
        <v>184853511</v>
      </c>
      <c r="C39" s="343" t="s">
        <v>255</v>
      </c>
      <c r="D39" s="425" t="s">
        <v>106</v>
      </c>
      <c r="E39" s="426">
        <f>E38</f>
        <v>33.200000000000003</v>
      </c>
      <c r="F39" s="401"/>
      <c r="G39" s="373">
        <f t="shared" si="9"/>
        <v>0</v>
      </c>
      <c r="H39" s="82" t="s">
        <v>35</v>
      </c>
      <c r="I39" s="22"/>
      <c r="J39" s="184">
        <v>0</v>
      </c>
      <c r="K39" s="84">
        <f t="shared" si="12"/>
        <v>0</v>
      </c>
      <c r="L39" s="85">
        <v>0</v>
      </c>
      <c r="M39" s="86">
        <f t="shared" si="10"/>
        <v>0</v>
      </c>
    </row>
    <row r="40" spans="1:13" ht="24" customHeight="1">
      <c r="A40" s="415">
        <f t="shared" si="11"/>
        <v>31</v>
      </c>
      <c r="B40" s="336">
        <v>183111111</v>
      </c>
      <c r="C40" s="336" t="s">
        <v>256</v>
      </c>
      <c r="D40" s="427" t="s">
        <v>173</v>
      </c>
      <c r="E40" s="428">
        <v>299</v>
      </c>
      <c r="F40" s="401"/>
      <c r="G40" s="373">
        <f t="shared" si="9"/>
        <v>0</v>
      </c>
      <c r="H40" s="82" t="s">
        <v>35</v>
      </c>
      <c r="I40" s="22"/>
      <c r="J40" s="184">
        <v>0</v>
      </c>
      <c r="K40" s="84">
        <f t="shared" si="12"/>
        <v>0</v>
      </c>
      <c r="L40" s="85">
        <f>K40*F40</f>
        <v>0</v>
      </c>
      <c r="M40" s="86">
        <f t="shared" si="10"/>
        <v>0</v>
      </c>
    </row>
    <row r="41" spans="1:13" ht="24" customHeight="1">
      <c r="A41" s="415">
        <f t="shared" si="11"/>
        <v>32</v>
      </c>
      <c r="B41" s="336">
        <v>184911153</v>
      </c>
      <c r="C41" s="336" t="s">
        <v>257</v>
      </c>
      <c r="D41" s="427" t="s">
        <v>74</v>
      </c>
      <c r="E41" s="371">
        <v>33.200000000000003</v>
      </c>
      <c r="F41" s="401"/>
      <c r="G41" s="373">
        <f t="shared" si="9"/>
        <v>0</v>
      </c>
      <c r="H41" s="82" t="s">
        <v>35</v>
      </c>
      <c r="I41" s="22"/>
      <c r="J41" s="184">
        <v>0</v>
      </c>
      <c r="K41" s="84">
        <f t="shared" si="12"/>
        <v>0</v>
      </c>
      <c r="L41" s="85">
        <f>K41*F41</f>
        <v>0</v>
      </c>
      <c r="M41" s="86">
        <f t="shared" si="10"/>
        <v>0</v>
      </c>
    </row>
    <row r="42" spans="1:13" ht="16.5" customHeight="1">
      <c r="A42" s="415">
        <f t="shared" si="11"/>
        <v>33</v>
      </c>
      <c r="B42" s="397" t="s">
        <v>258</v>
      </c>
      <c r="C42" s="397" t="s">
        <v>259</v>
      </c>
      <c r="D42" s="379" t="s">
        <v>83</v>
      </c>
      <c r="E42" s="380">
        <v>1.75</v>
      </c>
      <c r="F42" s="398"/>
      <c r="G42" s="382">
        <f t="shared" si="9"/>
        <v>0</v>
      </c>
      <c r="H42" s="293" t="s">
        <v>227</v>
      </c>
      <c r="I42" s="22"/>
      <c r="J42" s="184">
        <v>0</v>
      </c>
      <c r="K42" s="84">
        <f t="shared" si="12"/>
        <v>0</v>
      </c>
      <c r="L42" s="85">
        <f>K42*F42</f>
        <v>0</v>
      </c>
      <c r="M42" s="86">
        <f t="shared" si="10"/>
        <v>0</v>
      </c>
    </row>
    <row r="43" spans="1:13" ht="17.25" customHeight="1">
      <c r="A43" s="415">
        <f t="shared" si="11"/>
        <v>34</v>
      </c>
      <c r="B43" s="343">
        <v>183211322</v>
      </c>
      <c r="C43" s="343" t="s">
        <v>260</v>
      </c>
      <c r="D43" s="429" t="s">
        <v>173</v>
      </c>
      <c r="E43" s="430">
        <v>299</v>
      </c>
      <c r="F43" s="401"/>
      <c r="G43" s="373">
        <f t="shared" si="9"/>
        <v>0</v>
      </c>
      <c r="H43" s="82" t="s">
        <v>35</v>
      </c>
      <c r="I43" s="22"/>
      <c r="J43" s="184">
        <v>0</v>
      </c>
      <c r="K43" s="84">
        <f t="shared" si="12"/>
        <v>0</v>
      </c>
      <c r="L43" s="85">
        <f>K43*F43</f>
        <v>0</v>
      </c>
      <c r="M43" s="86">
        <f t="shared" si="10"/>
        <v>0</v>
      </c>
    </row>
    <row r="44" spans="1:13" ht="17.25" customHeight="1">
      <c r="A44" s="415">
        <f t="shared" si="11"/>
        <v>35</v>
      </c>
      <c r="B44" s="402">
        <v>183211321</v>
      </c>
      <c r="C44" s="402" t="s">
        <v>261</v>
      </c>
      <c r="D44" s="420" t="s">
        <v>173</v>
      </c>
      <c r="E44" s="403">
        <v>299</v>
      </c>
      <c r="F44" s="404"/>
      <c r="G44" s="387">
        <f t="shared" si="9"/>
        <v>0</v>
      </c>
      <c r="H44" s="82" t="s">
        <v>35</v>
      </c>
      <c r="I44" s="22"/>
      <c r="J44" s="184">
        <v>0</v>
      </c>
      <c r="K44" s="84">
        <f t="shared" si="12"/>
        <v>0</v>
      </c>
      <c r="L44" s="85">
        <f>K44*F44</f>
        <v>0</v>
      </c>
      <c r="M44" s="86">
        <f t="shared" si="10"/>
        <v>0</v>
      </c>
    </row>
    <row r="45" spans="1:13" ht="17.25" customHeight="1">
      <c r="A45" s="415">
        <f t="shared" si="11"/>
        <v>36</v>
      </c>
      <c r="B45" s="336">
        <v>185804312</v>
      </c>
      <c r="C45" s="336" t="s">
        <v>253</v>
      </c>
      <c r="D45" s="414" t="s">
        <v>49</v>
      </c>
      <c r="E45" s="371">
        <f>0.02*E38</f>
        <v>0.66400000000000003</v>
      </c>
      <c r="F45" s="424"/>
      <c r="G45" s="373">
        <f t="shared" si="9"/>
        <v>0</v>
      </c>
      <c r="H45" s="82" t="s">
        <v>35</v>
      </c>
      <c r="I45" s="305"/>
      <c r="J45" s="184">
        <v>0</v>
      </c>
      <c r="K45" s="84">
        <f t="shared" si="12"/>
        <v>0</v>
      </c>
      <c r="L45" s="292">
        <v>0</v>
      </c>
      <c r="M45" s="84">
        <f t="shared" si="10"/>
        <v>0</v>
      </c>
    </row>
    <row r="46" spans="1:13" ht="24">
      <c r="A46" s="415">
        <f t="shared" si="11"/>
        <v>37</v>
      </c>
      <c r="B46" s="336">
        <v>183402121</v>
      </c>
      <c r="C46" s="336" t="s">
        <v>262</v>
      </c>
      <c r="D46" s="427" t="s">
        <v>74</v>
      </c>
      <c r="E46" s="428">
        <f>E39</f>
        <v>33.200000000000003</v>
      </c>
      <c r="F46" s="401"/>
      <c r="G46" s="373">
        <f t="shared" si="9"/>
        <v>0</v>
      </c>
      <c r="H46" s="82" t="s">
        <v>35</v>
      </c>
      <c r="I46" s="22"/>
      <c r="J46" s="184">
        <v>0</v>
      </c>
      <c r="K46" s="84">
        <f t="shared" si="12"/>
        <v>0</v>
      </c>
      <c r="L46" s="85">
        <f>K46*F46</f>
        <v>0</v>
      </c>
      <c r="M46" s="86">
        <f t="shared" si="10"/>
        <v>0</v>
      </c>
    </row>
    <row r="47" spans="1:13" ht="15" customHeight="1">
      <c r="A47" s="405"/>
      <c r="B47" s="405"/>
      <c r="C47" s="405"/>
      <c r="D47" s="405"/>
      <c r="E47" s="405"/>
      <c r="F47" s="405"/>
      <c r="G47" s="431"/>
      <c r="H47" s="307"/>
      <c r="I47" s="307"/>
      <c r="J47" s="308"/>
      <c r="K47" s="96"/>
      <c r="L47" s="97"/>
      <c r="M47" s="98"/>
    </row>
    <row r="48" spans="1:13" ht="18" customHeight="1">
      <c r="A48" s="406"/>
      <c r="B48" s="407"/>
      <c r="C48" s="408" t="s">
        <v>263</v>
      </c>
      <c r="D48" s="409"/>
      <c r="E48" s="410"/>
      <c r="F48" s="411"/>
      <c r="G48" s="412">
        <f>SUM(G49:G58)</f>
        <v>0</v>
      </c>
      <c r="H48" s="72"/>
      <c r="I48" s="22"/>
      <c r="J48" s="180"/>
      <c r="K48" s="74">
        <f>SUM(K49:K58)</f>
        <v>12.90261825</v>
      </c>
      <c r="L48" s="73"/>
      <c r="M48" s="75">
        <v>0</v>
      </c>
    </row>
    <row r="49" spans="1:108" ht="23.25" customHeight="1">
      <c r="A49" s="369">
        <f>A46+1</f>
        <v>38</v>
      </c>
      <c r="B49" s="336">
        <v>184853511</v>
      </c>
      <c r="C49" s="336" t="s">
        <v>255</v>
      </c>
      <c r="D49" s="399" t="s">
        <v>106</v>
      </c>
      <c r="E49" s="400">
        <v>484.73</v>
      </c>
      <c r="F49" s="401"/>
      <c r="G49" s="373">
        <f t="shared" ref="G49:G58" si="13">F49*E49</f>
        <v>0</v>
      </c>
      <c r="H49" s="82" t="s">
        <v>35</v>
      </c>
      <c r="I49" s="22"/>
      <c r="J49" s="184">
        <v>0</v>
      </c>
      <c r="K49" s="84">
        <f t="shared" ref="K49:L51" si="14">J49*E49</f>
        <v>0</v>
      </c>
      <c r="L49" s="85">
        <f t="shared" si="14"/>
        <v>0</v>
      </c>
      <c r="M49" s="86">
        <f t="shared" ref="M49:M58" si="15">E49*L49</f>
        <v>0</v>
      </c>
    </row>
    <row r="50" spans="1:108" ht="17.25" customHeight="1">
      <c r="A50" s="415">
        <f t="shared" ref="A50:A58" si="16">A49+1</f>
        <v>39</v>
      </c>
      <c r="B50" s="336">
        <v>171203111</v>
      </c>
      <c r="C50" s="347" t="s">
        <v>251</v>
      </c>
      <c r="D50" s="419" t="s">
        <v>94</v>
      </c>
      <c r="E50" s="400">
        <f>E49*0.2</f>
        <v>96.946000000000012</v>
      </c>
      <c r="F50" s="401"/>
      <c r="G50" s="373">
        <f t="shared" si="13"/>
        <v>0</v>
      </c>
      <c r="H50" s="82" t="s">
        <v>35</v>
      </c>
      <c r="I50" s="22"/>
      <c r="J50" s="184">
        <v>0</v>
      </c>
      <c r="K50" s="84">
        <f t="shared" si="14"/>
        <v>0</v>
      </c>
      <c r="L50" s="85">
        <f t="shared" si="14"/>
        <v>0</v>
      </c>
      <c r="M50" s="86">
        <f t="shared" si="15"/>
        <v>0</v>
      </c>
    </row>
    <row r="51" spans="1:108" ht="24" customHeight="1">
      <c r="A51" s="415">
        <f t="shared" si="16"/>
        <v>40</v>
      </c>
      <c r="B51" s="336">
        <v>181111111</v>
      </c>
      <c r="C51" s="336" t="s">
        <v>252</v>
      </c>
      <c r="D51" s="414" t="s">
        <v>74</v>
      </c>
      <c r="E51" s="371">
        <f>E49</f>
        <v>484.73</v>
      </c>
      <c r="F51" s="424"/>
      <c r="G51" s="373">
        <f t="shared" si="13"/>
        <v>0</v>
      </c>
      <c r="H51" s="82" t="s">
        <v>35</v>
      </c>
      <c r="I51" s="305"/>
      <c r="J51" s="184">
        <v>0</v>
      </c>
      <c r="K51" s="84">
        <f t="shared" si="14"/>
        <v>0</v>
      </c>
      <c r="L51" s="85">
        <f t="shared" si="14"/>
        <v>0</v>
      </c>
      <c r="M51" s="86">
        <f t="shared" si="15"/>
        <v>0</v>
      </c>
    </row>
    <row r="52" spans="1:108" ht="17.25" customHeight="1">
      <c r="A52" s="415">
        <f t="shared" si="16"/>
        <v>41</v>
      </c>
      <c r="B52" s="402">
        <v>10321100</v>
      </c>
      <c r="C52" s="402" t="s">
        <v>238</v>
      </c>
      <c r="D52" s="420" t="s">
        <v>142</v>
      </c>
      <c r="E52" s="403">
        <v>58</v>
      </c>
      <c r="F52" s="423"/>
      <c r="G52" s="387">
        <f t="shared" si="13"/>
        <v>0</v>
      </c>
      <c r="H52" s="82" t="s">
        <v>35</v>
      </c>
      <c r="I52" s="22"/>
      <c r="J52" s="184">
        <f>0.222</f>
        <v>0.222</v>
      </c>
      <c r="K52" s="84">
        <f t="shared" ref="K52:K58" si="17">J52*E52</f>
        <v>12.875999999999999</v>
      </c>
      <c r="L52" s="85">
        <v>0</v>
      </c>
      <c r="M52" s="86">
        <f t="shared" si="15"/>
        <v>0</v>
      </c>
    </row>
    <row r="53" spans="1:108" ht="17.25" customHeight="1">
      <c r="A53" s="415">
        <f t="shared" si="16"/>
        <v>42</v>
      </c>
      <c r="B53" s="336">
        <v>183403114</v>
      </c>
      <c r="C53" s="336" t="s">
        <v>264</v>
      </c>
      <c r="D53" s="414" t="s">
        <v>74</v>
      </c>
      <c r="E53" s="428">
        <f>E49</f>
        <v>484.73</v>
      </c>
      <c r="F53" s="423"/>
      <c r="G53" s="387">
        <f t="shared" si="13"/>
        <v>0</v>
      </c>
      <c r="H53" s="82" t="s">
        <v>35</v>
      </c>
      <c r="I53" s="22"/>
      <c r="J53" s="184">
        <v>0</v>
      </c>
      <c r="K53" s="84">
        <f t="shared" si="17"/>
        <v>0</v>
      </c>
      <c r="L53" s="85">
        <v>0</v>
      </c>
      <c r="M53" s="86">
        <f t="shared" si="15"/>
        <v>0</v>
      </c>
    </row>
    <row r="54" spans="1:108" ht="17.25" customHeight="1">
      <c r="A54" s="415">
        <f t="shared" si="16"/>
        <v>43</v>
      </c>
      <c r="B54" s="230">
        <v>185802114</v>
      </c>
      <c r="C54" s="230" t="s">
        <v>239</v>
      </c>
      <c r="D54" s="300" t="s">
        <v>206</v>
      </c>
      <c r="E54" s="301">
        <f>E55*0.001</f>
        <v>1.4500000000000001E-2</v>
      </c>
      <c r="F54" s="302"/>
      <c r="G54" s="235">
        <f t="shared" si="13"/>
        <v>0</v>
      </c>
      <c r="H54" s="82" t="s">
        <v>35</v>
      </c>
      <c r="I54" s="22"/>
      <c r="J54" s="184">
        <v>0</v>
      </c>
      <c r="K54" s="84">
        <f t="shared" si="17"/>
        <v>0</v>
      </c>
      <c r="L54" s="85">
        <v>0</v>
      </c>
      <c r="M54" s="86">
        <f t="shared" si="15"/>
        <v>0</v>
      </c>
    </row>
    <row r="55" spans="1:108" s="310" customFormat="1" ht="17.25" customHeight="1">
      <c r="A55" s="309">
        <f t="shared" si="16"/>
        <v>44</v>
      </c>
      <c r="B55" s="397" t="s">
        <v>240</v>
      </c>
      <c r="C55" s="397" t="s">
        <v>265</v>
      </c>
      <c r="D55" s="397" t="s">
        <v>206</v>
      </c>
      <c r="E55" s="393">
        <v>14.5</v>
      </c>
      <c r="F55" s="398"/>
      <c r="G55" s="382">
        <f t="shared" si="13"/>
        <v>0</v>
      </c>
      <c r="H55" s="294" t="s">
        <v>227</v>
      </c>
      <c r="I55" s="237"/>
      <c r="J55" s="238">
        <f>0.001</f>
        <v>1E-3</v>
      </c>
      <c r="K55" s="239">
        <f t="shared" si="17"/>
        <v>1.4500000000000001E-2</v>
      </c>
      <c r="L55" s="240">
        <v>0</v>
      </c>
      <c r="M55" s="241">
        <f t="shared" si="15"/>
        <v>0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</row>
    <row r="56" spans="1:108" ht="17.25" customHeight="1">
      <c r="A56" s="415">
        <f t="shared" si="16"/>
        <v>45</v>
      </c>
      <c r="B56" s="336">
        <v>181411131</v>
      </c>
      <c r="C56" s="336" t="s">
        <v>266</v>
      </c>
      <c r="D56" s="427" t="s">
        <v>74</v>
      </c>
      <c r="E56" s="428">
        <f>E49</f>
        <v>484.73</v>
      </c>
      <c r="F56" s="432"/>
      <c r="G56" s="373">
        <f t="shared" si="13"/>
        <v>0</v>
      </c>
      <c r="H56" s="82" t="s">
        <v>35</v>
      </c>
      <c r="I56" s="22"/>
      <c r="J56" s="184">
        <v>0</v>
      </c>
      <c r="K56" s="84">
        <f t="shared" si="17"/>
        <v>0</v>
      </c>
      <c r="L56" s="85">
        <v>0</v>
      </c>
      <c r="M56" s="86">
        <f t="shared" si="15"/>
        <v>0</v>
      </c>
    </row>
    <row r="57" spans="1:108" ht="17.25" customHeight="1">
      <c r="A57" s="415">
        <f t="shared" si="16"/>
        <v>46</v>
      </c>
      <c r="B57" s="353">
        <v>572420</v>
      </c>
      <c r="C57" s="353" t="s">
        <v>267</v>
      </c>
      <c r="D57" s="353" t="s">
        <v>206</v>
      </c>
      <c r="E57" s="403">
        <f>0.025*E56</f>
        <v>12.118250000000002</v>
      </c>
      <c r="F57" s="404"/>
      <c r="G57" s="387">
        <f t="shared" si="13"/>
        <v>0</v>
      </c>
      <c r="H57" s="82" t="s">
        <v>35</v>
      </c>
      <c r="I57" s="22"/>
      <c r="J57" s="184">
        <v>1E-3</v>
      </c>
      <c r="K57" s="84">
        <f t="shared" si="17"/>
        <v>1.2118250000000002E-2</v>
      </c>
      <c r="L57" s="85">
        <v>0</v>
      </c>
      <c r="M57" s="86">
        <f t="shared" si="15"/>
        <v>0</v>
      </c>
    </row>
    <row r="58" spans="1:108" ht="17.25" customHeight="1">
      <c r="A58" s="415">
        <f t="shared" si="16"/>
        <v>47</v>
      </c>
      <c r="B58" s="336">
        <v>185804312</v>
      </c>
      <c r="C58" s="336" t="s">
        <v>253</v>
      </c>
      <c r="D58" s="414" t="s">
        <v>49</v>
      </c>
      <c r="E58" s="371">
        <f>0.025*E56</f>
        <v>12.118250000000002</v>
      </c>
      <c r="F58" s="424"/>
      <c r="G58" s="373">
        <f t="shared" si="13"/>
        <v>0</v>
      </c>
      <c r="H58" s="82" t="s">
        <v>35</v>
      </c>
      <c r="I58" s="305"/>
      <c r="J58" s="184">
        <v>0</v>
      </c>
      <c r="K58" s="84">
        <f t="shared" si="17"/>
        <v>0</v>
      </c>
      <c r="L58" s="85">
        <v>0</v>
      </c>
      <c r="M58" s="86">
        <f t="shared" si="15"/>
        <v>0</v>
      </c>
    </row>
    <row r="59" spans="1:108" ht="15" customHeight="1">
      <c r="A59" s="405"/>
      <c r="B59" s="433"/>
      <c r="C59" s="433"/>
      <c r="D59" s="434"/>
      <c r="E59" s="435"/>
      <c r="F59" s="436"/>
      <c r="G59" s="436"/>
      <c r="H59" s="91"/>
      <c r="I59" s="91"/>
      <c r="J59" s="311"/>
      <c r="K59" s="96"/>
      <c r="L59" s="312"/>
      <c r="M59" s="96"/>
    </row>
    <row r="60" spans="1:108" ht="15" customHeight="1">
      <c r="A60" s="406"/>
      <c r="B60" s="407"/>
      <c r="C60" s="408" t="s">
        <v>268</v>
      </c>
      <c r="D60" s="437"/>
      <c r="E60" s="438"/>
      <c r="F60" s="431"/>
      <c r="G60" s="412">
        <f>SUM(G61:G67)</f>
        <v>0</v>
      </c>
      <c r="H60" s="72"/>
      <c r="I60" s="22"/>
      <c r="J60" s="180"/>
      <c r="K60" s="74">
        <f>SUM(K61:K67)</f>
        <v>3.3513515000000003</v>
      </c>
      <c r="L60" s="73"/>
      <c r="M60" s="75">
        <v>0</v>
      </c>
    </row>
    <row r="61" spans="1:108" ht="26.25" customHeight="1">
      <c r="A61" s="413">
        <f>A58+1</f>
        <v>48</v>
      </c>
      <c r="B61" s="336">
        <v>184853511</v>
      </c>
      <c r="C61" s="336" t="s">
        <v>255</v>
      </c>
      <c r="D61" s="399" t="s">
        <v>106</v>
      </c>
      <c r="E61" s="400">
        <v>854.06</v>
      </c>
      <c r="F61" s="401"/>
      <c r="G61" s="373">
        <f t="shared" ref="G61:G67" si="18">F61*E61</f>
        <v>0</v>
      </c>
      <c r="H61" s="82" t="s">
        <v>35</v>
      </c>
      <c r="I61" s="22"/>
      <c r="J61" s="184">
        <v>0</v>
      </c>
      <c r="K61" s="84">
        <f>J61*E61</f>
        <v>0</v>
      </c>
      <c r="L61" s="85">
        <f>K61*F61</f>
        <v>0</v>
      </c>
      <c r="M61" s="86">
        <f t="shared" ref="M61:M67" si="19">E61*L61</f>
        <v>0</v>
      </c>
    </row>
    <row r="62" spans="1:108" ht="18" customHeight="1">
      <c r="A62" s="415">
        <f>A61+1</f>
        <v>49</v>
      </c>
      <c r="B62" s="336">
        <v>171203111</v>
      </c>
      <c r="C62" s="347" t="s">
        <v>251</v>
      </c>
      <c r="D62" s="419" t="s">
        <v>94</v>
      </c>
      <c r="E62" s="400">
        <f>E61*0.03</f>
        <v>25.621799999999997</v>
      </c>
      <c r="F62" s="401"/>
      <c r="G62" s="373">
        <f t="shared" si="18"/>
        <v>0</v>
      </c>
      <c r="H62" s="82" t="s">
        <v>35</v>
      </c>
      <c r="I62" s="22"/>
      <c r="J62" s="184">
        <v>0</v>
      </c>
      <c r="K62" s="84">
        <f>J62*E62</f>
        <v>0</v>
      </c>
      <c r="L62" s="85">
        <f>K62*F62</f>
        <v>0</v>
      </c>
      <c r="M62" s="86">
        <f t="shared" si="19"/>
        <v>0</v>
      </c>
    </row>
    <row r="63" spans="1:108" ht="16.5" customHeight="1">
      <c r="A63" s="415">
        <f>A62+1</f>
        <v>50</v>
      </c>
      <c r="B63" s="402">
        <v>10321100</v>
      </c>
      <c r="C63" s="402" t="s">
        <v>238</v>
      </c>
      <c r="D63" s="420" t="s">
        <v>142</v>
      </c>
      <c r="E63" s="403">
        <v>15</v>
      </c>
      <c r="F63" s="423"/>
      <c r="G63" s="387">
        <f t="shared" si="18"/>
        <v>0</v>
      </c>
      <c r="H63" s="82" t="s">
        <v>35</v>
      </c>
      <c r="I63" s="22"/>
      <c r="J63" s="184">
        <f>0.222</f>
        <v>0.222</v>
      </c>
      <c r="K63" s="84">
        <f>J63*E63</f>
        <v>3.33</v>
      </c>
      <c r="L63" s="85">
        <v>0</v>
      </c>
      <c r="M63" s="86">
        <f t="shared" si="19"/>
        <v>0</v>
      </c>
    </row>
    <row r="64" spans="1:108" ht="38.25" customHeight="1">
      <c r="A64" s="415">
        <f>A63+1</f>
        <v>51</v>
      </c>
      <c r="B64" s="336">
        <v>181111111</v>
      </c>
      <c r="C64" s="336" t="s">
        <v>252</v>
      </c>
      <c r="D64" s="427" t="s">
        <v>74</v>
      </c>
      <c r="E64" s="371">
        <f>E61</f>
        <v>854.06</v>
      </c>
      <c r="F64" s="424"/>
      <c r="G64" s="373">
        <f t="shared" si="18"/>
        <v>0</v>
      </c>
      <c r="H64" s="82" t="s">
        <v>35</v>
      </c>
      <c r="I64" s="305"/>
      <c r="J64" s="184"/>
      <c r="K64" s="84">
        <f>J64*E64</f>
        <v>0</v>
      </c>
      <c r="L64" s="85">
        <v>0</v>
      </c>
      <c r="M64" s="86">
        <f t="shared" si="19"/>
        <v>0</v>
      </c>
    </row>
    <row r="65" spans="1:13" ht="17.25" customHeight="1">
      <c r="A65" s="415">
        <f>A64+1</f>
        <v>52</v>
      </c>
      <c r="B65" s="336">
        <v>181411131</v>
      </c>
      <c r="C65" s="336" t="s">
        <v>266</v>
      </c>
      <c r="D65" s="427" t="s">
        <v>74</v>
      </c>
      <c r="E65" s="428">
        <f>E61</f>
        <v>854.06</v>
      </c>
      <c r="F65" s="432"/>
      <c r="G65" s="373">
        <f t="shared" si="18"/>
        <v>0</v>
      </c>
      <c r="H65" s="82" t="s">
        <v>35</v>
      </c>
      <c r="I65" s="22"/>
      <c r="J65" s="184">
        <v>0</v>
      </c>
      <c r="K65" s="84">
        <f>J65*E65</f>
        <v>0</v>
      </c>
      <c r="L65" s="85">
        <v>0</v>
      </c>
      <c r="M65" s="86">
        <f t="shared" si="19"/>
        <v>0</v>
      </c>
    </row>
    <row r="66" spans="1:13" ht="17.25" customHeight="1">
      <c r="A66" s="415">
        <f>A65+1</f>
        <v>53</v>
      </c>
      <c r="B66" s="353">
        <v>572420</v>
      </c>
      <c r="C66" s="353" t="s">
        <v>267</v>
      </c>
      <c r="D66" s="353" t="s">
        <v>206</v>
      </c>
      <c r="E66" s="403">
        <f>0.025*E65</f>
        <v>21.351500000000001</v>
      </c>
      <c r="F66" s="404"/>
      <c r="G66" s="387">
        <f t="shared" si="18"/>
        <v>0</v>
      </c>
      <c r="H66" s="82" t="s">
        <v>35</v>
      </c>
      <c r="I66" s="22"/>
      <c r="J66" s="184">
        <v>1E-3</v>
      </c>
      <c r="K66" s="84">
        <f>J66*E66</f>
        <v>2.1351500000000002E-2</v>
      </c>
      <c r="L66" s="85">
        <v>0</v>
      </c>
      <c r="M66" s="86">
        <f t="shared" si="19"/>
        <v>0</v>
      </c>
    </row>
    <row r="67" spans="1:13" ht="18" customHeight="1">
      <c r="A67" s="415">
        <f>A64+1</f>
        <v>52</v>
      </c>
      <c r="B67" s="336">
        <v>185804312</v>
      </c>
      <c r="C67" s="336" t="s">
        <v>253</v>
      </c>
      <c r="D67" s="427" t="s">
        <v>49</v>
      </c>
      <c r="E67" s="371">
        <f>0.025*E61</f>
        <v>21.351500000000001</v>
      </c>
      <c r="F67" s="424"/>
      <c r="G67" s="373">
        <f t="shared" si="18"/>
        <v>0</v>
      </c>
      <c r="H67" s="82" t="s">
        <v>35</v>
      </c>
      <c r="I67" s="305"/>
      <c r="J67" s="184"/>
      <c r="K67" s="84">
        <f>J67*E67</f>
        <v>0</v>
      </c>
      <c r="L67" s="85">
        <v>0</v>
      </c>
      <c r="M67" s="86">
        <f t="shared" si="19"/>
        <v>0</v>
      </c>
    </row>
    <row r="68" spans="1:13" ht="15" customHeight="1">
      <c r="A68" s="405"/>
      <c r="B68" s="433"/>
      <c r="C68" s="433"/>
      <c r="D68" s="439"/>
      <c r="E68" s="435"/>
      <c r="F68" s="436"/>
      <c r="G68" s="436"/>
      <c r="H68" s="91"/>
      <c r="I68" s="305"/>
      <c r="J68" s="311"/>
      <c r="K68" s="96"/>
      <c r="L68" s="312"/>
      <c r="M68" s="96"/>
    </row>
    <row r="69" spans="1:13" ht="16.5" customHeight="1">
      <c r="A69" s="406"/>
      <c r="B69" s="407"/>
      <c r="C69" s="408" t="s">
        <v>269</v>
      </c>
      <c r="D69" s="437"/>
      <c r="E69" s="438"/>
      <c r="F69" s="431"/>
      <c r="G69" s="412">
        <f>SUM(G70:G74)</f>
        <v>0</v>
      </c>
      <c r="H69" s="72"/>
      <c r="I69" s="22"/>
      <c r="J69" s="180"/>
      <c r="K69" s="74">
        <f>SUM(K70:K74)</f>
        <v>1.7292000000000003</v>
      </c>
      <c r="L69" s="73"/>
      <c r="M69" s="75">
        <v>0</v>
      </c>
    </row>
    <row r="70" spans="1:13" ht="24.75" customHeight="1">
      <c r="A70" s="413">
        <f>A67+1</f>
        <v>53</v>
      </c>
      <c r="B70" s="336" t="s">
        <v>270</v>
      </c>
      <c r="C70" s="336" t="s">
        <v>271</v>
      </c>
      <c r="D70" s="414" t="s">
        <v>148</v>
      </c>
      <c r="E70" s="428">
        <f>54.1/2</f>
        <v>27.05</v>
      </c>
      <c r="F70" s="401"/>
      <c r="G70" s="373">
        <f>F70*E70</f>
        <v>0</v>
      </c>
      <c r="H70" s="82" t="s">
        <v>35</v>
      </c>
      <c r="I70" s="22"/>
      <c r="J70" s="184">
        <v>0</v>
      </c>
      <c r="K70" s="84">
        <f>J70*E70</f>
        <v>0</v>
      </c>
      <c r="L70" s="85">
        <f>K70*F70</f>
        <v>0</v>
      </c>
      <c r="M70" s="86">
        <f>E70*L70</f>
        <v>0</v>
      </c>
    </row>
    <row r="71" spans="1:13" ht="24" customHeight="1">
      <c r="A71" s="440">
        <f>A70+1</f>
        <v>54</v>
      </c>
      <c r="B71" s="336" t="s">
        <v>272</v>
      </c>
      <c r="C71" s="336" t="s">
        <v>273</v>
      </c>
      <c r="D71" s="427" t="s">
        <v>92</v>
      </c>
      <c r="E71" s="371">
        <v>16</v>
      </c>
      <c r="F71" s="424"/>
      <c r="G71" s="373">
        <f>F71*E71</f>
        <v>0</v>
      </c>
      <c r="H71" s="293" t="s">
        <v>227</v>
      </c>
      <c r="I71" s="305"/>
      <c r="J71" s="313">
        <f>(0.1*0.1*2.5+3*3*0.15*0.03)*3*0.55</f>
        <v>0.10807500000000002</v>
      </c>
      <c r="K71" s="84">
        <f>J71*E71</f>
        <v>1.7292000000000003</v>
      </c>
      <c r="L71" s="85">
        <v>0</v>
      </c>
      <c r="M71" s="86">
        <f>E71*L71</f>
        <v>0</v>
      </c>
    </row>
    <row r="72" spans="1:13" ht="17.25" customHeight="1">
      <c r="A72" s="440">
        <f>A71+1</f>
        <v>55</v>
      </c>
      <c r="B72" s="441">
        <v>185851121</v>
      </c>
      <c r="C72" s="441" t="s">
        <v>274</v>
      </c>
      <c r="D72" s="442" t="s">
        <v>275</v>
      </c>
      <c r="E72" s="371">
        <f>E73</f>
        <v>35.475350000000006</v>
      </c>
      <c r="F72" s="424"/>
      <c r="G72" s="373">
        <f>F72*E72</f>
        <v>0</v>
      </c>
      <c r="H72" s="82" t="s">
        <v>35</v>
      </c>
      <c r="I72" s="305"/>
      <c r="J72" s="184">
        <v>0</v>
      </c>
      <c r="K72" s="84">
        <f>J72*E72</f>
        <v>0</v>
      </c>
      <c r="L72" s="85">
        <f>K72*F72</f>
        <v>0</v>
      </c>
      <c r="M72" s="86">
        <f>E72*L72</f>
        <v>0</v>
      </c>
    </row>
    <row r="73" spans="1:13" ht="17.25" customHeight="1">
      <c r="A73" s="440">
        <f>A72+1</f>
        <v>56</v>
      </c>
      <c r="B73" s="443" t="s">
        <v>276</v>
      </c>
      <c r="C73" s="443" t="s">
        <v>277</v>
      </c>
      <c r="D73" s="444" t="s">
        <v>275</v>
      </c>
      <c r="E73" s="445">
        <f>E33+E45+E58+E67</f>
        <v>35.475350000000006</v>
      </c>
      <c r="F73" s="446"/>
      <c r="G73" s="447">
        <f>F73*E73</f>
        <v>0</v>
      </c>
      <c r="H73" s="314" t="s">
        <v>227</v>
      </c>
      <c r="I73" s="305"/>
      <c r="J73" s="184">
        <v>0</v>
      </c>
      <c r="K73" s="84">
        <f>J73*E73</f>
        <v>0</v>
      </c>
      <c r="L73" s="85">
        <f>K73*F73</f>
        <v>0</v>
      </c>
      <c r="M73" s="86">
        <f>E73*L73</f>
        <v>0</v>
      </c>
    </row>
    <row r="74" spans="1:13" ht="17.25" customHeight="1">
      <c r="A74" s="440">
        <f>A73+1</f>
        <v>57</v>
      </c>
      <c r="B74" s="443" t="s">
        <v>276</v>
      </c>
      <c r="C74" s="443" t="s">
        <v>278</v>
      </c>
      <c r="D74" s="444" t="s">
        <v>92</v>
      </c>
      <c r="E74" s="445">
        <v>9</v>
      </c>
      <c r="F74" s="446"/>
      <c r="G74" s="447">
        <f>F74*E74</f>
        <v>0</v>
      </c>
      <c r="H74" s="314" t="s">
        <v>227</v>
      </c>
      <c r="I74" s="305"/>
      <c r="J74" s="184">
        <v>0</v>
      </c>
      <c r="K74" s="84">
        <f>J74*E74</f>
        <v>0</v>
      </c>
      <c r="L74" s="85">
        <f>K74*F74</f>
        <v>0</v>
      </c>
      <c r="M74" s="86">
        <f>E74*L74</f>
        <v>0</v>
      </c>
    </row>
    <row r="75" spans="1:13" ht="15" customHeight="1">
      <c r="A75" s="405"/>
      <c r="B75" s="405"/>
      <c r="C75" s="405"/>
      <c r="D75" s="405"/>
      <c r="E75" s="405"/>
      <c r="F75" s="405"/>
      <c r="G75" s="436"/>
      <c r="H75" s="91"/>
      <c r="I75" s="91"/>
      <c r="J75" s="311"/>
      <c r="K75" s="96"/>
      <c r="L75" s="97"/>
      <c r="M75" s="98"/>
    </row>
    <row r="76" spans="1:13" ht="20.25" customHeight="1">
      <c r="A76" s="406"/>
      <c r="B76" s="407"/>
      <c r="C76" s="408" t="s">
        <v>279</v>
      </c>
      <c r="D76" s="437"/>
      <c r="E76" s="438"/>
      <c r="F76" s="431"/>
      <c r="G76" s="412">
        <f>SUM(G77:G80)</f>
        <v>0</v>
      </c>
      <c r="H76" s="72"/>
      <c r="I76" s="22"/>
      <c r="J76" s="180"/>
      <c r="K76" s="74">
        <v>0</v>
      </c>
      <c r="L76" s="73"/>
      <c r="M76" s="75">
        <v>0</v>
      </c>
    </row>
    <row r="77" spans="1:13" ht="17.25" customHeight="1">
      <c r="A77" s="448">
        <f>A74+1</f>
        <v>58</v>
      </c>
      <c r="B77" s="336">
        <v>112151111</v>
      </c>
      <c r="C77" s="336" t="s">
        <v>280</v>
      </c>
      <c r="D77" s="414" t="s">
        <v>173</v>
      </c>
      <c r="E77" s="371">
        <v>2</v>
      </c>
      <c r="F77" s="432"/>
      <c r="G77" s="373">
        <f>F77*E77</f>
        <v>0</v>
      </c>
      <c r="H77" s="82" t="s">
        <v>35</v>
      </c>
      <c r="I77" s="22"/>
      <c r="J77" s="83"/>
      <c r="K77" s="84">
        <f>E77*J77</f>
        <v>0</v>
      </c>
      <c r="L77" s="85">
        <f>K77*F77</f>
        <v>0</v>
      </c>
      <c r="M77" s="86">
        <f>E77*L77</f>
        <v>0</v>
      </c>
    </row>
    <row r="78" spans="1:13" ht="17.25" customHeight="1">
      <c r="A78" s="369">
        <f>A77+1</f>
        <v>59</v>
      </c>
      <c r="B78" s="336">
        <v>112151113</v>
      </c>
      <c r="C78" s="336" t="s">
        <v>281</v>
      </c>
      <c r="D78" s="414" t="s">
        <v>173</v>
      </c>
      <c r="E78" s="371">
        <v>1</v>
      </c>
      <c r="F78" s="432"/>
      <c r="G78" s="373">
        <f>F78*E78</f>
        <v>0</v>
      </c>
      <c r="H78" s="82" t="s">
        <v>35</v>
      </c>
      <c r="I78" s="22"/>
      <c r="J78" s="83"/>
      <c r="K78" s="84">
        <f>E78*J78</f>
        <v>0</v>
      </c>
      <c r="L78" s="85">
        <f>K78*F78</f>
        <v>0</v>
      </c>
      <c r="M78" s="86">
        <f>E78*L78</f>
        <v>0</v>
      </c>
    </row>
    <row r="79" spans="1:13" ht="17.25" customHeight="1">
      <c r="A79" s="369">
        <f>A78+1</f>
        <v>60</v>
      </c>
      <c r="B79" s="343">
        <v>112251221</v>
      </c>
      <c r="C79" s="343" t="s">
        <v>282</v>
      </c>
      <c r="D79" s="425" t="s">
        <v>106</v>
      </c>
      <c r="E79" s="375">
        <v>3</v>
      </c>
      <c r="F79" s="372"/>
      <c r="G79" s="373">
        <f>F79*E79</f>
        <v>0</v>
      </c>
      <c r="H79" s="82" t="s">
        <v>35</v>
      </c>
      <c r="I79" s="22"/>
      <c r="J79" s="83"/>
      <c r="K79" s="84">
        <f>E79*J79</f>
        <v>0</v>
      </c>
      <c r="L79" s="85">
        <f>K79*F79</f>
        <v>0</v>
      </c>
      <c r="M79" s="86">
        <f>E79*L79</f>
        <v>0</v>
      </c>
    </row>
    <row r="80" spans="1:13" ht="17.25" customHeight="1">
      <c r="A80" s="369">
        <f>A79+1</f>
        <v>61</v>
      </c>
      <c r="B80" s="354" t="s">
        <v>283</v>
      </c>
      <c r="C80" s="449" t="s">
        <v>284</v>
      </c>
      <c r="D80" s="450" t="s">
        <v>178</v>
      </c>
      <c r="E80" s="445">
        <v>1</v>
      </c>
      <c r="F80" s="451"/>
      <c r="G80" s="447">
        <f>F80*E80</f>
        <v>0</v>
      </c>
      <c r="H80" s="294" t="s">
        <v>227</v>
      </c>
      <c r="I80" s="22"/>
      <c r="J80" s="83"/>
      <c r="K80" s="84">
        <f>E80*J80</f>
        <v>0</v>
      </c>
      <c r="L80" s="85">
        <f>K80*F80</f>
        <v>0</v>
      </c>
      <c r="M80" s="86">
        <f>E80*L80</f>
        <v>0</v>
      </c>
    </row>
    <row r="81" spans="1:26 16384:16384" ht="20.25" customHeight="1">
      <c r="A81" s="315"/>
      <c r="B81" s="259"/>
      <c r="C81" s="259"/>
      <c r="D81" s="259"/>
      <c r="E81" s="259"/>
      <c r="F81" s="259"/>
      <c r="G81" s="259"/>
      <c r="H81" s="259"/>
      <c r="I81" s="259"/>
      <c r="J81" s="316"/>
      <c r="K81" s="317"/>
      <c r="L81" s="312"/>
      <c r="M81" s="96"/>
    </row>
    <row r="82" spans="1:26 16384:16384" ht="18" customHeight="1">
      <c r="A82" s="65"/>
      <c r="B82" s="66"/>
      <c r="C82" s="67" t="s">
        <v>285</v>
      </c>
      <c r="D82" s="409"/>
      <c r="E82" s="410"/>
      <c r="F82" s="411"/>
      <c r="G82" s="179">
        <f>SUM(G83:G99)</f>
        <v>0</v>
      </c>
      <c r="H82" s="72"/>
      <c r="I82" s="22"/>
      <c r="J82" s="180"/>
      <c r="K82" s="74">
        <f>SUM(K83:K99)</f>
        <v>17.023899853600007</v>
      </c>
      <c r="L82" s="73"/>
      <c r="M82" s="75">
        <f>SUM(M83:M99)</f>
        <v>0</v>
      </c>
    </row>
    <row r="83" spans="1:26 16384:16384" ht="24">
      <c r="A83" s="413">
        <f>A80+1</f>
        <v>62</v>
      </c>
      <c r="B83" s="336">
        <v>133212811</v>
      </c>
      <c r="C83" s="338" t="s">
        <v>52</v>
      </c>
      <c r="D83" s="427" t="s">
        <v>49</v>
      </c>
      <c r="E83" s="452">
        <f>0.1*0.1*0.6*3.14*27</f>
        <v>0.50868000000000002</v>
      </c>
      <c r="F83" s="372"/>
      <c r="G83" s="373">
        <f>F83*E83</f>
        <v>0</v>
      </c>
      <c r="H83" s="82" t="s">
        <v>35</v>
      </c>
      <c r="I83" s="94"/>
      <c r="J83" s="83"/>
      <c r="K83" s="84">
        <f>E83*J83</f>
        <v>0</v>
      </c>
      <c r="L83" s="85">
        <f>K83*F83</f>
        <v>0</v>
      </c>
      <c r="M83" s="86">
        <f>E83*L83</f>
        <v>0</v>
      </c>
    </row>
    <row r="84" spans="1:26 16384:16384" ht="15">
      <c r="A84" s="406"/>
      <c r="B84" s="407"/>
      <c r="C84" s="453" t="s">
        <v>286</v>
      </c>
      <c r="D84" s="454"/>
      <c r="E84" s="410"/>
      <c r="F84" s="411"/>
      <c r="G84" s="412"/>
      <c r="H84" s="72"/>
      <c r="I84" s="22"/>
      <c r="J84" s="180"/>
      <c r="K84" s="74"/>
      <c r="L84" s="73"/>
      <c r="M84" s="75"/>
    </row>
    <row r="85" spans="1:26 16384:16384" ht="15" customHeight="1">
      <c r="A85" s="369">
        <f>A83+1</f>
        <v>63</v>
      </c>
      <c r="B85" s="336">
        <v>167151111</v>
      </c>
      <c r="C85" s="336" t="s">
        <v>78</v>
      </c>
      <c r="D85" s="455" t="s">
        <v>79</v>
      </c>
      <c r="E85" s="456">
        <f>E83</f>
        <v>0.50868000000000002</v>
      </c>
      <c r="F85" s="401"/>
      <c r="G85" s="373">
        <f>F85*E85</f>
        <v>0</v>
      </c>
      <c r="H85" s="82" t="s">
        <v>35</v>
      </c>
      <c r="I85" s="22"/>
      <c r="J85" s="83"/>
      <c r="K85" s="84">
        <f>J85*E85</f>
        <v>0</v>
      </c>
      <c r="L85" s="85">
        <f>K85*F85</f>
        <v>0</v>
      </c>
      <c r="M85" s="86">
        <f>L85*E85</f>
        <v>0</v>
      </c>
    </row>
    <row r="86" spans="1:26 16384:16384" ht="24.75" customHeight="1">
      <c r="A86" s="369">
        <f>A85+1</f>
        <v>64</v>
      </c>
      <c r="B86" s="343">
        <v>162751117</v>
      </c>
      <c r="C86" s="343" t="s">
        <v>80</v>
      </c>
      <c r="D86" s="427" t="s">
        <v>49</v>
      </c>
      <c r="E86" s="457">
        <f>E85-E84</f>
        <v>0.50868000000000002</v>
      </c>
      <c r="F86" s="372"/>
      <c r="G86" s="373">
        <f>F86*E86</f>
        <v>0</v>
      </c>
      <c r="H86" s="82" t="s">
        <v>35</v>
      </c>
      <c r="I86" s="22"/>
      <c r="J86" s="152"/>
      <c r="K86" s="153">
        <f>J86*E86</f>
        <v>0</v>
      </c>
      <c r="L86" s="154">
        <f>K86*F86</f>
        <v>0</v>
      </c>
      <c r="M86" s="155">
        <f>L86*E86</f>
        <v>0</v>
      </c>
    </row>
    <row r="87" spans="1:26 16384:16384" ht="24">
      <c r="A87" s="369">
        <f>A86+1</f>
        <v>65</v>
      </c>
      <c r="B87" s="336">
        <v>171201231</v>
      </c>
      <c r="C87" s="338" t="s">
        <v>287</v>
      </c>
      <c r="D87" s="427" t="s">
        <v>83</v>
      </c>
      <c r="E87" s="457">
        <f>E85*1.6</f>
        <v>0.81388800000000006</v>
      </c>
      <c r="F87" s="372"/>
      <c r="G87" s="373">
        <f>F87*E87</f>
        <v>0</v>
      </c>
      <c r="H87" s="82" t="s">
        <v>35</v>
      </c>
      <c r="I87" s="22"/>
      <c r="J87" s="152"/>
      <c r="K87" s="153">
        <f>J87*E87</f>
        <v>0</v>
      </c>
      <c r="L87" s="154">
        <v>0</v>
      </c>
      <c r="M87" s="155">
        <f>L87*E87</f>
        <v>0</v>
      </c>
    </row>
    <row r="88" spans="1:26 16384:16384" ht="16.5" customHeight="1">
      <c r="A88" s="448">
        <f>A87+1</f>
        <v>66</v>
      </c>
      <c r="B88" s="336">
        <v>275313611</v>
      </c>
      <c r="C88" s="347" t="s">
        <v>288</v>
      </c>
      <c r="D88" s="399" t="s">
        <v>94</v>
      </c>
      <c r="E88" s="458">
        <f>E83</f>
        <v>0.50868000000000002</v>
      </c>
      <c r="F88" s="372"/>
      <c r="G88" s="373">
        <f>F88*E88</f>
        <v>0</v>
      </c>
      <c r="H88" s="82" t="s">
        <v>35</v>
      </c>
      <c r="I88" s="22"/>
      <c r="J88" s="184">
        <v>2.3010199999999998</v>
      </c>
      <c r="K88" s="84">
        <f>J88*E88</f>
        <v>1.1704828536</v>
      </c>
      <c r="L88" s="85">
        <v>0</v>
      </c>
      <c r="M88" s="86">
        <f>L88*E88</f>
        <v>0</v>
      </c>
      <c r="XFD88">
        <f>SUM(A88:XFC88)</f>
        <v>275313680.98018289</v>
      </c>
    </row>
    <row r="89" spans="1:26 16384:16384" ht="36.75" customHeight="1">
      <c r="A89" s="448">
        <f>A88+1</f>
        <v>67</v>
      </c>
      <c r="B89" s="354" t="s">
        <v>115</v>
      </c>
      <c r="C89" s="350" t="s">
        <v>289</v>
      </c>
      <c r="D89" s="450" t="s">
        <v>92</v>
      </c>
      <c r="E89" s="459">
        <f>SUM(E91)</f>
        <v>27</v>
      </c>
      <c r="F89" s="451"/>
      <c r="G89" s="447">
        <f>F89*E89</f>
        <v>0</v>
      </c>
      <c r="H89" s="236" t="s">
        <v>89</v>
      </c>
      <c r="I89" s="22"/>
      <c r="J89" s="184">
        <v>3.82E-3</v>
      </c>
      <c r="K89" s="84">
        <f>J89*E89</f>
        <v>0.10314</v>
      </c>
      <c r="L89" s="85">
        <v>0</v>
      </c>
      <c r="M89" s="86">
        <f>L89*E89</f>
        <v>0</v>
      </c>
    </row>
    <row r="90" spans="1:26 16384:16384" ht="24" customHeight="1">
      <c r="A90" s="448"/>
      <c r="B90" s="460"/>
      <c r="C90" s="461"/>
      <c r="D90" s="462"/>
      <c r="E90" s="463"/>
      <c r="F90" s="464"/>
      <c r="G90" s="465"/>
      <c r="H90" s="253"/>
      <c r="I90" s="22"/>
      <c r="J90" s="254"/>
      <c r="K90" s="255"/>
      <c r="L90" s="256"/>
      <c r="M90" s="257"/>
    </row>
    <row r="91" spans="1:26 16384:16384" ht="18" customHeight="1">
      <c r="A91" s="448">
        <f>A89+1</f>
        <v>68</v>
      </c>
      <c r="B91" s="336">
        <v>338171111</v>
      </c>
      <c r="C91" s="338" t="s">
        <v>290</v>
      </c>
      <c r="D91" s="414" t="s">
        <v>173</v>
      </c>
      <c r="E91" s="457">
        <v>27</v>
      </c>
      <c r="F91" s="372"/>
      <c r="G91" s="373">
        <f t="shared" ref="G91:G99" si="20">F91*E91</f>
        <v>0</v>
      </c>
      <c r="H91" s="82" t="s">
        <v>35</v>
      </c>
      <c r="I91" s="22"/>
      <c r="J91" s="184">
        <v>4.6800000000000001E-3</v>
      </c>
      <c r="K91" s="84">
        <f t="shared" ref="K91:K99" si="21">J91*E91</f>
        <v>0.12636</v>
      </c>
      <c r="L91" s="85">
        <v>0</v>
      </c>
      <c r="M91" s="86">
        <f t="shared" ref="M91:M99" si="22">L91*E91</f>
        <v>0</v>
      </c>
    </row>
    <row r="92" spans="1:26 16384:16384" ht="18" customHeight="1">
      <c r="A92" s="466">
        <f t="shared" ref="A92:A99" si="23">A91+1</f>
        <v>69</v>
      </c>
      <c r="B92" s="336">
        <v>348401120</v>
      </c>
      <c r="C92" s="338" t="s">
        <v>291</v>
      </c>
      <c r="D92" s="414" t="s">
        <v>87</v>
      </c>
      <c r="E92" s="457">
        <v>55.13</v>
      </c>
      <c r="F92" s="372"/>
      <c r="G92" s="373">
        <f t="shared" si="20"/>
        <v>0</v>
      </c>
      <c r="H92" s="82" t="s">
        <v>35</v>
      </c>
      <c r="I92" s="22"/>
      <c r="J92" s="184">
        <v>0.28000000000000003</v>
      </c>
      <c r="K92" s="84">
        <f t="shared" si="21"/>
        <v>15.436400000000003</v>
      </c>
      <c r="L92" s="85">
        <v>0</v>
      </c>
      <c r="M92" s="86">
        <f t="shared" si="22"/>
        <v>0</v>
      </c>
    </row>
    <row r="93" spans="1:26 16384:16384" ht="16.5" customHeight="1">
      <c r="A93" s="466">
        <f t="shared" si="23"/>
        <v>70</v>
      </c>
      <c r="B93" s="353">
        <v>55342241</v>
      </c>
      <c r="C93" s="467" t="s">
        <v>292</v>
      </c>
      <c r="D93" s="353" t="s">
        <v>173</v>
      </c>
      <c r="E93" s="468">
        <v>27</v>
      </c>
      <c r="F93" s="469"/>
      <c r="G93" s="387">
        <f t="shared" si="20"/>
        <v>0</v>
      </c>
      <c r="H93" s="82" t="s">
        <v>35</v>
      </c>
      <c r="I93" s="22"/>
      <c r="J93" s="184">
        <v>2.7000000000000001E-3</v>
      </c>
      <c r="K93" s="84">
        <f t="shared" si="21"/>
        <v>7.2900000000000006E-2</v>
      </c>
      <c r="L93" s="85">
        <v>0</v>
      </c>
      <c r="M93" s="86">
        <f t="shared" si="22"/>
        <v>0</v>
      </c>
    </row>
    <row r="94" spans="1:26 16384:16384" ht="16.5" customHeight="1">
      <c r="A94" s="466">
        <f t="shared" si="23"/>
        <v>71</v>
      </c>
      <c r="B94" s="379" t="s">
        <v>293</v>
      </c>
      <c r="C94" s="470" t="s">
        <v>294</v>
      </c>
      <c r="D94" s="397" t="s">
        <v>173</v>
      </c>
      <c r="E94" s="471">
        <v>54</v>
      </c>
      <c r="F94" s="394"/>
      <c r="G94" s="382">
        <f t="shared" si="20"/>
        <v>0</v>
      </c>
      <c r="H94" s="236" t="s">
        <v>89</v>
      </c>
      <c r="I94" s="22"/>
      <c r="J94" s="184">
        <v>0</v>
      </c>
      <c r="K94" s="84">
        <f t="shared" si="21"/>
        <v>0</v>
      </c>
      <c r="L94" s="85">
        <v>0</v>
      </c>
      <c r="M94" s="86">
        <f t="shared" si="22"/>
        <v>0</v>
      </c>
    </row>
    <row r="95" spans="1:26 16384:16384" ht="16.5" customHeight="1">
      <c r="A95" s="466">
        <f t="shared" si="23"/>
        <v>72</v>
      </c>
      <c r="B95" s="379" t="s">
        <v>295</v>
      </c>
      <c r="C95" s="470" t="s">
        <v>296</v>
      </c>
      <c r="D95" s="397" t="s">
        <v>173</v>
      </c>
      <c r="E95" s="471">
        <v>20</v>
      </c>
      <c r="F95" s="394"/>
      <c r="G95" s="382">
        <f t="shared" si="20"/>
        <v>0</v>
      </c>
      <c r="H95" s="236" t="s">
        <v>89</v>
      </c>
      <c r="I95" s="22"/>
      <c r="J95" s="184">
        <v>0</v>
      </c>
      <c r="K95" s="84">
        <f t="shared" si="21"/>
        <v>0</v>
      </c>
      <c r="L95" s="85">
        <v>0</v>
      </c>
      <c r="M95" s="86">
        <f t="shared" si="22"/>
        <v>0</v>
      </c>
      <c r="Q95" s="318"/>
      <c r="R95" s="318"/>
      <c r="S95" s="318"/>
      <c r="T95" s="318"/>
      <c r="U95" s="318"/>
      <c r="V95" s="318"/>
      <c r="W95" s="318"/>
      <c r="X95" s="318"/>
      <c r="Y95" s="318"/>
      <c r="Z95" s="318"/>
    </row>
    <row r="96" spans="1:26 16384:16384" ht="16.5" customHeight="1">
      <c r="A96" s="466">
        <f t="shared" si="23"/>
        <v>73</v>
      </c>
      <c r="B96" s="379" t="s">
        <v>297</v>
      </c>
      <c r="C96" s="470" t="s">
        <v>298</v>
      </c>
      <c r="D96" s="397" t="s">
        <v>173</v>
      </c>
      <c r="E96" s="471">
        <v>20</v>
      </c>
      <c r="F96" s="394"/>
      <c r="G96" s="382">
        <f t="shared" si="20"/>
        <v>0</v>
      </c>
      <c r="H96" s="236" t="s">
        <v>89</v>
      </c>
      <c r="I96" s="22"/>
      <c r="J96" s="184">
        <v>0</v>
      </c>
      <c r="K96" s="84">
        <f t="shared" si="21"/>
        <v>0</v>
      </c>
      <c r="L96" s="85">
        <v>0</v>
      </c>
      <c r="M96" s="86">
        <f t="shared" si="22"/>
        <v>0</v>
      </c>
      <c r="Q96" s="318"/>
      <c r="R96" s="318"/>
      <c r="S96" s="318"/>
      <c r="T96" s="318"/>
      <c r="U96" s="318"/>
      <c r="V96" s="318"/>
      <c r="W96" s="318"/>
      <c r="X96" s="318"/>
      <c r="Y96" s="318"/>
      <c r="Z96" s="318"/>
    </row>
    <row r="97" spans="1:98" s="310" customFormat="1" ht="16.5" customHeight="1">
      <c r="A97" s="229">
        <f t="shared" si="23"/>
        <v>74</v>
      </c>
      <c r="B97" s="379" t="s">
        <v>299</v>
      </c>
      <c r="C97" s="472" t="s">
        <v>300</v>
      </c>
      <c r="D97" s="397" t="s">
        <v>173</v>
      </c>
      <c r="E97" s="471">
        <v>331</v>
      </c>
      <c r="F97" s="394"/>
      <c r="G97" s="382">
        <f t="shared" si="20"/>
        <v>0</v>
      </c>
      <c r="H97" s="236" t="s">
        <v>89</v>
      </c>
      <c r="I97" s="237"/>
      <c r="J97" s="238">
        <v>0</v>
      </c>
      <c r="K97" s="239">
        <f t="shared" si="21"/>
        <v>0</v>
      </c>
      <c r="L97" s="240">
        <v>0</v>
      </c>
      <c r="M97" s="241">
        <f t="shared" si="22"/>
        <v>0</v>
      </c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</row>
    <row r="98" spans="1:98" ht="16.5" customHeight="1">
      <c r="A98" s="466">
        <f t="shared" si="23"/>
        <v>75</v>
      </c>
      <c r="B98" s="379" t="s">
        <v>301</v>
      </c>
      <c r="C98" s="397" t="s">
        <v>302</v>
      </c>
      <c r="D98" s="397" t="s">
        <v>173</v>
      </c>
      <c r="E98" s="471">
        <v>1</v>
      </c>
      <c r="F98" s="394"/>
      <c r="G98" s="382">
        <f t="shared" si="20"/>
        <v>0</v>
      </c>
      <c r="H98" s="236" t="s">
        <v>89</v>
      </c>
      <c r="I98" s="22"/>
      <c r="J98" s="184">
        <v>6.5000000000000002E-2</v>
      </c>
      <c r="K98" s="84">
        <f t="shared" si="21"/>
        <v>6.5000000000000002E-2</v>
      </c>
      <c r="L98" s="85">
        <v>0</v>
      </c>
      <c r="M98" s="86">
        <f t="shared" si="22"/>
        <v>0</v>
      </c>
    </row>
    <row r="99" spans="1:98" ht="16.5" customHeight="1">
      <c r="A99" s="466">
        <f t="shared" si="23"/>
        <v>76</v>
      </c>
      <c r="B99" s="353">
        <v>31324770</v>
      </c>
      <c r="C99" s="353" t="s">
        <v>303</v>
      </c>
      <c r="D99" s="353" t="s">
        <v>87</v>
      </c>
      <c r="E99" s="468">
        <f>E92</f>
        <v>55.13</v>
      </c>
      <c r="F99" s="469"/>
      <c r="G99" s="387">
        <f t="shared" si="20"/>
        <v>0</v>
      </c>
      <c r="H99" s="82" t="s">
        <v>35</v>
      </c>
      <c r="I99" s="22"/>
      <c r="J99" s="184">
        <v>8.9999999999999998E-4</v>
      </c>
      <c r="K99" s="84">
        <f t="shared" si="21"/>
        <v>4.9617000000000001E-2</v>
      </c>
      <c r="L99" s="85">
        <v>0</v>
      </c>
      <c r="M99" s="86">
        <f t="shared" si="22"/>
        <v>0</v>
      </c>
    </row>
    <row r="100" spans="1:98" ht="9" customHeight="1">
      <c r="A100" s="315"/>
      <c r="B100" s="259"/>
      <c r="C100" s="259"/>
      <c r="D100" s="259"/>
      <c r="E100" s="259"/>
      <c r="F100" s="259"/>
      <c r="G100" s="259"/>
      <c r="H100" s="259"/>
      <c r="I100" s="259"/>
      <c r="J100" s="259"/>
      <c r="K100" s="317"/>
      <c r="L100" s="312"/>
      <c r="M100" s="96"/>
    </row>
    <row r="101" spans="1:98" ht="17.25" customHeight="1">
      <c r="A101" s="65"/>
      <c r="B101" s="66"/>
      <c r="C101" s="67" t="s">
        <v>217</v>
      </c>
      <c r="D101" s="319"/>
      <c r="E101" s="320"/>
      <c r="F101" s="321"/>
      <c r="G101" s="179">
        <f>SUM(G102:G104)</f>
        <v>0</v>
      </c>
      <c r="H101" s="72"/>
      <c r="I101" s="22"/>
      <c r="J101" s="73"/>
      <c r="K101" s="74">
        <f>K76+K69+K60+K48+K35+K25+K5+K82</f>
        <v>58.899319603600006</v>
      </c>
      <c r="L101" s="73"/>
      <c r="M101" s="75">
        <v>0</v>
      </c>
    </row>
    <row r="102" spans="1:98" ht="19.5" customHeight="1">
      <c r="A102" s="448">
        <f>A99+1</f>
        <v>77</v>
      </c>
      <c r="B102" s="336">
        <v>998231411</v>
      </c>
      <c r="C102" s="336" t="s">
        <v>304</v>
      </c>
      <c r="D102" s="399" t="s">
        <v>29</v>
      </c>
      <c r="E102" s="371">
        <f>K101</f>
        <v>58.899319603600006</v>
      </c>
      <c r="F102" s="372"/>
      <c r="G102" s="373">
        <f>F102*E102</f>
        <v>0</v>
      </c>
      <c r="H102" s="82" t="s">
        <v>35</v>
      </c>
      <c r="I102" s="22"/>
      <c r="J102" s="291"/>
      <c r="K102" s="84">
        <f>E102*J102</f>
        <v>0</v>
      </c>
      <c r="L102" s="85">
        <f>K102*F102</f>
        <v>0</v>
      </c>
      <c r="M102" s="86">
        <f>E102*L102</f>
        <v>0</v>
      </c>
    </row>
    <row r="103" spans="1:98" s="282" customFormat="1" ht="21.75" customHeight="1">
      <c r="A103" s="473"/>
      <c r="B103" s="474" t="s">
        <v>305</v>
      </c>
      <c r="C103" s="322" t="s">
        <v>306</v>
      </c>
      <c r="D103" s="323"/>
      <c r="E103" s="323"/>
      <c r="F103" s="323"/>
      <c r="G103" s="324"/>
      <c r="H103" s="324"/>
      <c r="I103" s="324"/>
      <c r="J103" s="324"/>
      <c r="K103" s="325"/>
      <c r="L103" s="326"/>
      <c r="M103" s="279"/>
    </row>
    <row r="104" spans="1:98" ht="23.25" customHeight="1">
      <c r="A104" s="315"/>
      <c r="B104" s="259"/>
      <c r="C104" s="259"/>
      <c r="D104" s="259"/>
      <c r="E104" s="317"/>
      <c r="F104" s="317"/>
      <c r="G104" s="317"/>
      <c r="H104" s="317"/>
      <c r="I104" s="317"/>
      <c r="J104" s="317"/>
      <c r="K104" s="317"/>
      <c r="L104" s="312"/>
    </row>
    <row r="105" spans="1:98" ht="31.5" customHeight="1">
      <c r="A105" s="315"/>
      <c r="B105" s="259"/>
      <c r="C105" s="259"/>
      <c r="D105" s="259"/>
      <c r="E105" s="317"/>
      <c r="F105" s="317"/>
      <c r="G105" s="317"/>
      <c r="H105" s="317"/>
      <c r="I105" s="317"/>
      <c r="J105" s="317"/>
      <c r="K105" s="317"/>
      <c r="L105" s="312"/>
    </row>
    <row r="106" spans="1:98" s="282" customFormat="1" ht="39.75" customHeight="1">
      <c r="A106" s="277"/>
      <c r="B106" s="277"/>
      <c r="C106" s="278" t="s">
        <v>214</v>
      </c>
      <c r="D106" s="277"/>
      <c r="E106" s="277"/>
      <c r="F106" s="277"/>
      <c r="G106" s="277"/>
      <c r="H106" s="277"/>
      <c r="I106" s="277"/>
      <c r="J106" s="277"/>
      <c r="K106" s="279"/>
      <c r="L106" s="280"/>
    </row>
    <row r="107" spans="1:98" ht="18" customHeight="1">
      <c r="A107" s="131"/>
      <c r="B107" s="131"/>
      <c r="C107" s="283" t="s">
        <v>220</v>
      </c>
      <c r="D107" s="277"/>
      <c r="E107" s="277"/>
      <c r="F107" s="277"/>
      <c r="G107" s="327">
        <f>G5</f>
        <v>0</v>
      </c>
      <c r="H107" s="131"/>
      <c r="I107" s="131"/>
      <c r="J107" s="131"/>
      <c r="K107" s="96"/>
      <c r="L107" s="97"/>
    </row>
    <row r="108" spans="1:98" ht="18" customHeight="1">
      <c r="A108" s="131"/>
      <c r="B108" s="131"/>
      <c r="C108" s="283" t="s">
        <v>248</v>
      </c>
      <c r="D108" s="277"/>
      <c r="E108" s="277"/>
      <c r="F108" s="277"/>
      <c r="G108" s="327">
        <f>G25</f>
        <v>0</v>
      </c>
      <c r="H108" s="131"/>
      <c r="I108" s="131"/>
      <c r="J108" s="131"/>
      <c r="K108" s="96"/>
      <c r="L108" s="97"/>
      <c r="M108" s="98"/>
    </row>
    <row r="109" spans="1:98" ht="18" customHeight="1">
      <c r="A109" s="131"/>
      <c r="B109" s="131"/>
      <c r="C109" s="283" t="s">
        <v>254</v>
      </c>
      <c r="D109" s="277"/>
      <c r="E109" s="277"/>
      <c r="F109" s="277"/>
      <c r="G109" s="327">
        <f>G35</f>
        <v>0</v>
      </c>
      <c r="H109" s="131"/>
      <c r="I109" s="131"/>
      <c r="J109" s="131"/>
      <c r="K109" s="96"/>
      <c r="L109" s="97"/>
      <c r="M109" s="98"/>
    </row>
    <row r="110" spans="1:98" ht="18" customHeight="1">
      <c r="A110" s="131"/>
      <c r="B110" s="131"/>
      <c r="C110" s="283" t="s">
        <v>263</v>
      </c>
      <c r="D110" s="277"/>
      <c r="E110" s="277"/>
      <c r="F110" s="277"/>
      <c r="G110" s="327">
        <f>G48</f>
        <v>0</v>
      </c>
      <c r="H110" s="131"/>
      <c r="I110" s="131"/>
      <c r="J110" s="131"/>
      <c r="K110" s="96"/>
      <c r="L110" s="97"/>
      <c r="M110" s="98"/>
    </row>
    <row r="111" spans="1:98" ht="18" customHeight="1">
      <c r="A111" s="131"/>
      <c r="B111" s="131"/>
      <c r="C111" s="283" t="s">
        <v>307</v>
      </c>
      <c r="D111" s="277"/>
      <c r="E111" s="277"/>
      <c r="F111" s="277"/>
      <c r="G111" s="327">
        <f>G60</f>
        <v>0</v>
      </c>
      <c r="H111" s="131"/>
      <c r="I111" s="131"/>
      <c r="J111" s="131"/>
      <c r="K111" s="96"/>
      <c r="L111" s="97"/>
      <c r="M111" s="98"/>
    </row>
    <row r="112" spans="1:98" ht="18" customHeight="1">
      <c r="A112" s="131"/>
      <c r="B112" s="131"/>
      <c r="C112" s="283" t="s">
        <v>308</v>
      </c>
      <c r="D112" s="277"/>
      <c r="E112" s="277"/>
      <c r="F112" s="277"/>
      <c r="G112" s="327">
        <f>G69</f>
        <v>0</v>
      </c>
      <c r="H112" s="131"/>
      <c r="I112" s="131"/>
      <c r="J112" s="131"/>
      <c r="K112" s="96"/>
      <c r="L112" s="97"/>
      <c r="M112" s="98"/>
    </row>
    <row r="113" spans="1:13" ht="18" customHeight="1">
      <c r="A113" s="131"/>
      <c r="B113" s="131"/>
      <c r="C113" s="283" t="s">
        <v>279</v>
      </c>
      <c r="D113" s="277"/>
      <c r="E113" s="277"/>
      <c r="F113" s="277"/>
      <c r="G113" s="327">
        <f>G76</f>
        <v>0</v>
      </c>
      <c r="H113" s="131"/>
      <c r="I113" s="131"/>
      <c r="J113" s="131"/>
      <c r="K113" s="96"/>
      <c r="L113" s="97"/>
      <c r="M113" s="98"/>
    </row>
    <row r="114" spans="1:13" ht="18" customHeight="1">
      <c r="A114" s="131"/>
      <c r="B114" s="131"/>
      <c r="C114" s="283" t="s">
        <v>285</v>
      </c>
      <c r="D114" s="277"/>
      <c r="E114" s="277"/>
      <c r="F114" s="277"/>
      <c r="G114" s="284">
        <f>G82</f>
        <v>0</v>
      </c>
      <c r="H114" s="131"/>
      <c r="I114" s="131"/>
      <c r="J114" s="131"/>
      <c r="K114" s="96"/>
      <c r="L114" s="97"/>
      <c r="M114" s="98"/>
    </row>
    <row r="115" spans="1:13" ht="18" customHeight="1">
      <c r="A115" s="131"/>
      <c r="B115" s="131"/>
      <c r="C115" s="283" t="s">
        <v>217</v>
      </c>
      <c r="D115" s="277"/>
      <c r="E115" s="277"/>
      <c r="F115" s="277"/>
      <c r="G115" s="284">
        <f>G101</f>
        <v>0</v>
      </c>
      <c r="H115" s="131"/>
      <c r="I115" s="131"/>
      <c r="J115" s="131"/>
      <c r="K115" s="96"/>
      <c r="L115" s="97"/>
      <c r="M115" s="98"/>
    </row>
    <row r="116" spans="1:13" ht="18" customHeight="1">
      <c r="A116" s="131"/>
      <c r="B116" s="131"/>
      <c r="C116" s="287" t="s">
        <v>309</v>
      </c>
      <c r="D116" s="288"/>
      <c r="E116" s="288"/>
      <c r="F116" s="288" t="s">
        <v>219</v>
      </c>
      <c r="G116" s="486">
        <f>SUM(G107:G115)</f>
        <v>0</v>
      </c>
      <c r="H116" s="131"/>
      <c r="I116" s="131"/>
      <c r="J116" s="131"/>
      <c r="K116" s="96"/>
      <c r="L116" s="97"/>
      <c r="M116" s="98"/>
    </row>
    <row r="117" spans="1:13" ht="15">
      <c r="A117" s="131"/>
      <c r="B117" s="131"/>
      <c r="C117" s="131"/>
      <c r="D117" s="131"/>
      <c r="E117" s="131"/>
      <c r="F117" s="131"/>
      <c r="G117" s="131"/>
      <c r="H117" s="131"/>
      <c r="I117" s="131"/>
      <c r="J117" s="131"/>
      <c r="K117" s="96"/>
      <c r="L117" s="97"/>
      <c r="M117" s="98"/>
    </row>
    <row r="118" spans="1:13" ht="15" customHeight="1">
      <c r="A118" s="315"/>
      <c r="B118" s="259"/>
      <c r="C118" s="259"/>
      <c r="D118" s="259"/>
      <c r="E118" s="317"/>
      <c r="F118" s="317"/>
      <c r="G118" s="317"/>
      <c r="H118" s="317"/>
      <c r="I118" s="317"/>
      <c r="J118" s="317"/>
      <c r="K118" s="317"/>
      <c r="L118" s="312"/>
      <c r="M118" s="96"/>
    </row>
    <row r="119" spans="1:13" ht="15" customHeight="1">
      <c r="A119" s="315"/>
      <c r="B119" s="315"/>
      <c r="C119" s="315"/>
      <c r="D119" s="315"/>
      <c r="E119" s="315"/>
      <c r="F119" s="315"/>
      <c r="G119" s="317"/>
      <c r="H119" s="317"/>
      <c r="I119" s="317"/>
      <c r="J119" s="317"/>
      <c r="K119" s="317"/>
      <c r="L119" s="312"/>
      <c r="M119" s="96"/>
    </row>
    <row r="120" spans="1:13" ht="15" customHeight="1">
      <c r="A120" s="315"/>
      <c r="B120" s="315"/>
      <c r="C120" s="315"/>
      <c r="D120" s="315"/>
      <c r="E120" s="315"/>
      <c r="F120" s="315"/>
      <c r="G120" s="317"/>
      <c r="H120" s="317"/>
      <c r="I120" s="317"/>
      <c r="J120" s="317"/>
      <c r="K120" s="317"/>
      <c r="L120" s="312"/>
      <c r="M120" s="96"/>
    </row>
    <row r="121" spans="1:13" ht="15" customHeight="1">
      <c r="A121" s="315"/>
      <c r="B121" s="315"/>
      <c r="C121" s="315"/>
      <c r="D121" s="315"/>
      <c r="E121" s="315"/>
      <c r="F121" s="315"/>
      <c r="G121" s="317"/>
      <c r="H121" s="317"/>
      <c r="I121" s="317"/>
      <c r="J121" s="317"/>
      <c r="K121" s="317"/>
      <c r="L121" s="312"/>
      <c r="M121" s="96"/>
    </row>
    <row r="122" spans="1:13" ht="15" customHeight="1">
      <c r="A122" s="315"/>
      <c r="B122" s="315"/>
      <c r="C122" s="315"/>
      <c r="D122" s="315"/>
      <c r="E122" s="315"/>
      <c r="F122" s="315"/>
      <c r="G122" s="317"/>
      <c r="H122" s="317"/>
      <c r="I122" s="317"/>
      <c r="J122" s="317"/>
      <c r="K122" s="317"/>
      <c r="L122" s="312"/>
      <c r="M122" s="96"/>
    </row>
    <row r="123" spans="1:13" ht="15" customHeight="1">
      <c r="A123" s="315"/>
      <c r="B123" s="315"/>
      <c r="C123" s="315"/>
      <c r="D123" s="315"/>
      <c r="E123" s="315"/>
      <c r="F123" s="315"/>
      <c r="G123" s="317"/>
      <c r="H123" s="317"/>
      <c r="I123" s="317"/>
      <c r="J123" s="317"/>
      <c r="K123" s="317"/>
      <c r="L123" s="312"/>
      <c r="M123" s="96"/>
    </row>
    <row r="124" spans="1:13" ht="15" customHeight="1">
      <c r="A124" s="315"/>
      <c r="B124" s="315"/>
      <c r="C124" s="315"/>
      <c r="D124" s="315"/>
      <c r="E124" s="315"/>
      <c r="F124" s="315"/>
      <c r="G124" s="317"/>
      <c r="H124" s="317"/>
      <c r="I124" s="317"/>
      <c r="J124" s="317"/>
      <c r="K124" s="317"/>
      <c r="L124" s="312"/>
      <c r="M124" s="96"/>
    </row>
    <row r="125" spans="1:13" ht="15" customHeight="1">
      <c r="A125" s="315"/>
      <c r="B125" s="315"/>
      <c r="C125" s="315"/>
      <c r="D125" s="315"/>
      <c r="E125" s="315"/>
      <c r="F125" s="315"/>
      <c r="G125" s="317"/>
      <c r="H125" s="317"/>
      <c r="I125" s="317"/>
      <c r="J125" s="317"/>
      <c r="K125" s="317"/>
      <c r="L125" s="312"/>
      <c r="M125" s="96"/>
    </row>
    <row r="126" spans="1:13" ht="15" customHeight="1">
      <c r="A126" s="315"/>
      <c r="B126" s="259"/>
      <c r="C126" s="259"/>
      <c r="D126" s="259"/>
      <c r="E126" s="317"/>
      <c r="F126" s="317"/>
      <c r="G126" s="317"/>
      <c r="H126" s="317"/>
      <c r="I126" s="317"/>
      <c r="J126" s="317"/>
      <c r="K126" s="317"/>
      <c r="L126" s="312"/>
      <c r="M126" s="96"/>
    </row>
    <row r="127" spans="1:13" ht="15" customHeight="1">
      <c r="A127" s="315"/>
      <c r="B127" s="259"/>
      <c r="C127" s="259"/>
      <c r="D127" s="259"/>
      <c r="E127" s="317"/>
      <c r="F127" s="317"/>
      <c r="G127" s="317"/>
      <c r="H127" s="317"/>
      <c r="I127" s="317"/>
      <c r="J127" s="317"/>
      <c r="K127" s="317"/>
      <c r="L127" s="312"/>
      <c r="M127" s="96"/>
    </row>
    <row r="128" spans="1:13" ht="15" customHeight="1">
      <c r="A128" s="315"/>
      <c r="B128" s="259"/>
      <c r="C128" s="259"/>
      <c r="D128" s="259"/>
      <c r="E128" s="317"/>
      <c r="F128" s="317"/>
      <c r="G128" s="317"/>
      <c r="H128" s="317"/>
      <c r="I128" s="317"/>
      <c r="J128" s="317"/>
      <c r="K128" s="317"/>
      <c r="L128" s="312"/>
      <c r="M128" s="96"/>
    </row>
    <row r="129" spans="1:13" ht="15" customHeight="1">
      <c r="A129" s="315"/>
      <c r="B129" s="259"/>
      <c r="C129" s="259"/>
      <c r="D129" s="259"/>
      <c r="E129" s="317"/>
      <c r="F129" s="317"/>
      <c r="G129" s="317"/>
      <c r="H129" s="317"/>
      <c r="I129" s="317"/>
      <c r="J129" s="317"/>
      <c r="K129" s="317"/>
      <c r="L129" s="312"/>
      <c r="M129" s="96"/>
    </row>
    <row r="130" spans="1:13" ht="15" customHeight="1">
      <c r="A130" s="315"/>
      <c r="B130" s="259"/>
      <c r="C130" s="259"/>
      <c r="D130" s="259"/>
      <c r="E130" s="317"/>
      <c r="F130" s="317"/>
      <c r="G130" s="317"/>
      <c r="H130" s="317"/>
      <c r="I130" s="317"/>
      <c r="J130" s="317"/>
      <c r="K130" s="317"/>
      <c r="L130" s="312"/>
      <c r="M130" s="96"/>
    </row>
    <row r="131" spans="1:13" ht="15" customHeight="1">
      <c r="A131" s="315"/>
      <c r="B131" s="259"/>
      <c r="C131" s="259"/>
      <c r="D131" s="259"/>
      <c r="E131" s="317"/>
      <c r="F131" s="317"/>
      <c r="G131" s="317"/>
      <c r="H131" s="317"/>
      <c r="I131" s="317"/>
      <c r="J131" s="317"/>
      <c r="K131" s="317"/>
      <c r="L131" s="312"/>
      <c r="M131" s="96"/>
    </row>
    <row r="132" spans="1:13" ht="15" customHeight="1">
      <c r="A132" s="315"/>
      <c r="B132" s="259"/>
      <c r="C132" s="259"/>
      <c r="D132" s="259"/>
      <c r="E132" s="317"/>
      <c r="F132" s="317"/>
      <c r="G132" s="317"/>
      <c r="H132" s="317"/>
      <c r="I132" s="317"/>
      <c r="J132" s="317"/>
      <c r="K132" s="317"/>
      <c r="L132" s="312"/>
      <c r="M132" s="96"/>
    </row>
    <row r="133" spans="1:13" ht="15" customHeight="1">
      <c r="A133" s="315"/>
      <c r="B133" s="259"/>
      <c r="C133" s="259"/>
      <c r="D133" s="259"/>
      <c r="E133" s="317"/>
      <c r="F133" s="317"/>
      <c r="G133" s="317"/>
      <c r="H133" s="317"/>
      <c r="I133" s="317"/>
      <c r="J133" s="317"/>
      <c r="K133" s="317"/>
      <c r="L133" s="312"/>
      <c r="M133" s="96"/>
    </row>
    <row r="134" spans="1:13" ht="15" customHeight="1">
      <c r="A134" s="315"/>
      <c r="B134" s="259"/>
      <c r="C134" s="259"/>
      <c r="D134" s="259"/>
      <c r="E134" s="317"/>
      <c r="F134" s="317"/>
      <c r="G134" s="317"/>
      <c r="H134" s="317"/>
      <c r="I134" s="317"/>
      <c r="J134" s="317"/>
      <c r="K134" s="317"/>
      <c r="L134" s="312"/>
      <c r="M134" s="96"/>
    </row>
    <row r="135" spans="1:13" ht="15" customHeight="1">
      <c r="A135" s="315"/>
      <c r="B135" s="259"/>
      <c r="C135" s="259"/>
      <c r="D135" s="259"/>
      <c r="E135" s="317"/>
      <c r="F135" s="317"/>
      <c r="G135" s="317"/>
      <c r="H135" s="317"/>
      <c r="I135" s="317"/>
      <c r="J135" s="317"/>
      <c r="K135" s="317"/>
      <c r="L135" s="312"/>
      <c r="M135" s="96"/>
    </row>
    <row r="136" spans="1:13" ht="15" customHeight="1">
      <c r="A136" s="315"/>
      <c r="B136" s="259"/>
      <c r="C136" s="259"/>
      <c r="D136" s="259"/>
      <c r="E136" s="317"/>
      <c r="F136" s="317"/>
      <c r="G136" s="317"/>
      <c r="H136" s="317"/>
      <c r="I136" s="317"/>
      <c r="J136" s="317"/>
      <c r="K136" s="317"/>
      <c r="L136" s="312"/>
      <c r="M136" s="96"/>
    </row>
    <row r="137" spans="1:13" ht="15" customHeight="1">
      <c r="A137" s="315"/>
      <c r="B137" s="259"/>
      <c r="C137" s="259"/>
      <c r="D137" s="259"/>
      <c r="E137" s="317"/>
      <c r="F137" s="317"/>
      <c r="G137" s="317"/>
      <c r="H137" s="317"/>
      <c r="I137" s="317"/>
      <c r="J137" s="317"/>
      <c r="K137" s="317"/>
      <c r="L137" s="312"/>
      <c r="M137" s="96"/>
    </row>
    <row r="138" spans="1:13" ht="15" customHeight="1">
      <c r="A138" s="315"/>
      <c r="B138" s="259"/>
      <c r="C138" s="259"/>
      <c r="D138" s="259"/>
      <c r="E138" s="317"/>
      <c r="F138" s="317"/>
      <c r="G138" s="317"/>
      <c r="H138" s="317"/>
      <c r="I138" s="317"/>
      <c r="J138" s="317"/>
      <c r="K138" s="317"/>
      <c r="L138" s="312"/>
      <c r="M138" s="96"/>
    </row>
    <row r="139" spans="1:13" ht="15" customHeight="1">
      <c r="A139" s="315"/>
      <c r="B139" s="259"/>
      <c r="C139" s="259"/>
      <c r="D139" s="259"/>
      <c r="E139" s="317"/>
      <c r="F139" s="317"/>
      <c r="G139" s="317"/>
      <c r="H139" s="317"/>
      <c r="I139" s="317"/>
      <c r="J139" s="317"/>
      <c r="K139" s="317"/>
      <c r="L139" s="312"/>
      <c r="M139" s="96"/>
    </row>
    <row r="140" spans="1:13" ht="15" customHeight="1">
      <c r="A140" s="315"/>
      <c r="B140" s="259"/>
      <c r="C140" s="259"/>
      <c r="D140" s="259"/>
      <c r="E140" s="317"/>
      <c r="F140" s="317"/>
      <c r="G140" s="317"/>
      <c r="H140" s="317"/>
      <c r="I140" s="317"/>
      <c r="J140" s="317"/>
      <c r="K140" s="317"/>
      <c r="L140" s="312"/>
      <c r="M140" s="96"/>
    </row>
    <row r="141" spans="1:13" ht="15" customHeight="1">
      <c r="A141" s="315"/>
      <c r="B141" s="259"/>
      <c r="C141" s="259"/>
      <c r="D141" s="259"/>
      <c r="E141" s="317"/>
      <c r="F141" s="317"/>
      <c r="G141" s="317"/>
      <c r="H141" s="317"/>
      <c r="I141" s="317"/>
      <c r="J141" s="317"/>
      <c r="K141" s="317"/>
      <c r="L141" s="312"/>
      <c r="M141" s="96"/>
    </row>
    <row r="142" spans="1:13" ht="15" customHeight="1">
      <c r="A142" s="315"/>
      <c r="B142" s="259"/>
      <c r="C142" s="259"/>
      <c r="D142" s="259"/>
      <c r="E142" s="317"/>
      <c r="F142" s="317"/>
      <c r="G142" s="317"/>
      <c r="H142" s="317"/>
      <c r="I142" s="317"/>
      <c r="J142" s="317"/>
      <c r="K142" s="317"/>
      <c r="L142" s="312"/>
      <c r="M142" s="96"/>
    </row>
    <row r="143" spans="1:13" ht="15" customHeight="1">
      <c r="A143" s="315"/>
      <c r="B143" s="259"/>
      <c r="C143" s="259"/>
      <c r="D143" s="259"/>
      <c r="E143" s="317"/>
      <c r="F143" s="317"/>
      <c r="G143" s="317"/>
      <c r="H143" s="317"/>
      <c r="I143" s="317"/>
      <c r="J143" s="317"/>
      <c r="K143" s="317"/>
      <c r="L143" s="312"/>
      <c r="M143" s="96"/>
    </row>
    <row r="144" spans="1:13" ht="15" customHeight="1">
      <c r="A144" s="315"/>
      <c r="B144" s="259"/>
      <c r="C144" s="259"/>
      <c r="D144" s="259"/>
      <c r="E144" s="317"/>
      <c r="F144" s="317"/>
      <c r="G144" s="317"/>
      <c r="H144" s="317"/>
      <c r="I144" s="317"/>
      <c r="J144" s="317"/>
      <c r="K144" s="317"/>
      <c r="L144" s="312"/>
      <c r="M144" s="96"/>
    </row>
    <row r="145" spans="1:13" ht="15" customHeight="1">
      <c r="A145" s="315"/>
      <c r="B145" s="259"/>
      <c r="C145" s="259"/>
      <c r="D145" s="259"/>
      <c r="E145" s="317"/>
      <c r="F145" s="317"/>
      <c r="G145" s="317"/>
      <c r="H145" s="317"/>
      <c r="I145" s="317"/>
      <c r="J145" s="317"/>
      <c r="K145" s="317"/>
      <c r="L145" s="312"/>
      <c r="M145" s="96"/>
    </row>
    <row r="146" spans="1:13" ht="15" customHeight="1">
      <c r="A146" s="315"/>
      <c r="B146" s="259"/>
      <c r="C146" s="259"/>
      <c r="D146" s="259"/>
      <c r="E146" s="317"/>
      <c r="F146" s="317"/>
      <c r="G146" s="317"/>
      <c r="H146" s="317"/>
      <c r="I146" s="317"/>
      <c r="J146" s="317"/>
      <c r="K146" s="317"/>
      <c r="L146" s="312"/>
      <c r="M146" s="96"/>
    </row>
    <row r="147" spans="1:13" ht="15" customHeight="1">
      <c r="A147" s="315"/>
      <c r="B147" s="259"/>
      <c r="C147" s="259"/>
      <c r="D147" s="259"/>
      <c r="E147" s="317"/>
      <c r="F147" s="317"/>
      <c r="G147" s="317"/>
      <c r="H147" s="317"/>
      <c r="I147" s="317"/>
      <c r="J147" s="317"/>
      <c r="K147" s="317"/>
      <c r="L147" s="312"/>
      <c r="M147" s="96"/>
    </row>
    <row r="148" spans="1:13" ht="15" customHeight="1">
      <c r="A148" s="315"/>
      <c r="B148" s="259"/>
      <c r="C148" s="259"/>
      <c r="D148" s="259"/>
      <c r="E148" s="317"/>
      <c r="F148" s="317"/>
      <c r="G148" s="317"/>
      <c r="H148" s="317"/>
      <c r="I148" s="317"/>
      <c r="J148" s="317"/>
      <c r="K148" s="317"/>
      <c r="L148" s="312"/>
      <c r="M148" s="96"/>
    </row>
    <row r="149" spans="1:13" ht="15" customHeight="1">
      <c r="A149" s="315"/>
      <c r="B149" s="259"/>
      <c r="C149" s="259"/>
      <c r="D149" s="259"/>
      <c r="E149" s="317"/>
      <c r="F149" s="317"/>
      <c r="G149" s="317"/>
      <c r="H149" s="317"/>
      <c r="I149" s="317"/>
      <c r="J149" s="317"/>
      <c r="K149" s="317"/>
      <c r="L149" s="312"/>
      <c r="M149" s="96"/>
    </row>
    <row r="150" spans="1:13" ht="15" customHeight="1">
      <c r="A150" s="315"/>
      <c r="B150" s="259"/>
      <c r="C150" s="259"/>
      <c r="D150" s="259"/>
      <c r="E150" s="317"/>
      <c r="F150" s="317"/>
      <c r="G150" s="317"/>
      <c r="H150" s="317"/>
      <c r="I150" s="317"/>
      <c r="J150" s="317"/>
      <c r="K150" s="317"/>
      <c r="L150" s="312"/>
      <c r="M150" s="96"/>
    </row>
    <row r="151" spans="1:13" ht="15" customHeight="1">
      <c r="A151" s="315"/>
      <c r="B151" s="259"/>
      <c r="C151" s="259"/>
      <c r="D151" s="259"/>
      <c r="E151" s="317"/>
      <c r="F151" s="317"/>
      <c r="G151" s="317"/>
      <c r="H151" s="317"/>
      <c r="I151" s="317"/>
      <c r="J151" s="317"/>
      <c r="K151" s="317"/>
      <c r="L151" s="312"/>
      <c r="M151" s="96"/>
    </row>
    <row r="152" spans="1:13" ht="15" customHeight="1">
      <c r="A152" s="315"/>
      <c r="B152" s="259"/>
      <c r="C152" s="259"/>
      <c r="D152" s="259"/>
      <c r="E152" s="317"/>
      <c r="F152" s="317"/>
      <c r="G152" s="317"/>
      <c r="H152" s="317"/>
      <c r="I152" s="317"/>
      <c r="J152" s="317"/>
      <c r="K152" s="317"/>
      <c r="L152" s="312"/>
      <c r="M152" s="96"/>
    </row>
    <row r="153" spans="1:13" ht="15" customHeight="1">
      <c r="A153" s="315"/>
      <c r="B153" s="259"/>
      <c r="C153" s="259"/>
      <c r="D153" s="259"/>
      <c r="E153" s="317"/>
      <c r="F153" s="317"/>
      <c r="G153" s="317"/>
      <c r="H153" s="317"/>
      <c r="I153" s="317"/>
      <c r="J153" s="317"/>
      <c r="K153" s="317"/>
      <c r="L153" s="312"/>
      <c r="M153" s="96"/>
    </row>
    <row r="154" spans="1:13" ht="15" customHeight="1">
      <c r="A154" s="315"/>
      <c r="B154" s="259"/>
      <c r="C154" s="259"/>
      <c r="D154" s="259"/>
      <c r="E154" s="317"/>
      <c r="F154" s="317"/>
      <c r="G154" s="317"/>
      <c r="H154" s="317"/>
      <c r="I154" s="317"/>
      <c r="J154" s="317"/>
      <c r="K154" s="317"/>
      <c r="L154" s="312"/>
      <c r="M154" s="96"/>
    </row>
    <row r="155" spans="1:13" ht="15" customHeight="1">
      <c r="A155" s="315"/>
      <c r="B155" s="259"/>
      <c r="C155" s="259"/>
      <c r="D155" s="259"/>
      <c r="E155" s="317"/>
      <c r="F155" s="317"/>
      <c r="G155" s="317"/>
      <c r="H155" s="317"/>
      <c r="I155" s="317"/>
      <c r="J155" s="317"/>
      <c r="K155" s="317"/>
      <c r="L155" s="312"/>
      <c r="M155" s="96"/>
    </row>
  </sheetData>
  <pageMargins left="0.84" right="0.28000000000000003" top="0.34" bottom="0.51180555555555596" header="0.26" footer="0.15763888888888899"/>
  <pageSetup paperSize="9" orientation="landscape" horizontalDpi="300" verticalDpi="300" r:id="rId1"/>
  <headerFooter>
    <oddFooter>&amp;C&amp;"Aptos,Regular"&amp;10&amp;P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</vt:i4>
      </vt:variant>
    </vt:vector>
  </HeadingPairs>
  <TitlesOfParts>
    <vt:vector size="8" baseType="lpstr">
      <vt:lpstr>Rekapitulace</vt:lpstr>
      <vt:lpstr>D1 Zpev.plochy</vt:lpstr>
      <vt:lpstr>D2 Veget.upravy</vt:lpstr>
      <vt:lpstr>'D1 Zpev.plochy'!Názvy_tisku</vt:lpstr>
      <vt:lpstr>'D2 Veget.upravy'!Názvy_tisku</vt:lpstr>
      <vt:lpstr>'D1 Zpev.plochy'!Oblast_tisku</vt:lpstr>
      <vt:lpstr>'D2 Veget.upravy'!Oblast_tisku</vt:lpstr>
      <vt:lpstr>Rekapitulace!Oblast_tisku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Vlastimil Střelba</dc:creator>
  <dc:description/>
  <cp:lastModifiedBy>uzivatel</cp:lastModifiedBy>
  <cp:revision>1</cp:revision>
  <cp:lastPrinted>2025-07-15T14:11:23Z</cp:lastPrinted>
  <dcterms:created xsi:type="dcterms:W3CDTF">2025-05-12T06:37:35Z</dcterms:created>
  <dcterms:modified xsi:type="dcterms:W3CDTF">2025-07-15T16:00:53Z</dcterms:modified>
  <dc:language>cs-CZ</dc:language>
</cp:coreProperties>
</file>