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A:\PKV BUILD\231. Aleš Kastl - zateplení\2. vyhlášení\Dotaz k ZD č. 1\"/>
    </mc:Choice>
  </mc:AlternateContent>
  <xr:revisionPtr revIDLastSave="0" documentId="8_{5BA75A68-6C3E-4E7F-9E82-18E0E08BEFE0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Stavební rozpočet" sheetId="1" r:id="rId1"/>
    <sheet name="Krycí list rozpočtu" sheetId="2" r:id="rId2"/>
    <sheet name="VORN" sheetId="3" state="hidden" r:id="rId3"/>
  </sheets>
  <definedNames>
    <definedName name="vorn_sum">VORN!$I$36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6" i="3" l="1"/>
  <c r="I35" i="3"/>
  <c r="I26" i="3"/>
  <c r="I25" i="3"/>
  <c r="I24" i="3"/>
  <c r="I23" i="3"/>
  <c r="I22" i="3"/>
  <c r="I27" i="3" s="1"/>
  <c r="I21" i="3"/>
  <c r="I18" i="3"/>
  <c r="I17" i="3"/>
  <c r="I16" i="3"/>
  <c r="I15" i="3"/>
  <c r="I10" i="3"/>
  <c r="F10" i="3"/>
  <c r="C10" i="3"/>
  <c r="F8" i="3"/>
  <c r="C8" i="3"/>
  <c r="F6" i="3"/>
  <c r="C6" i="3"/>
  <c r="F4" i="3"/>
  <c r="C4" i="3"/>
  <c r="F2" i="3"/>
  <c r="C2" i="3"/>
  <c r="I24" i="2"/>
  <c r="F22" i="2"/>
  <c r="I19" i="2"/>
  <c r="I18" i="2"/>
  <c r="I17" i="2"/>
  <c r="I16" i="2"/>
  <c r="F16" i="2"/>
  <c r="I15" i="2"/>
  <c r="F15" i="2"/>
  <c r="I14" i="2"/>
  <c r="I22" i="2" s="1"/>
  <c r="F14" i="2"/>
  <c r="I10" i="2"/>
  <c r="F10" i="2"/>
  <c r="C10" i="2"/>
  <c r="F8" i="2"/>
  <c r="C8" i="2"/>
  <c r="F6" i="2"/>
  <c r="C6" i="2"/>
  <c r="F4" i="2"/>
  <c r="C4" i="2"/>
  <c r="F2" i="2"/>
  <c r="C2" i="2"/>
  <c r="BW159" i="1"/>
  <c r="BJ159" i="1"/>
  <c r="BD159" i="1"/>
  <c r="AP159" i="1"/>
  <c r="BI159" i="1" s="1"/>
  <c r="AE159" i="1" s="1"/>
  <c r="AO159" i="1"/>
  <c r="AK159" i="1"/>
  <c r="AJ159" i="1"/>
  <c r="AH159" i="1"/>
  <c r="AG159" i="1"/>
  <c r="AF159" i="1"/>
  <c r="AC159" i="1"/>
  <c r="AB159" i="1"/>
  <c r="Z159" i="1"/>
  <c r="O159" i="1"/>
  <c r="BF159" i="1" s="1"/>
  <c r="AL159" i="1"/>
  <c r="BW158" i="1"/>
  <c r="BJ158" i="1"/>
  <c r="BI158" i="1"/>
  <c r="AE158" i="1" s="1"/>
  <c r="BD158" i="1"/>
  <c r="AX158" i="1"/>
  <c r="AP158" i="1"/>
  <c r="AO158" i="1"/>
  <c r="AL158" i="1"/>
  <c r="AK158" i="1"/>
  <c r="AT157" i="1" s="1"/>
  <c r="AJ158" i="1"/>
  <c r="AH158" i="1"/>
  <c r="AG158" i="1"/>
  <c r="AF158" i="1"/>
  <c r="AC158" i="1"/>
  <c r="AB158" i="1"/>
  <c r="Z158" i="1"/>
  <c r="O158" i="1"/>
  <c r="AS157" i="1"/>
  <c r="BW156" i="1"/>
  <c r="BJ156" i="1"/>
  <c r="BI156" i="1"/>
  <c r="AE156" i="1" s="1"/>
  <c r="BD156" i="1"/>
  <c r="AX156" i="1"/>
  <c r="AP156" i="1"/>
  <c r="AO156" i="1"/>
  <c r="AL156" i="1"/>
  <c r="AU155" i="1" s="1"/>
  <c r="AK156" i="1"/>
  <c r="AT155" i="1" s="1"/>
  <c r="AJ156" i="1"/>
  <c r="AH156" i="1"/>
  <c r="AG156" i="1"/>
  <c r="AF156" i="1"/>
  <c r="AC156" i="1"/>
  <c r="AB156" i="1"/>
  <c r="Z156" i="1"/>
  <c r="O156" i="1"/>
  <c r="BF156" i="1" s="1"/>
  <c r="AS155" i="1"/>
  <c r="O155" i="1"/>
  <c r="BW154" i="1"/>
  <c r="BJ154" i="1"/>
  <c r="BD154" i="1"/>
  <c r="AP154" i="1"/>
  <c r="AO154" i="1"/>
  <c r="AW154" i="1" s="1"/>
  <c r="AL154" i="1"/>
  <c r="AK154" i="1"/>
  <c r="AT153" i="1" s="1"/>
  <c r="AJ154" i="1"/>
  <c r="AS153" i="1" s="1"/>
  <c r="AH154" i="1"/>
  <c r="AG154" i="1"/>
  <c r="AF154" i="1"/>
  <c r="AC154" i="1"/>
  <c r="AB154" i="1"/>
  <c r="Z154" i="1"/>
  <c r="O154" i="1"/>
  <c r="BF154" i="1" s="1"/>
  <c r="AU153" i="1"/>
  <c r="O153" i="1"/>
  <c r="BW152" i="1"/>
  <c r="BJ152" i="1"/>
  <c r="BD152" i="1"/>
  <c r="AX152" i="1"/>
  <c r="AP152" i="1"/>
  <c r="BI152" i="1" s="1"/>
  <c r="AE152" i="1" s="1"/>
  <c r="AO152" i="1"/>
  <c r="AW152" i="1" s="1"/>
  <c r="AL152" i="1"/>
  <c r="AK152" i="1"/>
  <c r="AJ152" i="1"/>
  <c r="AH152" i="1"/>
  <c r="AG152" i="1"/>
  <c r="AF152" i="1"/>
  <c r="AC152" i="1"/>
  <c r="AB152" i="1"/>
  <c r="Z152" i="1"/>
  <c r="O152" i="1"/>
  <c r="BF152" i="1" s="1"/>
  <c r="BW151" i="1"/>
  <c r="BJ151" i="1"/>
  <c r="BH151" i="1"/>
  <c r="AD151" i="1" s="1"/>
  <c r="BD151" i="1"/>
  <c r="AP151" i="1"/>
  <c r="BI151" i="1" s="1"/>
  <c r="AE151" i="1" s="1"/>
  <c r="AO151" i="1"/>
  <c r="AW151" i="1" s="1"/>
  <c r="AL151" i="1"/>
  <c r="AK151" i="1"/>
  <c r="AJ151" i="1"/>
  <c r="AH151" i="1"/>
  <c r="AG151" i="1"/>
  <c r="AF151" i="1"/>
  <c r="AC151" i="1"/>
  <c r="AB151" i="1"/>
  <c r="Z151" i="1"/>
  <c r="O151" i="1"/>
  <c r="BF151" i="1" s="1"/>
  <c r="BW150" i="1"/>
  <c r="BJ150" i="1"/>
  <c r="BD150" i="1"/>
  <c r="AX150" i="1"/>
  <c r="AP150" i="1"/>
  <c r="BI150" i="1" s="1"/>
  <c r="AE150" i="1" s="1"/>
  <c r="AO150" i="1"/>
  <c r="AL150" i="1"/>
  <c r="AK150" i="1"/>
  <c r="AT148" i="1" s="1"/>
  <c r="AJ150" i="1"/>
  <c r="AH150" i="1"/>
  <c r="AG150" i="1"/>
  <c r="AF150" i="1"/>
  <c r="AC150" i="1"/>
  <c r="AB150" i="1"/>
  <c r="Z150" i="1"/>
  <c r="O150" i="1"/>
  <c r="BF150" i="1" s="1"/>
  <c r="BW149" i="1"/>
  <c r="BJ149" i="1"/>
  <c r="BH149" i="1"/>
  <c r="AD149" i="1" s="1"/>
  <c r="BD149" i="1"/>
  <c r="AP149" i="1"/>
  <c r="AO149" i="1"/>
  <c r="AW149" i="1" s="1"/>
  <c r="AK149" i="1"/>
  <c r="AJ149" i="1"/>
  <c r="AS148" i="1" s="1"/>
  <c r="AH149" i="1"/>
  <c r="AG149" i="1"/>
  <c r="AF149" i="1"/>
  <c r="AC149" i="1"/>
  <c r="AB149" i="1"/>
  <c r="Z149" i="1"/>
  <c r="O149" i="1"/>
  <c r="AL149" i="1"/>
  <c r="AU148" i="1" s="1"/>
  <c r="BW147" i="1"/>
  <c r="BJ147" i="1"/>
  <c r="Z147" i="1" s="1"/>
  <c r="BD147" i="1"/>
  <c r="AP147" i="1"/>
  <c r="BI147" i="1" s="1"/>
  <c r="AO147" i="1"/>
  <c r="AK147" i="1"/>
  <c r="AJ147" i="1"/>
  <c r="AH147" i="1"/>
  <c r="AG147" i="1"/>
  <c r="AF147" i="1"/>
  <c r="AE147" i="1"/>
  <c r="AD147" i="1"/>
  <c r="AC147" i="1"/>
  <c r="AB147" i="1"/>
  <c r="O147" i="1"/>
  <c r="BF147" i="1" s="1"/>
  <c r="AL147" i="1"/>
  <c r="BW146" i="1"/>
  <c r="BJ146" i="1"/>
  <c r="BH146" i="1"/>
  <c r="AD146" i="1" s="1"/>
  <c r="BD146" i="1"/>
  <c r="AP146" i="1"/>
  <c r="AO146" i="1"/>
  <c r="AW146" i="1" s="1"/>
  <c r="AK146" i="1"/>
  <c r="AJ146" i="1"/>
  <c r="AH146" i="1"/>
  <c r="AG146" i="1"/>
  <c r="AF146" i="1"/>
  <c r="AC146" i="1"/>
  <c r="AB146" i="1"/>
  <c r="Z146" i="1"/>
  <c r="O146" i="1"/>
  <c r="BF146" i="1" s="1"/>
  <c r="AL146" i="1"/>
  <c r="BW145" i="1"/>
  <c r="BJ145" i="1"/>
  <c r="BD145" i="1"/>
  <c r="AX145" i="1"/>
  <c r="AP145" i="1"/>
  <c r="AO145" i="1"/>
  <c r="AK145" i="1"/>
  <c r="AJ145" i="1"/>
  <c r="AH145" i="1"/>
  <c r="AG145" i="1"/>
  <c r="AF145" i="1"/>
  <c r="AC145" i="1"/>
  <c r="AB145" i="1"/>
  <c r="Z145" i="1"/>
  <c r="O145" i="1"/>
  <c r="BF145" i="1" s="1"/>
  <c r="AL145" i="1"/>
  <c r="BW144" i="1"/>
  <c r="BJ144" i="1"/>
  <c r="BD144" i="1"/>
  <c r="AP144" i="1"/>
  <c r="AO144" i="1"/>
  <c r="AK144" i="1"/>
  <c r="AJ144" i="1"/>
  <c r="AH144" i="1"/>
  <c r="AG144" i="1"/>
  <c r="AF144" i="1"/>
  <c r="AC144" i="1"/>
  <c r="AB144" i="1"/>
  <c r="Z144" i="1"/>
  <c r="O144" i="1"/>
  <c r="AL144" i="1"/>
  <c r="BW143" i="1"/>
  <c r="BJ143" i="1"/>
  <c r="BI143" i="1"/>
  <c r="BD143" i="1"/>
  <c r="AX143" i="1"/>
  <c r="AP143" i="1"/>
  <c r="AO143" i="1"/>
  <c r="AK143" i="1"/>
  <c r="AT142" i="1" s="1"/>
  <c r="AJ143" i="1"/>
  <c r="AH143" i="1"/>
  <c r="AG143" i="1"/>
  <c r="AF143" i="1"/>
  <c r="AE143" i="1"/>
  <c r="AC143" i="1"/>
  <c r="AB143" i="1"/>
  <c r="Z143" i="1"/>
  <c r="O143" i="1"/>
  <c r="BF143" i="1" s="1"/>
  <c r="BW141" i="1"/>
  <c r="BJ141" i="1"/>
  <c r="BD141" i="1"/>
  <c r="AP141" i="1"/>
  <c r="AO141" i="1"/>
  <c r="AK141" i="1"/>
  <c r="AT139" i="1" s="1"/>
  <c r="AJ141" i="1"/>
  <c r="AH141" i="1"/>
  <c r="AG141" i="1"/>
  <c r="AF141" i="1"/>
  <c r="AC141" i="1"/>
  <c r="AB141" i="1"/>
  <c r="Z141" i="1"/>
  <c r="O141" i="1"/>
  <c r="BF141" i="1" s="1"/>
  <c r="BW140" i="1"/>
  <c r="BJ140" i="1"/>
  <c r="BD140" i="1"/>
  <c r="AP140" i="1"/>
  <c r="AO140" i="1"/>
  <c r="AW140" i="1" s="1"/>
  <c r="AK140" i="1"/>
  <c r="AJ140" i="1"/>
  <c r="AS139" i="1" s="1"/>
  <c r="AH140" i="1"/>
  <c r="AG140" i="1"/>
  <c r="AF140" i="1"/>
  <c r="AC140" i="1"/>
  <c r="AB140" i="1"/>
  <c r="Z140" i="1"/>
  <c r="O140" i="1"/>
  <c r="BW138" i="1"/>
  <c r="BJ138" i="1"/>
  <c r="BI138" i="1"/>
  <c r="BD138" i="1"/>
  <c r="AP138" i="1"/>
  <c r="AX138" i="1" s="1"/>
  <c r="AV138" i="1" s="1"/>
  <c r="AO138" i="1"/>
  <c r="AW138" i="1" s="1"/>
  <c r="AK138" i="1"/>
  <c r="AJ138" i="1"/>
  <c r="AH138" i="1"/>
  <c r="AG138" i="1"/>
  <c r="AF138" i="1"/>
  <c r="AE138" i="1"/>
  <c r="AD138" i="1"/>
  <c r="AC138" i="1"/>
  <c r="AB138" i="1"/>
  <c r="Z138" i="1"/>
  <c r="O138" i="1"/>
  <c r="BF138" i="1" s="1"/>
  <c r="BW137" i="1"/>
  <c r="BJ137" i="1"/>
  <c r="BD137" i="1"/>
  <c r="AP137" i="1"/>
  <c r="AX137" i="1" s="1"/>
  <c r="AV137" i="1" s="1"/>
  <c r="AO137" i="1"/>
  <c r="AW137" i="1" s="1"/>
  <c r="AK137" i="1"/>
  <c r="AJ137" i="1"/>
  <c r="AH137" i="1"/>
  <c r="AG137" i="1"/>
  <c r="AF137" i="1"/>
  <c r="AC137" i="1"/>
  <c r="AB137" i="1"/>
  <c r="Z137" i="1"/>
  <c r="O137" i="1"/>
  <c r="BF137" i="1" s="1"/>
  <c r="BW136" i="1"/>
  <c r="BJ136" i="1"/>
  <c r="BI136" i="1"/>
  <c r="BD136" i="1"/>
  <c r="AX136" i="1"/>
  <c r="AP136" i="1"/>
  <c r="AO136" i="1"/>
  <c r="AK136" i="1"/>
  <c r="AJ136" i="1"/>
  <c r="AH136" i="1"/>
  <c r="AG136" i="1"/>
  <c r="AF136" i="1"/>
  <c r="AE136" i="1"/>
  <c r="AC136" i="1"/>
  <c r="AB136" i="1"/>
  <c r="Z136" i="1"/>
  <c r="O136" i="1"/>
  <c r="BF136" i="1" s="1"/>
  <c r="O135" i="1"/>
  <c r="BW134" i="1"/>
  <c r="BJ134" i="1"/>
  <c r="BH134" i="1"/>
  <c r="AB134" i="1" s="1"/>
  <c r="BD134" i="1"/>
  <c r="AP134" i="1"/>
  <c r="AO134" i="1"/>
  <c r="AK134" i="1"/>
  <c r="AJ134" i="1"/>
  <c r="AH134" i="1"/>
  <c r="AG134" i="1"/>
  <c r="AF134" i="1"/>
  <c r="AE134" i="1"/>
  <c r="AD134" i="1"/>
  <c r="Z134" i="1"/>
  <c r="O134" i="1"/>
  <c r="BF134" i="1" s="1"/>
  <c r="BW133" i="1"/>
  <c r="BJ133" i="1"/>
  <c r="BD133" i="1"/>
  <c r="AP133" i="1"/>
  <c r="BI133" i="1" s="1"/>
  <c r="AC133" i="1" s="1"/>
  <c r="AO133" i="1"/>
  <c r="AK133" i="1"/>
  <c r="AJ133" i="1"/>
  <c r="AH133" i="1"/>
  <c r="AG133" i="1"/>
  <c r="AF133" i="1"/>
  <c r="AE133" i="1"/>
  <c r="AD133" i="1"/>
  <c r="Z133" i="1"/>
  <c r="O133" i="1"/>
  <c r="BF133" i="1" s="1"/>
  <c r="BW132" i="1"/>
  <c r="BJ132" i="1"/>
  <c r="BD132" i="1"/>
  <c r="AP132" i="1"/>
  <c r="BI132" i="1" s="1"/>
  <c r="AC132" i="1" s="1"/>
  <c r="AO132" i="1"/>
  <c r="AK132" i="1"/>
  <c r="AJ132" i="1"/>
  <c r="AH132" i="1"/>
  <c r="AG132" i="1"/>
  <c r="AF132" i="1"/>
  <c r="AE132" i="1"/>
  <c r="AD132" i="1"/>
  <c r="Z132" i="1"/>
  <c r="O132" i="1"/>
  <c r="BF132" i="1" s="1"/>
  <c r="BW131" i="1"/>
  <c r="BJ131" i="1"/>
  <c r="BF131" i="1"/>
  <c r="BD131" i="1"/>
  <c r="AW131" i="1"/>
  <c r="AP131" i="1"/>
  <c r="AO131" i="1"/>
  <c r="BH131" i="1" s="1"/>
  <c r="AB131" i="1" s="1"/>
  <c r="AL131" i="1"/>
  <c r="AK131" i="1"/>
  <c r="AJ131" i="1"/>
  <c r="AH131" i="1"/>
  <c r="AG131" i="1"/>
  <c r="AF131" i="1"/>
  <c r="AE131" i="1"/>
  <c r="AD131" i="1"/>
  <c r="Z131" i="1"/>
  <c r="O131" i="1"/>
  <c r="BW130" i="1"/>
  <c r="BJ130" i="1"/>
  <c r="BF130" i="1"/>
  <c r="BD130" i="1"/>
  <c r="AP130" i="1"/>
  <c r="AX130" i="1" s="1"/>
  <c r="AO130" i="1"/>
  <c r="AW130" i="1" s="1"/>
  <c r="AL130" i="1"/>
  <c r="AK130" i="1"/>
  <c r="AJ130" i="1"/>
  <c r="AH130" i="1"/>
  <c r="AG130" i="1"/>
  <c r="AF130" i="1"/>
  <c r="AE130" i="1"/>
  <c r="AD130" i="1"/>
  <c r="Z130" i="1"/>
  <c r="O130" i="1"/>
  <c r="BW129" i="1"/>
  <c r="BJ129" i="1"/>
  <c r="BF129" i="1"/>
  <c r="BD129" i="1"/>
  <c r="AW129" i="1"/>
  <c r="AP129" i="1"/>
  <c r="AO129" i="1"/>
  <c r="BH129" i="1" s="1"/>
  <c r="AB129" i="1" s="1"/>
  <c r="AL129" i="1"/>
  <c r="AK129" i="1"/>
  <c r="AJ129" i="1"/>
  <c r="AH129" i="1"/>
  <c r="AG129" i="1"/>
  <c r="AF129" i="1"/>
  <c r="AE129" i="1"/>
  <c r="AD129" i="1"/>
  <c r="Z129" i="1"/>
  <c r="O129" i="1"/>
  <c r="BW128" i="1"/>
  <c r="BJ128" i="1"/>
  <c r="BI128" i="1"/>
  <c r="AC128" i="1" s="1"/>
  <c r="BF128" i="1"/>
  <c r="BD128" i="1"/>
  <c r="AP128" i="1"/>
  <c r="AX128" i="1" s="1"/>
  <c r="AO128" i="1"/>
  <c r="AW128" i="1" s="1"/>
  <c r="AL128" i="1"/>
  <c r="AK128" i="1"/>
  <c r="AJ128" i="1"/>
  <c r="AH128" i="1"/>
  <c r="AG128" i="1"/>
  <c r="AF128" i="1"/>
  <c r="AE128" i="1"/>
  <c r="AD128" i="1"/>
  <c r="Z128" i="1"/>
  <c r="O128" i="1"/>
  <c r="BW127" i="1"/>
  <c r="BJ127" i="1"/>
  <c r="BF127" i="1"/>
  <c r="BD127" i="1"/>
  <c r="AW127" i="1"/>
  <c r="AP127" i="1"/>
  <c r="AO127" i="1"/>
  <c r="BH127" i="1" s="1"/>
  <c r="AB127" i="1" s="1"/>
  <c r="AL127" i="1"/>
  <c r="AK127" i="1"/>
  <c r="AJ127" i="1"/>
  <c r="AH127" i="1"/>
  <c r="AG127" i="1"/>
  <c r="AF127" i="1"/>
  <c r="AE127" i="1"/>
  <c r="AD127" i="1"/>
  <c r="Z127" i="1"/>
  <c r="O127" i="1"/>
  <c r="BW126" i="1"/>
  <c r="BJ126" i="1"/>
  <c r="BI126" i="1"/>
  <c r="AC126" i="1" s="1"/>
  <c r="BF126" i="1"/>
  <c r="BD126" i="1"/>
  <c r="AP126" i="1"/>
  <c r="AX126" i="1" s="1"/>
  <c r="AO126" i="1"/>
  <c r="AW126" i="1" s="1"/>
  <c r="AL126" i="1"/>
  <c r="AK126" i="1"/>
  <c r="AJ126" i="1"/>
  <c r="AH126" i="1"/>
  <c r="AG126" i="1"/>
  <c r="AF126" i="1"/>
  <c r="AE126" i="1"/>
  <c r="AD126" i="1"/>
  <c r="Z126" i="1"/>
  <c r="O126" i="1"/>
  <c r="BW125" i="1"/>
  <c r="BJ125" i="1"/>
  <c r="BF125" i="1"/>
  <c r="BD125" i="1"/>
  <c r="AW125" i="1"/>
  <c r="AP125" i="1"/>
  <c r="AO125" i="1"/>
  <c r="BH125" i="1" s="1"/>
  <c r="AB125" i="1" s="1"/>
  <c r="AL125" i="1"/>
  <c r="AK125" i="1"/>
  <c r="AJ125" i="1"/>
  <c r="AH125" i="1"/>
  <c r="AG125" i="1"/>
  <c r="AF125" i="1"/>
  <c r="AE125" i="1"/>
  <c r="AD125" i="1"/>
  <c r="Z125" i="1"/>
  <c r="O125" i="1"/>
  <c r="BW124" i="1"/>
  <c r="BJ124" i="1"/>
  <c r="BI124" i="1"/>
  <c r="AC124" i="1" s="1"/>
  <c r="BF124" i="1"/>
  <c r="BD124" i="1"/>
  <c r="AP124" i="1"/>
  <c r="AX124" i="1" s="1"/>
  <c r="AO124" i="1"/>
  <c r="AW124" i="1" s="1"/>
  <c r="AL124" i="1"/>
  <c r="AK124" i="1"/>
  <c r="AJ124" i="1"/>
  <c r="AH124" i="1"/>
  <c r="AG124" i="1"/>
  <c r="AF124" i="1"/>
  <c r="AE124" i="1"/>
  <c r="AD124" i="1"/>
  <c r="Z124" i="1"/>
  <c r="O124" i="1"/>
  <c r="BW123" i="1"/>
  <c r="BJ123" i="1"/>
  <c r="BF123" i="1"/>
  <c r="BD123" i="1"/>
  <c r="AW123" i="1"/>
  <c r="AP123" i="1"/>
  <c r="AO123" i="1"/>
  <c r="BH123" i="1" s="1"/>
  <c r="AB123" i="1" s="1"/>
  <c r="AL123" i="1"/>
  <c r="AK123" i="1"/>
  <c r="AJ123" i="1"/>
  <c r="AH123" i="1"/>
  <c r="AG123" i="1"/>
  <c r="AF123" i="1"/>
  <c r="AE123" i="1"/>
  <c r="AD123" i="1"/>
  <c r="Z123" i="1"/>
  <c r="O123" i="1"/>
  <c r="BW122" i="1"/>
  <c r="BJ122" i="1"/>
  <c r="BI122" i="1"/>
  <c r="AC122" i="1" s="1"/>
  <c r="BF122" i="1"/>
  <c r="BD122" i="1"/>
  <c r="AP122" i="1"/>
  <c r="AX122" i="1" s="1"/>
  <c r="AO122" i="1"/>
  <c r="AW122" i="1" s="1"/>
  <c r="AL122" i="1"/>
  <c r="AK122" i="1"/>
  <c r="AJ122" i="1"/>
  <c r="AH122" i="1"/>
  <c r="AG122" i="1"/>
  <c r="AF122" i="1"/>
  <c r="AE122" i="1"/>
  <c r="AD122" i="1"/>
  <c r="Z122" i="1"/>
  <c r="O122" i="1"/>
  <c r="BW121" i="1"/>
  <c r="BJ121" i="1"/>
  <c r="BF121" i="1"/>
  <c r="BD121" i="1"/>
  <c r="AP121" i="1"/>
  <c r="AO121" i="1"/>
  <c r="BH121" i="1" s="1"/>
  <c r="AB121" i="1" s="1"/>
  <c r="AL121" i="1"/>
  <c r="AK121" i="1"/>
  <c r="AJ121" i="1"/>
  <c r="AH121" i="1"/>
  <c r="AG121" i="1"/>
  <c r="AF121" i="1"/>
  <c r="AE121" i="1"/>
  <c r="AD121" i="1"/>
  <c r="Z121" i="1"/>
  <c r="O121" i="1"/>
  <c r="O120" i="1" s="1"/>
  <c r="BW119" i="1"/>
  <c r="BJ119" i="1"/>
  <c r="BI119" i="1"/>
  <c r="AG119" i="1" s="1"/>
  <c r="BD119" i="1"/>
  <c r="AW119" i="1"/>
  <c r="AP119" i="1"/>
  <c r="AO119" i="1"/>
  <c r="BH119" i="1" s="1"/>
  <c r="AF119" i="1" s="1"/>
  <c r="AL119" i="1"/>
  <c r="AK119" i="1"/>
  <c r="AJ119" i="1"/>
  <c r="AH119" i="1"/>
  <c r="AE119" i="1"/>
  <c r="AD119" i="1"/>
  <c r="AC119" i="1"/>
  <c r="AB119" i="1"/>
  <c r="Z119" i="1"/>
  <c r="O119" i="1"/>
  <c r="BW118" i="1"/>
  <c r="BJ118" i="1"/>
  <c r="BH118" i="1"/>
  <c r="AF118" i="1" s="1"/>
  <c r="BF118" i="1"/>
  <c r="BD118" i="1"/>
  <c r="AW118" i="1"/>
  <c r="AP118" i="1"/>
  <c r="BI118" i="1" s="1"/>
  <c r="AG118" i="1" s="1"/>
  <c r="AO118" i="1"/>
  <c r="AL118" i="1"/>
  <c r="AU117" i="1" s="1"/>
  <c r="AK118" i="1"/>
  <c r="AT117" i="1" s="1"/>
  <c r="AJ118" i="1"/>
  <c r="AH118" i="1"/>
  <c r="AE118" i="1"/>
  <c r="AD118" i="1"/>
  <c r="AC118" i="1"/>
  <c r="AB118" i="1"/>
  <c r="Z118" i="1"/>
  <c r="O118" i="1"/>
  <c r="AS117" i="1"/>
  <c r="BW116" i="1"/>
  <c r="BJ116" i="1"/>
  <c r="BI116" i="1"/>
  <c r="BD116" i="1"/>
  <c r="AW116" i="1"/>
  <c r="AV116" i="1" s="1"/>
  <c r="AP116" i="1"/>
  <c r="AX116" i="1" s="1"/>
  <c r="AO116" i="1"/>
  <c r="AL116" i="1"/>
  <c r="AK116" i="1"/>
  <c r="AJ116" i="1"/>
  <c r="AH116" i="1"/>
  <c r="AG116" i="1"/>
  <c r="AF116" i="1"/>
  <c r="AE116" i="1"/>
  <c r="AD116" i="1"/>
  <c r="AC116" i="1"/>
  <c r="AB116" i="1"/>
  <c r="Z116" i="1"/>
  <c r="O116" i="1"/>
  <c r="AU115" i="1"/>
  <c r="AT115" i="1"/>
  <c r="AS115" i="1"/>
  <c r="BW114" i="1"/>
  <c r="BJ114" i="1"/>
  <c r="BI114" i="1"/>
  <c r="AC114" i="1" s="1"/>
  <c r="BD114" i="1"/>
  <c r="AX114" i="1"/>
  <c r="AP114" i="1"/>
  <c r="AO114" i="1"/>
  <c r="AW114" i="1" s="1"/>
  <c r="BC114" i="1" s="1"/>
  <c r="AL114" i="1"/>
  <c r="AK114" i="1"/>
  <c r="AJ114" i="1"/>
  <c r="AH114" i="1"/>
  <c r="AG114" i="1"/>
  <c r="AF114" i="1"/>
  <c r="AE114" i="1"/>
  <c r="AD114" i="1"/>
  <c r="Z114" i="1"/>
  <c r="O114" i="1"/>
  <c r="BF114" i="1" s="1"/>
  <c r="BW113" i="1"/>
  <c r="BJ113" i="1"/>
  <c r="BD113" i="1"/>
  <c r="AP113" i="1"/>
  <c r="AO113" i="1"/>
  <c r="BH113" i="1" s="1"/>
  <c r="AB113" i="1" s="1"/>
  <c r="AL113" i="1"/>
  <c r="AK113" i="1"/>
  <c r="AT112" i="1" s="1"/>
  <c r="AJ113" i="1"/>
  <c r="AS112" i="1" s="1"/>
  <c r="AH113" i="1"/>
  <c r="AG113" i="1"/>
  <c r="AF113" i="1"/>
  <c r="AE113" i="1"/>
  <c r="AD113" i="1"/>
  <c r="Z113" i="1"/>
  <c r="O113" i="1"/>
  <c r="BW111" i="1"/>
  <c r="BJ111" i="1"/>
  <c r="BI111" i="1"/>
  <c r="BD111" i="1"/>
  <c r="AX111" i="1"/>
  <c r="AP111" i="1"/>
  <c r="AO111" i="1"/>
  <c r="AW111" i="1" s="1"/>
  <c r="BC111" i="1" s="1"/>
  <c r="AK111" i="1"/>
  <c r="AJ111" i="1"/>
  <c r="AH111" i="1"/>
  <c r="AG111" i="1"/>
  <c r="AF111" i="1"/>
  <c r="AE111" i="1"/>
  <c r="AD111" i="1"/>
  <c r="AC111" i="1"/>
  <c r="Z111" i="1"/>
  <c r="O111" i="1"/>
  <c r="BF111" i="1" s="1"/>
  <c r="BW110" i="1"/>
  <c r="BJ110" i="1"/>
  <c r="BF110" i="1"/>
  <c r="BD110" i="1"/>
  <c r="AX110" i="1"/>
  <c r="AW110" i="1"/>
  <c r="AP110" i="1"/>
  <c r="BI110" i="1" s="1"/>
  <c r="AO110" i="1"/>
  <c r="BH110" i="1" s="1"/>
  <c r="AB110" i="1" s="1"/>
  <c r="AL110" i="1"/>
  <c r="AK110" i="1"/>
  <c r="AJ110" i="1"/>
  <c r="AH110" i="1"/>
  <c r="AG110" i="1"/>
  <c r="AF110" i="1"/>
  <c r="AE110" i="1"/>
  <c r="AD110" i="1"/>
  <c r="AC110" i="1"/>
  <c r="Z110" i="1"/>
  <c r="O110" i="1"/>
  <c r="BW109" i="1"/>
  <c r="BJ109" i="1"/>
  <c r="BD109" i="1"/>
  <c r="AW109" i="1"/>
  <c r="AP109" i="1"/>
  <c r="BI109" i="1" s="1"/>
  <c r="AO109" i="1"/>
  <c r="BH109" i="1" s="1"/>
  <c r="AB109" i="1" s="1"/>
  <c r="AL109" i="1"/>
  <c r="AK109" i="1"/>
  <c r="AJ109" i="1"/>
  <c r="AH109" i="1"/>
  <c r="AG109" i="1"/>
  <c r="AF109" i="1"/>
  <c r="AE109" i="1"/>
  <c r="AD109" i="1"/>
  <c r="AC109" i="1"/>
  <c r="Z109" i="1"/>
  <c r="O109" i="1"/>
  <c r="BF109" i="1" s="1"/>
  <c r="BW108" i="1"/>
  <c r="BJ108" i="1"/>
  <c r="BH108" i="1"/>
  <c r="AB108" i="1" s="1"/>
  <c r="BF108" i="1"/>
  <c r="BD108" i="1"/>
  <c r="AW108" i="1"/>
  <c r="AP108" i="1"/>
  <c r="BI108" i="1" s="1"/>
  <c r="AO108" i="1"/>
  <c r="AL108" i="1"/>
  <c r="AK108" i="1"/>
  <c r="AJ108" i="1"/>
  <c r="AH108" i="1"/>
  <c r="AG108" i="1"/>
  <c r="AF108" i="1"/>
  <c r="AE108" i="1"/>
  <c r="AD108" i="1"/>
  <c r="AC108" i="1"/>
  <c r="Z108" i="1"/>
  <c r="O108" i="1"/>
  <c r="BW105" i="1"/>
  <c r="BJ105" i="1"/>
  <c r="BI105" i="1"/>
  <c r="BF105" i="1"/>
  <c r="BD105" i="1"/>
  <c r="AX105" i="1"/>
  <c r="AP105" i="1"/>
  <c r="AO105" i="1"/>
  <c r="BH105" i="1" s="1"/>
  <c r="AL105" i="1"/>
  <c r="AK105" i="1"/>
  <c r="AJ105" i="1"/>
  <c r="AH105" i="1"/>
  <c r="AG105" i="1"/>
  <c r="AF105" i="1"/>
  <c r="AE105" i="1"/>
  <c r="AD105" i="1"/>
  <c r="AC105" i="1"/>
  <c r="AB105" i="1"/>
  <c r="Z105" i="1"/>
  <c r="O105" i="1"/>
  <c r="BW104" i="1"/>
  <c r="BJ104" i="1"/>
  <c r="BF104" i="1"/>
  <c r="BD104" i="1"/>
  <c r="AP104" i="1"/>
  <c r="BI104" i="1" s="1"/>
  <c r="AO104" i="1"/>
  <c r="BH104" i="1" s="1"/>
  <c r="AL104" i="1"/>
  <c r="AK104" i="1"/>
  <c r="AJ104" i="1"/>
  <c r="AH104" i="1"/>
  <c r="AG104" i="1"/>
  <c r="AF104" i="1"/>
  <c r="AE104" i="1"/>
  <c r="AD104" i="1"/>
  <c r="AC104" i="1"/>
  <c r="AB104" i="1"/>
  <c r="Z104" i="1"/>
  <c r="O104" i="1"/>
  <c r="BW103" i="1"/>
  <c r="BJ103" i="1"/>
  <c r="BF103" i="1"/>
  <c r="BD103" i="1"/>
  <c r="AP103" i="1"/>
  <c r="AO103" i="1"/>
  <c r="AL103" i="1"/>
  <c r="AK103" i="1"/>
  <c r="AT102" i="1" s="1"/>
  <c r="AJ103" i="1"/>
  <c r="AS102" i="1" s="1"/>
  <c r="AH103" i="1"/>
  <c r="AG103" i="1"/>
  <c r="AF103" i="1"/>
  <c r="AE103" i="1"/>
  <c r="AD103" i="1"/>
  <c r="AC103" i="1"/>
  <c r="AB103" i="1"/>
  <c r="Z103" i="1"/>
  <c r="O103" i="1"/>
  <c r="O102" i="1" s="1"/>
  <c r="BW101" i="1"/>
  <c r="BJ101" i="1"/>
  <c r="BI101" i="1"/>
  <c r="BD101" i="1"/>
  <c r="AX101" i="1"/>
  <c r="AP101" i="1"/>
  <c r="AO101" i="1"/>
  <c r="AW101" i="1" s="1"/>
  <c r="BC101" i="1" s="1"/>
  <c r="AL101" i="1"/>
  <c r="AK101" i="1"/>
  <c r="AJ101" i="1"/>
  <c r="AH101" i="1"/>
  <c r="AG101" i="1"/>
  <c r="AF101" i="1"/>
  <c r="AE101" i="1"/>
  <c r="AD101" i="1"/>
  <c r="AC101" i="1"/>
  <c r="AB101" i="1"/>
  <c r="Z101" i="1"/>
  <c r="O101" i="1"/>
  <c r="BF101" i="1" s="1"/>
  <c r="BW100" i="1"/>
  <c r="BJ100" i="1"/>
  <c r="BD100" i="1"/>
  <c r="AX100" i="1"/>
  <c r="AP100" i="1"/>
  <c r="BI100" i="1" s="1"/>
  <c r="AE100" i="1" s="1"/>
  <c r="AO100" i="1"/>
  <c r="BH100" i="1" s="1"/>
  <c r="AD100" i="1" s="1"/>
  <c r="AL100" i="1"/>
  <c r="AK100" i="1"/>
  <c r="AJ100" i="1"/>
  <c r="AH100" i="1"/>
  <c r="AG100" i="1"/>
  <c r="AF100" i="1"/>
  <c r="AC100" i="1"/>
  <c r="AB100" i="1"/>
  <c r="Z100" i="1"/>
  <c r="O100" i="1"/>
  <c r="O96" i="1" s="1"/>
  <c r="BW99" i="1"/>
  <c r="BJ99" i="1"/>
  <c r="BH99" i="1"/>
  <c r="AD99" i="1" s="1"/>
  <c r="BF99" i="1"/>
  <c r="BD99" i="1"/>
  <c r="AW99" i="1"/>
  <c r="AP99" i="1"/>
  <c r="AO99" i="1"/>
  <c r="AL99" i="1"/>
  <c r="AK99" i="1"/>
  <c r="AJ99" i="1"/>
  <c r="AH99" i="1"/>
  <c r="AG99" i="1"/>
  <c r="AF99" i="1"/>
  <c r="AC99" i="1"/>
  <c r="AB99" i="1"/>
  <c r="Z99" i="1"/>
  <c r="O99" i="1"/>
  <c r="BW98" i="1"/>
  <c r="BJ98" i="1"/>
  <c r="BF98" i="1"/>
  <c r="BD98" i="1"/>
  <c r="AP98" i="1"/>
  <c r="AX98" i="1" s="1"/>
  <c r="AO98" i="1"/>
  <c r="BH98" i="1" s="1"/>
  <c r="AD98" i="1" s="1"/>
  <c r="AL98" i="1"/>
  <c r="AK98" i="1"/>
  <c r="AJ98" i="1"/>
  <c r="AH98" i="1"/>
  <c r="AG98" i="1"/>
  <c r="AF98" i="1"/>
  <c r="AC98" i="1"/>
  <c r="AB98" i="1"/>
  <c r="Z98" i="1"/>
  <c r="O98" i="1"/>
  <c r="BW97" i="1"/>
  <c r="BJ97" i="1"/>
  <c r="BI97" i="1"/>
  <c r="AE97" i="1" s="1"/>
  <c r="BD97" i="1"/>
  <c r="AP97" i="1"/>
  <c r="AO97" i="1"/>
  <c r="AW97" i="1" s="1"/>
  <c r="AL97" i="1"/>
  <c r="AK97" i="1"/>
  <c r="AT96" i="1" s="1"/>
  <c r="AJ97" i="1"/>
  <c r="AS96" i="1" s="1"/>
  <c r="AH97" i="1"/>
  <c r="AG97" i="1"/>
  <c r="AF97" i="1"/>
  <c r="AC97" i="1"/>
  <c r="AB97" i="1"/>
  <c r="Z97" i="1"/>
  <c r="O97" i="1"/>
  <c r="BF97" i="1" s="1"/>
  <c r="BW95" i="1"/>
  <c r="BJ95" i="1"/>
  <c r="BI95" i="1"/>
  <c r="BD95" i="1"/>
  <c r="AX95" i="1"/>
  <c r="AP95" i="1"/>
  <c r="AO95" i="1"/>
  <c r="AL95" i="1"/>
  <c r="AK95" i="1"/>
  <c r="AJ95" i="1"/>
  <c r="AH95" i="1"/>
  <c r="AG95" i="1"/>
  <c r="AF95" i="1"/>
  <c r="AE95" i="1"/>
  <c r="AD95" i="1"/>
  <c r="AC95" i="1"/>
  <c r="AB95" i="1"/>
  <c r="Z95" i="1"/>
  <c r="O95" i="1"/>
  <c r="BF95" i="1" s="1"/>
  <c r="BW94" i="1"/>
  <c r="BJ94" i="1"/>
  <c r="BF94" i="1"/>
  <c r="BD94" i="1"/>
  <c r="AP94" i="1"/>
  <c r="AO94" i="1"/>
  <c r="AW94" i="1" s="1"/>
  <c r="AL94" i="1"/>
  <c r="AK94" i="1"/>
  <c r="AJ94" i="1"/>
  <c r="AH94" i="1"/>
  <c r="AG94" i="1"/>
  <c r="AF94" i="1"/>
  <c r="AC94" i="1"/>
  <c r="AB94" i="1"/>
  <c r="Z94" i="1"/>
  <c r="O94" i="1"/>
  <c r="BW93" i="1"/>
  <c r="BJ93" i="1"/>
  <c r="BF93" i="1"/>
  <c r="BD93" i="1"/>
  <c r="AP93" i="1"/>
  <c r="AX93" i="1" s="1"/>
  <c r="AO93" i="1"/>
  <c r="BH93" i="1" s="1"/>
  <c r="AL93" i="1"/>
  <c r="AK93" i="1"/>
  <c r="AJ93" i="1"/>
  <c r="AH93" i="1"/>
  <c r="AG93" i="1"/>
  <c r="AF93" i="1"/>
  <c r="AD93" i="1"/>
  <c r="AC93" i="1"/>
  <c r="AB93" i="1"/>
  <c r="Z93" i="1"/>
  <c r="O93" i="1"/>
  <c r="AT92" i="1"/>
  <c r="O92" i="1"/>
  <c r="BW91" i="1"/>
  <c r="BJ91" i="1"/>
  <c r="BD91" i="1"/>
  <c r="AP91" i="1"/>
  <c r="BI91" i="1" s="1"/>
  <c r="AC91" i="1" s="1"/>
  <c r="AO91" i="1"/>
  <c r="AL91" i="1"/>
  <c r="AK91" i="1"/>
  <c r="AJ91" i="1"/>
  <c r="AH91" i="1"/>
  <c r="AG91" i="1"/>
  <c r="AF91" i="1"/>
  <c r="AE91" i="1"/>
  <c r="AD91" i="1"/>
  <c r="Z91" i="1"/>
  <c r="O91" i="1"/>
  <c r="BF91" i="1" s="1"/>
  <c r="BW90" i="1"/>
  <c r="BJ90" i="1"/>
  <c r="BD90" i="1"/>
  <c r="AX90" i="1"/>
  <c r="AP90" i="1"/>
  <c r="BI90" i="1" s="1"/>
  <c r="AO90" i="1"/>
  <c r="AW90" i="1" s="1"/>
  <c r="AL90" i="1"/>
  <c r="AK90" i="1"/>
  <c r="AJ90" i="1"/>
  <c r="AH90" i="1"/>
  <c r="AG90" i="1"/>
  <c r="AF90" i="1"/>
  <c r="AE90" i="1"/>
  <c r="AD90" i="1"/>
  <c r="AC90" i="1"/>
  <c r="Z90" i="1"/>
  <c r="O90" i="1"/>
  <c r="BF90" i="1" s="1"/>
  <c r="BW89" i="1"/>
  <c r="BJ89" i="1"/>
  <c r="BH89" i="1"/>
  <c r="AB89" i="1" s="1"/>
  <c r="BD89" i="1"/>
  <c r="AP89" i="1"/>
  <c r="AO89" i="1"/>
  <c r="AW89" i="1" s="1"/>
  <c r="AL89" i="1"/>
  <c r="AK89" i="1"/>
  <c r="AJ89" i="1"/>
  <c r="AH89" i="1"/>
  <c r="AG89" i="1"/>
  <c r="AF89" i="1"/>
  <c r="AE89" i="1"/>
  <c r="AD89" i="1"/>
  <c r="Z89" i="1"/>
  <c r="O89" i="1"/>
  <c r="BF89" i="1" s="1"/>
  <c r="BW88" i="1"/>
  <c r="BJ88" i="1"/>
  <c r="BD88" i="1"/>
  <c r="AW88" i="1"/>
  <c r="AP88" i="1"/>
  <c r="AO88" i="1"/>
  <c r="BH88" i="1" s="1"/>
  <c r="AB88" i="1" s="1"/>
  <c r="AL88" i="1"/>
  <c r="AK88" i="1"/>
  <c r="AJ88" i="1"/>
  <c r="AH88" i="1"/>
  <c r="AG88" i="1"/>
  <c r="AF88" i="1"/>
  <c r="AE88" i="1"/>
  <c r="AD88" i="1"/>
  <c r="Z88" i="1"/>
  <c r="O88" i="1"/>
  <c r="BF88" i="1" s="1"/>
  <c r="BW87" i="1"/>
  <c r="BJ87" i="1"/>
  <c r="BD87" i="1"/>
  <c r="AP87" i="1"/>
  <c r="AX87" i="1" s="1"/>
  <c r="AO87" i="1"/>
  <c r="AL87" i="1"/>
  <c r="AK87" i="1"/>
  <c r="AJ87" i="1"/>
  <c r="AH87" i="1"/>
  <c r="AG87" i="1"/>
  <c r="AF87" i="1"/>
  <c r="AE87" i="1"/>
  <c r="AD87" i="1"/>
  <c r="Z87" i="1"/>
  <c r="O87" i="1"/>
  <c r="BF87" i="1" s="1"/>
  <c r="BW86" i="1"/>
  <c r="BJ86" i="1"/>
  <c r="BD86" i="1"/>
  <c r="AW86" i="1"/>
  <c r="AP86" i="1"/>
  <c r="BI86" i="1" s="1"/>
  <c r="AC86" i="1" s="1"/>
  <c r="AO86" i="1"/>
  <c r="BH86" i="1" s="1"/>
  <c r="AB86" i="1" s="1"/>
  <c r="AL86" i="1"/>
  <c r="AK86" i="1"/>
  <c r="AJ86" i="1"/>
  <c r="AH86" i="1"/>
  <c r="AG86" i="1"/>
  <c r="AF86" i="1"/>
  <c r="AE86" i="1"/>
  <c r="AD86" i="1"/>
  <c r="Z86" i="1"/>
  <c r="O86" i="1"/>
  <c r="BF86" i="1" s="1"/>
  <c r="BW85" i="1"/>
  <c r="BJ85" i="1"/>
  <c r="BH85" i="1"/>
  <c r="AB85" i="1" s="1"/>
  <c r="BD85" i="1"/>
  <c r="AP85" i="1"/>
  <c r="AO85" i="1"/>
  <c r="AW85" i="1" s="1"/>
  <c r="AL85" i="1"/>
  <c r="AK85" i="1"/>
  <c r="AJ85" i="1"/>
  <c r="AH85" i="1"/>
  <c r="AG85" i="1"/>
  <c r="AF85" i="1"/>
  <c r="AE85" i="1"/>
  <c r="AD85" i="1"/>
  <c r="Z85" i="1"/>
  <c r="O85" i="1"/>
  <c r="BF85" i="1" s="1"/>
  <c r="BW84" i="1"/>
  <c r="BJ84" i="1"/>
  <c r="BD84" i="1"/>
  <c r="AP84" i="1"/>
  <c r="AO84" i="1"/>
  <c r="BH84" i="1" s="1"/>
  <c r="AB84" i="1" s="1"/>
  <c r="AL84" i="1"/>
  <c r="AK84" i="1"/>
  <c r="AJ84" i="1"/>
  <c r="AH84" i="1"/>
  <c r="AG84" i="1"/>
  <c r="AF84" i="1"/>
  <c r="AE84" i="1"/>
  <c r="AD84" i="1"/>
  <c r="Z84" i="1"/>
  <c r="O84" i="1"/>
  <c r="BF84" i="1" s="1"/>
  <c r="BW83" i="1"/>
  <c r="BJ83" i="1"/>
  <c r="BD83" i="1"/>
  <c r="AP83" i="1"/>
  <c r="BI83" i="1" s="1"/>
  <c r="AC83" i="1" s="1"/>
  <c r="AO83" i="1"/>
  <c r="AL83" i="1"/>
  <c r="AK83" i="1"/>
  <c r="AJ83" i="1"/>
  <c r="AH83" i="1"/>
  <c r="AG83" i="1"/>
  <c r="AF83" i="1"/>
  <c r="AE83" i="1"/>
  <c r="AD83" i="1"/>
  <c r="Z83" i="1"/>
  <c r="O83" i="1"/>
  <c r="BF83" i="1" s="1"/>
  <c r="BW82" i="1"/>
  <c r="BJ82" i="1"/>
  <c r="BD82" i="1"/>
  <c r="AX82" i="1"/>
  <c r="AP82" i="1"/>
  <c r="BI82" i="1" s="1"/>
  <c r="AO82" i="1"/>
  <c r="AW82" i="1" s="1"/>
  <c r="AL82" i="1"/>
  <c r="AK82" i="1"/>
  <c r="AJ82" i="1"/>
  <c r="AH82" i="1"/>
  <c r="AG82" i="1"/>
  <c r="AF82" i="1"/>
  <c r="AE82" i="1"/>
  <c r="AD82" i="1"/>
  <c r="AC82" i="1"/>
  <c r="Z82" i="1"/>
  <c r="O82" i="1"/>
  <c r="BF82" i="1" s="1"/>
  <c r="AT81" i="1"/>
  <c r="BW80" i="1"/>
  <c r="BJ80" i="1"/>
  <c r="BD80" i="1"/>
  <c r="AP80" i="1"/>
  <c r="AX80" i="1" s="1"/>
  <c r="AO80" i="1"/>
  <c r="AL80" i="1"/>
  <c r="AK80" i="1"/>
  <c r="AJ80" i="1"/>
  <c r="AH80" i="1"/>
  <c r="AG80" i="1"/>
  <c r="AF80" i="1"/>
  <c r="AE80" i="1"/>
  <c r="AD80" i="1"/>
  <c r="AC80" i="1"/>
  <c r="AB80" i="1"/>
  <c r="Z80" i="1"/>
  <c r="O80" i="1"/>
  <c r="BF80" i="1" s="1"/>
  <c r="AU79" i="1"/>
  <c r="AT79" i="1"/>
  <c r="AS79" i="1"/>
  <c r="O79" i="1"/>
  <c r="BW78" i="1"/>
  <c r="BJ78" i="1"/>
  <c r="BF78" i="1"/>
  <c r="BD78" i="1"/>
  <c r="AP78" i="1"/>
  <c r="BI78" i="1" s="1"/>
  <c r="AO78" i="1"/>
  <c r="BH78" i="1" s="1"/>
  <c r="AL78" i="1"/>
  <c r="AK78" i="1"/>
  <c r="AJ78" i="1"/>
  <c r="AH78" i="1"/>
  <c r="AG78" i="1"/>
  <c r="AF78" i="1"/>
  <c r="AE78" i="1"/>
  <c r="AD78" i="1"/>
  <c r="AC78" i="1"/>
  <c r="AB78" i="1"/>
  <c r="Z78" i="1"/>
  <c r="O78" i="1"/>
  <c r="AU77" i="1"/>
  <c r="AT77" i="1"/>
  <c r="AS77" i="1"/>
  <c r="O77" i="1"/>
  <c r="BW76" i="1"/>
  <c r="BJ76" i="1"/>
  <c r="BH76" i="1"/>
  <c r="AB76" i="1" s="1"/>
  <c r="BD76" i="1"/>
  <c r="AP76" i="1"/>
  <c r="BI76" i="1" s="1"/>
  <c r="AC76" i="1" s="1"/>
  <c r="AO76" i="1"/>
  <c r="AW76" i="1" s="1"/>
  <c r="AL76" i="1"/>
  <c r="AK76" i="1"/>
  <c r="AJ76" i="1"/>
  <c r="AH76" i="1"/>
  <c r="AG76" i="1"/>
  <c r="AF76" i="1"/>
  <c r="AE76" i="1"/>
  <c r="AD76" i="1"/>
  <c r="Z76" i="1"/>
  <c r="O76" i="1"/>
  <c r="BF76" i="1" s="1"/>
  <c r="BW75" i="1"/>
  <c r="BJ75" i="1"/>
  <c r="BD75" i="1"/>
  <c r="AP75" i="1"/>
  <c r="AO75" i="1"/>
  <c r="AW75" i="1" s="1"/>
  <c r="AL75" i="1"/>
  <c r="AK75" i="1"/>
  <c r="AT73" i="1" s="1"/>
  <c r="AJ75" i="1"/>
  <c r="AH75" i="1"/>
  <c r="AG75" i="1"/>
  <c r="AF75" i="1"/>
  <c r="AE75" i="1"/>
  <c r="AD75" i="1"/>
  <c r="Z75" i="1"/>
  <c r="O75" i="1"/>
  <c r="BF75" i="1" s="1"/>
  <c r="BW74" i="1"/>
  <c r="BJ74" i="1"/>
  <c r="BD74" i="1"/>
  <c r="AW74" i="1"/>
  <c r="AP74" i="1"/>
  <c r="AO74" i="1"/>
  <c r="BH74" i="1" s="1"/>
  <c r="AB74" i="1" s="1"/>
  <c r="AL74" i="1"/>
  <c r="AK74" i="1"/>
  <c r="AJ74" i="1"/>
  <c r="AS73" i="1" s="1"/>
  <c r="AH74" i="1"/>
  <c r="AG74" i="1"/>
  <c r="AF74" i="1"/>
  <c r="AE74" i="1"/>
  <c r="AD74" i="1"/>
  <c r="Z74" i="1"/>
  <c r="O74" i="1"/>
  <c r="BW72" i="1"/>
  <c r="BJ72" i="1"/>
  <c r="BH72" i="1"/>
  <c r="AB72" i="1" s="1"/>
  <c r="BD72" i="1"/>
  <c r="AP72" i="1"/>
  <c r="AO72" i="1"/>
  <c r="AW72" i="1" s="1"/>
  <c r="AL72" i="1"/>
  <c r="AK72" i="1"/>
  <c r="AJ72" i="1"/>
  <c r="AS70" i="1" s="1"/>
  <c r="AH72" i="1"/>
  <c r="AG72" i="1"/>
  <c r="AF72" i="1"/>
  <c r="AE72" i="1"/>
  <c r="AD72" i="1"/>
  <c r="Z72" i="1"/>
  <c r="O72" i="1"/>
  <c r="BF72" i="1" s="1"/>
  <c r="BW71" i="1"/>
  <c r="BJ71" i="1"/>
  <c r="BD71" i="1"/>
  <c r="AW71" i="1"/>
  <c r="AP71" i="1"/>
  <c r="AO71" i="1"/>
  <c r="BH71" i="1" s="1"/>
  <c r="AB71" i="1" s="1"/>
  <c r="AL71" i="1"/>
  <c r="AK71" i="1"/>
  <c r="AT70" i="1" s="1"/>
  <c r="AJ71" i="1"/>
  <c r="AH71" i="1"/>
  <c r="AG71" i="1"/>
  <c r="AF71" i="1"/>
  <c r="AE71" i="1"/>
  <c r="AD71" i="1"/>
  <c r="Z71" i="1"/>
  <c r="O71" i="1"/>
  <c r="BW69" i="1"/>
  <c r="BJ69" i="1"/>
  <c r="BD69" i="1"/>
  <c r="AP69" i="1"/>
  <c r="AO69" i="1"/>
  <c r="AW69" i="1" s="1"/>
  <c r="AL69" i="1"/>
  <c r="AK69" i="1"/>
  <c r="AJ69" i="1"/>
  <c r="AH69" i="1"/>
  <c r="AG69" i="1"/>
  <c r="AF69" i="1"/>
  <c r="AE69" i="1"/>
  <c r="AD69" i="1"/>
  <c r="Z69" i="1"/>
  <c r="O69" i="1"/>
  <c r="BF69" i="1" s="1"/>
  <c r="BW68" i="1"/>
  <c r="BJ68" i="1"/>
  <c r="BD68" i="1"/>
  <c r="AW68" i="1"/>
  <c r="AP68" i="1"/>
  <c r="BI68" i="1" s="1"/>
  <c r="AC68" i="1" s="1"/>
  <c r="AO68" i="1"/>
  <c r="BH68" i="1" s="1"/>
  <c r="AB68" i="1" s="1"/>
  <c r="AL68" i="1"/>
  <c r="AK68" i="1"/>
  <c r="AT67" i="1" s="1"/>
  <c r="AJ68" i="1"/>
  <c r="AS67" i="1" s="1"/>
  <c r="AH68" i="1"/>
  <c r="AG68" i="1"/>
  <c r="AF68" i="1"/>
  <c r="AE68" i="1"/>
  <c r="AD68" i="1"/>
  <c r="Z68" i="1"/>
  <c r="O68" i="1"/>
  <c r="BF68" i="1" s="1"/>
  <c r="O67" i="1"/>
  <c r="BW66" i="1"/>
  <c r="BJ66" i="1"/>
  <c r="BD66" i="1"/>
  <c r="AP66" i="1"/>
  <c r="AO66" i="1"/>
  <c r="AL66" i="1"/>
  <c r="AK66" i="1"/>
  <c r="AJ66" i="1"/>
  <c r="AH66" i="1"/>
  <c r="AG66" i="1"/>
  <c r="AF66" i="1"/>
  <c r="AE66" i="1"/>
  <c r="AD66" i="1"/>
  <c r="Z66" i="1"/>
  <c r="O66" i="1"/>
  <c r="BF66" i="1" s="1"/>
  <c r="BW65" i="1"/>
  <c r="BJ65" i="1"/>
  <c r="BH65" i="1"/>
  <c r="AB65" i="1" s="1"/>
  <c r="BD65" i="1"/>
  <c r="AX65" i="1"/>
  <c r="AW65" i="1"/>
  <c r="AP65" i="1"/>
  <c r="BI65" i="1" s="1"/>
  <c r="AO65" i="1"/>
  <c r="AL65" i="1"/>
  <c r="AK65" i="1"/>
  <c r="AJ65" i="1"/>
  <c r="AH65" i="1"/>
  <c r="AG65" i="1"/>
  <c r="AF65" i="1"/>
  <c r="AE65" i="1"/>
  <c r="AD65" i="1"/>
  <c r="AC65" i="1"/>
  <c r="Z65" i="1"/>
  <c r="O65" i="1"/>
  <c r="BF65" i="1" s="1"/>
  <c r="BW64" i="1"/>
  <c r="BJ64" i="1"/>
  <c r="BD64" i="1"/>
  <c r="AX64" i="1"/>
  <c r="BC64" i="1" s="1"/>
  <c r="AP64" i="1"/>
  <c r="BI64" i="1" s="1"/>
  <c r="AC64" i="1" s="1"/>
  <c r="AO64" i="1"/>
  <c r="AW64" i="1" s="1"/>
  <c r="AL64" i="1"/>
  <c r="AK64" i="1"/>
  <c r="AJ64" i="1"/>
  <c r="AH64" i="1"/>
  <c r="AG64" i="1"/>
  <c r="AF64" i="1"/>
  <c r="AE64" i="1"/>
  <c r="AD64" i="1"/>
  <c r="Z64" i="1"/>
  <c r="O64" i="1"/>
  <c r="BF64" i="1" s="1"/>
  <c r="BW63" i="1"/>
  <c r="BJ63" i="1"/>
  <c r="BF63" i="1"/>
  <c r="BD63" i="1"/>
  <c r="AP63" i="1"/>
  <c r="AO63" i="1"/>
  <c r="AW63" i="1" s="1"/>
  <c r="AL63" i="1"/>
  <c r="AK63" i="1"/>
  <c r="AT62" i="1" s="1"/>
  <c r="AJ63" i="1"/>
  <c r="AH63" i="1"/>
  <c r="AG63" i="1"/>
  <c r="AF63" i="1"/>
  <c r="AE63" i="1"/>
  <c r="AD63" i="1"/>
  <c r="Z63" i="1"/>
  <c r="O63" i="1"/>
  <c r="O62" i="1" s="1"/>
  <c r="BW60" i="1"/>
  <c r="BJ60" i="1"/>
  <c r="BI60" i="1"/>
  <c r="BD60" i="1"/>
  <c r="AX60" i="1"/>
  <c r="AP60" i="1"/>
  <c r="AO60" i="1"/>
  <c r="AW60" i="1" s="1"/>
  <c r="BC60" i="1" s="1"/>
  <c r="AK60" i="1"/>
  <c r="AJ60" i="1"/>
  <c r="AH60" i="1"/>
  <c r="AG60" i="1"/>
  <c r="AF60" i="1"/>
  <c r="AE60" i="1"/>
  <c r="AD60" i="1"/>
  <c r="AC60" i="1"/>
  <c r="AB60" i="1"/>
  <c r="Z60" i="1"/>
  <c r="O60" i="1"/>
  <c r="BF60" i="1" s="1"/>
  <c r="BW59" i="1"/>
  <c r="BJ59" i="1"/>
  <c r="BI59" i="1"/>
  <c r="BD59" i="1"/>
  <c r="AX59" i="1"/>
  <c r="AP59" i="1"/>
  <c r="AO59" i="1"/>
  <c r="AW59" i="1" s="1"/>
  <c r="BC59" i="1" s="1"/>
  <c r="AK59" i="1"/>
  <c r="AJ59" i="1"/>
  <c r="AH59" i="1"/>
  <c r="AG59" i="1"/>
  <c r="AF59" i="1"/>
  <c r="AE59" i="1"/>
  <c r="AC59" i="1"/>
  <c r="AB59" i="1"/>
  <c r="Z59" i="1"/>
  <c r="O59" i="1"/>
  <c r="BF59" i="1" s="1"/>
  <c r="BW58" i="1"/>
  <c r="BJ58" i="1"/>
  <c r="BI58" i="1"/>
  <c r="BH58" i="1"/>
  <c r="AD58" i="1" s="1"/>
  <c r="BD58" i="1"/>
  <c r="AX58" i="1"/>
  <c r="AV58" i="1" s="1"/>
  <c r="AP58" i="1"/>
  <c r="AO58" i="1"/>
  <c r="AW58" i="1" s="1"/>
  <c r="AK58" i="1"/>
  <c r="AJ58" i="1"/>
  <c r="AH58" i="1"/>
  <c r="AG58" i="1"/>
  <c r="AF58" i="1"/>
  <c r="AE58" i="1"/>
  <c r="AC58" i="1"/>
  <c r="AB58" i="1"/>
  <c r="Z58" i="1"/>
  <c r="O58" i="1"/>
  <c r="BF58" i="1" s="1"/>
  <c r="BW57" i="1"/>
  <c r="BJ57" i="1"/>
  <c r="BI57" i="1"/>
  <c r="AE57" i="1" s="1"/>
  <c r="BD57" i="1"/>
  <c r="AX57" i="1"/>
  <c r="AP57" i="1"/>
  <c r="AO57" i="1"/>
  <c r="AK57" i="1"/>
  <c r="AJ57" i="1"/>
  <c r="AH57" i="1"/>
  <c r="AG57" i="1"/>
  <c r="AF57" i="1"/>
  <c r="AC57" i="1"/>
  <c r="AB57" i="1"/>
  <c r="Z57" i="1"/>
  <c r="O57" i="1"/>
  <c r="BF57" i="1" s="1"/>
  <c r="BW56" i="1"/>
  <c r="BJ56" i="1"/>
  <c r="BI56" i="1"/>
  <c r="AE56" i="1" s="1"/>
  <c r="BD56" i="1"/>
  <c r="AX56" i="1"/>
  <c r="AP56" i="1"/>
  <c r="AO56" i="1"/>
  <c r="AW56" i="1" s="1"/>
  <c r="AV56" i="1" s="1"/>
  <c r="AK56" i="1"/>
  <c r="AJ56" i="1"/>
  <c r="AH56" i="1"/>
  <c r="AG56" i="1"/>
  <c r="AF56" i="1"/>
  <c r="AC56" i="1"/>
  <c r="AB56" i="1"/>
  <c r="Z56" i="1"/>
  <c r="O56" i="1"/>
  <c r="BF56" i="1" s="1"/>
  <c r="BW55" i="1"/>
  <c r="BJ55" i="1"/>
  <c r="BI55" i="1"/>
  <c r="BH55" i="1"/>
  <c r="AD55" i="1" s="1"/>
  <c r="BD55" i="1"/>
  <c r="AP55" i="1"/>
  <c r="AX55" i="1" s="1"/>
  <c r="AV55" i="1" s="1"/>
  <c r="AO55" i="1"/>
  <c r="AW55" i="1" s="1"/>
  <c r="AK55" i="1"/>
  <c r="AJ55" i="1"/>
  <c r="AS54" i="1" s="1"/>
  <c r="AH55" i="1"/>
  <c r="AG55" i="1"/>
  <c r="AF55" i="1"/>
  <c r="AE55" i="1"/>
  <c r="AC55" i="1"/>
  <c r="AB55" i="1"/>
  <c r="Z55" i="1"/>
  <c r="O55" i="1"/>
  <c r="BF55" i="1" s="1"/>
  <c r="O54" i="1"/>
  <c r="BW53" i="1"/>
  <c r="BJ53" i="1"/>
  <c r="Z53" i="1" s="1"/>
  <c r="BD53" i="1"/>
  <c r="AP53" i="1"/>
  <c r="AO53" i="1"/>
  <c r="AW53" i="1" s="1"/>
  <c r="AK53" i="1"/>
  <c r="AJ53" i="1"/>
  <c r="AS50" i="1" s="1"/>
  <c r="AH53" i="1"/>
  <c r="AG53" i="1"/>
  <c r="AF53" i="1"/>
  <c r="AE53" i="1"/>
  <c r="AD53" i="1"/>
  <c r="AC53" i="1"/>
  <c r="AB53" i="1"/>
  <c r="O53" i="1"/>
  <c r="BF53" i="1" s="1"/>
  <c r="BW52" i="1"/>
  <c r="BJ52" i="1"/>
  <c r="BD52" i="1"/>
  <c r="AP52" i="1"/>
  <c r="BI52" i="1" s="1"/>
  <c r="AE52" i="1" s="1"/>
  <c r="AO52" i="1"/>
  <c r="AW52" i="1" s="1"/>
  <c r="AK52" i="1"/>
  <c r="AJ52" i="1"/>
  <c r="AH52" i="1"/>
  <c r="AG52" i="1"/>
  <c r="AF52" i="1"/>
  <c r="AC52" i="1"/>
  <c r="AB52" i="1"/>
  <c r="Z52" i="1"/>
  <c r="O52" i="1"/>
  <c r="BF52" i="1" s="1"/>
  <c r="BW51" i="1"/>
  <c r="BJ51" i="1"/>
  <c r="BD51" i="1"/>
  <c r="AP51" i="1"/>
  <c r="BI51" i="1" s="1"/>
  <c r="AE51" i="1" s="1"/>
  <c r="AO51" i="1"/>
  <c r="AW51" i="1" s="1"/>
  <c r="AK51" i="1"/>
  <c r="AJ51" i="1"/>
  <c r="AH51" i="1"/>
  <c r="AG51" i="1"/>
  <c r="AF51" i="1"/>
  <c r="AC51" i="1"/>
  <c r="AB51" i="1"/>
  <c r="Z51" i="1"/>
  <c r="O51" i="1"/>
  <c r="BF51" i="1" s="1"/>
  <c r="O50" i="1"/>
  <c r="BW49" i="1"/>
  <c r="BJ49" i="1"/>
  <c r="BD49" i="1"/>
  <c r="AP49" i="1"/>
  <c r="AO49" i="1"/>
  <c r="AW49" i="1" s="1"/>
  <c r="AK49" i="1"/>
  <c r="AJ49" i="1"/>
  <c r="AH49" i="1"/>
  <c r="AG49" i="1"/>
  <c r="AF49" i="1"/>
  <c r="AE49" i="1"/>
  <c r="AD49" i="1"/>
  <c r="Z49" i="1"/>
  <c r="O49" i="1"/>
  <c r="BF49" i="1" s="1"/>
  <c r="BW48" i="1"/>
  <c r="BJ48" i="1"/>
  <c r="BD48" i="1"/>
  <c r="AP48" i="1"/>
  <c r="BI48" i="1" s="1"/>
  <c r="AC48" i="1" s="1"/>
  <c r="AO48" i="1"/>
  <c r="AK48" i="1"/>
  <c r="AJ48" i="1"/>
  <c r="AH48" i="1"/>
  <c r="AG48" i="1"/>
  <c r="AF48" i="1"/>
  <c r="AE48" i="1"/>
  <c r="AD48" i="1"/>
  <c r="Z48" i="1"/>
  <c r="O48" i="1"/>
  <c r="BF48" i="1" s="1"/>
  <c r="BW47" i="1"/>
  <c r="BJ47" i="1"/>
  <c r="BI47" i="1"/>
  <c r="AC47" i="1" s="1"/>
  <c r="BD47" i="1"/>
  <c r="AX47" i="1"/>
  <c r="AP47" i="1"/>
  <c r="AO47" i="1"/>
  <c r="AW47" i="1" s="1"/>
  <c r="AK47" i="1"/>
  <c r="AJ47" i="1"/>
  <c r="AH47" i="1"/>
  <c r="AG47" i="1"/>
  <c r="AF47" i="1"/>
  <c r="AE47" i="1"/>
  <c r="AD47" i="1"/>
  <c r="Z47" i="1"/>
  <c r="O47" i="1"/>
  <c r="BF47" i="1" s="1"/>
  <c r="BW46" i="1"/>
  <c r="BJ46" i="1"/>
  <c r="BI46" i="1"/>
  <c r="AC46" i="1" s="1"/>
  <c r="BH46" i="1"/>
  <c r="AB46" i="1" s="1"/>
  <c r="BD46" i="1"/>
  <c r="AP46" i="1"/>
  <c r="AX46" i="1" s="1"/>
  <c r="AV46" i="1" s="1"/>
  <c r="AO46" i="1"/>
  <c r="AW46" i="1" s="1"/>
  <c r="AK46" i="1"/>
  <c r="AJ46" i="1"/>
  <c r="AH46" i="1"/>
  <c r="AG46" i="1"/>
  <c r="AF46" i="1"/>
  <c r="AE46" i="1"/>
  <c r="AD46" i="1"/>
  <c r="Z46" i="1"/>
  <c r="O46" i="1"/>
  <c r="BF46" i="1" s="1"/>
  <c r="BW45" i="1"/>
  <c r="BJ45" i="1"/>
  <c r="BD45" i="1"/>
  <c r="AP45" i="1"/>
  <c r="AO45" i="1"/>
  <c r="AW45" i="1" s="1"/>
  <c r="AK45" i="1"/>
  <c r="AJ45" i="1"/>
  <c r="AH45" i="1"/>
  <c r="AG45" i="1"/>
  <c r="AF45" i="1"/>
  <c r="AE45" i="1"/>
  <c r="AD45" i="1"/>
  <c r="Z45" i="1"/>
  <c r="O45" i="1"/>
  <c r="BF45" i="1" s="1"/>
  <c r="BW44" i="1"/>
  <c r="BJ44" i="1"/>
  <c r="BD44" i="1"/>
  <c r="AP44" i="1"/>
  <c r="BI44" i="1" s="1"/>
  <c r="AC44" i="1" s="1"/>
  <c r="AO44" i="1"/>
  <c r="AK44" i="1"/>
  <c r="AJ44" i="1"/>
  <c r="AH44" i="1"/>
  <c r="AG44" i="1"/>
  <c r="AF44" i="1"/>
  <c r="AE44" i="1"/>
  <c r="AD44" i="1"/>
  <c r="Z44" i="1"/>
  <c r="O44" i="1"/>
  <c r="BF44" i="1" s="1"/>
  <c r="BW43" i="1"/>
  <c r="BJ43" i="1"/>
  <c r="BD43" i="1"/>
  <c r="AX43" i="1"/>
  <c r="AP43" i="1"/>
  <c r="BI43" i="1" s="1"/>
  <c r="AC43" i="1" s="1"/>
  <c r="AO43" i="1"/>
  <c r="AW43" i="1" s="1"/>
  <c r="AK43" i="1"/>
  <c r="AJ43" i="1"/>
  <c r="AH43" i="1"/>
  <c r="AG43" i="1"/>
  <c r="AF43" i="1"/>
  <c r="AE43" i="1"/>
  <c r="AD43" i="1"/>
  <c r="Z43" i="1"/>
  <c r="O43" i="1"/>
  <c r="BF43" i="1" s="1"/>
  <c r="BW42" i="1"/>
  <c r="BJ42" i="1"/>
  <c r="BH42" i="1"/>
  <c r="AB42" i="1" s="1"/>
  <c r="BD42" i="1"/>
  <c r="AP42" i="1"/>
  <c r="AX42" i="1" s="1"/>
  <c r="AO42" i="1"/>
  <c r="AW42" i="1" s="1"/>
  <c r="AK42" i="1"/>
  <c r="AJ42" i="1"/>
  <c r="AH42" i="1"/>
  <c r="AG42" i="1"/>
  <c r="AF42" i="1"/>
  <c r="AE42" i="1"/>
  <c r="AD42" i="1"/>
  <c r="Z42" i="1"/>
  <c r="O42" i="1"/>
  <c r="BW41" i="1"/>
  <c r="BJ41" i="1"/>
  <c r="BD41" i="1"/>
  <c r="AP41" i="1"/>
  <c r="AO41" i="1"/>
  <c r="AW41" i="1" s="1"/>
  <c r="AK41" i="1"/>
  <c r="AJ41" i="1"/>
  <c r="AH41" i="1"/>
  <c r="AG41" i="1"/>
  <c r="AF41" i="1"/>
  <c r="AE41" i="1"/>
  <c r="AD41" i="1"/>
  <c r="Z41" i="1"/>
  <c r="O41" i="1"/>
  <c r="BF41" i="1" s="1"/>
  <c r="BW40" i="1"/>
  <c r="BJ40" i="1"/>
  <c r="BD40" i="1"/>
  <c r="AP40" i="1"/>
  <c r="BI40" i="1" s="1"/>
  <c r="AC40" i="1" s="1"/>
  <c r="AO40" i="1"/>
  <c r="AK40" i="1"/>
  <c r="AJ40" i="1"/>
  <c r="AH40" i="1"/>
  <c r="AG40" i="1"/>
  <c r="AF40" i="1"/>
  <c r="AE40" i="1"/>
  <c r="AD40" i="1"/>
  <c r="Z40" i="1"/>
  <c r="O40" i="1"/>
  <c r="BF40" i="1" s="1"/>
  <c r="BW39" i="1"/>
  <c r="BJ39" i="1"/>
  <c r="BD39" i="1"/>
  <c r="AX39" i="1"/>
  <c r="AP39" i="1"/>
  <c r="BI39" i="1" s="1"/>
  <c r="AC39" i="1" s="1"/>
  <c r="AO39" i="1"/>
  <c r="AW39" i="1" s="1"/>
  <c r="AK39" i="1"/>
  <c r="AJ39" i="1"/>
  <c r="AS38" i="1" s="1"/>
  <c r="AH39" i="1"/>
  <c r="AG39" i="1"/>
  <c r="AF39" i="1"/>
  <c r="AE39" i="1"/>
  <c r="AD39" i="1"/>
  <c r="Z39" i="1"/>
  <c r="O39" i="1"/>
  <c r="BF39" i="1" s="1"/>
  <c r="BW37" i="1"/>
  <c r="BJ37" i="1"/>
  <c r="BD37" i="1"/>
  <c r="AP37" i="1"/>
  <c r="BI37" i="1" s="1"/>
  <c r="AG37" i="1" s="1"/>
  <c r="AO37" i="1"/>
  <c r="AK37" i="1"/>
  <c r="AJ37" i="1"/>
  <c r="AH37" i="1"/>
  <c r="AE37" i="1"/>
  <c r="AD37" i="1"/>
  <c r="AC37" i="1"/>
  <c r="AB37" i="1"/>
  <c r="Z37" i="1"/>
  <c r="O37" i="1"/>
  <c r="BF37" i="1" s="1"/>
  <c r="BW36" i="1"/>
  <c r="BJ36" i="1"/>
  <c r="BI36" i="1"/>
  <c r="AG36" i="1" s="1"/>
  <c r="BD36" i="1"/>
  <c r="AX36" i="1"/>
  <c r="AP36" i="1"/>
  <c r="AO36" i="1"/>
  <c r="AW36" i="1" s="1"/>
  <c r="AK36" i="1"/>
  <c r="AJ36" i="1"/>
  <c r="AH36" i="1"/>
  <c r="AE36" i="1"/>
  <c r="AD36" i="1"/>
  <c r="AC36" i="1"/>
  <c r="AB36" i="1"/>
  <c r="Z36" i="1"/>
  <c r="O36" i="1"/>
  <c r="BF36" i="1" s="1"/>
  <c r="BW35" i="1"/>
  <c r="BJ35" i="1"/>
  <c r="BI35" i="1"/>
  <c r="AG35" i="1" s="1"/>
  <c r="BH35" i="1"/>
  <c r="AF35" i="1" s="1"/>
  <c r="BD35" i="1"/>
  <c r="AP35" i="1"/>
  <c r="AX35" i="1" s="1"/>
  <c r="AV35" i="1" s="1"/>
  <c r="AO35" i="1"/>
  <c r="AW35" i="1" s="1"/>
  <c r="AK35" i="1"/>
  <c r="AJ35" i="1"/>
  <c r="AH35" i="1"/>
  <c r="AE35" i="1"/>
  <c r="AD35" i="1"/>
  <c r="AC35" i="1"/>
  <c r="AB35" i="1"/>
  <c r="Z35" i="1"/>
  <c r="O35" i="1"/>
  <c r="BF35" i="1" s="1"/>
  <c r="BW34" i="1"/>
  <c r="BJ34" i="1"/>
  <c r="BD34" i="1"/>
  <c r="AP34" i="1"/>
  <c r="AO34" i="1"/>
  <c r="AW34" i="1" s="1"/>
  <c r="AK34" i="1"/>
  <c r="AJ34" i="1"/>
  <c r="AH34" i="1"/>
  <c r="AE34" i="1"/>
  <c r="AD34" i="1"/>
  <c r="AC34" i="1"/>
  <c r="AB34" i="1"/>
  <c r="Z34" i="1"/>
  <c r="O34" i="1"/>
  <c r="BF34" i="1" s="1"/>
  <c r="BW33" i="1"/>
  <c r="BJ33" i="1"/>
  <c r="BD33" i="1"/>
  <c r="AP33" i="1"/>
  <c r="BI33" i="1" s="1"/>
  <c r="AG33" i="1" s="1"/>
  <c r="AO33" i="1"/>
  <c r="AK33" i="1"/>
  <c r="AJ33" i="1"/>
  <c r="AH33" i="1"/>
  <c r="AE33" i="1"/>
  <c r="AD33" i="1"/>
  <c r="AC33" i="1"/>
  <c r="AB33" i="1"/>
  <c r="Z33" i="1"/>
  <c r="O33" i="1"/>
  <c r="BF33" i="1" s="1"/>
  <c r="BW32" i="1"/>
  <c r="BJ32" i="1"/>
  <c r="BD32" i="1"/>
  <c r="AX32" i="1"/>
  <c r="AP32" i="1"/>
  <c r="BI32" i="1" s="1"/>
  <c r="AG32" i="1" s="1"/>
  <c r="AO32" i="1"/>
  <c r="AW32" i="1" s="1"/>
  <c r="AK32" i="1"/>
  <c r="AJ32" i="1"/>
  <c r="AH32" i="1"/>
  <c r="AE32" i="1"/>
  <c r="AD32" i="1"/>
  <c r="AC32" i="1"/>
  <c r="AB32" i="1"/>
  <c r="Z32" i="1"/>
  <c r="O32" i="1"/>
  <c r="BF32" i="1" s="1"/>
  <c r="BW31" i="1"/>
  <c r="BJ31" i="1"/>
  <c r="BH31" i="1"/>
  <c r="AF31" i="1" s="1"/>
  <c r="BD31" i="1"/>
  <c r="AP31" i="1"/>
  <c r="AX31" i="1" s="1"/>
  <c r="AO31" i="1"/>
  <c r="AW31" i="1" s="1"/>
  <c r="AV31" i="1" s="1"/>
  <c r="AK31" i="1"/>
  <c r="AT30" i="1" s="1"/>
  <c r="AJ31" i="1"/>
  <c r="AH31" i="1"/>
  <c r="AE31" i="1"/>
  <c r="AD31" i="1"/>
  <c r="AC31" i="1"/>
  <c r="AB31" i="1"/>
  <c r="Z31" i="1"/>
  <c r="O31" i="1"/>
  <c r="BW29" i="1"/>
  <c r="BJ29" i="1"/>
  <c r="BD29" i="1"/>
  <c r="AX29" i="1"/>
  <c r="AP29" i="1"/>
  <c r="BI29" i="1" s="1"/>
  <c r="AG29" i="1" s="1"/>
  <c r="AO29" i="1"/>
  <c r="AW29" i="1" s="1"/>
  <c r="AK29" i="1"/>
  <c r="AJ29" i="1"/>
  <c r="AH29" i="1"/>
  <c r="AE29" i="1"/>
  <c r="AD29" i="1"/>
  <c r="AC29" i="1"/>
  <c r="AB29" i="1"/>
  <c r="Z29" i="1"/>
  <c r="O29" i="1"/>
  <c r="BF29" i="1" s="1"/>
  <c r="BW28" i="1"/>
  <c r="BJ28" i="1"/>
  <c r="BI28" i="1"/>
  <c r="AG28" i="1" s="1"/>
  <c r="BD28" i="1"/>
  <c r="AX28" i="1"/>
  <c r="AP28" i="1"/>
  <c r="AO28" i="1"/>
  <c r="AW28" i="1" s="1"/>
  <c r="BC28" i="1" s="1"/>
  <c r="AK28" i="1"/>
  <c r="AT27" i="1" s="1"/>
  <c r="AJ28" i="1"/>
  <c r="AH28" i="1"/>
  <c r="AE28" i="1"/>
  <c r="AD28" i="1"/>
  <c r="AC28" i="1"/>
  <c r="AB28" i="1"/>
  <c r="Z28" i="1"/>
  <c r="O28" i="1"/>
  <c r="BW26" i="1"/>
  <c r="BJ26" i="1"/>
  <c r="Z26" i="1" s="1"/>
  <c r="BD26" i="1"/>
  <c r="AP26" i="1"/>
  <c r="BI26" i="1" s="1"/>
  <c r="AO26" i="1"/>
  <c r="AW26" i="1" s="1"/>
  <c r="AK26" i="1"/>
  <c r="AT25" i="1" s="1"/>
  <c r="AJ26" i="1"/>
  <c r="AH26" i="1"/>
  <c r="AG26" i="1"/>
  <c r="AF26" i="1"/>
  <c r="AE26" i="1"/>
  <c r="AD26" i="1"/>
  <c r="AC26" i="1"/>
  <c r="AB26" i="1"/>
  <c r="O26" i="1"/>
  <c r="BF26" i="1" s="1"/>
  <c r="AS25" i="1"/>
  <c r="O25" i="1"/>
  <c r="BW24" i="1"/>
  <c r="BJ24" i="1"/>
  <c r="BH24" i="1"/>
  <c r="AB24" i="1" s="1"/>
  <c r="BD24" i="1"/>
  <c r="AP24" i="1"/>
  <c r="AO24" i="1"/>
  <c r="AW24" i="1" s="1"/>
  <c r="AK24" i="1"/>
  <c r="AJ24" i="1"/>
  <c r="AS22" i="1" s="1"/>
  <c r="AH24" i="1"/>
  <c r="AG24" i="1"/>
  <c r="AF24" i="1"/>
  <c r="AE24" i="1"/>
  <c r="AD24" i="1"/>
  <c r="Z24" i="1"/>
  <c r="O24" i="1"/>
  <c r="BF24" i="1" s="1"/>
  <c r="BW23" i="1"/>
  <c r="BJ23" i="1"/>
  <c r="BD23" i="1"/>
  <c r="AP23" i="1"/>
  <c r="BI23" i="1" s="1"/>
  <c r="AC23" i="1" s="1"/>
  <c r="AO23" i="1"/>
  <c r="AK23" i="1"/>
  <c r="AJ23" i="1"/>
  <c r="AH23" i="1"/>
  <c r="AG23" i="1"/>
  <c r="AF23" i="1"/>
  <c r="AE23" i="1"/>
  <c r="AD23" i="1"/>
  <c r="Z23" i="1"/>
  <c r="O23" i="1"/>
  <c r="BF23" i="1" s="1"/>
  <c r="O22" i="1"/>
  <c r="BW21" i="1"/>
  <c r="BJ21" i="1"/>
  <c r="BD21" i="1"/>
  <c r="AP21" i="1"/>
  <c r="AO21" i="1"/>
  <c r="AW21" i="1" s="1"/>
  <c r="AK21" i="1"/>
  <c r="AJ21" i="1"/>
  <c r="AH21" i="1"/>
  <c r="AG21" i="1"/>
  <c r="AF21" i="1"/>
  <c r="AE21" i="1"/>
  <c r="AD21" i="1"/>
  <c r="Z21" i="1"/>
  <c r="O21" i="1"/>
  <c r="BF21" i="1" s="1"/>
  <c r="BW20" i="1"/>
  <c r="BJ20" i="1"/>
  <c r="BD20" i="1"/>
  <c r="AP20" i="1"/>
  <c r="BI20" i="1" s="1"/>
  <c r="AC20" i="1" s="1"/>
  <c r="AO20" i="1"/>
  <c r="AK20" i="1"/>
  <c r="AJ20" i="1"/>
  <c r="AH20" i="1"/>
  <c r="AG20" i="1"/>
  <c r="AF20" i="1"/>
  <c r="AE20" i="1"/>
  <c r="AD20" i="1"/>
  <c r="Z20" i="1"/>
  <c r="O20" i="1"/>
  <c r="BF20" i="1" s="1"/>
  <c r="BW19" i="1"/>
  <c r="BJ19" i="1"/>
  <c r="BI19" i="1"/>
  <c r="AC19" i="1" s="1"/>
  <c r="BD19" i="1"/>
  <c r="AX19" i="1"/>
  <c r="AP19" i="1"/>
  <c r="AO19" i="1"/>
  <c r="AW19" i="1" s="1"/>
  <c r="AK19" i="1"/>
  <c r="AT18" i="1" s="1"/>
  <c r="AJ19" i="1"/>
  <c r="AH19" i="1"/>
  <c r="AG19" i="1"/>
  <c r="AF19" i="1"/>
  <c r="AE19" i="1"/>
  <c r="AD19" i="1"/>
  <c r="Z19" i="1"/>
  <c r="O19" i="1"/>
  <c r="BF19" i="1" s="1"/>
  <c r="O18" i="1"/>
  <c r="BW17" i="1"/>
  <c r="BJ17" i="1"/>
  <c r="BD17" i="1"/>
  <c r="AP17" i="1"/>
  <c r="BI17" i="1" s="1"/>
  <c r="AC17" i="1" s="1"/>
  <c r="AO17" i="1"/>
  <c r="AK17" i="1"/>
  <c r="AJ17" i="1"/>
  <c r="AH17" i="1"/>
  <c r="AG17" i="1"/>
  <c r="AF17" i="1"/>
  <c r="AE17" i="1"/>
  <c r="AD17" i="1"/>
  <c r="Z17" i="1"/>
  <c r="O17" i="1"/>
  <c r="BF17" i="1" s="1"/>
  <c r="BW16" i="1"/>
  <c r="BJ16" i="1"/>
  <c r="BD16" i="1"/>
  <c r="AX16" i="1"/>
  <c r="AP16" i="1"/>
  <c r="BI16" i="1" s="1"/>
  <c r="AC16" i="1" s="1"/>
  <c r="AO16" i="1"/>
  <c r="AW16" i="1" s="1"/>
  <c r="AK16" i="1"/>
  <c r="AT13" i="1" s="1"/>
  <c r="AJ16" i="1"/>
  <c r="AH16" i="1"/>
  <c r="AG16" i="1"/>
  <c r="AF16" i="1"/>
  <c r="AE16" i="1"/>
  <c r="AD16" i="1"/>
  <c r="Z16" i="1"/>
  <c r="O16" i="1"/>
  <c r="BF16" i="1" s="1"/>
  <c r="BW15" i="1"/>
  <c r="BJ15" i="1"/>
  <c r="BH15" i="1"/>
  <c r="AB15" i="1" s="1"/>
  <c r="BD15" i="1"/>
  <c r="AP15" i="1"/>
  <c r="AX15" i="1" s="1"/>
  <c r="AO15" i="1"/>
  <c r="AW15" i="1" s="1"/>
  <c r="AK15" i="1"/>
  <c r="AJ15" i="1"/>
  <c r="AH15" i="1"/>
  <c r="AG15" i="1"/>
  <c r="AF15" i="1"/>
  <c r="AE15" i="1"/>
  <c r="AD15" i="1"/>
  <c r="Z15" i="1"/>
  <c r="O15" i="1"/>
  <c r="BF15" i="1" s="1"/>
  <c r="BW14" i="1"/>
  <c r="BJ14" i="1"/>
  <c r="BD14" i="1"/>
  <c r="AP14" i="1"/>
  <c r="AO14" i="1"/>
  <c r="AW14" i="1" s="1"/>
  <c r="AK14" i="1"/>
  <c r="AJ14" i="1"/>
  <c r="AH14" i="1"/>
  <c r="AG14" i="1"/>
  <c r="AF14" i="1"/>
  <c r="AE14" i="1"/>
  <c r="AD14" i="1"/>
  <c r="Z14" i="1"/>
  <c r="O14" i="1"/>
  <c r="BF14" i="1" s="1"/>
  <c r="AU1" i="1"/>
  <c r="AT1" i="1"/>
  <c r="AS1" i="1"/>
  <c r="AV42" i="1" l="1"/>
  <c r="AV15" i="1"/>
  <c r="BI137" i="1"/>
  <c r="AE137" i="1" s="1"/>
  <c r="AS135" i="1"/>
  <c r="AS13" i="1"/>
  <c r="BI15" i="1"/>
  <c r="AC15" i="1" s="1"/>
  <c r="AV16" i="1"/>
  <c r="BH21" i="1"/>
  <c r="AB21" i="1" s="1"/>
  <c r="AX26" i="1"/>
  <c r="BC26" i="1" s="1"/>
  <c r="BH28" i="1"/>
  <c r="AF28" i="1" s="1"/>
  <c r="AS30" i="1"/>
  <c r="BI31" i="1"/>
  <c r="AG31" i="1" s="1"/>
  <c r="AV32" i="1"/>
  <c r="BI42" i="1"/>
  <c r="AC42" i="1" s="1"/>
  <c r="AV43" i="1"/>
  <c r="BH49" i="1"/>
  <c r="AB49" i="1" s="1"/>
  <c r="AX51" i="1"/>
  <c r="AX52" i="1"/>
  <c r="AV52" i="1" s="1"/>
  <c r="BC58" i="1"/>
  <c r="BH59" i="1"/>
  <c r="AD59" i="1" s="1"/>
  <c r="BH60" i="1"/>
  <c r="AS62" i="1"/>
  <c r="BH63" i="1"/>
  <c r="AB63" i="1" s="1"/>
  <c r="AU67" i="1"/>
  <c r="AX68" i="1"/>
  <c r="BH75" i="1"/>
  <c r="AB75" i="1" s="1"/>
  <c r="AW78" i="1"/>
  <c r="AV78" i="1" s="1"/>
  <c r="BI80" i="1"/>
  <c r="BH82" i="1"/>
  <c r="AB82" i="1" s="1"/>
  <c r="AX83" i="1"/>
  <c r="AX86" i="1"/>
  <c r="BC86" i="1" s="1"/>
  <c r="BI87" i="1"/>
  <c r="AC87" i="1" s="1"/>
  <c r="BH90" i="1"/>
  <c r="AB90" i="1" s="1"/>
  <c r="AX91" i="1"/>
  <c r="AW93" i="1"/>
  <c r="AV93" i="1" s="1"/>
  <c r="BH94" i="1"/>
  <c r="AD94" i="1" s="1"/>
  <c r="BH97" i="1"/>
  <c r="AD97" i="1" s="1"/>
  <c r="BH101" i="1"/>
  <c r="AX108" i="1"/>
  <c r="AV108" i="1" s="1"/>
  <c r="AX109" i="1"/>
  <c r="BH111" i="1"/>
  <c r="AB111" i="1" s="1"/>
  <c r="AX118" i="1"/>
  <c r="AV118" i="1" s="1"/>
  <c r="AW121" i="1"/>
  <c r="AX132" i="1"/>
  <c r="BH140" i="1"/>
  <c r="AD140" i="1" s="1"/>
  <c r="AX147" i="1"/>
  <c r="AX151" i="1"/>
  <c r="BC151" i="1" s="1"/>
  <c r="AS18" i="1"/>
  <c r="AT22" i="1"/>
  <c r="AS27" i="1"/>
  <c r="AV28" i="1"/>
  <c r="AV29" i="1"/>
  <c r="BH34" i="1"/>
  <c r="AF34" i="1" s="1"/>
  <c r="BC35" i="1"/>
  <c r="AV39" i="1"/>
  <c r="BH45" i="1"/>
  <c r="AB45" i="1" s="1"/>
  <c r="BC46" i="1"/>
  <c r="BC55" i="1"/>
  <c r="AV59" i="1"/>
  <c r="AV60" i="1"/>
  <c r="BH64" i="1"/>
  <c r="AB64" i="1" s="1"/>
  <c r="AX76" i="1"/>
  <c r="BC76" i="1" s="1"/>
  <c r="AX78" i="1"/>
  <c r="AW84" i="1"/>
  <c r="AW98" i="1"/>
  <c r="AW100" i="1"/>
  <c r="BC100" i="1" s="1"/>
  <c r="AW104" i="1"/>
  <c r="AV104" i="1" s="1"/>
  <c r="AS107" i="1"/>
  <c r="AW113" i="1"/>
  <c r="AV113" i="1" s="1"/>
  <c r="BI130" i="1"/>
  <c r="AC130" i="1" s="1"/>
  <c r="BC138" i="1"/>
  <c r="BH14" i="1"/>
  <c r="AB14" i="1" s="1"/>
  <c r="BC15" i="1"/>
  <c r="BC31" i="1"/>
  <c r="BH41" i="1"/>
  <c r="AB41" i="1" s="1"/>
  <c r="BC42" i="1"/>
  <c r="AV51" i="1"/>
  <c r="BH69" i="1"/>
  <c r="AB69" i="1" s="1"/>
  <c r="AU81" i="1"/>
  <c r="AU96" i="1"/>
  <c r="AX104" i="1"/>
  <c r="AW105" i="1"/>
  <c r="BC105" i="1" s="1"/>
  <c r="AT107" i="1"/>
  <c r="BH114" i="1"/>
  <c r="AB114" i="1" s="1"/>
  <c r="BC137" i="1"/>
  <c r="BH137" i="1"/>
  <c r="AD137" i="1" s="1"/>
  <c r="BH138" i="1"/>
  <c r="AU157" i="1"/>
  <c r="AX159" i="1"/>
  <c r="AL24" i="1"/>
  <c r="AW33" i="1"/>
  <c r="BH33" i="1"/>
  <c r="AF33" i="1" s="1"/>
  <c r="BI41" i="1"/>
  <c r="AC41" i="1" s="1"/>
  <c r="AX41" i="1"/>
  <c r="AV41" i="1" s="1"/>
  <c r="AW66" i="1"/>
  <c r="BH66" i="1"/>
  <c r="AB66" i="1" s="1"/>
  <c r="BC110" i="1"/>
  <c r="AV110" i="1"/>
  <c r="AL111" i="1"/>
  <c r="AW37" i="1"/>
  <c r="BH37" i="1"/>
  <c r="AF37" i="1" s="1"/>
  <c r="BI45" i="1"/>
  <c r="AC45" i="1" s="1"/>
  <c r="AX45" i="1"/>
  <c r="AV45" i="1" s="1"/>
  <c r="AL34" i="1"/>
  <c r="AV36" i="1"/>
  <c r="AL45" i="1"/>
  <c r="AV47" i="1"/>
  <c r="BI49" i="1"/>
  <c r="AC49" i="1" s="1"/>
  <c r="AX49" i="1"/>
  <c r="AV49" i="1" s="1"/>
  <c r="AW57" i="1"/>
  <c r="BH57" i="1"/>
  <c r="AD57" i="1" s="1"/>
  <c r="BI63" i="1"/>
  <c r="AC63" i="1" s="1"/>
  <c r="AX63" i="1"/>
  <c r="AV63" i="1" s="1"/>
  <c r="BI84" i="1"/>
  <c r="AC84" i="1" s="1"/>
  <c r="AX84" i="1"/>
  <c r="AV84" i="1" s="1"/>
  <c r="BI88" i="1"/>
  <c r="AC88" i="1" s="1"/>
  <c r="AX88" i="1"/>
  <c r="BH95" i="1"/>
  <c r="AW95" i="1"/>
  <c r="BC108" i="1"/>
  <c r="AL14" i="1"/>
  <c r="AL21" i="1"/>
  <c r="AW44" i="1"/>
  <c r="BH44" i="1"/>
  <c r="AB44" i="1" s="1"/>
  <c r="BI34" i="1"/>
  <c r="AG34" i="1" s="1"/>
  <c r="AX34" i="1"/>
  <c r="AV34" i="1" s="1"/>
  <c r="AL41" i="1"/>
  <c r="AW48" i="1"/>
  <c r="BH48" i="1"/>
  <c r="AB48" i="1" s="1"/>
  <c r="O70" i="1"/>
  <c r="O61" i="1" s="1"/>
  <c r="BF71" i="1"/>
  <c r="AV98" i="1"/>
  <c r="BC98" i="1"/>
  <c r="O117" i="1"/>
  <c r="BF119" i="1"/>
  <c r="BI134" i="1"/>
  <c r="AC134" i="1" s="1"/>
  <c r="AX134" i="1"/>
  <c r="AW145" i="1"/>
  <c r="BH145" i="1"/>
  <c r="AD145" i="1" s="1"/>
  <c r="AW20" i="1"/>
  <c r="BH20" i="1"/>
  <c r="AB20" i="1" s="1"/>
  <c r="AW23" i="1"/>
  <c r="BH23" i="1"/>
  <c r="AB23" i="1" s="1"/>
  <c r="AV26" i="1"/>
  <c r="BF28" i="1"/>
  <c r="O27" i="1"/>
  <c r="C20" i="2"/>
  <c r="BI14" i="1"/>
  <c r="AC14" i="1" s="1"/>
  <c r="AX14" i="1"/>
  <c r="AV14" i="1" s="1"/>
  <c r="AW17" i="1"/>
  <c r="BH17" i="1"/>
  <c r="AB17" i="1" s="1"/>
  <c r="AV19" i="1"/>
  <c r="BI21" i="1"/>
  <c r="AC21" i="1" s="1"/>
  <c r="AX21" i="1"/>
  <c r="AV21" i="1" s="1"/>
  <c r="BI24" i="1"/>
  <c r="AC24" i="1" s="1"/>
  <c r="AX24" i="1"/>
  <c r="AV24" i="1" s="1"/>
  <c r="BF31" i="1"/>
  <c r="O30" i="1"/>
  <c r="AT38" i="1"/>
  <c r="AW40" i="1"/>
  <c r="BH40" i="1"/>
  <c r="AB40" i="1" s="1"/>
  <c r="BF42" i="1"/>
  <c r="O38" i="1"/>
  <c r="AL49" i="1"/>
  <c r="AT50" i="1"/>
  <c r="AL58" i="1"/>
  <c r="O73" i="1"/>
  <c r="BF74" i="1"/>
  <c r="AV82" i="1"/>
  <c r="BC82" i="1"/>
  <c r="AV86" i="1"/>
  <c r="AV90" i="1"/>
  <c r="BC90" i="1"/>
  <c r="AX97" i="1"/>
  <c r="BC97" i="1" s="1"/>
  <c r="BF100" i="1"/>
  <c r="AU107" i="1"/>
  <c r="AX127" i="1"/>
  <c r="BC127" i="1" s="1"/>
  <c r="BI127" i="1"/>
  <c r="AC127" i="1" s="1"/>
  <c r="AV128" i="1"/>
  <c r="BC128" i="1"/>
  <c r="AW132" i="1"/>
  <c r="BH132" i="1"/>
  <c r="AB132" i="1" s="1"/>
  <c r="AW136" i="1"/>
  <c r="BH136" i="1"/>
  <c r="AD136" i="1" s="1"/>
  <c r="AL17" i="1"/>
  <c r="AL20" i="1"/>
  <c r="AL23" i="1"/>
  <c r="AL26" i="1"/>
  <c r="AU25" i="1" s="1"/>
  <c r="BC32" i="1"/>
  <c r="BC36" i="1"/>
  <c r="AL37" i="1"/>
  <c r="BC39" i="1"/>
  <c r="AL40" i="1"/>
  <c r="BC43" i="1"/>
  <c r="AL44" i="1"/>
  <c r="BC47" i="1"/>
  <c r="BC52" i="1"/>
  <c r="AV76" i="1"/>
  <c r="BI85" i="1"/>
  <c r="AC85" i="1" s="1"/>
  <c r="BI89" i="1"/>
  <c r="AC89" i="1" s="1"/>
  <c r="BI113" i="1"/>
  <c r="AC113" i="1" s="1"/>
  <c r="AX113" i="1"/>
  <c r="BC113" i="1" s="1"/>
  <c r="AS120" i="1"/>
  <c r="AV122" i="1"/>
  <c r="BC122" i="1"/>
  <c r="AX129" i="1"/>
  <c r="BC129" i="1" s="1"/>
  <c r="BI129" i="1"/>
  <c r="AC129" i="1" s="1"/>
  <c r="AW158" i="1"/>
  <c r="BH158" i="1"/>
  <c r="AD158" i="1" s="1"/>
  <c r="BH159" i="1"/>
  <c r="AD159" i="1" s="1"/>
  <c r="AW159" i="1"/>
  <c r="C21" i="2"/>
  <c r="C28" i="2"/>
  <c r="F28" i="2" s="1"/>
  <c r="AL16" i="1"/>
  <c r="AL19" i="1"/>
  <c r="AL29" i="1"/>
  <c r="AL32" i="1"/>
  <c r="AL36" i="1"/>
  <c r="AL39" i="1"/>
  <c r="AL43" i="1"/>
  <c r="AL47" i="1"/>
  <c r="BI53" i="1"/>
  <c r="AX53" i="1"/>
  <c r="BC53" i="1" s="1"/>
  <c r="BH53" i="1"/>
  <c r="AL56" i="1"/>
  <c r="AL60" i="1"/>
  <c r="AU62" i="1"/>
  <c r="AV64" i="1"/>
  <c r="AX66" i="1"/>
  <c r="BI66" i="1"/>
  <c r="AC66" i="1" s="1"/>
  <c r="AX69" i="1"/>
  <c r="BC69" i="1" s="1"/>
  <c r="BI69" i="1"/>
  <c r="AC69" i="1" s="1"/>
  <c r="AX72" i="1"/>
  <c r="BC72" i="1" s="1"/>
  <c r="BI72" i="1"/>
  <c r="AC72" i="1" s="1"/>
  <c r="AX75" i="1"/>
  <c r="BC75" i="1" s="1"/>
  <c r="BI75" i="1"/>
  <c r="AC75" i="1" s="1"/>
  <c r="O81" i="1"/>
  <c r="AX85" i="1"/>
  <c r="BC85" i="1" s="1"/>
  <c r="AX89" i="1"/>
  <c r="AV89" i="1" s="1"/>
  <c r="AS92" i="1"/>
  <c r="BI93" i="1"/>
  <c r="AE93" i="1" s="1"/>
  <c r="BI99" i="1"/>
  <c r="AE99" i="1" s="1"/>
  <c r="AX99" i="1"/>
  <c r="AV99" i="1" s="1"/>
  <c r="BH103" i="1"/>
  <c r="AW103" i="1"/>
  <c r="O112" i="1"/>
  <c r="BF113" i="1"/>
  <c r="AX123" i="1"/>
  <c r="BC123" i="1" s="1"/>
  <c r="BI123" i="1"/>
  <c r="AC123" i="1" s="1"/>
  <c r="AV124" i="1"/>
  <c r="BC124" i="1"/>
  <c r="AX131" i="1"/>
  <c r="BC131" i="1" s="1"/>
  <c r="BI131" i="1"/>
  <c r="AC131" i="1" s="1"/>
  <c r="AL137" i="1"/>
  <c r="C27" i="2"/>
  <c r="BC16" i="1"/>
  <c r="BC19" i="1"/>
  <c r="BC29" i="1"/>
  <c r="AL33" i="1"/>
  <c r="AL48" i="1"/>
  <c r="AL51" i="1"/>
  <c r="BC51" i="1"/>
  <c r="AL52" i="1"/>
  <c r="AL53" i="1"/>
  <c r="AT54" i="1"/>
  <c r="BC56" i="1"/>
  <c r="AL57" i="1"/>
  <c r="AW80" i="1"/>
  <c r="BH80" i="1"/>
  <c r="BI94" i="1"/>
  <c r="AE94" i="1" s="1"/>
  <c r="AX94" i="1"/>
  <c r="AV94" i="1" s="1"/>
  <c r="AV100" i="1"/>
  <c r="AX121" i="1"/>
  <c r="BI121" i="1"/>
  <c r="AC121" i="1" s="1"/>
  <c r="AV130" i="1"/>
  <c r="BC130" i="1"/>
  <c r="AL134" i="1"/>
  <c r="O13" i="1"/>
  <c r="AL15" i="1"/>
  <c r="BH16" i="1"/>
  <c r="AB16" i="1" s="1"/>
  <c r="AX17" i="1"/>
  <c r="BH19" i="1"/>
  <c r="AB19" i="1" s="1"/>
  <c r="AX20" i="1"/>
  <c r="AX23" i="1"/>
  <c r="BH26" i="1"/>
  <c r="AL28" i="1"/>
  <c r="AU27" i="1" s="1"/>
  <c r="BH29" i="1"/>
  <c r="AF29" i="1" s="1"/>
  <c r="C18" i="2" s="1"/>
  <c r="AL31" i="1"/>
  <c r="BH32" i="1"/>
  <c r="AF32" i="1" s="1"/>
  <c r="AX33" i="1"/>
  <c r="AL35" i="1"/>
  <c r="BH36" i="1"/>
  <c r="AF36" i="1" s="1"/>
  <c r="AX37" i="1"/>
  <c r="BH39" i="1"/>
  <c r="AB39" i="1" s="1"/>
  <c r="AX40" i="1"/>
  <c r="AL42" i="1"/>
  <c r="BH43" i="1"/>
  <c r="AB43" i="1" s="1"/>
  <c r="AX44" i="1"/>
  <c r="AL46" i="1"/>
  <c r="BH47" i="1"/>
  <c r="AB47" i="1" s="1"/>
  <c r="AX48" i="1"/>
  <c r="BH51" i="1"/>
  <c r="AD51" i="1" s="1"/>
  <c r="BH52" i="1"/>
  <c r="AD52" i="1" s="1"/>
  <c r="AL55" i="1"/>
  <c r="BH56" i="1"/>
  <c r="AD56" i="1" s="1"/>
  <c r="AL59" i="1"/>
  <c r="AV65" i="1"/>
  <c r="BC65" i="1"/>
  <c r="AV68" i="1"/>
  <c r="BC68" i="1"/>
  <c r="BI71" i="1"/>
  <c r="AC71" i="1" s="1"/>
  <c r="AX71" i="1"/>
  <c r="AV71" i="1" s="1"/>
  <c r="BI74" i="1"/>
  <c r="AC74" i="1" s="1"/>
  <c r="AX74" i="1"/>
  <c r="BC74" i="1" s="1"/>
  <c r="AS81" i="1"/>
  <c r="AW83" i="1"/>
  <c r="BH83" i="1"/>
  <c r="AB83" i="1" s="1"/>
  <c r="AW87" i="1"/>
  <c r="BH87" i="1"/>
  <c r="AB87" i="1" s="1"/>
  <c r="AW91" i="1"/>
  <c r="BH91" i="1"/>
  <c r="AB91" i="1" s="1"/>
  <c r="BC93" i="1"/>
  <c r="BI98" i="1"/>
  <c r="AE98" i="1" s="1"/>
  <c r="BC99" i="1"/>
  <c r="AX103" i="1"/>
  <c r="BI103" i="1"/>
  <c r="AU102" i="1"/>
  <c r="AV105" i="1"/>
  <c r="BC109" i="1"/>
  <c r="AV109" i="1"/>
  <c r="BC116" i="1"/>
  <c r="AX119" i="1"/>
  <c r="AV119" i="1" s="1"/>
  <c r="AX125" i="1"/>
  <c r="BC125" i="1" s="1"/>
  <c r="BI125" i="1"/>
  <c r="AC125" i="1" s="1"/>
  <c r="AV126" i="1"/>
  <c r="BC126" i="1"/>
  <c r="AU70" i="1"/>
  <c r="AU73" i="1"/>
  <c r="AV88" i="1"/>
  <c r="BC88" i="1"/>
  <c r="AU92" i="1"/>
  <c r="AV101" i="1"/>
  <c r="O107" i="1"/>
  <c r="BF116" i="1"/>
  <c r="O115" i="1"/>
  <c r="BH116" i="1"/>
  <c r="BC118" i="1"/>
  <c r="AV121" i="1"/>
  <c r="BH122" i="1"/>
  <c r="AB122" i="1" s="1"/>
  <c r="BH124" i="1"/>
  <c r="AB124" i="1" s="1"/>
  <c r="AV125" i="1"/>
  <c r="BH126" i="1"/>
  <c r="AB126" i="1" s="1"/>
  <c r="BH128" i="1"/>
  <c r="AB128" i="1" s="1"/>
  <c r="AV129" i="1"/>
  <c r="BH130" i="1"/>
  <c r="AB130" i="1" s="1"/>
  <c r="AW141" i="1"/>
  <c r="BH141" i="1"/>
  <c r="AD141" i="1" s="1"/>
  <c r="AS142" i="1"/>
  <c r="BF144" i="1"/>
  <c r="O142" i="1"/>
  <c r="AV85" i="1"/>
  <c r="BC104" i="1"/>
  <c r="AX133" i="1"/>
  <c r="AL141" i="1"/>
  <c r="BI149" i="1"/>
  <c r="AE149" i="1" s="1"/>
  <c r="AX149" i="1"/>
  <c r="AV149" i="1" s="1"/>
  <c r="BI154" i="1"/>
  <c r="AE154" i="1" s="1"/>
  <c r="AX154" i="1"/>
  <c r="BC154" i="1" s="1"/>
  <c r="AW156" i="1"/>
  <c r="BH156" i="1"/>
  <c r="AD156" i="1" s="1"/>
  <c r="AW143" i="1"/>
  <c r="BH143" i="1"/>
  <c r="AD143" i="1" s="1"/>
  <c r="AW144" i="1"/>
  <c r="BH144" i="1"/>
  <c r="AD144" i="1" s="1"/>
  <c r="BI146" i="1"/>
  <c r="AE146" i="1" s="1"/>
  <c r="BF158" i="1"/>
  <c r="O157" i="1"/>
  <c r="C19" i="2"/>
  <c r="AV111" i="1"/>
  <c r="AU112" i="1"/>
  <c r="AV114" i="1"/>
  <c r="AL133" i="1"/>
  <c r="AL136" i="1"/>
  <c r="BF140" i="1"/>
  <c r="O139" i="1"/>
  <c r="BI140" i="1"/>
  <c r="AE140" i="1" s="1"/>
  <c r="AX140" i="1"/>
  <c r="BI141" i="1"/>
  <c r="AE141" i="1" s="1"/>
  <c r="AX141" i="1"/>
  <c r="AX146" i="1"/>
  <c r="BC146" i="1" s="1"/>
  <c r="AT120" i="1"/>
  <c r="AW133" i="1"/>
  <c r="BH133" i="1"/>
  <c r="AB133" i="1" s="1"/>
  <c r="AW134" i="1"/>
  <c r="AT135" i="1"/>
  <c r="AL138" i="1"/>
  <c r="AL140" i="1"/>
  <c r="AL143" i="1"/>
  <c r="AU142" i="1" s="1"/>
  <c r="BI144" i="1"/>
  <c r="AE144" i="1" s="1"/>
  <c r="AX144" i="1"/>
  <c r="BI145" i="1"/>
  <c r="AE145" i="1" s="1"/>
  <c r="AW147" i="1"/>
  <c r="BH147" i="1"/>
  <c r="BF149" i="1"/>
  <c r="O148" i="1"/>
  <c r="AW150" i="1"/>
  <c r="BH150" i="1"/>
  <c r="AD150" i="1" s="1"/>
  <c r="AV152" i="1"/>
  <c r="BC152" i="1"/>
  <c r="BH152" i="1"/>
  <c r="AD152" i="1" s="1"/>
  <c r="BH154" i="1"/>
  <c r="AD154" i="1" s="1"/>
  <c r="AL132" i="1"/>
  <c r="F29" i="3"/>
  <c r="BC78" i="1" l="1"/>
  <c r="BC24" i="1"/>
  <c r="AV151" i="1"/>
  <c r="AU38" i="1"/>
  <c r="C16" i="2"/>
  <c r="BC149" i="1"/>
  <c r="AV97" i="1"/>
  <c r="AV131" i="1"/>
  <c r="AV127" i="1"/>
  <c r="AV123" i="1"/>
  <c r="AV69" i="1"/>
  <c r="BC121" i="1"/>
  <c r="C17" i="2"/>
  <c r="BC89" i="1"/>
  <c r="AU13" i="1"/>
  <c r="BC34" i="1"/>
  <c r="AV146" i="1"/>
  <c r="AU139" i="1"/>
  <c r="AV75" i="1"/>
  <c r="AU54" i="1"/>
  <c r="C14" i="2"/>
  <c r="AV74" i="1"/>
  <c r="BC45" i="1"/>
  <c r="AV80" i="1"/>
  <c r="BC80" i="1"/>
  <c r="AV57" i="1"/>
  <c r="BC57" i="1"/>
  <c r="AV154" i="1"/>
  <c r="BC141" i="1"/>
  <c r="AV141" i="1"/>
  <c r="BC94" i="1"/>
  <c r="BC63" i="1"/>
  <c r="AV23" i="1"/>
  <c r="BC23" i="1"/>
  <c r="AV147" i="1"/>
  <c r="BC147" i="1"/>
  <c r="BC134" i="1"/>
  <c r="AV134" i="1"/>
  <c r="BC140" i="1"/>
  <c r="AV140" i="1"/>
  <c r="AV156" i="1"/>
  <c r="BC156" i="1"/>
  <c r="BC84" i="1"/>
  <c r="AU22" i="1"/>
  <c r="AV136" i="1"/>
  <c r="BC136" i="1"/>
  <c r="AV40" i="1"/>
  <c r="BC40" i="1"/>
  <c r="AV20" i="1"/>
  <c r="BC20" i="1"/>
  <c r="AV145" i="1"/>
  <c r="BC145" i="1"/>
  <c r="BC119" i="1"/>
  <c r="BC71" i="1"/>
  <c r="AV48" i="1"/>
  <c r="BC48" i="1"/>
  <c r="AV44" i="1"/>
  <c r="BC44" i="1"/>
  <c r="AV53" i="1"/>
  <c r="AV133" i="1"/>
  <c r="BC133" i="1"/>
  <c r="AV87" i="1"/>
  <c r="BC87" i="1"/>
  <c r="AU30" i="1"/>
  <c r="AV144" i="1"/>
  <c r="BC144" i="1"/>
  <c r="O106" i="1"/>
  <c r="AV91" i="1"/>
  <c r="BC91" i="1"/>
  <c r="AV103" i="1"/>
  <c r="BC103" i="1"/>
  <c r="AV132" i="1"/>
  <c r="BC132" i="1"/>
  <c r="AV17" i="1"/>
  <c r="BC17" i="1"/>
  <c r="AV150" i="1"/>
  <c r="BC150" i="1"/>
  <c r="C29" i="2"/>
  <c r="F29" i="2" s="1"/>
  <c r="AU120" i="1"/>
  <c r="AU135" i="1"/>
  <c r="AV143" i="1"/>
  <c r="BC143" i="1"/>
  <c r="AV72" i="1"/>
  <c r="AV83" i="1"/>
  <c r="BC83" i="1"/>
  <c r="O12" i="1"/>
  <c r="AU50" i="1"/>
  <c r="AU18" i="1"/>
  <c r="BC159" i="1"/>
  <c r="AV159" i="1"/>
  <c r="AV158" i="1"/>
  <c r="BC158" i="1"/>
  <c r="BC41" i="1"/>
  <c r="C15" i="2"/>
  <c r="C22" i="2" s="1"/>
  <c r="BC21" i="1"/>
  <c r="BC14" i="1"/>
  <c r="BC49" i="1"/>
  <c r="AV95" i="1"/>
  <c r="BC95" i="1"/>
  <c r="AV37" i="1"/>
  <c r="BC37" i="1"/>
  <c r="AV66" i="1"/>
  <c r="BC66" i="1"/>
  <c r="AV33" i="1"/>
  <c r="BC33" i="1"/>
  <c r="I28" i="2" l="1"/>
  <c r="I29" i="2" s="1"/>
</calcChain>
</file>

<file path=xl/sharedStrings.xml><?xml version="1.0" encoding="utf-8"?>
<sst xmlns="http://schemas.openxmlformats.org/spreadsheetml/2006/main" count="1766" uniqueCount="437">
  <si>
    <t>Stavební rozpočet</t>
  </si>
  <si>
    <t>Název stavby:</t>
  </si>
  <si>
    <t>Snížení energetické náročnosti výrobního objektu</t>
  </si>
  <si>
    <t>Doba výstavby:</t>
  </si>
  <si>
    <t xml:space="preserve"> </t>
  </si>
  <si>
    <t>Objednatel:</t>
  </si>
  <si>
    <t>Aleš Kastl, dřevovýroba</t>
  </si>
  <si>
    <t>Druh stavby:</t>
  </si>
  <si>
    <t>Zateplení objektů firmy Kastl</t>
  </si>
  <si>
    <t>Začátek výstavby:</t>
  </si>
  <si>
    <t>Projektant:</t>
  </si>
  <si>
    <t>Voldan s.r.o.</t>
  </si>
  <si>
    <t>Lokalita:</t>
  </si>
  <si>
    <t>Nový Kostel</t>
  </si>
  <si>
    <t>Konec výstavby:</t>
  </si>
  <si>
    <t>Zhotovitel:</t>
  </si>
  <si>
    <t>bude vybrán ve výběrovém řízen</t>
  </si>
  <si>
    <t>JKSO:</t>
  </si>
  <si>
    <t>801</t>
  </si>
  <si>
    <t>Zpracováno dne:</t>
  </si>
  <si>
    <t>Zpracoval:</t>
  </si>
  <si>
    <t> </t>
  </si>
  <si>
    <t>Č</t>
  </si>
  <si>
    <t>Objekt</t>
  </si>
  <si>
    <t>Kód</t>
  </si>
  <si>
    <t>Zkrácený popis</t>
  </si>
  <si>
    <t>MJ</t>
  </si>
  <si>
    <t>Množství</t>
  </si>
  <si>
    <t>Cena/MJ</t>
  </si>
  <si>
    <t>Sazba DPH</t>
  </si>
  <si>
    <t>Náklady (Kč)</t>
  </si>
  <si>
    <t>Hmotnost (t)</t>
  </si>
  <si>
    <t>Cenová</t>
  </si>
  <si>
    <t>ISWORK</t>
  </si>
  <si>
    <t>GROUPCODE</t>
  </si>
  <si>
    <t>VATTAX</t>
  </si>
  <si>
    <t>Rozměry</t>
  </si>
  <si>
    <t>(Kč)</t>
  </si>
  <si>
    <t>Dodávka</t>
  </si>
  <si>
    <t>Montáž</t>
  </si>
  <si>
    <t>Celkem</t>
  </si>
  <si>
    <t>Celkem vč. DPH</t>
  </si>
  <si>
    <t>Jednot.</t>
  </si>
  <si>
    <t>soustava</t>
  </si>
  <si>
    <t>Přesuny</t>
  </si>
  <si>
    <t>Typ skupiny</t>
  </si>
  <si>
    <t>HSV mat</t>
  </si>
  <si>
    <t>HSV prac</t>
  </si>
  <si>
    <t>PSV mat</t>
  </si>
  <si>
    <t>PSV prac</t>
  </si>
  <si>
    <t>Mont mat</t>
  </si>
  <si>
    <t>Mont prac</t>
  </si>
  <si>
    <t>Ostatní mat.</t>
  </si>
  <si>
    <t>MAT</t>
  </si>
  <si>
    <t>WORK</t>
  </si>
  <si>
    <t>CELK</t>
  </si>
  <si>
    <t/>
  </si>
  <si>
    <t>01</t>
  </si>
  <si>
    <t>objekt na p.č. 261 - doprava</t>
  </si>
  <si>
    <t>94</t>
  </si>
  <si>
    <t>Lešení a stavební výtahy</t>
  </si>
  <si>
    <t>1</t>
  </si>
  <si>
    <t>941941851R00</t>
  </si>
  <si>
    <t>Demontáž lešení leh.řad.s podlahami,š.1,5 m,H 10 m</t>
  </si>
  <si>
    <t>m2</t>
  </si>
  <si>
    <t>94_</t>
  </si>
  <si>
    <t>01_9_</t>
  </si>
  <si>
    <t>01_</t>
  </si>
  <si>
    <t>2</t>
  </si>
  <si>
    <t>941941191RT3</t>
  </si>
  <si>
    <t>Příplatek za každý měsíc použití lešení k pol.1031 (2 měsíce)</t>
  </si>
  <si>
    <t>3</t>
  </si>
  <si>
    <t>941941051R00</t>
  </si>
  <si>
    <t>Montáž lešení leh.řad.s podlahami,š.1,5 m, H 10 m</t>
  </si>
  <si>
    <t>4</t>
  </si>
  <si>
    <t>941941500R00</t>
  </si>
  <si>
    <t>Dovoz a odvoz 500 - 1000 m2 pro pronajatá lešení</t>
  </si>
  <si>
    <t>km</t>
  </si>
  <si>
    <t>95</t>
  </si>
  <si>
    <t>Různé dokončovací konstrukce a práce na pozemních stavbách</t>
  </si>
  <si>
    <t>5</t>
  </si>
  <si>
    <t>953941211R00</t>
  </si>
  <si>
    <t>Osazování drobných předmětů a držáků pro osvětlení a kamery apod.</t>
  </si>
  <si>
    <t>kus</t>
  </si>
  <si>
    <t>95_</t>
  </si>
  <si>
    <t>6</t>
  </si>
  <si>
    <t>953981101R00</t>
  </si>
  <si>
    <t>Chemické kotvy do betonu, hl. 80 mm, M 8, ampule</t>
  </si>
  <si>
    <t>7</t>
  </si>
  <si>
    <t>966077111R00</t>
  </si>
  <si>
    <t>Demontáž doplňkových konstrukcí do 20 kg</t>
  </si>
  <si>
    <t>97</t>
  </si>
  <si>
    <t>Prorážení otvorů a ostatní bourací práce</t>
  </si>
  <si>
    <t>8</t>
  </si>
  <si>
    <t>978500020RA0</t>
  </si>
  <si>
    <t>Odsekání vnějších obkladů - sokl</t>
  </si>
  <si>
    <t>97_</t>
  </si>
  <si>
    <t>9</t>
  </si>
  <si>
    <t>974054723R00</t>
  </si>
  <si>
    <t>Dodatečné vyřezání otvoru v SDK podhledu pl.1 m2</t>
  </si>
  <si>
    <t>H01</t>
  </si>
  <si>
    <t>Budovy občanské výstavby</t>
  </si>
  <si>
    <t>10</t>
  </si>
  <si>
    <t>998011002R00</t>
  </si>
  <si>
    <t>Přesun hmot pro budovy zděné výšky do 12 m</t>
  </si>
  <si>
    <t>t</t>
  </si>
  <si>
    <t>H01_</t>
  </si>
  <si>
    <t>M21</t>
  </si>
  <si>
    <t>Elektromontáže</t>
  </si>
  <si>
    <t>11</t>
  </si>
  <si>
    <t>210200020RA0</t>
  </si>
  <si>
    <t>Hromosvod - montáž svislých svodů hromosvodu vč. držáků</t>
  </si>
  <si>
    <t>m</t>
  </si>
  <si>
    <t>M21_</t>
  </si>
  <si>
    <t>12</t>
  </si>
  <si>
    <t>650811112R00</t>
  </si>
  <si>
    <t>Demontáž vodiče svodového do D 10 mm vč. podpěr</t>
  </si>
  <si>
    <t>M65</t>
  </si>
  <si>
    <t>Elektroinstalace</t>
  </si>
  <si>
    <t>13</t>
  </si>
  <si>
    <t>650711111R00</t>
  </si>
  <si>
    <t>Demontáž kabelového žlabu / lávky do š. 300 mm</t>
  </si>
  <si>
    <t>M65_</t>
  </si>
  <si>
    <t>14</t>
  </si>
  <si>
    <t>650711121R00</t>
  </si>
  <si>
    <t>Demontáž víka kabelového žlabu / lávky</t>
  </si>
  <si>
    <t>15</t>
  </si>
  <si>
    <t>650011372R00</t>
  </si>
  <si>
    <t>Montáž víka kabelového žlabu šířky do 300 mm</t>
  </si>
  <si>
    <t>16</t>
  </si>
  <si>
    <t>650011312R00</t>
  </si>
  <si>
    <t>Montáž žlabu kabelového děrovaného šířky do 300 mm</t>
  </si>
  <si>
    <t>17</t>
  </si>
  <si>
    <t>650022111R00</t>
  </si>
  <si>
    <t>Montáž nástěnné konzoly pro kabelový žlab / lávku</t>
  </si>
  <si>
    <t>18</t>
  </si>
  <si>
    <t>650135669R00</t>
  </si>
  <si>
    <t>Uložení kabelu Al 3 x 240 mm2 volně</t>
  </si>
  <si>
    <t>19</t>
  </si>
  <si>
    <t>650021121R00</t>
  </si>
  <si>
    <t>Montáž konzoly a háku jednoduchého - provizorní vyvěšení kabelů</t>
  </si>
  <si>
    <t>62</t>
  </si>
  <si>
    <t>Úprava povrchů vnější</t>
  </si>
  <si>
    <t>20</t>
  </si>
  <si>
    <t>622904112R00</t>
  </si>
  <si>
    <t>Očištění fasád tlakovou vodou složitost 1 - 2</t>
  </si>
  <si>
    <t>62_</t>
  </si>
  <si>
    <t>01_6_</t>
  </si>
  <si>
    <t>21</t>
  </si>
  <si>
    <t>620991121R00</t>
  </si>
  <si>
    <t>Zakrývání výplní vnějších otvorů z lešení</t>
  </si>
  <si>
    <t>22</t>
  </si>
  <si>
    <t>622311023R00</t>
  </si>
  <si>
    <t>Soklová lišta plast tl. 120 mm</t>
  </si>
  <si>
    <t>23</t>
  </si>
  <si>
    <t>622421492R00</t>
  </si>
  <si>
    <t>Doplňky zatepl. systémů, okenní lišta s tkaninou</t>
  </si>
  <si>
    <t>24</t>
  </si>
  <si>
    <t>622311135RT5</t>
  </si>
  <si>
    <t>Zateplovací systém, fasáda, EPS F tl.160 mm</t>
  </si>
  <si>
    <t>25</t>
  </si>
  <si>
    <t>622312124RU1</t>
  </si>
  <si>
    <t>Zateplovací systém, sokl, EPS P tl. 140 mm</t>
  </si>
  <si>
    <t>26</t>
  </si>
  <si>
    <t>622319015R00</t>
  </si>
  <si>
    <t>Soklová lišta hliník tl. 160 mm</t>
  </si>
  <si>
    <t>27</t>
  </si>
  <si>
    <t>622311132RT6</t>
  </si>
  <si>
    <t>Zateplovací systém, vnitřní stěna, EPS F tl.100 mm</t>
  </si>
  <si>
    <t>28</t>
  </si>
  <si>
    <t>342172110R00</t>
  </si>
  <si>
    <t>Montáž PUR panelů k oc.prof.,zateplení vrat.,TF/TC,tl.40 mm</t>
  </si>
  <si>
    <t>29</t>
  </si>
  <si>
    <t>283769652</t>
  </si>
  <si>
    <t>Deska izolační PIR, Puren FAL tl. 40 mm</t>
  </si>
  <si>
    <t>30</t>
  </si>
  <si>
    <t>622319554RV1</t>
  </si>
  <si>
    <t>Zateplovací systém, ostění, nadpraží, XPS 40 mm</t>
  </si>
  <si>
    <t>713</t>
  </si>
  <si>
    <t>Izolace tepelné</t>
  </si>
  <si>
    <t>31</t>
  </si>
  <si>
    <t>765901119R00</t>
  </si>
  <si>
    <t>Fólie paropropustné folie,krokve</t>
  </si>
  <si>
    <t>713_</t>
  </si>
  <si>
    <t>01_71_</t>
  </si>
  <si>
    <t>32</t>
  </si>
  <si>
    <t>713111130RV8</t>
  </si>
  <si>
    <t>Izolace tepelné stropů, vložená mezi krokve</t>
  </si>
  <si>
    <t>33</t>
  </si>
  <si>
    <t>998713102R00</t>
  </si>
  <si>
    <t>Přesun hmot pro izolace tepelné, výšky do 12 m</t>
  </si>
  <si>
    <t>764</t>
  </si>
  <si>
    <t>Konstrukce klempířské</t>
  </si>
  <si>
    <t>34</t>
  </si>
  <si>
    <t>764908304R00</t>
  </si>
  <si>
    <t>poplast. hliník, oplechování parapetů, rš 400 mm</t>
  </si>
  <si>
    <t>764_</t>
  </si>
  <si>
    <t>01_76_</t>
  </si>
  <si>
    <t>35</t>
  </si>
  <si>
    <t>764900050RAA</t>
  </si>
  <si>
    <t>Demontáž oplechování parapetů</t>
  </si>
  <si>
    <t>36</t>
  </si>
  <si>
    <t>764908302RT3</t>
  </si>
  <si>
    <t>Lindab, oplechování parapetů, rš 250 mm</t>
  </si>
  <si>
    <t>37</t>
  </si>
  <si>
    <t>764454291R00</t>
  </si>
  <si>
    <t>Montáž trub Pz odpadních kruhových</t>
  </si>
  <si>
    <t>38</t>
  </si>
  <si>
    <t>764454803R00</t>
  </si>
  <si>
    <t>Demontáž odpadních trub kruhových,D 150 mm</t>
  </si>
  <si>
    <t>39</t>
  </si>
  <si>
    <t>998764102R00</t>
  </si>
  <si>
    <t>Přesun hmot pro klempířské konstr., výšky do 12 m</t>
  </si>
  <si>
    <t>02</t>
  </si>
  <si>
    <t>objekt na p.č. 192/3 - vrátnice</t>
  </si>
  <si>
    <t>40</t>
  </si>
  <si>
    <t>02_9_</t>
  </si>
  <si>
    <t>02_</t>
  </si>
  <si>
    <t>41</t>
  </si>
  <si>
    <t>42</t>
  </si>
  <si>
    <t>43</t>
  </si>
  <si>
    <t>44</t>
  </si>
  <si>
    <t>45</t>
  </si>
  <si>
    <t>96</t>
  </si>
  <si>
    <t>Bourání konstrukcí</t>
  </si>
  <si>
    <t>46</t>
  </si>
  <si>
    <t>968072559R00</t>
  </si>
  <si>
    <t>Vybourání kovových vrat plochy nad 5 m2</t>
  </si>
  <si>
    <t>96_</t>
  </si>
  <si>
    <t>47</t>
  </si>
  <si>
    <t>962200041RAB</t>
  </si>
  <si>
    <t>Bourání okna ze sklobetonu</t>
  </si>
  <si>
    <t>48</t>
  </si>
  <si>
    <t>979100011RA0</t>
  </si>
  <si>
    <t>Odvoz suti a vyb.hmot do 10 km, vnitrost. 15 m</t>
  </si>
  <si>
    <t>49</t>
  </si>
  <si>
    <t>50</t>
  </si>
  <si>
    <t>51</t>
  </si>
  <si>
    <t>S</t>
  </si>
  <si>
    <t>Přesuny sutí</t>
  </si>
  <si>
    <t>52</t>
  </si>
  <si>
    <t>979990109R00</t>
  </si>
  <si>
    <t>Poplatek za skládku suti - skleněné tvárnice</t>
  </si>
  <si>
    <t>S_</t>
  </si>
  <si>
    <t>53</t>
  </si>
  <si>
    <t>02_6_</t>
  </si>
  <si>
    <t>54</t>
  </si>
  <si>
    <t>55</t>
  </si>
  <si>
    <t>622421494R00</t>
  </si>
  <si>
    <t>Doplňky zatepl. systémů, podparapetní lišta s tkaninou</t>
  </si>
  <si>
    <t>56</t>
  </si>
  <si>
    <t>57</t>
  </si>
  <si>
    <t>58</t>
  </si>
  <si>
    <t>59</t>
  </si>
  <si>
    <t>60</t>
  </si>
  <si>
    <t>61</t>
  </si>
  <si>
    <t>766670012RAA</t>
  </si>
  <si>
    <t>Okno plastové jednokřídlové typové plochy 2,7 m2</t>
  </si>
  <si>
    <t>63</t>
  </si>
  <si>
    <t>Fólie paropropust.,krokve</t>
  </si>
  <si>
    <t>02_71_</t>
  </si>
  <si>
    <t>64</t>
  </si>
  <si>
    <t>65</t>
  </si>
  <si>
    <t>66</t>
  </si>
  <si>
    <t>oplechování parapetů, rš 400 mm</t>
  </si>
  <si>
    <t>02_76_</t>
  </si>
  <si>
    <t>67</t>
  </si>
  <si>
    <t>68</t>
  </si>
  <si>
    <t>69</t>
  </si>
  <si>
    <t>70</t>
  </si>
  <si>
    <t>M</t>
  </si>
  <si>
    <t>Ostatní materiál</t>
  </si>
  <si>
    <t>71</t>
  </si>
  <si>
    <t>611563</t>
  </si>
  <si>
    <t>Sekční vrata  - 2550*2600, el.pohon, hnědá RAL 8014</t>
  </si>
  <si>
    <t>0</t>
  </si>
  <si>
    <t>Z99999_</t>
  </si>
  <si>
    <t>02_Z_</t>
  </si>
  <si>
    <t>72</t>
  </si>
  <si>
    <t>611562</t>
  </si>
  <si>
    <t>Sekční vrata  5000*2320, elektropohon, barva hnědá RAL 8014</t>
  </si>
  <si>
    <t>73</t>
  </si>
  <si>
    <t>611561</t>
  </si>
  <si>
    <t>Sekční vrata  - 4050*2600, elektropohon, hnědá RAL 8014</t>
  </si>
  <si>
    <t>03</t>
  </si>
  <si>
    <t>objekt na p.č. 192/1 - správní budova</t>
  </si>
  <si>
    <t>74</t>
  </si>
  <si>
    <t>03_9_</t>
  </si>
  <si>
    <t>03_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</si>
  <si>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</si>
  <si>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</si>
  <si>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</si>
  <si>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</si>
  <si>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</si>
  <si>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</si>
  <si>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</si>
  <si>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</si>
  <si>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</si>
  <si>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03_6_</t>
  </si>
  <si>
    <t>84</t>
  </si>
  <si>
    <t>85</t>
  </si>
  <si>
    <t>86</t>
  </si>
  <si>
    <t>87</t>
  </si>
  <si>
    <t>88</t>
  </si>
  <si>
    <t>Zateplovací systém fasáda, EPS F tl.160 mm</t>
  </si>
  <si>
    <t>89</t>
  </si>
  <si>
    <t>90</t>
  </si>
  <si>
    <t>Montáž Pur panelů k oc.prof.,zateplení vrat.,TF/TC,tl.40 mm</t>
  </si>
  <si>
    <t>91</t>
  </si>
  <si>
    <t>622451132R00</t>
  </si>
  <si>
    <t>Omítka vnější stěn, MC, hladká, složitost 3 - sokl</t>
  </si>
  <si>
    <t>92</t>
  </si>
  <si>
    <t>622326135RV1</t>
  </si>
  <si>
    <t>Zatepl. systém soklu, tl.160 mm</t>
  </si>
  <si>
    <t>93</t>
  </si>
  <si>
    <t>622432111R00</t>
  </si>
  <si>
    <t>Omítka stěn weber-pas marmolit jemnozrnná</t>
  </si>
  <si>
    <t>Soklová lišta tl. 160 mm</t>
  </si>
  <si>
    <t>Zatepl.systém, ostění, XPS 40 mm</t>
  </si>
  <si>
    <t>283765981</t>
  </si>
  <si>
    <t>Deska izolační PIR 40 mm</t>
  </si>
  <si>
    <t>03_71_</t>
  </si>
  <si>
    <t>98</t>
  </si>
  <si>
    <t>713111111RV9</t>
  </si>
  <si>
    <t>Montáž tepelné izolace stropů vrchem kladené, volně</t>
  </si>
  <si>
    <t>99</t>
  </si>
  <si>
    <t>762</t>
  </si>
  <si>
    <t>Konstrukce tesařské</t>
  </si>
  <si>
    <t>100</t>
  </si>
  <si>
    <t>762341811R00</t>
  </si>
  <si>
    <t>Demontáž bednění střech rovných z prken hrubých</t>
  </si>
  <si>
    <t>762_</t>
  </si>
  <si>
    <t>03_76_</t>
  </si>
  <si>
    <t>101</t>
  </si>
  <si>
    <t>762341210RT3</t>
  </si>
  <si>
    <t>Montáž bednění střech rovných, prkna hrubá na sraz</t>
  </si>
  <si>
    <t>102</t>
  </si>
  <si>
    <t>103</t>
  </si>
  <si>
    <t>104</t>
  </si>
  <si>
    <t>105</t>
  </si>
  <si>
    <t>106</t>
  </si>
  <si>
    <t>765</t>
  </si>
  <si>
    <t>Krytina tvrdá</t>
  </si>
  <si>
    <t>107</t>
  </si>
  <si>
    <t>765361810R00</t>
  </si>
  <si>
    <t>Demontáž šindelové krytiny, do suti</t>
  </si>
  <si>
    <t>765_</t>
  </si>
  <si>
    <t>108</t>
  </si>
  <si>
    <t>765559121R00</t>
  </si>
  <si>
    <t>Montáž krytiny,dřevěný šindel,rovný,P+D,dvoj.krytí</t>
  </si>
  <si>
    <t>109</t>
  </si>
  <si>
    <t>765901185R00</t>
  </si>
  <si>
    <t>Fólie podstřešní vodotěsná</t>
  </si>
  <si>
    <t>Fólie podstřešní vodotěsná JUTADREN AP</t>
  </si>
  <si>
    <t>110</t>
  </si>
  <si>
    <t>283500851</t>
  </si>
  <si>
    <t>Krytina plastová šablona</t>
  </si>
  <si>
    <t>Krytina plastová šablona EUREKO DDS II tl. 18 mm hnědá</t>
  </si>
  <si>
    <t>766</t>
  </si>
  <si>
    <t>Konstrukce truhlářské</t>
  </si>
  <si>
    <t>111</t>
  </si>
  <si>
    <t>766411821R00</t>
  </si>
  <si>
    <t>Demontáž obložení stěn palubkami - štít</t>
  </si>
  <si>
    <t>766_</t>
  </si>
  <si>
    <t>781</t>
  </si>
  <si>
    <t>Obklady (keramické)</t>
  </si>
  <si>
    <t>112</t>
  </si>
  <si>
    <t>781900020RA0</t>
  </si>
  <si>
    <t>Odsekání obkladů vnějších - sokl</t>
  </si>
  <si>
    <t>781_</t>
  </si>
  <si>
    <t>03_78_</t>
  </si>
  <si>
    <t>784</t>
  </si>
  <si>
    <t>Malby</t>
  </si>
  <si>
    <t>113</t>
  </si>
  <si>
    <t>784241101R00</t>
  </si>
  <si>
    <t>Penetrace podkladu - sokl</t>
  </si>
  <si>
    <t>784_</t>
  </si>
  <si>
    <t>114</t>
  </si>
  <si>
    <t>Penetrace podkladu - fasáda</t>
  </si>
  <si>
    <t>;</t>
  </si>
  <si>
    <t>Krycí list rozpočtu</t>
  </si>
  <si>
    <t>IČO/DIČ:</t>
  </si>
  <si>
    <t>Položek:</t>
  </si>
  <si>
    <t>Datum:</t>
  </si>
  <si>
    <t>Rozpočtové náklady v Kč</t>
  </si>
  <si>
    <t>A</t>
  </si>
  <si>
    <t>Základní rozpočtové náklady</t>
  </si>
  <si>
    <t>B</t>
  </si>
  <si>
    <t>Doplňkové náklady</t>
  </si>
  <si>
    <t>C</t>
  </si>
  <si>
    <t>Náklady na umístění stavby (NUS)</t>
  </si>
  <si>
    <t>HSV</t>
  </si>
  <si>
    <t>Dodávky</t>
  </si>
  <si>
    <t>Práce přesčas</t>
  </si>
  <si>
    <t>Zařízení staveniště</t>
  </si>
  <si>
    <t>Bez pevné podl.</t>
  </si>
  <si>
    <t>Mimostav. doprava</t>
  </si>
  <si>
    <t>PSV</t>
  </si>
  <si>
    <t>Kulturní památka</t>
  </si>
  <si>
    <t>Územní vlivy</t>
  </si>
  <si>
    <t>Provozní vlivy</t>
  </si>
  <si>
    <t>"M"</t>
  </si>
  <si>
    <t>Ostatní</t>
  </si>
  <si>
    <t>NUS z rozpočtu</t>
  </si>
  <si>
    <t>Přesun hmot a sutí</t>
  </si>
  <si>
    <t>ZRN celkem</t>
  </si>
  <si>
    <t>DN celkem</t>
  </si>
  <si>
    <t>NUS celkem</t>
  </si>
  <si>
    <t>DN celkem z obj.</t>
  </si>
  <si>
    <t>NUS celkem z obj.</t>
  </si>
  <si>
    <t>VORN celkem</t>
  </si>
  <si>
    <t>VORN celkem z obj.</t>
  </si>
  <si>
    <t>Základ 0%</t>
  </si>
  <si>
    <t>Základ 12%</t>
  </si>
  <si>
    <t>DPH 12%</t>
  </si>
  <si>
    <t>Celkem bez DPH</t>
  </si>
  <si>
    <t>Základ 21%</t>
  </si>
  <si>
    <t>DPH 21%</t>
  </si>
  <si>
    <t>Celkem včetně DPH</t>
  </si>
  <si>
    <t>Projektant</t>
  </si>
  <si>
    <t>Objednatel</t>
  </si>
  <si>
    <t>Zhotovitel</t>
  </si>
  <si>
    <t>Datum, razítko a podpis</t>
  </si>
  <si>
    <t>Poznámka:</t>
  </si>
  <si>
    <t>Rozpočet obsahuje kompletní dodávku a montáž zateplovacího kontaktního fasádního systému BAUMIT pro budovu občanské výstavby do 12 m výšky, s použitím lehkého řadového lešení (dovoz, montáž a demontáž, odvoz lešení). Jako izolační materiál jsou použity desky z EPS 70F tl. 160 mm, jako povrchová úprava pak silikonová barevná omítka- viz komentář RTS. Pro názornost jsou uvedeny jako doplňky zateplovacího systému i klempířské prvky, které se instalují v rámci zateplování fasády. V případě zateplování fasády stávajícího objektu (kdy se nejedná o novostavbu), je nutno zrozpočtovat rovněž demontáž (výměnu) klempířských prvků podle specifikace v PD. Zateplení a povrchová úprava soklu stavebního objektu cca do výšky 0,5 m se provádí jinými materiály (extrudovaný PST popř. perimetr+marmolitová stěrka, popř. keramický obklad) a není předmětem tohoto rozpočtu.</t>
  </si>
  <si>
    <t>Vedlejší a ostatní rozpočtové náklady</t>
  </si>
  <si>
    <t>Vedlejší rozpočtové náklady VRN</t>
  </si>
  <si>
    <t>Doplňkové náklady DN</t>
  </si>
  <si>
    <t>Kč</t>
  </si>
  <si>
    <t>%</t>
  </si>
  <si>
    <t>Základna</t>
  </si>
  <si>
    <t>Celkem DN</t>
  </si>
  <si>
    <t>Celkem NUS</t>
  </si>
  <si>
    <t>Celkem VRN</t>
  </si>
  <si>
    <t>Ostatní rozpočtové náklady ORN</t>
  </si>
  <si>
    <t>Ostatní rozpočtové náklady (ORN)</t>
  </si>
  <si>
    <t>Celkem ORN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</si>
</sst>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name val="Calibri"/>
      <charset val="1"/>
    </font>
    <font>
      <sz val="18"/>
      <color rgb="FF000000"/>
      <name val="Arial"/>
      <charset val="238"/>
    </font>
    <font>
      <b/>
      <sz val="10"/>
      <color rgb="FF000000"/>
      <name val="Arial"/>
      <charset val="238"/>
    </font>
    <font>
      <sz val="10"/>
      <color rgb="FF000000"/>
      <name val="Arial"/>
      <charset val="238"/>
    </font>
    <font>
      <i/>
      <sz val="8"/>
      <color rgb="FF000000"/>
      <name val="Arial"/>
      <charset val="238"/>
    </font>
    <font>
      <b/>
      <sz val="18"/>
      <color rgb="FF000000"/>
      <name val="Arial"/>
      <charset val="238"/>
    </font>
    <font>
      <b/>
      <sz val="20"/>
      <color rgb="FF000000"/>
      <name val="Arial"/>
      <charset val="238"/>
    </font>
    <font>
      <b/>
      <sz val="11"/>
      <color rgb="FF000000"/>
      <name val="Arial"/>
      <charset val="238"/>
    </font>
    <font>
      <b/>
      <sz val="12"/>
      <color rgb="FF000000"/>
      <name val="Arial"/>
      <charset val="238"/>
    </font>
    <font>
      <sz val="12"/>
      <color rgb="FF000000"/>
      <name val="Arial"/>
      <charset val="238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</fills>
  <borders count="3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124">
    <xf numFmtId="0" fontId="0" fillId="0" borderId="0" xfId="0"/>
    <xf numFmtId="4" fontId="2" fillId="2" borderId="0" xfId="0" applyNumberFormat="1" applyFont="1" applyFill="1" applyAlignment="1">
      <alignment horizontal="right" vertical="center"/>
    </xf>
    <xf numFmtId="0" fontId="3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left" vertical="center"/>
    </xf>
    <xf numFmtId="0" fontId="2" fillId="0" borderId="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2" borderId="0" xfId="0" applyFont="1" applyFill="1" applyAlignment="1">
      <alignment horizontal="right" vertical="center"/>
    </xf>
    <xf numFmtId="0" fontId="2" fillId="0" borderId="0" xfId="0" applyFont="1" applyAlignment="1">
      <alignment horizontal="right" vertical="center"/>
    </xf>
    <xf numFmtId="4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8" fillId="0" borderId="14" xfId="0" applyFont="1" applyBorder="1" applyAlignment="1">
      <alignment horizontal="left" vertical="center"/>
    </xf>
    <xf numFmtId="0" fontId="8" fillId="0" borderId="16" xfId="0" applyFont="1" applyBorder="1" applyAlignment="1">
      <alignment horizontal="left" vertical="center"/>
    </xf>
    <xf numFmtId="4" fontId="9" fillId="0" borderId="13" xfId="0" applyNumberFormat="1" applyFont="1" applyBorder="1" applyAlignment="1">
      <alignment horizontal="right" vertical="center"/>
    </xf>
    <xf numFmtId="4" fontId="9" fillId="0" borderId="11" xfId="0" applyNumberFormat="1" applyFont="1" applyBorder="1" applyAlignment="1">
      <alignment horizontal="right" vertical="center"/>
    </xf>
    <xf numFmtId="4" fontId="8" fillId="2" borderId="15" xfId="0" applyNumberFormat="1" applyFont="1" applyFill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4" fontId="3" fillId="0" borderId="31" xfId="0" applyNumberFormat="1" applyFont="1" applyBorder="1" applyAlignment="1">
      <alignment horizontal="right" vertical="center"/>
    </xf>
    <xf numFmtId="0" fontId="3" fillId="0" borderId="31" xfId="0" applyFont="1" applyBorder="1" applyAlignment="1">
      <alignment horizontal="left" vertical="center"/>
    </xf>
    <xf numFmtId="0" fontId="2" fillId="0" borderId="33" xfId="0" applyFont="1" applyBorder="1" applyAlignment="1">
      <alignment horizontal="left" vertical="center"/>
    </xf>
    <xf numFmtId="0" fontId="2" fillId="0" borderId="33" xfId="0" applyFont="1" applyBorder="1" applyAlignment="1">
      <alignment horizontal="right" vertical="center"/>
    </xf>
    <xf numFmtId="4" fontId="2" fillId="0" borderId="33" xfId="0" applyNumberFormat="1" applyFont="1" applyBorder="1" applyAlignment="1">
      <alignment horizontal="right" vertical="center"/>
    </xf>
    <xf numFmtId="0" fontId="3" fillId="0" borderId="29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9" fillId="0" borderId="15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2" fillId="0" borderId="30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3" fillId="2" borderId="35" xfId="0" applyFont="1" applyFill="1" applyBorder="1" applyAlignment="1">
      <alignment horizontal="left" vertical="center"/>
    </xf>
    <xf numFmtId="0" fontId="2" fillId="2" borderId="35" xfId="0" applyFont="1" applyFill="1" applyBorder="1" applyAlignment="1">
      <alignment horizontal="left" vertical="center"/>
    </xf>
    <xf numFmtId="4" fontId="2" fillId="2" borderId="35" xfId="0" applyNumberFormat="1" applyFont="1" applyFill="1" applyBorder="1" applyAlignment="1">
      <alignment horizontal="right" vertical="center"/>
    </xf>
    <xf numFmtId="0" fontId="2" fillId="2" borderId="35" xfId="0" applyFont="1" applyFill="1" applyBorder="1" applyAlignment="1">
      <alignment horizontal="right" vertical="center"/>
    </xf>
    <xf numFmtId="0" fontId="3" fillId="0" borderId="35" xfId="0" applyFont="1" applyBorder="1" applyAlignment="1">
      <alignment horizontal="left" vertical="center"/>
    </xf>
    <xf numFmtId="4" fontId="3" fillId="0" borderId="35" xfId="0" applyNumberFormat="1" applyFont="1" applyBorder="1" applyAlignment="1">
      <alignment horizontal="right" vertical="center"/>
    </xf>
    <xf numFmtId="1" fontId="3" fillId="0" borderId="35" xfId="0" applyNumberFormat="1" applyFont="1" applyBorder="1" applyAlignment="1">
      <alignment horizontal="right" vertical="center"/>
    </xf>
    <xf numFmtId="0" fontId="3" fillId="0" borderId="35" xfId="0" applyFont="1" applyBorder="1" applyAlignment="1">
      <alignment horizontal="right" vertical="center"/>
    </xf>
    <xf numFmtId="0" fontId="2" fillId="0" borderId="5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4" fontId="2" fillId="0" borderId="30" xfId="0" applyNumberFormat="1" applyFont="1" applyBorder="1" applyAlignment="1">
      <alignment horizontal="right" vertical="center"/>
    </xf>
    <xf numFmtId="4" fontId="9" fillId="0" borderId="15" xfId="0" applyNumberFormat="1" applyFont="1" applyBorder="1" applyAlignment="1">
      <alignment horizontal="right" vertical="center"/>
    </xf>
    <xf numFmtId="0" fontId="9" fillId="0" borderId="15" xfId="0" applyFont="1" applyBorder="1" applyAlignment="1">
      <alignment horizontal="right" vertical="center"/>
    </xf>
    <xf numFmtId="4" fontId="9" fillId="0" borderId="31" xfId="0" applyNumberFormat="1" applyFont="1" applyBorder="1" applyAlignment="1">
      <alignment horizontal="right" vertical="center"/>
    </xf>
    <xf numFmtId="0" fontId="9" fillId="0" borderId="31" xfId="0" applyFont="1" applyBorder="1" applyAlignment="1">
      <alignment horizontal="right" vertical="center"/>
    </xf>
    <xf numFmtId="4" fontId="8" fillId="2" borderId="13" xfId="0" applyNumberFormat="1" applyFont="1" applyFill="1" applyBorder="1" applyAlignment="1">
      <alignment horizontal="right" vertical="center"/>
    </xf>
    <xf numFmtId="0" fontId="4" fillId="0" borderId="30" xfId="0" applyFont="1" applyBorder="1" applyAlignment="1">
      <alignment horizontal="left" vertical="center"/>
    </xf>
    <xf numFmtId="4" fontId="3" fillId="0" borderId="15" xfId="0" applyNumberFormat="1" applyFont="1" applyBorder="1" applyAlignment="1">
      <alignment horizontal="right" vertical="center"/>
    </xf>
    <xf numFmtId="0" fontId="3" fillId="0" borderId="35" xfId="0" applyFont="1" applyBorder="1" applyAlignment="1">
      <alignment horizontal="left" vertical="center" wrapText="1"/>
    </xf>
    <xf numFmtId="0" fontId="3" fillId="0" borderId="35" xfId="0" applyFont="1" applyBorder="1" applyAlignment="1">
      <alignment horizontal="left" vertical="center"/>
    </xf>
    <xf numFmtId="0" fontId="2" fillId="0" borderId="30" xfId="0" applyFont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2" fillId="2" borderId="35" xfId="0" applyFont="1" applyFill="1" applyBorder="1" applyAlignment="1">
      <alignment horizontal="left" vertical="center" wrapText="1"/>
    </xf>
    <xf numFmtId="0" fontId="2" fillId="2" borderId="35" xfId="0" applyFont="1" applyFill="1" applyBorder="1" applyAlignment="1">
      <alignment horizontal="left" vertical="center"/>
    </xf>
    <xf numFmtId="0" fontId="2" fillId="0" borderId="31" xfId="0" applyFont="1" applyBorder="1" applyAlignment="1">
      <alignment horizontal="left" vertical="center"/>
    </xf>
    <xf numFmtId="0" fontId="2" fillId="0" borderId="7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23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3" fillId="0" borderId="30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1" fillId="0" borderId="30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29" xfId="0" applyFont="1" applyBorder="1" applyAlignment="1">
      <alignment horizontal="left" vertical="center"/>
    </xf>
    <xf numFmtId="0" fontId="3" fillId="0" borderId="29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31" xfId="0" applyFont="1" applyBorder="1" applyAlignment="1">
      <alignment horizontal="left" vertical="center"/>
    </xf>
    <xf numFmtId="0" fontId="9" fillId="0" borderId="23" xfId="0" applyFont="1" applyBorder="1" applyAlignment="1">
      <alignment horizontal="left" vertical="center"/>
    </xf>
    <xf numFmtId="0" fontId="9" fillId="0" borderId="22" xfId="0" applyFont="1" applyBorder="1" applyAlignment="1">
      <alignment horizontal="left" vertical="center"/>
    </xf>
    <xf numFmtId="0" fontId="9" fillId="0" borderId="30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25" xfId="0" applyFont="1" applyBorder="1" applyAlignment="1">
      <alignment horizontal="left" vertical="center"/>
    </xf>
    <xf numFmtId="0" fontId="9" fillId="0" borderId="28" xfId="0" applyFont="1" applyBorder="1" applyAlignment="1">
      <alignment horizontal="left" vertical="center"/>
    </xf>
    <xf numFmtId="0" fontId="9" fillId="0" borderId="27" xfId="0" applyFont="1" applyBorder="1" applyAlignment="1">
      <alignment horizontal="left" vertical="center"/>
    </xf>
    <xf numFmtId="0" fontId="9" fillId="0" borderId="21" xfId="0" applyFont="1" applyBorder="1" applyAlignment="1">
      <alignment horizontal="left" vertical="center"/>
    </xf>
    <xf numFmtId="0" fontId="9" fillId="0" borderId="24" xfId="0" applyFont="1" applyBorder="1" applyAlignment="1">
      <alignment horizontal="left" vertical="center"/>
    </xf>
    <xf numFmtId="0" fontId="9" fillId="0" borderId="26" xfId="0" applyFont="1" applyBorder="1" applyAlignment="1">
      <alignment horizontal="left" vertical="center"/>
    </xf>
    <xf numFmtId="0" fontId="8" fillId="0" borderId="17" xfId="0" applyFont="1" applyBorder="1" applyAlignment="1">
      <alignment horizontal="left" vertical="center"/>
    </xf>
    <xf numFmtId="0" fontId="8" fillId="0" borderId="15" xfId="0" applyFont="1" applyBorder="1" applyAlignment="1">
      <alignment horizontal="left" vertical="center"/>
    </xf>
    <xf numFmtId="0" fontId="8" fillId="2" borderId="18" xfId="0" applyFont="1" applyFill="1" applyBorder="1" applyAlignment="1">
      <alignment horizontal="left" vertical="center"/>
    </xf>
    <xf numFmtId="0" fontId="8" fillId="2" borderId="19" xfId="0" applyFont="1" applyFill="1" applyBorder="1" applyAlignment="1">
      <alignment horizontal="left" vertical="center"/>
    </xf>
    <xf numFmtId="0" fontId="8" fillId="2" borderId="17" xfId="0" applyFont="1" applyFill="1" applyBorder="1" applyAlignment="1">
      <alignment horizontal="left" vertical="center"/>
    </xf>
    <xf numFmtId="0" fontId="8" fillId="2" borderId="20" xfId="0" applyFont="1" applyFill="1" applyBorder="1" applyAlignment="1">
      <alignment horizontal="left" vertical="center"/>
    </xf>
    <xf numFmtId="0" fontId="9" fillId="0" borderId="20" xfId="0" applyFont="1" applyBorder="1" applyAlignment="1">
      <alignment horizontal="left" vertical="center"/>
    </xf>
    <xf numFmtId="0" fontId="9" fillId="0" borderId="15" xfId="0" applyFont="1" applyBorder="1" applyAlignment="1">
      <alignment horizontal="left" vertical="center"/>
    </xf>
    <xf numFmtId="0" fontId="9" fillId="0" borderId="31" xfId="0" applyFont="1" applyBorder="1" applyAlignment="1">
      <alignment horizontal="left" vertical="center"/>
    </xf>
    <xf numFmtId="0" fontId="8" fillId="0" borderId="19" xfId="0" applyFont="1" applyBorder="1" applyAlignment="1">
      <alignment horizontal="left" vertical="center"/>
    </xf>
    <xf numFmtId="0" fontId="8" fillId="0" borderId="13" xfId="0" applyFont="1" applyBorder="1" applyAlignment="1">
      <alignment horizontal="left" vertical="center"/>
    </xf>
    <xf numFmtId="0" fontId="8" fillId="0" borderId="20" xfId="0" applyFont="1" applyBorder="1" applyAlignment="1">
      <alignment horizontal="left" vertical="center"/>
    </xf>
    <xf numFmtId="0" fontId="8" fillId="0" borderId="29" xfId="0" applyFont="1" applyBorder="1" applyAlignment="1">
      <alignment horizontal="left" vertical="center"/>
    </xf>
    <xf numFmtId="0" fontId="8" fillId="0" borderId="31" xfId="0" applyFont="1" applyBorder="1" applyAlignment="1">
      <alignment horizontal="left" vertical="center"/>
    </xf>
    <xf numFmtId="0" fontId="8" fillId="0" borderId="18" xfId="0" applyFont="1" applyBorder="1" applyAlignment="1">
      <alignment horizontal="left" vertical="center"/>
    </xf>
    <xf numFmtId="0" fontId="3" fillId="0" borderId="31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/>
    </xf>
    <xf numFmtId="0" fontId="5" fillId="0" borderId="30" xfId="0" applyFont="1" applyBorder="1" applyAlignment="1">
      <alignment horizontal="center" vertical="center"/>
    </xf>
    <xf numFmtId="0" fontId="7" fillId="0" borderId="19" xfId="0" applyFont="1" applyBorder="1" applyAlignment="1">
      <alignment horizontal="left" vertical="center"/>
    </xf>
    <xf numFmtId="0" fontId="7" fillId="0" borderId="13" xfId="0" applyFont="1" applyBorder="1" applyAlignment="1">
      <alignment horizontal="left" vertical="center"/>
    </xf>
    <xf numFmtId="0" fontId="3" fillId="0" borderId="20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0" fontId="1" fillId="0" borderId="30" xfId="0" applyFont="1" applyBorder="1" applyAlignment="1">
      <alignment horizontal="center" vertical="center" wrapText="1"/>
    </xf>
    <xf numFmtId="1" fontId="3" fillId="0" borderId="31" xfId="0" applyNumberFormat="1" applyFont="1" applyBorder="1" applyAlignment="1">
      <alignment horizontal="left" vertical="center"/>
    </xf>
    <xf numFmtId="0" fontId="2" fillId="0" borderId="32" xfId="0" applyFont="1" applyBorder="1" applyAlignment="1">
      <alignment horizontal="left" vertical="center"/>
    </xf>
    <xf numFmtId="0" fontId="2" fillId="0" borderId="34" xfId="0" applyFont="1" applyBorder="1" applyAlignment="1">
      <alignment horizontal="left" vertical="center"/>
    </xf>
    <xf numFmtId="0" fontId="2" fillId="0" borderId="33" xfId="0" applyFont="1" applyBorder="1" applyAlignment="1">
      <alignment horizontal="left" vertical="center"/>
    </xf>
    <xf numFmtId="0" fontId="8" fillId="0" borderId="32" xfId="0" applyFont="1" applyBorder="1" applyAlignment="1">
      <alignment horizontal="left" vertical="center"/>
    </xf>
    <xf numFmtId="0" fontId="8" fillId="0" borderId="34" xfId="0" applyFont="1" applyBorder="1" applyAlignment="1">
      <alignment horizontal="left" vertical="center"/>
    </xf>
    <xf numFmtId="0" fontId="8" fillId="0" borderId="33" xfId="0" applyFont="1" applyBorder="1" applyAlignment="1">
      <alignment horizontal="left" vertical="center"/>
    </xf>
    <xf numFmtId="4" fontId="8" fillId="0" borderId="34" xfId="0" applyNumberFormat="1" applyFont="1" applyBorder="1" applyAlignment="1">
      <alignment horizontal="right" vertical="center"/>
    </xf>
    <xf numFmtId="0" fontId="8" fillId="0" borderId="34" xfId="0" applyFont="1" applyBorder="1" applyAlignment="1">
      <alignment horizontal="right" vertical="center"/>
    </xf>
    <xf numFmtId="0" fontId="8" fillId="0" borderId="33" xfId="0" applyFont="1" applyBorder="1" applyAlignment="1">
      <alignment horizontal="right" vertical="center"/>
    </xf>
    <xf numFmtId="0" fontId="8" fillId="0" borderId="30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666750" cy="666750"/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66750" cy="666750"/>
        </a:xfrm>
        <a:prstGeom prst="rect">
          <a:avLst/>
        </a:prstGeom>
        <a:noFill/>
        <a:ln w="9525">
          <a:noFill/>
        </a:ln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666750" cy="666750"/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66750" cy="666750"/>
        </a:xfrm>
        <a:prstGeom prst="rect">
          <a:avLst/>
        </a:prstGeom>
        <a:noFill/>
        <a:ln w="9525">
          <a:noFill/>
        </a:ln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666750" cy="666750"/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66750" cy="666750"/>
        </a:xfrm>
        <a:prstGeom prst="rect">
          <a:avLst/>
        </a:prstGeom>
        <a:noFill/>
        <a:ln w="9525">
          <a:noFill/>
        </a:ln>
      </xdr:spPr>
    </xdr:pic>
    <xdr:clientData/>
  </xdr:absolute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Z162"/>
  <sheetViews>
    <sheetView workbookViewId="0">
      <pane ySplit="11" topLeftCell="A80" activePane="bottomLeft" state="frozen"/>
      <selection pane="bottomLeft" activeCell="J6" sqref="J6:P7"/>
    </sheetView>
  </sheetViews>
  <sheetFormatPr defaultColWidth="12.140625" defaultRowHeight="15" customHeight="1" x14ac:dyDescent="0.25"/>
  <cols>
    <col min="1" max="1" width="4" customWidth="1"/>
    <col min="2" max="2" width="7.5703125" customWidth="1"/>
    <col min="3" max="3" width="17.85546875" customWidth="1"/>
    <col min="4" max="4" width="28.5703125" customWidth="1"/>
    <col min="5" max="5" width="29.28515625" customWidth="1"/>
    <col min="6" max="6" width="4.28515625" customWidth="1"/>
    <col min="7" max="7" width="12.85546875" customWidth="1"/>
    <col min="8" max="8" width="12" customWidth="1"/>
    <col min="9" max="9" width="11.140625" customWidth="1"/>
    <col min="10" max="13" width="15.7109375" customWidth="1"/>
    <col min="14" max="15" width="11.7109375" customWidth="1"/>
    <col min="16" max="16" width="13.42578125" customWidth="1"/>
    <col min="25" max="75" width="12.140625" hidden="1"/>
    <col min="76" max="76" width="57.85546875" hidden="1" customWidth="1"/>
    <col min="77" max="78" width="12.140625" hidden="1"/>
  </cols>
  <sheetData>
    <row r="1" spans="1:76" ht="54.75" customHeight="1" x14ac:dyDescent="0.25">
      <c r="A1" s="67" t="s">
        <v>0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AS1" s="1">
        <f>SUM(AJ1:AJ2)</f>
        <v>0</v>
      </c>
      <c r="AT1" s="1">
        <f>SUM(AK1:AK2)</f>
        <v>0</v>
      </c>
      <c r="AU1" s="1">
        <f>SUM(AL1:AL2)</f>
        <v>0</v>
      </c>
    </row>
    <row r="2" spans="1:76" x14ac:dyDescent="0.25">
      <c r="A2" s="68" t="s">
        <v>1</v>
      </c>
      <c r="B2" s="66"/>
      <c r="C2" s="66"/>
      <c r="D2" s="72" t="s">
        <v>2</v>
      </c>
      <c r="E2" s="73"/>
      <c r="F2" s="66" t="s">
        <v>3</v>
      </c>
      <c r="G2" s="66"/>
      <c r="H2" s="66" t="s">
        <v>4</v>
      </c>
      <c r="I2" s="71" t="s">
        <v>5</v>
      </c>
      <c r="J2" s="71" t="s">
        <v>6</v>
      </c>
      <c r="K2" s="66"/>
      <c r="L2" s="66"/>
      <c r="M2" s="66"/>
      <c r="N2" s="66"/>
      <c r="O2" s="66"/>
      <c r="P2" s="75"/>
    </row>
    <row r="3" spans="1:76" x14ac:dyDescent="0.25">
      <c r="A3" s="69"/>
      <c r="B3" s="56"/>
      <c r="C3" s="56"/>
      <c r="D3" s="74"/>
      <c r="E3" s="74"/>
      <c r="F3" s="56"/>
      <c r="G3" s="56"/>
      <c r="H3" s="56"/>
      <c r="I3" s="56"/>
      <c r="J3" s="56"/>
      <c r="K3" s="56"/>
      <c r="L3" s="56"/>
      <c r="M3" s="56"/>
      <c r="N3" s="56"/>
      <c r="O3" s="56"/>
      <c r="P3" s="76"/>
    </row>
    <row r="4" spans="1:76" x14ac:dyDescent="0.25">
      <c r="A4" s="70" t="s">
        <v>7</v>
      </c>
      <c r="B4" s="56"/>
      <c r="C4" s="56"/>
      <c r="D4" s="55" t="s">
        <v>8</v>
      </c>
      <c r="E4" s="56"/>
      <c r="F4" s="56" t="s">
        <v>9</v>
      </c>
      <c r="G4" s="56"/>
      <c r="H4" s="56" t="s">
        <v>4</v>
      </c>
      <c r="I4" s="55" t="s">
        <v>10</v>
      </c>
      <c r="J4" s="55" t="s">
        <v>11</v>
      </c>
      <c r="K4" s="56"/>
      <c r="L4" s="56"/>
      <c r="M4" s="56"/>
      <c r="N4" s="56"/>
      <c r="O4" s="56"/>
      <c r="P4" s="76"/>
    </row>
    <row r="5" spans="1:76" x14ac:dyDescent="0.25">
      <c r="A5" s="69"/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76"/>
    </row>
    <row r="6" spans="1:76" x14ac:dyDescent="0.25">
      <c r="A6" s="70" t="s">
        <v>12</v>
      </c>
      <c r="B6" s="56"/>
      <c r="C6" s="56"/>
      <c r="D6" s="55" t="s">
        <v>13</v>
      </c>
      <c r="E6" s="56"/>
      <c r="F6" s="56" t="s">
        <v>14</v>
      </c>
      <c r="G6" s="56"/>
      <c r="H6" s="56" t="s">
        <v>4</v>
      </c>
      <c r="I6" s="55" t="s">
        <v>15</v>
      </c>
      <c r="J6" s="55" t="s">
        <v>16</v>
      </c>
      <c r="K6" s="56"/>
      <c r="L6" s="56"/>
      <c r="M6" s="56"/>
      <c r="N6" s="56"/>
      <c r="O6" s="56"/>
      <c r="P6" s="76"/>
    </row>
    <row r="7" spans="1:76" x14ac:dyDescent="0.25">
      <c r="A7" s="69"/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76"/>
    </row>
    <row r="8" spans="1:76" x14ac:dyDescent="0.25">
      <c r="A8" s="70" t="s">
        <v>17</v>
      </c>
      <c r="B8" s="56"/>
      <c r="C8" s="56"/>
      <c r="D8" s="55" t="s">
        <v>18</v>
      </c>
      <c r="E8" s="56"/>
      <c r="F8" s="56" t="s">
        <v>19</v>
      </c>
      <c r="G8" s="56"/>
      <c r="H8" s="56" t="s">
        <v>4</v>
      </c>
      <c r="I8" s="55" t="s">
        <v>20</v>
      </c>
      <c r="J8" s="56" t="s">
        <v>21</v>
      </c>
      <c r="K8" s="56"/>
      <c r="L8" s="56"/>
      <c r="M8" s="56"/>
      <c r="N8" s="56"/>
      <c r="O8" s="56"/>
      <c r="P8" s="76"/>
    </row>
    <row r="9" spans="1:76" x14ac:dyDescent="0.25">
      <c r="A9" s="69"/>
      <c r="B9" s="65"/>
      <c r="C9" s="65"/>
      <c r="D9" s="65"/>
      <c r="E9" s="65"/>
      <c r="F9" s="65"/>
      <c r="G9" s="65"/>
      <c r="H9" s="65"/>
      <c r="I9" s="65"/>
      <c r="J9" s="65"/>
      <c r="K9" s="65"/>
      <c r="L9" s="65"/>
      <c r="M9" s="65"/>
      <c r="N9" s="65"/>
      <c r="O9" s="65"/>
      <c r="P9" s="76"/>
    </row>
    <row r="10" spans="1:76" x14ac:dyDescent="0.25">
      <c r="A10" s="3" t="s">
        <v>22</v>
      </c>
      <c r="B10" s="26" t="s">
        <v>23</v>
      </c>
      <c r="C10" s="26" t="s">
        <v>24</v>
      </c>
      <c r="D10" s="63" t="s">
        <v>25</v>
      </c>
      <c r="E10" s="64"/>
      <c r="F10" s="26" t="s">
        <v>26</v>
      </c>
      <c r="G10" s="42" t="s">
        <v>27</v>
      </c>
      <c r="H10" s="43" t="s">
        <v>28</v>
      </c>
      <c r="I10" s="4" t="s">
        <v>29</v>
      </c>
      <c r="J10" s="60" t="s">
        <v>30</v>
      </c>
      <c r="K10" s="61"/>
      <c r="L10" s="62"/>
      <c r="M10" s="5" t="s">
        <v>30</v>
      </c>
      <c r="N10" s="61" t="s">
        <v>31</v>
      </c>
      <c r="O10" s="61"/>
      <c r="P10" s="6" t="s">
        <v>32</v>
      </c>
      <c r="BK10" s="7" t="s">
        <v>33</v>
      </c>
      <c r="BL10" s="8" t="s">
        <v>34</v>
      </c>
      <c r="BW10" s="8" t="s">
        <v>35</v>
      </c>
    </row>
    <row r="11" spans="1:76" x14ac:dyDescent="0.25">
      <c r="A11" s="29" t="s">
        <v>4</v>
      </c>
      <c r="B11" s="21" t="s">
        <v>4</v>
      </c>
      <c r="C11" s="21" t="s">
        <v>4</v>
      </c>
      <c r="D11" s="54" t="s">
        <v>36</v>
      </c>
      <c r="E11" s="59"/>
      <c r="F11" s="21" t="s">
        <v>4</v>
      </c>
      <c r="G11" s="21" t="s">
        <v>4</v>
      </c>
      <c r="H11" s="30" t="s">
        <v>37</v>
      </c>
      <c r="I11" s="25" t="s">
        <v>4</v>
      </c>
      <c r="J11" s="31" t="s">
        <v>38</v>
      </c>
      <c r="K11" s="32" t="s">
        <v>39</v>
      </c>
      <c r="L11" s="33" t="s">
        <v>40</v>
      </c>
      <c r="M11" s="33" t="s">
        <v>41</v>
      </c>
      <c r="N11" s="32" t="s">
        <v>42</v>
      </c>
      <c r="O11" s="30" t="s">
        <v>40</v>
      </c>
      <c r="P11" s="31" t="s">
        <v>43</v>
      </c>
      <c r="Z11" s="7" t="s">
        <v>44</v>
      </c>
      <c r="AA11" s="7" t="s">
        <v>45</v>
      </c>
      <c r="AB11" s="7" t="s">
        <v>46</v>
      </c>
      <c r="AC11" s="7" t="s">
        <v>47</v>
      </c>
      <c r="AD11" s="7" t="s">
        <v>48</v>
      </c>
      <c r="AE11" s="7" t="s">
        <v>49</v>
      </c>
      <c r="AF11" s="7" t="s">
        <v>50</v>
      </c>
      <c r="AG11" s="7" t="s">
        <v>51</v>
      </c>
      <c r="AH11" s="7" t="s">
        <v>52</v>
      </c>
      <c r="BH11" s="7" t="s">
        <v>53</v>
      </c>
      <c r="BI11" s="7" t="s">
        <v>54</v>
      </c>
      <c r="BJ11" s="7" t="s">
        <v>55</v>
      </c>
    </row>
    <row r="12" spans="1:76" x14ac:dyDescent="0.25">
      <c r="A12" s="34" t="s">
        <v>56</v>
      </c>
      <c r="B12" s="35" t="s">
        <v>57</v>
      </c>
      <c r="C12" s="35" t="s">
        <v>56</v>
      </c>
      <c r="D12" s="57" t="s">
        <v>58</v>
      </c>
      <c r="E12" s="58"/>
      <c r="F12" s="34" t="s">
        <v>4</v>
      </c>
      <c r="G12" s="34" t="s">
        <v>4</v>
      </c>
      <c r="H12" s="34"/>
      <c r="I12" s="34"/>
      <c r="J12" s="36"/>
      <c r="K12" s="36"/>
      <c r="L12" s="36"/>
      <c r="M12" s="36"/>
      <c r="N12" s="37" t="s">
        <v>56</v>
      </c>
      <c r="O12" s="36">
        <f>O13+O18+O22+O25+O27+O30+O38+O50+O54</f>
        <v>73.012286999999986</v>
      </c>
      <c r="P12" s="37" t="s">
        <v>56</v>
      </c>
    </row>
    <row r="13" spans="1:76" x14ac:dyDescent="0.25">
      <c r="A13" s="34" t="s">
        <v>56</v>
      </c>
      <c r="B13" s="35" t="s">
        <v>57</v>
      </c>
      <c r="C13" s="35" t="s">
        <v>59</v>
      </c>
      <c r="D13" s="57" t="s">
        <v>60</v>
      </c>
      <c r="E13" s="58"/>
      <c r="F13" s="34" t="s">
        <v>4</v>
      </c>
      <c r="G13" s="34" t="s">
        <v>4</v>
      </c>
      <c r="H13" s="34"/>
      <c r="I13" s="34"/>
      <c r="J13" s="36"/>
      <c r="K13" s="36"/>
      <c r="L13" s="36"/>
      <c r="M13" s="36"/>
      <c r="N13" s="37" t="s">
        <v>56</v>
      </c>
      <c r="O13" s="36">
        <f>SUM(O14:O17)</f>
        <v>27.045047999999998</v>
      </c>
      <c r="P13" s="37" t="s">
        <v>56</v>
      </c>
      <c r="AI13" s="7" t="s">
        <v>57</v>
      </c>
      <c r="AS13" s="1">
        <f>SUM(AJ14:AJ17)</f>
        <v>0</v>
      </c>
      <c r="AT13" s="1">
        <f>SUM(AK14:AK17)</f>
        <v>0</v>
      </c>
      <c r="AU13" s="1">
        <f>SUM(AL14:AL17)</f>
        <v>0</v>
      </c>
    </row>
    <row r="14" spans="1:76" x14ac:dyDescent="0.25">
      <c r="A14" s="38" t="s">
        <v>61</v>
      </c>
      <c r="B14" s="38" t="s">
        <v>57</v>
      </c>
      <c r="C14" s="38" t="s">
        <v>62</v>
      </c>
      <c r="D14" s="52" t="s">
        <v>63</v>
      </c>
      <c r="E14" s="53"/>
      <c r="F14" s="38" t="s">
        <v>64</v>
      </c>
      <c r="G14" s="39">
        <v>1114.8</v>
      </c>
      <c r="H14" s="39"/>
      <c r="I14" s="40"/>
      <c r="J14" s="39"/>
      <c r="K14" s="39"/>
      <c r="L14" s="39"/>
      <c r="M14" s="39"/>
      <c r="N14" s="39">
        <v>0</v>
      </c>
      <c r="O14" s="39">
        <f>G14*N14</f>
        <v>0</v>
      </c>
      <c r="P14" s="41"/>
      <c r="Z14" s="9">
        <f>ROUND(IF(AQ14="5",BJ14,0),2)</f>
        <v>0</v>
      </c>
      <c r="AB14" s="9">
        <f>ROUND(IF(AQ14="1",BH14,0),2)</f>
        <v>0</v>
      </c>
      <c r="AC14" s="9">
        <f>ROUND(IF(AQ14="1",BI14,0),2)</f>
        <v>0</v>
      </c>
      <c r="AD14" s="9">
        <f>ROUND(IF(AQ14="7",BH14,0),2)</f>
        <v>0</v>
      </c>
      <c r="AE14" s="9">
        <f>ROUND(IF(AQ14="7",BI14,0),2)</f>
        <v>0</v>
      </c>
      <c r="AF14" s="9">
        <f>ROUND(IF(AQ14="2",BH14,0),2)</f>
        <v>0</v>
      </c>
      <c r="AG14" s="9">
        <f>ROUND(IF(AQ14="2",BI14,0),2)</f>
        <v>0</v>
      </c>
      <c r="AH14" s="9">
        <f>ROUND(IF(AQ14="0",BJ14,0),2)</f>
        <v>0</v>
      </c>
      <c r="AI14" s="7" t="s">
        <v>57</v>
      </c>
      <c r="AJ14" s="9">
        <f>IF(AN14=0,L14,0)</f>
        <v>0</v>
      </c>
      <c r="AK14" s="9">
        <f>IF(AN14=12,L14,0)</f>
        <v>0</v>
      </c>
      <c r="AL14" s="9">
        <f>IF(AN14=21,L14,0)</f>
        <v>0</v>
      </c>
      <c r="AN14" s="9">
        <v>21</v>
      </c>
      <c r="AO14" s="9">
        <f>H14*0</f>
        <v>0</v>
      </c>
      <c r="AP14" s="9">
        <f>H14*(1-0)</f>
        <v>0</v>
      </c>
      <c r="AQ14" s="10" t="s">
        <v>61</v>
      </c>
      <c r="AV14" s="9">
        <f>ROUND(AW14+AX14,2)</f>
        <v>0</v>
      </c>
      <c r="AW14" s="9">
        <f>ROUND(G14*AO14,2)</f>
        <v>0</v>
      </c>
      <c r="AX14" s="9">
        <f>ROUND(G14*AP14,2)</f>
        <v>0</v>
      </c>
      <c r="AY14" s="10" t="s">
        <v>65</v>
      </c>
      <c r="AZ14" s="10" t="s">
        <v>66</v>
      </c>
      <c r="BA14" s="7" t="s">
        <v>67</v>
      </c>
      <c r="BC14" s="9">
        <f>AW14+AX14</f>
        <v>0</v>
      </c>
      <c r="BD14" s="9">
        <f>H14/(100-BE14)*100</f>
        <v>0</v>
      </c>
      <c r="BE14" s="9">
        <v>0</v>
      </c>
      <c r="BF14" s="9">
        <f>O14</f>
        <v>0</v>
      </c>
      <c r="BH14" s="9">
        <f>G14*AO14</f>
        <v>0</v>
      </c>
      <c r="BI14" s="9">
        <f>G14*AP14</f>
        <v>0</v>
      </c>
      <c r="BJ14" s="9">
        <f>G14*H14</f>
        <v>0</v>
      </c>
      <c r="BK14" s="9"/>
      <c r="BL14" s="9">
        <v>94</v>
      </c>
      <c r="BW14" s="9">
        <f>I14</f>
        <v>0</v>
      </c>
      <c r="BX14" s="2" t="s">
        <v>63</v>
      </c>
    </row>
    <row r="15" spans="1:76" x14ac:dyDescent="0.25">
      <c r="A15" s="38" t="s">
        <v>68</v>
      </c>
      <c r="B15" s="38" t="s">
        <v>57</v>
      </c>
      <c r="C15" s="38" t="s">
        <v>69</v>
      </c>
      <c r="D15" s="52" t="s">
        <v>70</v>
      </c>
      <c r="E15" s="53"/>
      <c r="F15" s="38" t="s">
        <v>64</v>
      </c>
      <c r="G15" s="39">
        <v>2229.6</v>
      </c>
      <c r="H15" s="39"/>
      <c r="I15" s="40"/>
      <c r="J15" s="39"/>
      <c r="K15" s="39"/>
      <c r="L15" s="39"/>
      <c r="M15" s="39"/>
      <c r="N15" s="39">
        <v>0</v>
      </c>
      <c r="O15" s="39">
        <f>G15*N15</f>
        <v>0</v>
      </c>
      <c r="P15" s="41"/>
      <c r="Z15" s="9">
        <f>ROUND(IF(AQ15="5",BJ15,0),2)</f>
        <v>0</v>
      </c>
      <c r="AB15" s="9">
        <f>ROUND(IF(AQ15="1",BH15,0),2)</f>
        <v>0</v>
      </c>
      <c r="AC15" s="9">
        <f>ROUND(IF(AQ15="1",BI15,0),2)</f>
        <v>0</v>
      </c>
      <c r="AD15" s="9">
        <f>ROUND(IF(AQ15="7",BH15,0),2)</f>
        <v>0</v>
      </c>
      <c r="AE15" s="9">
        <f>ROUND(IF(AQ15="7",BI15,0),2)</f>
        <v>0</v>
      </c>
      <c r="AF15" s="9">
        <f>ROUND(IF(AQ15="2",BH15,0),2)</f>
        <v>0</v>
      </c>
      <c r="AG15" s="9">
        <f>ROUND(IF(AQ15="2",BI15,0),2)</f>
        <v>0</v>
      </c>
      <c r="AH15" s="9">
        <f>ROUND(IF(AQ15="0",BJ15,0),2)</f>
        <v>0</v>
      </c>
      <c r="AI15" s="7" t="s">
        <v>57</v>
      </c>
      <c r="AJ15" s="9">
        <f>IF(AN15=0,L15,0)</f>
        <v>0</v>
      </c>
      <c r="AK15" s="9">
        <f>IF(AN15=12,L15,0)</f>
        <v>0</v>
      </c>
      <c r="AL15" s="9">
        <f>IF(AN15=21,L15,0)</f>
        <v>0</v>
      </c>
      <c r="AN15" s="9">
        <v>21</v>
      </c>
      <c r="AO15" s="9">
        <f>H15*0</f>
        <v>0</v>
      </c>
      <c r="AP15" s="9">
        <f>H15*(1-0)</f>
        <v>0</v>
      </c>
      <c r="AQ15" s="10" t="s">
        <v>61</v>
      </c>
      <c r="AV15" s="9">
        <f>ROUND(AW15+AX15,2)</f>
        <v>0</v>
      </c>
      <c r="AW15" s="9">
        <f>ROUND(G15*AO15,2)</f>
        <v>0</v>
      </c>
      <c r="AX15" s="9">
        <f>ROUND(G15*AP15,2)</f>
        <v>0</v>
      </c>
      <c r="AY15" s="10" t="s">
        <v>65</v>
      </c>
      <c r="AZ15" s="10" t="s">
        <v>66</v>
      </c>
      <c r="BA15" s="7" t="s">
        <v>67</v>
      </c>
      <c r="BC15" s="9">
        <f>AW15+AX15</f>
        <v>0</v>
      </c>
      <c r="BD15" s="9">
        <f>H15/(100-BE15)*100</f>
        <v>0</v>
      </c>
      <c r="BE15" s="9">
        <v>0</v>
      </c>
      <c r="BF15" s="9">
        <f>O15</f>
        <v>0</v>
      </c>
      <c r="BH15" s="9">
        <f>G15*AO15</f>
        <v>0</v>
      </c>
      <c r="BI15" s="9">
        <f>G15*AP15</f>
        <v>0</v>
      </c>
      <c r="BJ15" s="9">
        <f>G15*H15</f>
        <v>0</v>
      </c>
      <c r="BK15" s="9"/>
      <c r="BL15" s="9">
        <v>94</v>
      </c>
      <c r="BW15" s="9">
        <f>I15</f>
        <v>0</v>
      </c>
      <c r="BX15" s="2" t="s">
        <v>70</v>
      </c>
    </row>
    <row r="16" spans="1:76" x14ac:dyDescent="0.25">
      <c r="A16" s="38" t="s">
        <v>71</v>
      </c>
      <c r="B16" s="38" t="s">
        <v>57</v>
      </c>
      <c r="C16" s="38" t="s">
        <v>72</v>
      </c>
      <c r="D16" s="52" t="s">
        <v>73</v>
      </c>
      <c r="E16" s="53"/>
      <c r="F16" s="38" t="s">
        <v>64</v>
      </c>
      <c r="G16" s="39">
        <v>1114.8</v>
      </c>
      <c r="H16" s="39"/>
      <c r="I16" s="40"/>
      <c r="J16" s="39"/>
      <c r="K16" s="39"/>
      <c r="L16" s="39"/>
      <c r="M16" s="39"/>
      <c r="N16" s="39">
        <v>2.426E-2</v>
      </c>
      <c r="O16" s="39">
        <f>G16*N16</f>
        <v>27.045047999999998</v>
      </c>
      <c r="P16" s="41"/>
      <c r="Z16" s="9">
        <f>ROUND(IF(AQ16="5",BJ16,0),2)</f>
        <v>0</v>
      </c>
      <c r="AB16" s="9">
        <f>ROUND(IF(AQ16="1",BH16,0),2)</f>
        <v>0</v>
      </c>
      <c r="AC16" s="9">
        <f>ROUND(IF(AQ16="1",BI16,0),2)</f>
        <v>0</v>
      </c>
      <c r="AD16" s="9">
        <f>ROUND(IF(AQ16="7",BH16,0),2)</f>
        <v>0</v>
      </c>
      <c r="AE16" s="9">
        <f>ROUND(IF(AQ16="7",BI16,0),2)</f>
        <v>0</v>
      </c>
      <c r="AF16" s="9">
        <f>ROUND(IF(AQ16="2",BH16,0),2)</f>
        <v>0</v>
      </c>
      <c r="AG16" s="9">
        <f>ROUND(IF(AQ16="2",BI16,0),2)</f>
        <v>0</v>
      </c>
      <c r="AH16" s="9">
        <f>ROUND(IF(AQ16="0",BJ16,0),2)</f>
        <v>0</v>
      </c>
      <c r="AI16" s="7" t="s">
        <v>57</v>
      </c>
      <c r="AJ16" s="9">
        <f>IF(AN16=0,L16,0)</f>
        <v>0</v>
      </c>
      <c r="AK16" s="9">
        <f>IF(AN16=12,L16,0)</f>
        <v>0</v>
      </c>
      <c r="AL16" s="9">
        <f>IF(AN16=21,L16,0)</f>
        <v>0</v>
      </c>
      <c r="AN16" s="9">
        <v>21</v>
      </c>
      <c r="AO16" s="9">
        <f>H16*0.001212121</f>
        <v>0</v>
      </c>
      <c r="AP16" s="9">
        <f>H16*(1-0.001212121)</f>
        <v>0</v>
      </c>
      <c r="AQ16" s="10" t="s">
        <v>61</v>
      </c>
      <c r="AV16" s="9">
        <f>ROUND(AW16+AX16,2)</f>
        <v>0</v>
      </c>
      <c r="AW16" s="9">
        <f>ROUND(G16*AO16,2)</f>
        <v>0</v>
      </c>
      <c r="AX16" s="9">
        <f>ROUND(G16*AP16,2)</f>
        <v>0</v>
      </c>
      <c r="AY16" s="10" t="s">
        <v>65</v>
      </c>
      <c r="AZ16" s="10" t="s">
        <v>66</v>
      </c>
      <c r="BA16" s="7" t="s">
        <v>67</v>
      </c>
      <c r="BC16" s="9">
        <f>AW16+AX16</f>
        <v>0</v>
      </c>
      <c r="BD16" s="9">
        <f>H16/(100-BE16)*100</f>
        <v>0</v>
      </c>
      <c r="BE16" s="9">
        <v>0</v>
      </c>
      <c r="BF16" s="9">
        <f>O16</f>
        <v>27.045047999999998</v>
      </c>
      <c r="BH16" s="9">
        <f>G16*AO16</f>
        <v>0</v>
      </c>
      <c r="BI16" s="9">
        <f>G16*AP16</f>
        <v>0</v>
      </c>
      <c r="BJ16" s="9">
        <f>G16*H16</f>
        <v>0</v>
      </c>
      <c r="BK16" s="9"/>
      <c r="BL16" s="9">
        <v>94</v>
      </c>
      <c r="BW16" s="9">
        <f>I16</f>
        <v>0</v>
      </c>
      <c r="BX16" s="2" t="s">
        <v>73</v>
      </c>
    </row>
    <row r="17" spans="1:76" x14ac:dyDescent="0.25">
      <c r="A17" s="38" t="s">
        <v>74</v>
      </c>
      <c r="B17" s="38" t="s">
        <v>57</v>
      </c>
      <c r="C17" s="38" t="s">
        <v>75</v>
      </c>
      <c r="D17" s="52" t="s">
        <v>76</v>
      </c>
      <c r="E17" s="53"/>
      <c r="F17" s="38" t="s">
        <v>77</v>
      </c>
      <c r="G17" s="39">
        <v>75</v>
      </c>
      <c r="H17" s="39"/>
      <c r="I17" s="40"/>
      <c r="J17" s="39"/>
      <c r="K17" s="39"/>
      <c r="L17" s="39"/>
      <c r="M17" s="39"/>
      <c r="N17" s="39">
        <v>0</v>
      </c>
      <c r="O17" s="39">
        <f>G17*N17</f>
        <v>0</v>
      </c>
      <c r="P17" s="41"/>
      <c r="Z17" s="9">
        <f>ROUND(IF(AQ17="5",BJ17,0),2)</f>
        <v>0</v>
      </c>
      <c r="AB17" s="9">
        <f>ROUND(IF(AQ17="1",BH17,0),2)</f>
        <v>0</v>
      </c>
      <c r="AC17" s="9">
        <f>ROUND(IF(AQ17="1",BI17,0),2)</f>
        <v>0</v>
      </c>
      <c r="AD17" s="9">
        <f>ROUND(IF(AQ17="7",BH17,0),2)</f>
        <v>0</v>
      </c>
      <c r="AE17" s="9">
        <f>ROUND(IF(AQ17="7",BI17,0),2)</f>
        <v>0</v>
      </c>
      <c r="AF17" s="9">
        <f>ROUND(IF(AQ17="2",BH17,0),2)</f>
        <v>0</v>
      </c>
      <c r="AG17" s="9">
        <f>ROUND(IF(AQ17="2",BI17,0),2)</f>
        <v>0</v>
      </c>
      <c r="AH17" s="9">
        <f>ROUND(IF(AQ17="0",BJ17,0),2)</f>
        <v>0</v>
      </c>
      <c r="AI17" s="7" t="s">
        <v>57</v>
      </c>
      <c r="AJ17" s="9">
        <f>IF(AN17=0,L17,0)</f>
        <v>0</v>
      </c>
      <c r="AK17" s="9">
        <f>IF(AN17=12,L17,0)</f>
        <v>0</v>
      </c>
      <c r="AL17" s="9">
        <f>IF(AN17=21,L17,0)</f>
        <v>0</v>
      </c>
      <c r="AN17" s="9">
        <v>21</v>
      </c>
      <c r="AO17" s="9">
        <f>H17*0</f>
        <v>0</v>
      </c>
      <c r="AP17" s="9">
        <f>H17*(1-0)</f>
        <v>0</v>
      </c>
      <c r="AQ17" s="10" t="s">
        <v>61</v>
      </c>
      <c r="AV17" s="9">
        <f>ROUND(AW17+AX17,2)</f>
        <v>0</v>
      </c>
      <c r="AW17" s="9">
        <f>ROUND(G17*AO17,2)</f>
        <v>0</v>
      </c>
      <c r="AX17" s="9">
        <f>ROUND(G17*AP17,2)</f>
        <v>0</v>
      </c>
      <c r="AY17" s="10" t="s">
        <v>65</v>
      </c>
      <c r="AZ17" s="10" t="s">
        <v>66</v>
      </c>
      <c r="BA17" s="7" t="s">
        <v>67</v>
      </c>
      <c r="BC17" s="9">
        <f>AW17+AX17</f>
        <v>0</v>
      </c>
      <c r="BD17" s="9">
        <f>H17/(100-BE17)*100</f>
        <v>0</v>
      </c>
      <c r="BE17" s="9">
        <v>0</v>
      </c>
      <c r="BF17" s="9">
        <f>O17</f>
        <v>0</v>
      </c>
      <c r="BH17" s="9">
        <f>G17*AO17</f>
        <v>0</v>
      </c>
      <c r="BI17" s="9">
        <f>G17*AP17</f>
        <v>0</v>
      </c>
      <c r="BJ17" s="9">
        <f>G17*H17</f>
        <v>0</v>
      </c>
      <c r="BK17" s="9"/>
      <c r="BL17" s="9">
        <v>94</v>
      </c>
      <c r="BW17" s="9">
        <f>I17</f>
        <v>0</v>
      </c>
      <c r="BX17" s="2" t="s">
        <v>76</v>
      </c>
    </row>
    <row r="18" spans="1:76" x14ac:dyDescent="0.25">
      <c r="A18" s="34" t="s">
        <v>56</v>
      </c>
      <c r="B18" s="35" t="s">
        <v>57</v>
      </c>
      <c r="C18" s="35" t="s">
        <v>78</v>
      </c>
      <c r="D18" s="57" t="s">
        <v>79</v>
      </c>
      <c r="E18" s="58"/>
      <c r="F18" s="34" t="s">
        <v>4</v>
      </c>
      <c r="G18" s="34" t="s">
        <v>4</v>
      </c>
      <c r="H18" s="34"/>
      <c r="I18" s="34"/>
      <c r="J18" s="36"/>
      <c r="K18" s="36"/>
      <c r="L18" s="36"/>
      <c r="M18" s="36"/>
      <c r="N18" s="37" t="s">
        <v>56</v>
      </c>
      <c r="O18" s="36">
        <f>SUM(O19:O21)</f>
        <v>0.41170000000000001</v>
      </c>
      <c r="P18" s="37"/>
      <c r="AI18" s="7" t="s">
        <v>57</v>
      </c>
      <c r="AS18" s="1">
        <f>SUM(AJ19:AJ21)</f>
        <v>0</v>
      </c>
      <c r="AT18" s="1">
        <f>SUM(AK19:AK21)</f>
        <v>0</v>
      </c>
      <c r="AU18" s="1">
        <f>SUM(AL19:AL21)</f>
        <v>0</v>
      </c>
    </row>
    <row r="19" spans="1:76" ht="25.5" x14ac:dyDescent="0.25">
      <c r="A19" s="38" t="s">
        <v>80</v>
      </c>
      <c r="B19" s="38" t="s">
        <v>57</v>
      </c>
      <c r="C19" s="38" t="s">
        <v>81</v>
      </c>
      <c r="D19" s="52" t="s">
        <v>82</v>
      </c>
      <c r="E19" s="53"/>
      <c r="F19" s="38" t="s">
        <v>83</v>
      </c>
      <c r="G19" s="39">
        <v>5</v>
      </c>
      <c r="H19" s="39"/>
      <c r="I19" s="40"/>
      <c r="J19" s="39"/>
      <c r="K19" s="39"/>
      <c r="L19" s="39"/>
      <c r="M19" s="39"/>
      <c r="N19" s="39">
        <v>2.3400000000000001E-3</v>
      </c>
      <c r="O19" s="39">
        <f>G19*N19</f>
        <v>1.17E-2</v>
      </c>
      <c r="P19" s="41"/>
      <c r="Z19" s="9">
        <f>ROUND(IF(AQ19="5",BJ19,0),2)</f>
        <v>0</v>
      </c>
      <c r="AB19" s="9">
        <f>ROUND(IF(AQ19="1",BH19,0),2)</f>
        <v>0</v>
      </c>
      <c r="AC19" s="9">
        <f>ROUND(IF(AQ19="1",BI19,0),2)</f>
        <v>0</v>
      </c>
      <c r="AD19" s="9">
        <f>ROUND(IF(AQ19="7",BH19,0),2)</f>
        <v>0</v>
      </c>
      <c r="AE19" s="9">
        <f>ROUND(IF(AQ19="7",BI19,0),2)</f>
        <v>0</v>
      </c>
      <c r="AF19" s="9">
        <f>ROUND(IF(AQ19="2",BH19,0),2)</f>
        <v>0</v>
      </c>
      <c r="AG19" s="9">
        <f>ROUND(IF(AQ19="2",BI19,0),2)</f>
        <v>0</v>
      </c>
      <c r="AH19" s="9">
        <f>ROUND(IF(AQ19="0",BJ19,0),2)</f>
        <v>0</v>
      </c>
      <c r="AI19" s="7" t="s">
        <v>57</v>
      </c>
      <c r="AJ19" s="9">
        <f>IF(AN19=0,L19,0)</f>
        <v>0</v>
      </c>
      <c r="AK19" s="9">
        <f>IF(AN19=12,L19,0)</f>
        <v>0</v>
      </c>
      <c r="AL19" s="9">
        <f>IF(AN19=21,L19,0)</f>
        <v>0</v>
      </c>
      <c r="AN19" s="9">
        <v>21</v>
      </c>
      <c r="AO19" s="9">
        <f>H19*0.025526057</f>
        <v>0</v>
      </c>
      <c r="AP19" s="9">
        <f>H19*(1-0.025526057)</f>
        <v>0</v>
      </c>
      <c r="AQ19" s="10" t="s">
        <v>61</v>
      </c>
      <c r="AV19" s="9">
        <f>ROUND(AW19+AX19,2)</f>
        <v>0</v>
      </c>
      <c r="AW19" s="9">
        <f>ROUND(G19*AO19,2)</f>
        <v>0</v>
      </c>
      <c r="AX19" s="9">
        <f>ROUND(G19*AP19,2)</f>
        <v>0</v>
      </c>
      <c r="AY19" s="10" t="s">
        <v>84</v>
      </c>
      <c r="AZ19" s="10" t="s">
        <v>66</v>
      </c>
      <c r="BA19" s="7" t="s">
        <v>67</v>
      </c>
      <c r="BC19" s="9">
        <f>AW19+AX19</f>
        <v>0</v>
      </c>
      <c r="BD19" s="9">
        <f>H19/(100-BE19)*100</f>
        <v>0</v>
      </c>
      <c r="BE19" s="9">
        <v>0</v>
      </c>
      <c r="BF19" s="9">
        <f>O19</f>
        <v>1.17E-2</v>
      </c>
      <c r="BH19" s="9">
        <f>G19*AO19</f>
        <v>0</v>
      </c>
      <c r="BI19" s="9">
        <f>G19*AP19</f>
        <v>0</v>
      </c>
      <c r="BJ19" s="9">
        <f>G19*H19</f>
        <v>0</v>
      </c>
      <c r="BK19" s="9"/>
      <c r="BL19" s="9">
        <v>95</v>
      </c>
      <c r="BW19" s="9">
        <f>I19</f>
        <v>0</v>
      </c>
      <c r="BX19" s="2" t="s">
        <v>82</v>
      </c>
    </row>
    <row r="20" spans="1:76" x14ac:dyDescent="0.25">
      <c r="A20" s="38" t="s">
        <v>85</v>
      </c>
      <c r="B20" s="38" t="s">
        <v>57</v>
      </c>
      <c r="C20" s="38" t="s">
        <v>86</v>
      </c>
      <c r="D20" s="52" t="s">
        <v>87</v>
      </c>
      <c r="E20" s="53"/>
      <c r="F20" s="38" t="s">
        <v>83</v>
      </c>
      <c r="G20" s="39">
        <v>264</v>
      </c>
      <c r="H20" s="39"/>
      <c r="I20" s="40"/>
      <c r="J20" s="39"/>
      <c r="K20" s="39"/>
      <c r="L20" s="39"/>
      <c r="M20" s="39"/>
      <c r="N20" s="39">
        <v>0</v>
      </c>
      <c r="O20" s="39">
        <f>G20*N20</f>
        <v>0</v>
      </c>
      <c r="P20" s="41"/>
      <c r="Z20" s="9">
        <f>ROUND(IF(AQ20="5",BJ20,0),2)</f>
        <v>0</v>
      </c>
      <c r="AB20" s="9">
        <f>ROUND(IF(AQ20="1",BH20,0),2)</f>
        <v>0</v>
      </c>
      <c r="AC20" s="9">
        <f>ROUND(IF(AQ20="1",BI20,0),2)</f>
        <v>0</v>
      </c>
      <c r="AD20" s="9">
        <f>ROUND(IF(AQ20="7",BH20,0),2)</f>
        <v>0</v>
      </c>
      <c r="AE20" s="9">
        <f>ROUND(IF(AQ20="7",BI20,0),2)</f>
        <v>0</v>
      </c>
      <c r="AF20" s="9">
        <f>ROUND(IF(AQ20="2",BH20,0),2)</f>
        <v>0</v>
      </c>
      <c r="AG20" s="9">
        <f>ROUND(IF(AQ20="2",BI20,0),2)</f>
        <v>0</v>
      </c>
      <c r="AH20" s="9">
        <f>ROUND(IF(AQ20="0",BJ20,0),2)</f>
        <v>0</v>
      </c>
      <c r="AI20" s="7" t="s">
        <v>57</v>
      </c>
      <c r="AJ20" s="9">
        <f>IF(AN20=0,L20,0)</f>
        <v>0</v>
      </c>
      <c r="AK20" s="9">
        <f>IF(AN20=12,L20,0)</f>
        <v>0</v>
      </c>
      <c r="AL20" s="9">
        <f>IF(AN20=21,L20,0)</f>
        <v>0</v>
      </c>
      <c r="AN20" s="9">
        <v>21</v>
      </c>
      <c r="AO20" s="9">
        <f>H20*0.463668122</f>
        <v>0</v>
      </c>
      <c r="AP20" s="9">
        <f>H20*(1-0.463668122)</f>
        <v>0</v>
      </c>
      <c r="AQ20" s="10" t="s">
        <v>61</v>
      </c>
      <c r="AV20" s="9">
        <f>ROUND(AW20+AX20,2)</f>
        <v>0</v>
      </c>
      <c r="AW20" s="9">
        <f>ROUND(G20*AO20,2)</f>
        <v>0</v>
      </c>
      <c r="AX20" s="9">
        <f>ROUND(G20*AP20,2)</f>
        <v>0</v>
      </c>
      <c r="AY20" s="10" t="s">
        <v>84</v>
      </c>
      <c r="AZ20" s="10" t="s">
        <v>66</v>
      </c>
      <c r="BA20" s="7" t="s">
        <v>67</v>
      </c>
      <c r="BC20" s="9">
        <f>AW20+AX20</f>
        <v>0</v>
      </c>
      <c r="BD20" s="9">
        <f>H20/(100-BE20)*100</f>
        <v>0</v>
      </c>
      <c r="BE20" s="9">
        <v>0</v>
      </c>
      <c r="BF20" s="9">
        <f>O20</f>
        <v>0</v>
      </c>
      <c r="BH20" s="9">
        <f>G20*AO20</f>
        <v>0</v>
      </c>
      <c r="BI20" s="9">
        <f>G20*AP20</f>
        <v>0</v>
      </c>
      <c r="BJ20" s="9">
        <f>G20*H20</f>
        <v>0</v>
      </c>
      <c r="BK20" s="9"/>
      <c r="BL20" s="9">
        <v>95</v>
      </c>
      <c r="BW20" s="9">
        <f>I20</f>
        <v>0</v>
      </c>
      <c r="BX20" s="2" t="s">
        <v>87</v>
      </c>
    </row>
    <row r="21" spans="1:76" x14ac:dyDescent="0.25">
      <c r="A21" s="38" t="s">
        <v>88</v>
      </c>
      <c r="B21" s="38" t="s">
        <v>57</v>
      </c>
      <c r="C21" s="38" t="s">
        <v>89</v>
      </c>
      <c r="D21" s="52" t="s">
        <v>90</v>
      </c>
      <c r="E21" s="53"/>
      <c r="F21" s="38" t="s">
        <v>83</v>
      </c>
      <c r="G21" s="39">
        <v>5</v>
      </c>
      <c r="H21" s="39"/>
      <c r="I21" s="40"/>
      <c r="J21" s="39"/>
      <c r="K21" s="39"/>
      <c r="L21" s="39"/>
      <c r="M21" s="39"/>
      <c r="N21" s="39">
        <v>0.08</v>
      </c>
      <c r="O21" s="39">
        <f>G21*N21</f>
        <v>0.4</v>
      </c>
      <c r="P21" s="41"/>
      <c r="Z21" s="9">
        <f>ROUND(IF(AQ21="5",BJ21,0),2)</f>
        <v>0</v>
      </c>
      <c r="AB21" s="9">
        <f>ROUND(IF(AQ21="1",BH21,0),2)</f>
        <v>0</v>
      </c>
      <c r="AC21" s="9">
        <f>ROUND(IF(AQ21="1",BI21,0),2)</f>
        <v>0</v>
      </c>
      <c r="AD21" s="9">
        <f>ROUND(IF(AQ21="7",BH21,0),2)</f>
        <v>0</v>
      </c>
      <c r="AE21" s="9">
        <f>ROUND(IF(AQ21="7",BI21,0),2)</f>
        <v>0</v>
      </c>
      <c r="AF21" s="9">
        <f>ROUND(IF(AQ21="2",BH21,0),2)</f>
        <v>0</v>
      </c>
      <c r="AG21" s="9">
        <f>ROUND(IF(AQ21="2",BI21,0),2)</f>
        <v>0</v>
      </c>
      <c r="AH21" s="9">
        <f>ROUND(IF(AQ21="0",BJ21,0),2)</f>
        <v>0</v>
      </c>
      <c r="AI21" s="7" t="s">
        <v>57</v>
      </c>
      <c r="AJ21" s="9">
        <f>IF(AN21=0,L21,0)</f>
        <v>0</v>
      </c>
      <c r="AK21" s="9">
        <f>IF(AN21=12,L21,0)</f>
        <v>0</v>
      </c>
      <c r="AL21" s="9">
        <f>IF(AN21=21,L21,0)</f>
        <v>0</v>
      </c>
      <c r="AN21" s="9">
        <v>21</v>
      </c>
      <c r="AO21" s="9">
        <f>H21*0.000091743</f>
        <v>0</v>
      </c>
      <c r="AP21" s="9">
        <f>H21*(1-0.000091743)</f>
        <v>0</v>
      </c>
      <c r="AQ21" s="10" t="s">
        <v>61</v>
      </c>
      <c r="AV21" s="9">
        <f>ROUND(AW21+AX21,2)</f>
        <v>0</v>
      </c>
      <c r="AW21" s="9">
        <f>ROUND(G21*AO21,2)</f>
        <v>0</v>
      </c>
      <c r="AX21" s="9">
        <f>ROUND(G21*AP21,2)</f>
        <v>0</v>
      </c>
      <c r="AY21" s="10" t="s">
        <v>84</v>
      </c>
      <c r="AZ21" s="10" t="s">
        <v>66</v>
      </c>
      <c r="BA21" s="7" t="s">
        <v>67</v>
      </c>
      <c r="BC21" s="9">
        <f>AW21+AX21</f>
        <v>0</v>
      </c>
      <c r="BD21" s="9">
        <f>H21/(100-BE21)*100</f>
        <v>0</v>
      </c>
      <c r="BE21" s="9">
        <v>0</v>
      </c>
      <c r="BF21" s="9">
        <f>O21</f>
        <v>0.4</v>
      </c>
      <c r="BH21" s="9">
        <f>G21*AO21</f>
        <v>0</v>
      </c>
      <c r="BI21" s="9">
        <f>G21*AP21</f>
        <v>0</v>
      </c>
      <c r="BJ21" s="9">
        <f>G21*H21</f>
        <v>0</v>
      </c>
      <c r="BK21" s="9"/>
      <c r="BL21" s="9">
        <v>95</v>
      </c>
      <c r="BW21" s="9">
        <f>I21</f>
        <v>0</v>
      </c>
      <c r="BX21" s="2" t="s">
        <v>90</v>
      </c>
    </row>
    <row r="22" spans="1:76" x14ac:dyDescent="0.25">
      <c r="A22" s="34" t="s">
        <v>56</v>
      </c>
      <c r="B22" s="35" t="s">
        <v>57</v>
      </c>
      <c r="C22" s="35" t="s">
        <v>91</v>
      </c>
      <c r="D22" s="57" t="s">
        <v>92</v>
      </c>
      <c r="E22" s="58"/>
      <c r="F22" s="34" t="s">
        <v>4</v>
      </c>
      <c r="G22" s="34" t="s">
        <v>4</v>
      </c>
      <c r="H22" s="34"/>
      <c r="I22" s="34"/>
      <c r="J22" s="36"/>
      <c r="K22" s="36"/>
      <c r="L22" s="36"/>
      <c r="M22" s="36"/>
      <c r="N22" s="37" t="s">
        <v>56</v>
      </c>
      <c r="O22" s="36">
        <f>SUM(O23:O24)</f>
        <v>3.8537000000000003</v>
      </c>
      <c r="P22" s="37"/>
      <c r="AI22" s="7" t="s">
        <v>57</v>
      </c>
      <c r="AS22" s="1">
        <f>SUM(AJ23:AJ24)</f>
        <v>0</v>
      </c>
      <c r="AT22" s="1">
        <f>SUM(AK23:AK24)</f>
        <v>0</v>
      </c>
      <c r="AU22" s="1">
        <f>SUM(AL23:AL24)</f>
        <v>0</v>
      </c>
    </row>
    <row r="23" spans="1:76" x14ac:dyDescent="0.25">
      <c r="A23" s="38" t="s">
        <v>93</v>
      </c>
      <c r="B23" s="38" t="s">
        <v>57</v>
      </c>
      <c r="C23" s="38" t="s">
        <v>94</v>
      </c>
      <c r="D23" s="52" t="s">
        <v>95</v>
      </c>
      <c r="E23" s="53"/>
      <c r="F23" s="38" t="s">
        <v>64</v>
      </c>
      <c r="G23" s="39">
        <v>43.2</v>
      </c>
      <c r="H23" s="39"/>
      <c r="I23" s="40"/>
      <c r="J23" s="39"/>
      <c r="K23" s="39"/>
      <c r="L23" s="39"/>
      <c r="M23" s="39"/>
      <c r="N23" s="39">
        <v>8.8999999999999996E-2</v>
      </c>
      <c r="O23" s="39">
        <f>G23*N23</f>
        <v>3.8448000000000002</v>
      </c>
      <c r="P23" s="41"/>
      <c r="Z23" s="9">
        <f>ROUND(IF(AQ23="5",BJ23,0),2)</f>
        <v>0</v>
      </c>
      <c r="AB23" s="9">
        <f>ROUND(IF(AQ23="1",BH23,0),2)</f>
        <v>0</v>
      </c>
      <c r="AC23" s="9">
        <f>ROUND(IF(AQ23="1",BI23,0),2)</f>
        <v>0</v>
      </c>
      <c r="AD23" s="9">
        <f>ROUND(IF(AQ23="7",BH23,0),2)</f>
        <v>0</v>
      </c>
      <c r="AE23" s="9">
        <f>ROUND(IF(AQ23="7",BI23,0),2)</f>
        <v>0</v>
      </c>
      <c r="AF23" s="9">
        <f>ROUND(IF(AQ23="2",BH23,0),2)</f>
        <v>0</v>
      </c>
      <c r="AG23" s="9">
        <f>ROUND(IF(AQ23="2",BI23,0),2)</f>
        <v>0</v>
      </c>
      <c r="AH23" s="9">
        <f>ROUND(IF(AQ23="0",BJ23,0),2)</f>
        <v>0</v>
      </c>
      <c r="AI23" s="7" t="s">
        <v>57</v>
      </c>
      <c r="AJ23" s="9">
        <f>IF(AN23=0,L23,0)</f>
        <v>0</v>
      </c>
      <c r="AK23" s="9">
        <f>IF(AN23=12,L23,0)</f>
        <v>0</v>
      </c>
      <c r="AL23" s="9">
        <f>IF(AN23=21,L23,0)</f>
        <v>0</v>
      </c>
      <c r="AN23" s="9">
        <v>21</v>
      </c>
      <c r="AO23" s="9">
        <f>H23*0</f>
        <v>0</v>
      </c>
      <c r="AP23" s="9">
        <f>H23*(1-0)</f>
        <v>0</v>
      </c>
      <c r="AQ23" s="10" t="s">
        <v>61</v>
      </c>
      <c r="AV23" s="9">
        <f>ROUND(AW23+AX23,2)</f>
        <v>0</v>
      </c>
      <c r="AW23" s="9">
        <f>ROUND(G23*AO23,2)</f>
        <v>0</v>
      </c>
      <c r="AX23" s="9">
        <f>ROUND(G23*AP23,2)</f>
        <v>0</v>
      </c>
      <c r="AY23" s="10" t="s">
        <v>96</v>
      </c>
      <c r="AZ23" s="10" t="s">
        <v>66</v>
      </c>
      <c r="BA23" s="7" t="s">
        <v>67</v>
      </c>
      <c r="BC23" s="9">
        <f>AW23+AX23</f>
        <v>0</v>
      </c>
      <c r="BD23" s="9">
        <f>H23/(100-BE23)*100</f>
        <v>0</v>
      </c>
      <c r="BE23" s="9">
        <v>0</v>
      </c>
      <c r="BF23" s="9">
        <f>O23</f>
        <v>3.8448000000000002</v>
      </c>
      <c r="BH23" s="9">
        <f>G23*AO23</f>
        <v>0</v>
      </c>
      <c r="BI23" s="9">
        <f>G23*AP23</f>
        <v>0</v>
      </c>
      <c r="BJ23" s="9">
        <f>G23*H23</f>
        <v>0</v>
      </c>
      <c r="BK23" s="9"/>
      <c r="BL23" s="9">
        <v>97</v>
      </c>
      <c r="BW23" s="9">
        <f>I23</f>
        <v>0</v>
      </c>
      <c r="BX23" s="2" t="s">
        <v>95</v>
      </c>
    </row>
    <row r="24" spans="1:76" x14ac:dyDescent="0.25">
      <c r="A24" s="38" t="s">
        <v>97</v>
      </c>
      <c r="B24" s="38" t="s">
        <v>57</v>
      </c>
      <c r="C24" s="38" t="s">
        <v>98</v>
      </c>
      <c r="D24" s="52" t="s">
        <v>99</v>
      </c>
      <c r="E24" s="53"/>
      <c r="F24" s="38" t="s">
        <v>83</v>
      </c>
      <c r="G24" s="39">
        <v>1</v>
      </c>
      <c r="H24" s="39"/>
      <c r="I24" s="40"/>
      <c r="J24" s="39"/>
      <c r="K24" s="39"/>
      <c r="L24" s="39"/>
      <c r="M24" s="39"/>
      <c r="N24" s="39">
        <v>8.8999999999999999E-3</v>
      </c>
      <c r="O24" s="39">
        <f>G24*N24</f>
        <v>8.8999999999999999E-3</v>
      </c>
      <c r="P24" s="41"/>
      <c r="Z24" s="9">
        <f>ROUND(IF(AQ24="5",BJ24,0),2)</f>
        <v>0</v>
      </c>
      <c r="AB24" s="9">
        <f>ROUND(IF(AQ24="1",BH24,0),2)</f>
        <v>0</v>
      </c>
      <c r="AC24" s="9">
        <f>ROUND(IF(AQ24="1",BI24,0),2)</f>
        <v>0</v>
      </c>
      <c r="AD24" s="9">
        <f>ROUND(IF(AQ24="7",BH24,0),2)</f>
        <v>0</v>
      </c>
      <c r="AE24" s="9">
        <f>ROUND(IF(AQ24="7",BI24,0),2)</f>
        <v>0</v>
      </c>
      <c r="AF24" s="9">
        <f>ROUND(IF(AQ24="2",BH24,0),2)</f>
        <v>0</v>
      </c>
      <c r="AG24" s="9">
        <f>ROUND(IF(AQ24="2",BI24,0),2)</f>
        <v>0</v>
      </c>
      <c r="AH24" s="9">
        <f>ROUND(IF(AQ24="0",BJ24,0),2)</f>
        <v>0</v>
      </c>
      <c r="AI24" s="7" t="s">
        <v>57</v>
      </c>
      <c r="AJ24" s="9">
        <f>IF(AN24=0,L24,0)</f>
        <v>0</v>
      </c>
      <c r="AK24" s="9">
        <f>IF(AN24=12,L24,0)</f>
        <v>0</v>
      </c>
      <c r="AL24" s="9">
        <f>IF(AN24=21,L24,0)</f>
        <v>0</v>
      </c>
      <c r="AN24" s="9">
        <v>21</v>
      </c>
      <c r="AO24" s="9">
        <f>H24*0</f>
        <v>0</v>
      </c>
      <c r="AP24" s="9">
        <f>H24*(1-0)</f>
        <v>0</v>
      </c>
      <c r="AQ24" s="10" t="s">
        <v>61</v>
      </c>
      <c r="AV24" s="9">
        <f>ROUND(AW24+AX24,2)</f>
        <v>0</v>
      </c>
      <c r="AW24" s="9">
        <f>ROUND(G24*AO24,2)</f>
        <v>0</v>
      </c>
      <c r="AX24" s="9">
        <f>ROUND(G24*AP24,2)</f>
        <v>0</v>
      </c>
      <c r="AY24" s="10" t="s">
        <v>96</v>
      </c>
      <c r="AZ24" s="10" t="s">
        <v>66</v>
      </c>
      <c r="BA24" s="7" t="s">
        <v>67</v>
      </c>
      <c r="BC24" s="9">
        <f>AW24+AX24</f>
        <v>0</v>
      </c>
      <c r="BD24" s="9">
        <f>H24/(100-BE24)*100</f>
        <v>0</v>
      </c>
      <c r="BE24" s="9">
        <v>0</v>
      </c>
      <c r="BF24" s="9">
        <f>O24</f>
        <v>8.8999999999999999E-3</v>
      </c>
      <c r="BH24" s="9">
        <f>G24*AO24</f>
        <v>0</v>
      </c>
      <c r="BI24" s="9">
        <f>G24*AP24</f>
        <v>0</v>
      </c>
      <c r="BJ24" s="9">
        <f>G24*H24</f>
        <v>0</v>
      </c>
      <c r="BK24" s="9"/>
      <c r="BL24" s="9">
        <v>97</v>
      </c>
      <c r="BW24" s="9">
        <f>I24</f>
        <v>0</v>
      </c>
      <c r="BX24" s="2" t="s">
        <v>99</v>
      </c>
    </row>
    <row r="25" spans="1:76" x14ac:dyDescent="0.25">
      <c r="A25" s="34" t="s">
        <v>56</v>
      </c>
      <c r="B25" s="35" t="s">
        <v>57</v>
      </c>
      <c r="C25" s="35" t="s">
        <v>100</v>
      </c>
      <c r="D25" s="57" t="s">
        <v>101</v>
      </c>
      <c r="E25" s="58"/>
      <c r="F25" s="34" t="s">
        <v>4</v>
      </c>
      <c r="G25" s="34" t="s">
        <v>4</v>
      </c>
      <c r="H25" s="34"/>
      <c r="I25" s="34"/>
      <c r="J25" s="36"/>
      <c r="K25" s="36"/>
      <c r="L25" s="36"/>
      <c r="M25" s="36"/>
      <c r="N25" s="37" t="s">
        <v>56</v>
      </c>
      <c r="O25" s="36">
        <f>SUM(O26:O26)</f>
        <v>0</v>
      </c>
      <c r="P25" s="37"/>
      <c r="AI25" s="7" t="s">
        <v>57</v>
      </c>
      <c r="AS25" s="1">
        <f>SUM(AJ26:AJ26)</f>
        <v>0</v>
      </c>
      <c r="AT25" s="1">
        <f>SUM(AK26:AK26)</f>
        <v>0</v>
      </c>
      <c r="AU25" s="1">
        <f>SUM(AL26:AL26)</f>
        <v>0</v>
      </c>
    </row>
    <row r="26" spans="1:76" x14ac:dyDescent="0.25">
      <c r="A26" s="38" t="s">
        <v>102</v>
      </c>
      <c r="B26" s="38" t="s">
        <v>57</v>
      </c>
      <c r="C26" s="38" t="s">
        <v>103</v>
      </c>
      <c r="D26" s="52" t="s">
        <v>104</v>
      </c>
      <c r="E26" s="53"/>
      <c r="F26" s="38" t="s">
        <v>105</v>
      </c>
      <c r="G26" s="39">
        <v>73</v>
      </c>
      <c r="H26" s="39"/>
      <c r="I26" s="40"/>
      <c r="J26" s="39"/>
      <c r="K26" s="39"/>
      <c r="L26" s="39"/>
      <c r="M26" s="39"/>
      <c r="N26" s="39">
        <v>0</v>
      </c>
      <c r="O26" s="39">
        <f>G26*N26</f>
        <v>0</v>
      </c>
      <c r="P26" s="41"/>
      <c r="Z26" s="9">
        <f>ROUND(IF(AQ26="5",BJ26,0),2)</f>
        <v>0</v>
      </c>
      <c r="AB26" s="9">
        <f>ROUND(IF(AQ26="1",BH26,0),2)</f>
        <v>0</v>
      </c>
      <c r="AC26" s="9">
        <f>ROUND(IF(AQ26="1",BI26,0),2)</f>
        <v>0</v>
      </c>
      <c r="AD26" s="9">
        <f>ROUND(IF(AQ26="7",BH26,0),2)</f>
        <v>0</v>
      </c>
      <c r="AE26" s="9">
        <f>ROUND(IF(AQ26="7",BI26,0),2)</f>
        <v>0</v>
      </c>
      <c r="AF26" s="9">
        <f>ROUND(IF(AQ26="2",BH26,0),2)</f>
        <v>0</v>
      </c>
      <c r="AG26" s="9">
        <f>ROUND(IF(AQ26="2",BI26,0),2)</f>
        <v>0</v>
      </c>
      <c r="AH26" s="9">
        <f>ROUND(IF(AQ26="0",BJ26,0),2)</f>
        <v>0</v>
      </c>
      <c r="AI26" s="7" t="s">
        <v>57</v>
      </c>
      <c r="AJ26" s="9">
        <f>IF(AN26=0,L26,0)</f>
        <v>0</v>
      </c>
      <c r="AK26" s="9">
        <f>IF(AN26=12,L26,0)</f>
        <v>0</v>
      </c>
      <c r="AL26" s="9">
        <f>IF(AN26=21,L26,0)</f>
        <v>0</v>
      </c>
      <c r="AN26" s="9">
        <v>21</v>
      </c>
      <c r="AO26" s="9">
        <f>H26*0</f>
        <v>0</v>
      </c>
      <c r="AP26" s="9">
        <f>H26*(1-0)</f>
        <v>0</v>
      </c>
      <c r="AQ26" s="10" t="s">
        <v>80</v>
      </c>
      <c r="AV26" s="9">
        <f>ROUND(AW26+AX26,2)</f>
        <v>0</v>
      </c>
      <c r="AW26" s="9">
        <f>ROUND(G26*AO26,2)</f>
        <v>0</v>
      </c>
      <c r="AX26" s="9">
        <f>ROUND(G26*AP26,2)</f>
        <v>0</v>
      </c>
      <c r="AY26" s="10" t="s">
        <v>106</v>
      </c>
      <c r="AZ26" s="10" t="s">
        <v>66</v>
      </c>
      <c r="BA26" s="7" t="s">
        <v>67</v>
      </c>
      <c r="BC26" s="9">
        <f>AW26+AX26</f>
        <v>0</v>
      </c>
      <c r="BD26" s="9">
        <f>H26/(100-BE26)*100</f>
        <v>0</v>
      </c>
      <c r="BE26" s="9">
        <v>0</v>
      </c>
      <c r="BF26" s="9">
        <f>O26</f>
        <v>0</v>
      </c>
      <c r="BH26" s="9">
        <f>G26*AO26</f>
        <v>0</v>
      </c>
      <c r="BI26" s="9">
        <f>G26*AP26</f>
        <v>0</v>
      </c>
      <c r="BJ26" s="9">
        <f>G26*H26</f>
        <v>0</v>
      </c>
      <c r="BK26" s="9"/>
      <c r="BL26" s="9"/>
      <c r="BW26" s="9">
        <f>I26</f>
        <v>0</v>
      </c>
      <c r="BX26" s="2" t="s">
        <v>104</v>
      </c>
    </row>
    <row r="27" spans="1:76" x14ac:dyDescent="0.25">
      <c r="A27" s="34" t="s">
        <v>56</v>
      </c>
      <c r="B27" s="35" t="s">
        <v>57</v>
      </c>
      <c r="C27" s="35" t="s">
        <v>107</v>
      </c>
      <c r="D27" s="57" t="s">
        <v>108</v>
      </c>
      <c r="E27" s="58"/>
      <c r="F27" s="34" t="s">
        <v>4</v>
      </c>
      <c r="G27" s="34" t="s">
        <v>4</v>
      </c>
      <c r="H27" s="34"/>
      <c r="I27" s="34"/>
      <c r="J27" s="36"/>
      <c r="K27" s="36"/>
      <c r="L27" s="36"/>
      <c r="M27" s="36"/>
      <c r="N27" s="37" t="s">
        <v>56</v>
      </c>
      <c r="O27" s="36">
        <f>SUM(O28:O29)</f>
        <v>17.247167999999999</v>
      </c>
      <c r="P27" s="37"/>
      <c r="AI27" s="7" t="s">
        <v>57</v>
      </c>
      <c r="AS27" s="1">
        <f>SUM(AJ28:AJ29)</f>
        <v>0</v>
      </c>
      <c r="AT27" s="1">
        <f>SUM(AK28:AK29)</f>
        <v>0</v>
      </c>
      <c r="AU27" s="1">
        <f>SUM(AL28:AL29)</f>
        <v>0</v>
      </c>
    </row>
    <row r="28" spans="1:76" x14ac:dyDescent="0.25">
      <c r="A28" s="38" t="s">
        <v>109</v>
      </c>
      <c r="B28" s="38" t="s">
        <v>57</v>
      </c>
      <c r="C28" s="38" t="s">
        <v>110</v>
      </c>
      <c r="D28" s="52" t="s">
        <v>111</v>
      </c>
      <c r="E28" s="53"/>
      <c r="F28" s="38" t="s">
        <v>112</v>
      </c>
      <c r="G28" s="39">
        <v>57.6</v>
      </c>
      <c r="H28" s="39"/>
      <c r="I28" s="40"/>
      <c r="J28" s="39"/>
      <c r="K28" s="39"/>
      <c r="L28" s="39"/>
      <c r="M28" s="39"/>
      <c r="N28" s="39">
        <v>0.29942999999999997</v>
      </c>
      <c r="O28" s="39">
        <f>G28*N28</f>
        <v>17.247167999999999</v>
      </c>
      <c r="P28" s="41"/>
      <c r="Z28" s="9">
        <f>ROUND(IF(AQ28="5",BJ28,0),2)</f>
        <v>0</v>
      </c>
      <c r="AB28" s="9">
        <f>ROUND(IF(AQ28="1",BH28,0),2)</f>
        <v>0</v>
      </c>
      <c r="AC28" s="9">
        <f>ROUND(IF(AQ28="1",BI28,0),2)</f>
        <v>0</v>
      </c>
      <c r="AD28" s="9">
        <f>ROUND(IF(AQ28="7",BH28,0),2)</f>
        <v>0</v>
      </c>
      <c r="AE28" s="9">
        <f>ROUND(IF(AQ28="7",BI28,0),2)</f>
        <v>0</v>
      </c>
      <c r="AF28" s="9">
        <f>ROUND(IF(AQ28="2",BH28,0),2)</f>
        <v>0</v>
      </c>
      <c r="AG28" s="9">
        <f>ROUND(IF(AQ28="2",BI28,0),2)</f>
        <v>0</v>
      </c>
      <c r="AH28" s="9">
        <f>ROUND(IF(AQ28="0",BJ28,0),2)</f>
        <v>0</v>
      </c>
      <c r="AI28" s="7" t="s">
        <v>57</v>
      </c>
      <c r="AJ28" s="9">
        <f>IF(AN28=0,L28,0)</f>
        <v>0</v>
      </c>
      <c r="AK28" s="9">
        <f>IF(AN28=12,L28,0)</f>
        <v>0</v>
      </c>
      <c r="AL28" s="9">
        <f>IF(AN28=21,L28,0)</f>
        <v>0</v>
      </c>
      <c r="AN28" s="9">
        <v>21</v>
      </c>
      <c r="AO28" s="9">
        <f>H28*0.18454518</f>
        <v>0</v>
      </c>
      <c r="AP28" s="9">
        <f>H28*(1-0.18454518)</f>
        <v>0</v>
      </c>
      <c r="AQ28" s="10" t="s">
        <v>68</v>
      </c>
      <c r="AV28" s="9">
        <f>ROUND(AW28+AX28,2)</f>
        <v>0</v>
      </c>
      <c r="AW28" s="9">
        <f>ROUND(G28*AO28,2)</f>
        <v>0</v>
      </c>
      <c r="AX28" s="9">
        <f>ROUND(G28*AP28,2)</f>
        <v>0</v>
      </c>
      <c r="AY28" s="10" t="s">
        <v>113</v>
      </c>
      <c r="AZ28" s="10" t="s">
        <v>66</v>
      </c>
      <c r="BA28" s="7" t="s">
        <v>67</v>
      </c>
      <c r="BC28" s="9">
        <f>AW28+AX28</f>
        <v>0</v>
      </c>
      <c r="BD28" s="9">
        <f>H28/(100-BE28)*100</f>
        <v>0</v>
      </c>
      <c r="BE28" s="9">
        <v>0</v>
      </c>
      <c r="BF28" s="9">
        <f>O28</f>
        <v>17.247167999999999</v>
      </c>
      <c r="BH28" s="9">
        <f>G28*AO28</f>
        <v>0</v>
      </c>
      <c r="BI28" s="9">
        <f>G28*AP28</f>
        <v>0</v>
      </c>
      <c r="BJ28" s="9">
        <f>G28*H28</f>
        <v>0</v>
      </c>
      <c r="BK28" s="9"/>
      <c r="BL28" s="9"/>
      <c r="BW28" s="9">
        <f>I28</f>
        <v>0</v>
      </c>
      <c r="BX28" s="2" t="s">
        <v>111</v>
      </c>
    </row>
    <row r="29" spans="1:76" x14ac:dyDescent="0.25">
      <c r="A29" s="38" t="s">
        <v>114</v>
      </c>
      <c r="B29" s="38" t="s">
        <v>57</v>
      </c>
      <c r="C29" s="38" t="s">
        <v>115</v>
      </c>
      <c r="D29" s="52" t="s">
        <v>116</v>
      </c>
      <c r="E29" s="53"/>
      <c r="F29" s="38" t="s">
        <v>112</v>
      </c>
      <c r="G29" s="39">
        <v>57.6</v>
      </c>
      <c r="H29" s="39"/>
      <c r="I29" s="40"/>
      <c r="J29" s="39"/>
      <c r="K29" s="39"/>
      <c r="L29" s="39"/>
      <c r="M29" s="39"/>
      <c r="N29" s="39">
        <v>0</v>
      </c>
      <c r="O29" s="39">
        <f>G29*N29</f>
        <v>0</v>
      </c>
      <c r="P29" s="41"/>
      <c r="Z29" s="9">
        <f>ROUND(IF(AQ29="5",BJ29,0),2)</f>
        <v>0</v>
      </c>
      <c r="AB29" s="9">
        <f>ROUND(IF(AQ29="1",BH29,0),2)</f>
        <v>0</v>
      </c>
      <c r="AC29" s="9">
        <f>ROUND(IF(AQ29="1",BI29,0),2)</f>
        <v>0</v>
      </c>
      <c r="AD29" s="9">
        <f>ROUND(IF(AQ29="7",BH29,0),2)</f>
        <v>0</v>
      </c>
      <c r="AE29" s="9">
        <f>ROUND(IF(AQ29="7",BI29,0),2)</f>
        <v>0</v>
      </c>
      <c r="AF29" s="9">
        <f>ROUND(IF(AQ29="2",BH29,0),2)</f>
        <v>0</v>
      </c>
      <c r="AG29" s="9">
        <f>ROUND(IF(AQ29="2",BI29,0),2)</f>
        <v>0</v>
      </c>
      <c r="AH29" s="9">
        <f>ROUND(IF(AQ29="0",BJ29,0),2)</f>
        <v>0</v>
      </c>
      <c r="AI29" s="7" t="s">
        <v>57</v>
      </c>
      <c r="AJ29" s="9">
        <f>IF(AN29=0,L29,0)</f>
        <v>0</v>
      </c>
      <c r="AK29" s="9">
        <f>IF(AN29=12,L29,0)</f>
        <v>0</v>
      </c>
      <c r="AL29" s="9">
        <f>IF(AN29=21,L29,0)</f>
        <v>0</v>
      </c>
      <c r="AN29" s="9">
        <v>21</v>
      </c>
      <c r="AO29" s="9">
        <f>H29*0</f>
        <v>0</v>
      </c>
      <c r="AP29" s="9">
        <f>H29*(1-0)</f>
        <v>0</v>
      </c>
      <c r="AQ29" s="10" t="s">
        <v>68</v>
      </c>
      <c r="AV29" s="9">
        <f>ROUND(AW29+AX29,2)</f>
        <v>0</v>
      </c>
      <c r="AW29" s="9">
        <f>ROUND(G29*AO29,2)</f>
        <v>0</v>
      </c>
      <c r="AX29" s="9">
        <f>ROUND(G29*AP29,2)</f>
        <v>0</v>
      </c>
      <c r="AY29" s="10" t="s">
        <v>113</v>
      </c>
      <c r="AZ29" s="10" t="s">
        <v>66</v>
      </c>
      <c r="BA29" s="7" t="s">
        <v>67</v>
      </c>
      <c r="BC29" s="9">
        <f>AW29+AX29</f>
        <v>0</v>
      </c>
      <c r="BD29" s="9">
        <f>H29/(100-BE29)*100</f>
        <v>0</v>
      </c>
      <c r="BE29" s="9">
        <v>0</v>
      </c>
      <c r="BF29" s="9">
        <f>O29</f>
        <v>0</v>
      </c>
      <c r="BH29" s="9">
        <f>G29*AO29</f>
        <v>0</v>
      </c>
      <c r="BI29" s="9">
        <f>G29*AP29</f>
        <v>0</v>
      </c>
      <c r="BJ29" s="9">
        <f>G29*H29</f>
        <v>0</v>
      </c>
      <c r="BK29" s="9"/>
      <c r="BL29" s="9"/>
      <c r="BW29" s="9">
        <f>I29</f>
        <v>0</v>
      </c>
      <c r="BX29" s="2" t="s">
        <v>116</v>
      </c>
    </row>
    <row r="30" spans="1:76" x14ac:dyDescent="0.25">
      <c r="A30" s="34" t="s">
        <v>56</v>
      </c>
      <c r="B30" s="35" t="s">
        <v>57</v>
      </c>
      <c r="C30" s="35" t="s">
        <v>117</v>
      </c>
      <c r="D30" s="57" t="s">
        <v>118</v>
      </c>
      <c r="E30" s="58"/>
      <c r="F30" s="34" t="s">
        <v>4</v>
      </c>
      <c r="G30" s="34" t="s">
        <v>4</v>
      </c>
      <c r="H30" s="34"/>
      <c r="I30" s="34"/>
      <c r="J30" s="36"/>
      <c r="K30" s="36"/>
      <c r="L30" s="36"/>
      <c r="M30" s="36"/>
      <c r="N30" s="37" t="s">
        <v>56</v>
      </c>
      <c r="O30" s="36">
        <f>SUM(O31:O37)</f>
        <v>0</v>
      </c>
      <c r="P30" s="37"/>
      <c r="AI30" s="7" t="s">
        <v>57</v>
      </c>
      <c r="AS30" s="1">
        <f>SUM(AJ31:AJ37)</f>
        <v>0</v>
      </c>
      <c r="AT30" s="1">
        <f>SUM(AK31:AK37)</f>
        <v>0</v>
      </c>
      <c r="AU30" s="1">
        <f>SUM(AL31:AL37)</f>
        <v>0</v>
      </c>
    </row>
    <row r="31" spans="1:76" x14ac:dyDescent="0.25">
      <c r="A31" s="38" t="s">
        <v>119</v>
      </c>
      <c r="B31" s="38" t="s">
        <v>57</v>
      </c>
      <c r="C31" s="38" t="s">
        <v>120</v>
      </c>
      <c r="D31" s="52" t="s">
        <v>121</v>
      </c>
      <c r="E31" s="53"/>
      <c r="F31" s="38" t="s">
        <v>112</v>
      </c>
      <c r="G31" s="39">
        <v>136.69999999999999</v>
      </c>
      <c r="H31" s="39"/>
      <c r="I31" s="40"/>
      <c r="J31" s="39"/>
      <c r="K31" s="39"/>
      <c r="L31" s="39"/>
      <c r="M31" s="39"/>
      <c r="N31" s="39">
        <v>0</v>
      </c>
      <c r="O31" s="39">
        <f t="shared" ref="O31:O37" si="0">G31*N31</f>
        <v>0</v>
      </c>
      <c r="P31" s="41"/>
      <c r="Z31" s="9">
        <f t="shared" ref="Z31:Z37" si="1">ROUND(IF(AQ31="5",BJ31,0),2)</f>
        <v>0</v>
      </c>
      <c r="AB31" s="9">
        <f t="shared" ref="AB31:AB37" si="2">ROUND(IF(AQ31="1",BH31,0),2)</f>
        <v>0</v>
      </c>
      <c r="AC31" s="9">
        <f t="shared" ref="AC31:AC37" si="3">ROUND(IF(AQ31="1",BI31,0),2)</f>
        <v>0</v>
      </c>
      <c r="AD31" s="9">
        <f t="shared" ref="AD31:AD37" si="4">ROUND(IF(AQ31="7",BH31,0),2)</f>
        <v>0</v>
      </c>
      <c r="AE31" s="9">
        <f t="shared" ref="AE31:AE37" si="5">ROUND(IF(AQ31="7",BI31,0),2)</f>
        <v>0</v>
      </c>
      <c r="AF31" s="9">
        <f t="shared" ref="AF31:AF37" si="6">ROUND(IF(AQ31="2",BH31,0),2)</f>
        <v>0</v>
      </c>
      <c r="AG31" s="9">
        <f t="shared" ref="AG31:AG37" si="7">ROUND(IF(AQ31="2",BI31,0),2)</f>
        <v>0</v>
      </c>
      <c r="AH31" s="9">
        <f t="shared" ref="AH31:AH37" si="8">ROUND(IF(AQ31="0",BJ31,0),2)</f>
        <v>0</v>
      </c>
      <c r="AI31" s="7" t="s">
        <v>57</v>
      </c>
      <c r="AJ31" s="9">
        <f t="shared" ref="AJ31:AJ37" si="9">IF(AN31=0,L31,0)</f>
        <v>0</v>
      </c>
      <c r="AK31" s="9">
        <f t="shared" ref="AK31:AK37" si="10">IF(AN31=12,L31,0)</f>
        <v>0</v>
      </c>
      <c r="AL31" s="9">
        <f t="shared" ref="AL31:AL37" si="11">IF(AN31=21,L31,0)</f>
        <v>0</v>
      </c>
      <c r="AN31" s="9">
        <v>21</v>
      </c>
      <c r="AO31" s="9">
        <f t="shared" ref="AO31:AO37" si="12">H31*0</f>
        <v>0</v>
      </c>
      <c r="AP31" s="9">
        <f t="shared" ref="AP31:AP37" si="13">H31*(1-0)</f>
        <v>0</v>
      </c>
      <c r="AQ31" s="10" t="s">
        <v>68</v>
      </c>
      <c r="AV31" s="9">
        <f t="shared" ref="AV31:AV37" si="14">ROUND(AW31+AX31,2)</f>
        <v>0</v>
      </c>
      <c r="AW31" s="9">
        <f t="shared" ref="AW31:AW37" si="15">ROUND(G31*AO31,2)</f>
        <v>0</v>
      </c>
      <c r="AX31" s="9">
        <f t="shared" ref="AX31:AX37" si="16">ROUND(G31*AP31,2)</f>
        <v>0</v>
      </c>
      <c r="AY31" s="10" t="s">
        <v>122</v>
      </c>
      <c r="AZ31" s="10" t="s">
        <v>66</v>
      </c>
      <c r="BA31" s="7" t="s">
        <v>67</v>
      </c>
      <c r="BC31" s="9">
        <f t="shared" ref="BC31:BC37" si="17">AW31+AX31</f>
        <v>0</v>
      </c>
      <c r="BD31" s="9">
        <f t="shared" ref="BD31:BD37" si="18">H31/(100-BE31)*100</f>
        <v>0</v>
      </c>
      <c r="BE31" s="9">
        <v>0</v>
      </c>
      <c r="BF31" s="9">
        <f t="shared" ref="BF31:BF37" si="19">O31</f>
        <v>0</v>
      </c>
      <c r="BH31" s="9">
        <f t="shared" ref="BH31:BH37" si="20">G31*AO31</f>
        <v>0</v>
      </c>
      <c r="BI31" s="9">
        <f t="shared" ref="BI31:BI37" si="21">G31*AP31</f>
        <v>0</v>
      </c>
      <c r="BJ31" s="9">
        <f t="shared" ref="BJ31:BJ37" si="22">G31*H31</f>
        <v>0</v>
      </c>
      <c r="BK31" s="9"/>
      <c r="BL31" s="9"/>
      <c r="BW31" s="9">
        <f t="shared" ref="BW31:BW37" si="23">I31</f>
        <v>0</v>
      </c>
      <c r="BX31" s="2" t="s">
        <v>121</v>
      </c>
    </row>
    <row r="32" spans="1:76" x14ac:dyDescent="0.25">
      <c r="A32" s="38" t="s">
        <v>123</v>
      </c>
      <c r="B32" s="38" t="s">
        <v>57</v>
      </c>
      <c r="C32" s="38" t="s">
        <v>124</v>
      </c>
      <c r="D32" s="52" t="s">
        <v>125</v>
      </c>
      <c r="E32" s="53"/>
      <c r="F32" s="38" t="s">
        <v>112</v>
      </c>
      <c r="G32" s="39">
        <v>136.69999999999999</v>
      </c>
      <c r="H32" s="39"/>
      <c r="I32" s="40"/>
      <c r="J32" s="39"/>
      <c r="K32" s="39"/>
      <c r="L32" s="39"/>
      <c r="M32" s="39"/>
      <c r="N32" s="39">
        <v>0</v>
      </c>
      <c r="O32" s="39">
        <f t="shared" si="0"/>
        <v>0</v>
      </c>
      <c r="P32" s="41"/>
      <c r="Z32" s="9">
        <f t="shared" si="1"/>
        <v>0</v>
      </c>
      <c r="AB32" s="9">
        <f t="shared" si="2"/>
        <v>0</v>
      </c>
      <c r="AC32" s="9">
        <f t="shared" si="3"/>
        <v>0</v>
      </c>
      <c r="AD32" s="9">
        <f t="shared" si="4"/>
        <v>0</v>
      </c>
      <c r="AE32" s="9">
        <f t="shared" si="5"/>
        <v>0</v>
      </c>
      <c r="AF32" s="9">
        <f t="shared" si="6"/>
        <v>0</v>
      </c>
      <c r="AG32" s="9">
        <f t="shared" si="7"/>
        <v>0</v>
      </c>
      <c r="AH32" s="9">
        <f t="shared" si="8"/>
        <v>0</v>
      </c>
      <c r="AI32" s="7" t="s">
        <v>57</v>
      </c>
      <c r="AJ32" s="9">
        <f t="shared" si="9"/>
        <v>0</v>
      </c>
      <c r="AK32" s="9">
        <f t="shared" si="10"/>
        <v>0</v>
      </c>
      <c r="AL32" s="9">
        <f t="shared" si="11"/>
        <v>0</v>
      </c>
      <c r="AN32" s="9">
        <v>21</v>
      </c>
      <c r="AO32" s="9">
        <f t="shared" si="12"/>
        <v>0</v>
      </c>
      <c r="AP32" s="9">
        <f t="shared" si="13"/>
        <v>0</v>
      </c>
      <c r="AQ32" s="10" t="s">
        <v>68</v>
      </c>
      <c r="AV32" s="9">
        <f t="shared" si="14"/>
        <v>0</v>
      </c>
      <c r="AW32" s="9">
        <f t="shared" si="15"/>
        <v>0</v>
      </c>
      <c r="AX32" s="9">
        <f t="shared" si="16"/>
        <v>0</v>
      </c>
      <c r="AY32" s="10" t="s">
        <v>122</v>
      </c>
      <c r="AZ32" s="10" t="s">
        <v>66</v>
      </c>
      <c r="BA32" s="7" t="s">
        <v>67</v>
      </c>
      <c r="BC32" s="9">
        <f t="shared" si="17"/>
        <v>0</v>
      </c>
      <c r="BD32" s="9">
        <f t="shared" si="18"/>
        <v>0</v>
      </c>
      <c r="BE32" s="9">
        <v>0</v>
      </c>
      <c r="BF32" s="9">
        <f t="shared" si="19"/>
        <v>0</v>
      </c>
      <c r="BH32" s="9">
        <f t="shared" si="20"/>
        <v>0</v>
      </c>
      <c r="BI32" s="9">
        <f t="shared" si="21"/>
        <v>0</v>
      </c>
      <c r="BJ32" s="9">
        <f t="shared" si="22"/>
        <v>0</v>
      </c>
      <c r="BK32" s="9"/>
      <c r="BL32" s="9"/>
      <c r="BW32" s="9">
        <f t="shared" si="23"/>
        <v>0</v>
      </c>
      <c r="BX32" s="2" t="s">
        <v>125</v>
      </c>
    </row>
    <row r="33" spans="1:76" x14ac:dyDescent="0.25">
      <c r="A33" s="38" t="s">
        <v>126</v>
      </c>
      <c r="B33" s="38" t="s">
        <v>57</v>
      </c>
      <c r="C33" s="38" t="s">
        <v>127</v>
      </c>
      <c r="D33" s="52" t="s">
        <v>128</v>
      </c>
      <c r="E33" s="53"/>
      <c r="F33" s="38" t="s">
        <v>83</v>
      </c>
      <c r="G33" s="39">
        <v>136.69999999999999</v>
      </c>
      <c r="H33" s="39"/>
      <c r="I33" s="40"/>
      <c r="J33" s="39"/>
      <c r="K33" s="39"/>
      <c r="L33" s="39"/>
      <c r="M33" s="39"/>
      <c r="N33" s="39">
        <v>0</v>
      </c>
      <c r="O33" s="39">
        <f t="shared" si="0"/>
        <v>0</v>
      </c>
      <c r="P33" s="41"/>
      <c r="Z33" s="9">
        <f t="shared" si="1"/>
        <v>0</v>
      </c>
      <c r="AB33" s="9">
        <f t="shared" si="2"/>
        <v>0</v>
      </c>
      <c r="AC33" s="9">
        <f t="shared" si="3"/>
        <v>0</v>
      </c>
      <c r="AD33" s="9">
        <f t="shared" si="4"/>
        <v>0</v>
      </c>
      <c r="AE33" s="9">
        <f t="shared" si="5"/>
        <v>0</v>
      </c>
      <c r="AF33" s="9">
        <f t="shared" si="6"/>
        <v>0</v>
      </c>
      <c r="AG33" s="9">
        <f t="shared" si="7"/>
        <v>0</v>
      </c>
      <c r="AH33" s="9">
        <f t="shared" si="8"/>
        <v>0</v>
      </c>
      <c r="AI33" s="7" t="s">
        <v>57</v>
      </c>
      <c r="AJ33" s="9">
        <f t="shared" si="9"/>
        <v>0</v>
      </c>
      <c r="AK33" s="9">
        <f t="shared" si="10"/>
        <v>0</v>
      </c>
      <c r="AL33" s="9">
        <f t="shared" si="11"/>
        <v>0</v>
      </c>
      <c r="AN33" s="9">
        <v>21</v>
      </c>
      <c r="AO33" s="9">
        <f t="shared" si="12"/>
        <v>0</v>
      </c>
      <c r="AP33" s="9">
        <f t="shared" si="13"/>
        <v>0</v>
      </c>
      <c r="AQ33" s="10" t="s">
        <v>68</v>
      </c>
      <c r="AV33" s="9">
        <f t="shared" si="14"/>
        <v>0</v>
      </c>
      <c r="AW33" s="9">
        <f t="shared" si="15"/>
        <v>0</v>
      </c>
      <c r="AX33" s="9">
        <f t="shared" si="16"/>
        <v>0</v>
      </c>
      <c r="AY33" s="10" t="s">
        <v>122</v>
      </c>
      <c r="AZ33" s="10" t="s">
        <v>66</v>
      </c>
      <c r="BA33" s="7" t="s">
        <v>67</v>
      </c>
      <c r="BC33" s="9">
        <f t="shared" si="17"/>
        <v>0</v>
      </c>
      <c r="BD33" s="9">
        <f t="shared" si="18"/>
        <v>0</v>
      </c>
      <c r="BE33" s="9">
        <v>0</v>
      </c>
      <c r="BF33" s="9">
        <f t="shared" si="19"/>
        <v>0</v>
      </c>
      <c r="BH33" s="9">
        <f t="shared" si="20"/>
        <v>0</v>
      </c>
      <c r="BI33" s="9">
        <f t="shared" si="21"/>
        <v>0</v>
      </c>
      <c r="BJ33" s="9">
        <f t="shared" si="22"/>
        <v>0</v>
      </c>
      <c r="BK33" s="9"/>
      <c r="BL33" s="9"/>
      <c r="BW33" s="9">
        <f t="shared" si="23"/>
        <v>0</v>
      </c>
      <c r="BX33" s="2" t="s">
        <v>128</v>
      </c>
    </row>
    <row r="34" spans="1:76" x14ac:dyDescent="0.25">
      <c r="A34" s="38" t="s">
        <v>129</v>
      </c>
      <c r="B34" s="38" t="s">
        <v>57</v>
      </c>
      <c r="C34" s="38" t="s">
        <v>130</v>
      </c>
      <c r="D34" s="52" t="s">
        <v>131</v>
      </c>
      <c r="E34" s="53"/>
      <c r="F34" s="38" t="s">
        <v>112</v>
      </c>
      <c r="G34" s="39">
        <v>136.69999999999999</v>
      </c>
      <c r="H34" s="39"/>
      <c r="I34" s="40"/>
      <c r="J34" s="39"/>
      <c r="K34" s="39"/>
      <c r="L34" s="39"/>
      <c r="M34" s="39"/>
      <c r="N34" s="39">
        <v>0</v>
      </c>
      <c r="O34" s="39">
        <f t="shared" si="0"/>
        <v>0</v>
      </c>
      <c r="P34" s="41"/>
      <c r="Z34" s="9">
        <f t="shared" si="1"/>
        <v>0</v>
      </c>
      <c r="AB34" s="9">
        <f t="shared" si="2"/>
        <v>0</v>
      </c>
      <c r="AC34" s="9">
        <f t="shared" si="3"/>
        <v>0</v>
      </c>
      <c r="AD34" s="9">
        <f t="shared" si="4"/>
        <v>0</v>
      </c>
      <c r="AE34" s="9">
        <f t="shared" si="5"/>
        <v>0</v>
      </c>
      <c r="AF34" s="9">
        <f t="shared" si="6"/>
        <v>0</v>
      </c>
      <c r="AG34" s="9">
        <f t="shared" si="7"/>
        <v>0</v>
      </c>
      <c r="AH34" s="9">
        <f t="shared" si="8"/>
        <v>0</v>
      </c>
      <c r="AI34" s="7" t="s">
        <v>57</v>
      </c>
      <c r="AJ34" s="9">
        <f t="shared" si="9"/>
        <v>0</v>
      </c>
      <c r="AK34" s="9">
        <f t="shared" si="10"/>
        <v>0</v>
      </c>
      <c r="AL34" s="9">
        <f t="shared" si="11"/>
        <v>0</v>
      </c>
      <c r="AN34" s="9">
        <v>21</v>
      </c>
      <c r="AO34" s="9">
        <f t="shared" si="12"/>
        <v>0</v>
      </c>
      <c r="AP34" s="9">
        <f t="shared" si="13"/>
        <v>0</v>
      </c>
      <c r="AQ34" s="10" t="s">
        <v>68</v>
      </c>
      <c r="AV34" s="9">
        <f t="shared" si="14"/>
        <v>0</v>
      </c>
      <c r="AW34" s="9">
        <f t="shared" si="15"/>
        <v>0</v>
      </c>
      <c r="AX34" s="9">
        <f t="shared" si="16"/>
        <v>0</v>
      </c>
      <c r="AY34" s="10" t="s">
        <v>122</v>
      </c>
      <c r="AZ34" s="10" t="s">
        <v>66</v>
      </c>
      <c r="BA34" s="7" t="s">
        <v>67</v>
      </c>
      <c r="BC34" s="9">
        <f t="shared" si="17"/>
        <v>0</v>
      </c>
      <c r="BD34" s="9">
        <f t="shared" si="18"/>
        <v>0</v>
      </c>
      <c r="BE34" s="9">
        <v>0</v>
      </c>
      <c r="BF34" s="9">
        <f t="shared" si="19"/>
        <v>0</v>
      </c>
      <c r="BH34" s="9">
        <f t="shared" si="20"/>
        <v>0</v>
      </c>
      <c r="BI34" s="9">
        <f t="shared" si="21"/>
        <v>0</v>
      </c>
      <c r="BJ34" s="9">
        <f t="shared" si="22"/>
        <v>0</v>
      </c>
      <c r="BK34" s="9"/>
      <c r="BL34" s="9"/>
      <c r="BW34" s="9">
        <f t="shared" si="23"/>
        <v>0</v>
      </c>
      <c r="BX34" s="2" t="s">
        <v>131</v>
      </c>
    </row>
    <row r="35" spans="1:76" x14ac:dyDescent="0.25">
      <c r="A35" s="38" t="s">
        <v>132</v>
      </c>
      <c r="B35" s="38" t="s">
        <v>57</v>
      </c>
      <c r="C35" s="38" t="s">
        <v>133</v>
      </c>
      <c r="D35" s="52" t="s">
        <v>134</v>
      </c>
      <c r="E35" s="53"/>
      <c r="F35" s="38" t="s">
        <v>83</v>
      </c>
      <c r="G35" s="39">
        <v>132</v>
      </c>
      <c r="H35" s="39"/>
      <c r="I35" s="40"/>
      <c r="J35" s="39"/>
      <c r="K35" s="39"/>
      <c r="L35" s="39"/>
      <c r="M35" s="39"/>
      <c r="N35" s="39">
        <v>0</v>
      </c>
      <c r="O35" s="39">
        <f t="shared" si="0"/>
        <v>0</v>
      </c>
      <c r="P35" s="41"/>
      <c r="Z35" s="9">
        <f t="shared" si="1"/>
        <v>0</v>
      </c>
      <c r="AB35" s="9">
        <f t="shared" si="2"/>
        <v>0</v>
      </c>
      <c r="AC35" s="9">
        <f t="shared" si="3"/>
        <v>0</v>
      </c>
      <c r="AD35" s="9">
        <f t="shared" si="4"/>
        <v>0</v>
      </c>
      <c r="AE35" s="9">
        <f t="shared" si="5"/>
        <v>0</v>
      </c>
      <c r="AF35" s="9">
        <f t="shared" si="6"/>
        <v>0</v>
      </c>
      <c r="AG35" s="9">
        <f t="shared" si="7"/>
        <v>0</v>
      </c>
      <c r="AH35" s="9">
        <f t="shared" si="8"/>
        <v>0</v>
      </c>
      <c r="AI35" s="7" t="s">
        <v>57</v>
      </c>
      <c r="AJ35" s="9">
        <f t="shared" si="9"/>
        <v>0</v>
      </c>
      <c r="AK35" s="9">
        <f t="shared" si="10"/>
        <v>0</v>
      </c>
      <c r="AL35" s="9">
        <f t="shared" si="11"/>
        <v>0</v>
      </c>
      <c r="AN35" s="9">
        <v>21</v>
      </c>
      <c r="AO35" s="9">
        <f t="shared" si="12"/>
        <v>0</v>
      </c>
      <c r="AP35" s="9">
        <f t="shared" si="13"/>
        <v>0</v>
      </c>
      <c r="AQ35" s="10" t="s">
        <v>68</v>
      </c>
      <c r="AV35" s="9">
        <f t="shared" si="14"/>
        <v>0</v>
      </c>
      <c r="AW35" s="9">
        <f t="shared" si="15"/>
        <v>0</v>
      </c>
      <c r="AX35" s="9">
        <f t="shared" si="16"/>
        <v>0</v>
      </c>
      <c r="AY35" s="10" t="s">
        <v>122</v>
      </c>
      <c r="AZ35" s="10" t="s">
        <v>66</v>
      </c>
      <c r="BA35" s="7" t="s">
        <v>67</v>
      </c>
      <c r="BC35" s="9">
        <f t="shared" si="17"/>
        <v>0</v>
      </c>
      <c r="BD35" s="9">
        <f t="shared" si="18"/>
        <v>0</v>
      </c>
      <c r="BE35" s="9">
        <v>0</v>
      </c>
      <c r="BF35" s="9">
        <f t="shared" si="19"/>
        <v>0</v>
      </c>
      <c r="BH35" s="9">
        <f t="shared" si="20"/>
        <v>0</v>
      </c>
      <c r="BI35" s="9">
        <f t="shared" si="21"/>
        <v>0</v>
      </c>
      <c r="BJ35" s="9">
        <f t="shared" si="22"/>
        <v>0</v>
      </c>
      <c r="BK35" s="9"/>
      <c r="BL35" s="9"/>
      <c r="BW35" s="9">
        <f t="shared" si="23"/>
        <v>0</v>
      </c>
      <c r="BX35" s="2" t="s">
        <v>134</v>
      </c>
    </row>
    <row r="36" spans="1:76" x14ac:dyDescent="0.25">
      <c r="A36" s="38" t="s">
        <v>135</v>
      </c>
      <c r="B36" s="38" t="s">
        <v>57</v>
      </c>
      <c r="C36" s="38" t="s">
        <v>136</v>
      </c>
      <c r="D36" s="52" t="s">
        <v>137</v>
      </c>
      <c r="E36" s="53"/>
      <c r="F36" s="38" t="s">
        <v>112</v>
      </c>
      <c r="G36" s="39">
        <v>142</v>
      </c>
      <c r="H36" s="39"/>
      <c r="I36" s="40"/>
      <c r="J36" s="39"/>
      <c r="K36" s="39"/>
      <c r="L36" s="39"/>
      <c r="M36" s="39"/>
      <c r="N36" s="39">
        <v>0</v>
      </c>
      <c r="O36" s="39">
        <f t="shared" si="0"/>
        <v>0</v>
      </c>
      <c r="P36" s="41"/>
      <c r="Z36" s="9">
        <f t="shared" si="1"/>
        <v>0</v>
      </c>
      <c r="AB36" s="9">
        <f t="shared" si="2"/>
        <v>0</v>
      </c>
      <c r="AC36" s="9">
        <f t="shared" si="3"/>
        <v>0</v>
      </c>
      <c r="AD36" s="9">
        <f t="shared" si="4"/>
        <v>0</v>
      </c>
      <c r="AE36" s="9">
        <f t="shared" si="5"/>
        <v>0</v>
      </c>
      <c r="AF36" s="9">
        <f t="shared" si="6"/>
        <v>0</v>
      </c>
      <c r="AG36" s="9">
        <f t="shared" si="7"/>
        <v>0</v>
      </c>
      <c r="AH36" s="9">
        <f t="shared" si="8"/>
        <v>0</v>
      </c>
      <c r="AI36" s="7" t="s">
        <v>57</v>
      </c>
      <c r="AJ36" s="9">
        <f t="shared" si="9"/>
        <v>0</v>
      </c>
      <c r="AK36" s="9">
        <f t="shared" si="10"/>
        <v>0</v>
      </c>
      <c r="AL36" s="9">
        <f t="shared" si="11"/>
        <v>0</v>
      </c>
      <c r="AN36" s="9">
        <v>21</v>
      </c>
      <c r="AO36" s="9">
        <f t="shared" si="12"/>
        <v>0</v>
      </c>
      <c r="AP36" s="9">
        <f t="shared" si="13"/>
        <v>0</v>
      </c>
      <c r="AQ36" s="10" t="s">
        <v>68</v>
      </c>
      <c r="AV36" s="9">
        <f t="shared" si="14"/>
        <v>0</v>
      </c>
      <c r="AW36" s="9">
        <f t="shared" si="15"/>
        <v>0</v>
      </c>
      <c r="AX36" s="9">
        <f t="shared" si="16"/>
        <v>0</v>
      </c>
      <c r="AY36" s="10" t="s">
        <v>122</v>
      </c>
      <c r="AZ36" s="10" t="s">
        <v>66</v>
      </c>
      <c r="BA36" s="7" t="s">
        <v>67</v>
      </c>
      <c r="BC36" s="9">
        <f t="shared" si="17"/>
        <v>0</v>
      </c>
      <c r="BD36" s="9">
        <f t="shared" si="18"/>
        <v>0</v>
      </c>
      <c r="BE36" s="9">
        <v>0</v>
      </c>
      <c r="BF36" s="9">
        <f t="shared" si="19"/>
        <v>0</v>
      </c>
      <c r="BH36" s="9">
        <f t="shared" si="20"/>
        <v>0</v>
      </c>
      <c r="BI36" s="9">
        <f t="shared" si="21"/>
        <v>0</v>
      </c>
      <c r="BJ36" s="9">
        <f t="shared" si="22"/>
        <v>0</v>
      </c>
      <c r="BK36" s="9"/>
      <c r="BL36" s="9"/>
      <c r="BW36" s="9">
        <f t="shared" si="23"/>
        <v>0</v>
      </c>
      <c r="BX36" s="2" t="s">
        <v>137</v>
      </c>
    </row>
    <row r="37" spans="1:76" x14ac:dyDescent="0.25">
      <c r="A37" s="38" t="s">
        <v>138</v>
      </c>
      <c r="B37" s="38" t="s">
        <v>57</v>
      </c>
      <c r="C37" s="38" t="s">
        <v>139</v>
      </c>
      <c r="D37" s="52" t="s">
        <v>140</v>
      </c>
      <c r="E37" s="53"/>
      <c r="F37" s="38" t="s">
        <v>83</v>
      </c>
      <c r="G37" s="39">
        <v>132</v>
      </c>
      <c r="H37" s="39"/>
      <c r="I37" s="40"/>
      <c r="J37" s="39"/>
      <c r="K37" s="39"/>
      <c r="L37" s="39"/>
      <c r="M37" s="39"/>
      <c r="N37" s="39">
        <v>0</v>
      </c>
      <c r="O37" s="39">
        <f t="shared" si="0"/>
        <v>0</v>
      </c>
      <c r="P37" s="41"/>
      <c r="Z37" s="9">
        <f t="shared" si="1"/>
        <v>0</v>
      </c>
      <c r="AB37" s="9">
        <f t="shared" si="2"/>
        <v>0</v>
      </c>
      <c r="AC37" s="9">
        <f t="shared" si="3"/>
        <v>0</v>
      </c>
      <c r="AD37" s="9">
        <f t="shared" si="4"/>
        <v>0</v>
      </c>
      <c r="AE37" s="9">
        <f t="shared" si="5"/>
        <v>0</v>
      </c>
      <c r="AF37" s="9">
        <f t="shared" si="6"/>
        <v>0</v>
      </c>
      <c r="AG37" s="9">
        <f t="shared" si="7"/>
        <v>0</v>
      </c>
      <c r="AH37" s="9">
        <f t="shared" si="8"/>
        <v>0</v>
      </c>
      <c r="AI37" s="7" t="s">
        <v>57</v>
      </c>
      <c r="AJ37" s="9">
        <f t="shared" si="9"/>
        <v>0</v>
      </c>
      <c r="AK37" s="9">
        <f t="shared" si="10"/>
        <v>0</v>
      </c>
      <c r="AL37" s="9">
        <f t="shared" si="11"/>
        <v>0</v>
      </c>
      <c r="AN37" s="9">
        <v>21</v>
      </c>
      <c r="AO37" s="9">
        <f t="shared" si="12"/>
        <v>0</v>
      </c>
      <c r="AP37" s="9">
        <f t="shared" si="13"/>
        <v>0</v>
      </c>
      <c r="AQ37" s="10" t="s">
        <v>68</v>
      </c>
      <c r="AV37" s="9">
        <f t="shared" si="14"/>
        <v>0</v>
      </c>
      <c r="AW37" s="9">
        <f t="shared" si="15"/>
        <v>0</v>
      </c>
      <c r="AX37" s="9">
        <f t="shared" si="16"/>
        <v>0</v>
      </c>
      <c r="AY37" s="10" t="s">
        <v>122</v>
      </c>
      <c r="AZ37" s="10" t="s">
        <v>66</v>
      </c>
      <c r="BA37" s="7" t="s">
        <v>67</v>
      </c>
      <c r="BC37" s="9">
        <f t="shared" si="17"/>
        <v>0</v>
      </c>
      <c r="BD37" s="9">
        <f t="shared" si="18"/>
        <v>0</v>
      </c>
      <c r="BE37" s="9">
        <v>0</v>
      </c>
      <c r="BF37" s="9">
        <f t="shared" si="19"/>
        <v>0</v>
      </c>
      <c r="BH37" s="9">
        <f t="shared" si="20"/>
        <v>0</v>
      </c>
      <c r="BI37" s="9">
        <f t="shared" si="21"/>
        <v>0</v>
      </c>
      <c r="BJ37" s="9">
        <f t="shared" si="22"/>
        <v>0</v>
      </c>
      <c r="BK37" s="9"/>
      <c r="BL37" s="9"/>
      <c r="BW37" s="9">
        <f t="shared" si="23"/>
        <v>0</v>
      </c>
      <c r="BX37" s="2" t="s">
        <v>140</v>
      </c>
    </row>
    <row r="38" spans="1:76" x14ac:dyDescent="0.25">
      <c r="A38" s="34" t="s">
        <v>56</v>
      </c>
      <c r="B38" s="35" t="s">
        <v>57</v>
      </c>
      <c r="C38" s="35" t="s">
        <v>141</v>
      </c>
      <c r="D38" s="57" t="s">
        <v>142</v>
      </c>
      <c r="E38" s="58"/>
      <c r="F38" s="34" t="s">
        <v>4</v>
      </c>
      <c r="G38" s="34" t="s">
        <v>4</v>
      </c>
      <c r="H38" s="34"/>
      <c r="I38" s="34"/>
      <c r="J38" s="36"/>
      <c r="K38" s="36"/>
      <c r="L38" s="36"/>
      <c r="M38" s="36"/>
      <c r="N38" s="37" t="s">
        <v>56</v>
      </c>
      <c r="O38" s="36">
        <f>SUM(O39:O49)</f>
        <v>13.269151000000001</v>
      </c>
      <c r="P38" s="37"/>
      <c r="AI38" s="7" t="s">
        <v>57</v>
      </c>
      <c r="AS38" s="1">
        <f>SUM(AJ39:AJ49)</f>
        <v>0</v>
      </c>
      <c r="AT38" s="1">
        <f>SUM(AK39:AK49)</f>
        <v>0</v>
      </c>
      <c r="AU38" s="1">
        <f>SUM(AL39:AL49)</f>
        <v>0</v>
      </c>
    </row>
    <row r="39" spans="1:76" x14ac:dyDescent="0.25">
      <c r="A39" s="38" t="s">
        <v>143</v>
      </c>
      <c r="B39" s="38" t="s">
        <v>57</v>
      </c>
      <c r="C39" s="38" t="s">
        <v>144</v>
      </c>
      <c r="D39" s="52" t="s">
        <v>145</v>
      </c>
      <c r="E39" s="53"/>
      <c r="F39" s="38" t="s">
        <v>64</v>
      </c>
      <c r="G39" s="39">
        <v>823.2</v>
      </c>
      <c r="H39" s="39"/>
      <c r="I39" s="40"/>
      <c r="J39" s="39"/>
      <c r="K39" s="39"/>
      <c r="L39" s="39"/>
      <c r="M39" s="39"/>
      <c r="N39" s="39">
        <v>2.0000000000000002E-5</v>
      </c>
      <c r="O39" s="39">
        <f t="shared" ref="O39:O49" si="24">G39*N39</f>
        <v>1.6464000000000003E-2</v>
      </c>
      <c r="P39" s="41"/>
      <c r="Z39" s="9">
        <f t="shared" ref="Z39:Z49" si="25">ROUND(IF(AQ39="5",BJ39,0),2)</f>
        <v>0</v>
      </c>
      <c r="AB39" s="9">
        <f t="shared" ref="AB39:AB49" si="26">ROUND(IF(AQ39="1",BH39,0),2)</f>
        <v>0</v>
      </c>
      <c r="AC39" s="9">
        <f t="shared" ref="AC39:AC49" si="27">ROUND(IF(AQ39="1",BI39,0),2)</f>
        <v>0</v>
      </c>
      <c r="AD39" s="9">
        <f t="shared" ref="AD39:AD49" si="28">ROUND(IF(AQ39="7",BH39,0),2)</f>
        <v>0</v>
      </c>
      <c r="AE39" s="9">
        <f t="shared" ref="AE39:AE49" si="29">ROUND(IF(AQ39="7",BI39,0),2)</f>
        <v>0</v>
      </c>
      <c r="AF39" s="9">
        <f t="shared" ref="AF39:AF49" si="30">ROUND(IF(AQ39="2",BH39,0),2)</f>
        <v>0</v>
      </c>
      <c r="AG39" s="9">
        <f t="shared" ref="AG39:AG49" si="31">ROUND(IF(AQ39="2",BI39,0),2)</f>
        <v>0</v>
      </c>
      <c r="AH39" s="9">
        <f t="shared" ref="AH39:AH49" si="32">ROUND(IF(AQ39="0",BJ39,0),2)</f>
        <v>0</v>
      </c>
      <c r="AI39" s="7" t="s">
        <v>57</v>
      </c>
      <c r="AJ39" s="9">
        <f t="shared" ref="AJ39:AJ49" si="33">IF(AN39=0,L39,0)</f>
        <v>0</v>
      </c>
      <c r="AK39" s="9">
        <f t="shared" ref="AK39:AK49" si="34">IF(AN39=12,L39,0)</f>
        <v>0</v>
      </c>
      <c r="AL39" s="9">
        <f t="shared" ref="AL39:AL49" si="35">IF(AN39=21,L39,0)</f>
        <v>0</v>
      </c>
      <c r="AN39" s="9">
        <v>21</v>
      </c>
      <c r="AO39" s="9">
        <f>H39*0.071561126</f>
        <v>0</v>
      </c>
      <c r="AP39" s="9">
        <f>H39*(1-0.071561126)</f>
        <v>0</v>
      </c>
      <c r="AQ39" s="10" t="s">
        <v>61</v>
      </c>
      <c r="AV39" s="9">
        <f t="shared" ref="AV39:AV49" si="36">ROUND(AW39+AX39,2)</f>
        <v>0</v>
      </c>
      <c r="AW39" s="9">
        <f t="shared" ref="AW39:AW49" si="37">ROUND(G39*AO39,2)</f>
        <v>0</v>
      </c>
      <c r="AX39" s="9">
        <f t="shared" ref="AX39:AX49" si="38">ROUND(G39*AP39,2)</f>
        <v>0</v>
      </c>
      <c r="AY39" s="10" t="s">
        <v>146</v>
      </c>
      <c r="AZ39" s="10" t="s">
        <v>147</v>
      </c>
      <c r="BA39" s="7" t="s">
        <v>67</v>
      </c>
      <c r="BC39" s="9">
        <f t="shared" ref="BC39:BC49" si="39">AW39+AX39</f>
        <v>0</v>
      </c>
      <c r="BD39" s="9">
        <f t="shared" ref="BD39:BD49" si="40">H39/(100-BE39)*100</f>
        <v>0</v>
      </c>
      <c r="BE39" s="9">
        <v>0</v>
      </c>
      <c r="BF39" s="9">
        <f t="shared" ref="BF39:BF49" si="41">O39</f>
        <v>1.6464000000000003E-2</v>
      </c>
      <c r="BH39" s="9">
        <f t="shared" ref="BH39:BH49" si="42">G39*AO39</f>
        <v>0</v>
      </c>
      <c r="BI39" s="9">
        <f t="shared" ref="BI39:BI49" si="43">G39*AP39</f>
        <v>0</v>
      </c>
      <c r="BJ39" s="9">
        <f t="shared" ref="BJ39:BJ49" si="44">G39*H39</f>
        <v>0</v>
      </c>
      <c r="BK39" s="9"/>
      <c r="BL39" s="9">
        <v>62</v>
      </c>
      <c r="BW39" s="9">
        <f t="shared" ref="BW39:BW49" si="45">I39</f>
        <v>0</v>
      </c>
      <c r="BX39" s="2" t="s">
        <v>145</v>
      </c>
    </row>
    <row r="40" spans="1:76" x14ac:dyDescent="0.25">
      <c r="A40" s="38" t="s">
        <v>148</v>
      </c>
      <c r="B40" s="38" t="s">
        <v>57</v>
      </c>
      <c r="C40" s="38" t="s">
        <v>149</v>
      </c>
      <c r="D40" s="52" t="s">
        <v>150</v>
      </c>
      <c r="E40" s="53"/>
      <c r="F40" s="38" t="s">
        <v>64</v>
      </c>
      <c r="G40" s="39">
        <v>42.4</v>
      </c>
      <c r="H40" s="39"/>
      <c r="I40" s="40"/>
      <c r="J40" s="39"/>
      <c r="K40" s="39"/>
      <c r="L40" s="39"/>
      <c r="M40" s="39"/>
      <c r="N40" s="39">
        <v>4.0000000000000003E-5</v>
      </c>
      <c r="O40" s="39">
        <f t="shared" si="24"/>
        <v>1.696E-3</v>
      </c>
      <c r="P40" s="41"/>
      <c r="Z40" s="9">
        <f t="shared" si="25"/>
        <v>0</v>
      </c>
      <c r="AB40" s="9">
        <f t="shared" si="26"/>
        <v>0</v>
      </c>
      <c r="AC40" s="9">
        <f t="shared" si="27"/>
        <v>0</v>
      </c>
      <c r="AD40" s="9">
        <f t="shared" si="28"/>
        <v>0</v>
      </c>
      <c r="AE40" s="9">
        <f t="shared" si="29"/>
        <v>0</v>
      </c>
      <c r="AF40" s="9">
        <f t="shared" si="30"/>
        <v>0</v>
      </c>
      <c r="AG40" s="9">
        <f t="shared" si="31"/>
        <v>0</v>
      </c>
      <c r="AH40" s="9">
        <f t="shared" si="32"/>
        <v>0</v>
      </c>
      <c r="AI40" s="7" t="s">
        <v>57</v>
      </c>
      <c r="AJ40" s="9">
        <f t="shared" si="33"/>
        <v>0</v>
      </c>
      <c r="AK40" s="9">
        <f t="shared" si="34"/>
        <v>0</v>
      </c>
      <c r="AL40" s="9">
        <f t="shared" si="35"/>
        <v>0</v>
      </c>
      <c r="AN40" s="9">
        <v>21</v>
      </c>
      <c r="AO40" s="9">
        <f>H40*0.322160149</f>
        <v>0</v>
      </c>
      <c r="AP40" s="9">
        <f>H40*(1-0.322160149)</f>
        <v>0</v>
      </c>
      <c r="AQ40" s="10" t="s">
        <v>61</v>
      </c>
      <c r="AV40" s="9">
        <f t="shared" si="36"/>
        <v>0</v>
      </c>
      <c r="AW40" s="9">
        <f t="shared" si="37"/>
        <v>0</v>
      </c>
      <c r="AX40" s="9">
        <f t="shared" si="38"/>
        <v>0</v>
      </c>
      <c r="AY40" s="10" t="s">
        <v>146</v>
      </c>
      <c r="AZ40" s="10" t="s">
        <v>147</v>
      </c>
      <c r="BA40" s="7" t="s">
        <v>67</v>
      </c>
      <c r="BC40" s="9">
        <f t="shared" si="39"/>
        <v>0</v>
      </c>
      <c r="BD40" s="9">
        <f t="shared" si="40"/>
        <v>0</v>
      </c>
      <c r="BE40" s="9">
        <v>0</v>
      </c>
      <c r="BF40" s="9">
        <f t="shared" si="41"/>
        <v>1.696E-3</v>
      </c>
      <c r="BH40" s="9">
        <f t="shared" si="42"/>
        <v>0</v>
      </c>
      <c r="BI40" s="9">
        <f t="shared" si="43"/>
        <v>0</v>
      </c>
      <c r="BJ40" s="9">
        <f t="shared" si="44"/>
        <v>0</v>
      </c>
      <c r="BK40" s="9"/>
      <c r="BL40" s="9">
        <v>62</v>
      </c>
      <c r="BW40" s="9">
        <f t="shared" si="45"/>
        <v>0</v>
      </c>
      <c r="BX40" s="2" t="s">
        <v>150</v>
      </c>
    </row>
    <row r="41" spans="1:76" x14ac:dyDescent="0.25">
      <c r="A41" s="38" t="s">
        <v>151</v>
      </c>
      <c r="B41" s="38" t="s">
        <v>57</v>
      </c>
      <c r="C41" s="38" t="s">
        <v>152</v>
      </c>
      <c r="D41" s="52" t="s">
        <v>153</v>
      </c>
      <c r="E41" s="53"/>
      <c r="F41" s="38" t="s">
        <v>112</v>
      </c>
      <c r="G41" s="39">
        <v>38</v>
      </c>
      <c r="H41" s="39"/>
      <c r="I41" s="40"/>
      <c r="J41" s="39"/>
      <c r="K41" s="39"/>
      <c r="L41" s="39"/>
      <c r="M41" s="39"/>
      <c r="N41" s="39">
        <v>1.1E-4</v>
      </c>
      <c r="O41" s="39">
        <f t="shared" si="24"/>
        <v>4.1800000000000006E-3</v>
      </c>
      <c r="P41" s="41"/>
      <c r="Z41" s="9">
        <f t="shared" si="25"/>
        <v>0</v>
      </c>
      <c r="AB41" s="9">
        <f t="shared" si="26"/>
        <v>0</v>
      </c>
      <c r="AC41" s="9">
        <f t="shared" si="27"/>
        <v>0</v>
      </c>
      <c r="AD41" s="9">
        <f t="shared" si="28"/>
        <v>0</v>
      </c>
      <c r="AE41" s="9">
        <f t="shared" si="29"/>
        <v>0</v>
      </c>
      <c r="AF41" s="9">
        <f t="shared" si="30"/>
        <v>0</v>
      </c>
      <c r="AG41" s="9">
        <f t="shared" si="31"/>
        <v>0</v>
      </c>
      <c r="AH41" s="9">
        <f t="shared" si="32"/>
        <v>0</v>
      </c>
      <c r="AI41" s="7" t="s">
        <v>57</v>
      </c>
      <c r="AJ41" s="9">
        <f t="shared" si="33"/>
        <v>0</v>
      </c>
      <c r="AK41" s="9">
        <f t="shared" si="34"/>
        <v>0</v>
      </c>
      <c r="AL41" s="9">
        <f t="shared" si="35"/>
        <v>0</v>
      </c>
      <c r="AN41" s="9">
        <v>21</v>
      </c>
      <c r="AO41" s="9">
        <f>H41*0.735841346</f>
        <v>0</v>
      </c>
      <c r="AP41" s="9">
        <f>H41*(1-0.735841346)</f>
        <v>0</v>
      </c>
      <c r="AQ41" s="10" t="s">
        <v>61</v>
      </c>
      <c r="AV41" s="9">
        <f t="shared" si="36"/>
        <v>0</v>
      </c>
      <c r="AW41" s="9">
        <f t="shared" si="37"/>
        <v>0</v>
      </c>
      <c r="AX41" s="9">
        <f t="shared" si="38"/>
        <v>0</v>
      </c>
      <c r="AY41" s="10" t="s">
        <v>146</v>
      </c>
      <c r="AZ41" s="10" t="s">
        <v>147</v>
      </c>
      <c r="BA41" s="7" t="s">
        <v>67</v>
      </c>
      <c r="BC41" s="9">
        <f t="shared" si="39"/>
        <v>0</v>
      </c>
      <c r="BD41" s="9">
        <f t="shared" si="40"/>
        <v>0</v>
      </c>
      <c r="BE41" s="9">
        <v>0</v>
      </c>
      <c r="BF41" s="9">
        <f t="shared" si="41"/>
        <v>4.1800000000000006E-3</v>
      </c>
      <c r="BH41" s="9">
        <f t="shared" si="42"/>
        <v>0</v>
      </c>
      <c r="BI41" s="9">
        <f t="shared" si="43"/>
        <v>0</v>
      </c>
      <c r="BJ41" s="9">
        <f t="shared" si="44"/>
        <v>0</v>
      </c>
      <c r="BK41" s="9"/>
      <c r="BL41" s="9">
        <v>62</v>
      </c>
      <c r="BW41" s="9">
        <f t="shared" si="45"/>
        <v>0</v>
      </c>
      <c r="BX41" s="2" t="s">
        <v>153</v>
      </c>
    </row>
    <row r="42" spans="1:76" x14ac:dyDescent="0.25">
      <c r="A42" s="38" t="s">
        <v>154</v>
      </c>
      <c r="B42" s="38" t="s">
        <v>57</v>
      </c>
      <c r="C42" s="38" t="s">
        <v>155</v>
      </c>
      <c r="D42" s="52" t="s">
        <v>156</v>
      </c>
      <c r="E42" s="53"/>
      <c r="F42" s="38" t="s">
        <v>112</v>
      </c>
      <c r="G42" s="39">
        <v>208</v>
      </c>
      <c r="H42" s="39"/>
      <c r="I42" s="40"/>
      <c r="J42" s="39"/>
      <c r="K42" s="39"/>
      <c r="L42" s="39"/>
      <c r="M42" s="39"/>
      <c r="N42" s="39">
        <v>1.1E-4</v>
      </c>
      <c r="O42" s="39">
        <f t="shared" si="24"/>
        <v>2.2880000000000001E-2</v>
      </c>
      <c r="P42" s="41"/>
      <c r="Z42" s="9">
        <f t="shared" si="25"/>
        <v>0</v>
      </c>
      <c r="AB42" s="9">
        <f t="shared" si="26"/>
        <v>0</v>
      </c>
      <c r="AC42" s="9">
        <f t="shared" si="27"/>
        <v>0</v>
      </c>
      <c r="AD42" s="9">
        <f t="shared" si="28"/>
        <v>0</v>
      </c>
      <c r="AE42" s="9">
        <f t="shared" si="29"/>
        <v>0</v>
      </c>
      <c r="AF42" s="9">
        <f t="shared" si="30"/>
        <v>0</v>
      </c>
      <c r="AG42" s="9">
        <f t="shared" si="31"/>
        <v>0</v>
      </c>
      <c r="AH42" s="9">
        <f t="shared" si="32"/>
        <v>0</v>
      </c>
      <c r="AI42" s="7" t="s">
        <v>57</v>
      </c>
      <c r="AJ42" s="9">
        <f t="shared" si="33"/>
        <v>0</v>
      </c>
      <c r="AK42" s="9">
        <f t="shared" si="34"/>
        <v>0</v>
      </c>
      <c r="AL42" s="9">
        <f t="shared" si="35"/>
        <v>0</v>
      </c>
      <c r="AN42" s="9">
        <v>21</v>
      </c>
      <c r="AO42" s="9">
        <f>H42*0.282016807</f>
        <v>0</v>
      </c>
      <c r="AP42" s="9">
        <f>H42*(1-0.282016807)</f>
        <v>0</v>
      </c>
      <c r="AQ42" s="10" t="s">
        <v>61</v>
      </c>
      <c r="AV42" s="9">
        <f t="shared" si="36"/>
        <v>0</v>
      </c>
      <c r="AW42" s="9">
        <f t="shared" si="37"/>
        <v>0</v>
      </c>
      <c r="AX42" s="9">
        <f t="shared" si="38"/>
        <v>0</v>
      </c>
      <c r="AY42" s="10" t="s">
        <v>146</v>
      </c>
      <c r="AZ42" s="10" t="s">
        <v>147</v>
      </c>
      <c r="BA42" s="7" t="s">
        <v>67</v>
      </c>
      <c r="BC42" s="9">
        <f t="shared" si="39"/>
        <v>0</v>
      </c>
      <c r="BD42" s="9">
        <f t="shared" si="40"/>
        <v>0</v>
      </c>
      <c r="BE42" s="9">
        <v>0</v>
      </c>
      <c r="BF42" s="9">
        <f t="shared" si="41"/>
        <v>2.2880000000000001E-2</v>
      </c>
      <c r="BH42" s="9">
        <f t="shared" si="42"/>
        <v>0</v>
      </c>
      <c r="BI42" s="9">
        <f t="shared" si="43"/>
        <v>0</v>
      </c>
      <c r="BJ42" s="9">
        <f t="shared" si="44"/>
        <v>0</v>
      </c>
      <c r="BK42" s="9"/>
      <c r="BL42" s="9">
        <v>62</v>
      </c>
      <c r="BW42" s="9">
        <f t="shared" si="45"/>
        <v>0</v>
      </c>
      <c r="BX42" s="2" t="s">
        <v>156</v>
      </c>
    </row>
    <row r="43" spans="1:76" x14ac:dyDescent="0.25">
      <c r="A43" s="38" t="s">
        <v>157</v>
      </c>
      <c r="B43" s="38" t="s">
        <v>57</v>
      </c>
      <c r="C43" s="38" t="s">
        <v>158</v>
      </c>
      <c r="D43" s="52" t="s">
        <v>159</v>
      </c>
      <c r="E43" s="53"/>
      <c r="F43" s="38" t="s">
        <v>64</v>
      </c>
      <c r="G43" s="39">
        <v>823.2</v>
      </c>
      <c r="H43" s="39"/>
      <c r="I43" s="40"/>
      <c r="J43" s="39"/>
      <c r="K43" s="39"/>
      <c r="L43" s="39"/>
      <c r="M43" s="39"/>
      <c r="N43" s="39">
        <v>1.392E-2</v>
      </c>
      <c r="O43" s="39">
        <f t="shared" si="24"/>
        <v>11.458944000000001</v>
      </c>
      <c r="P43" s="41"/>
      <c r="Z43" s="9">
        <f t="shared" si="25"/>
        <v>0</v>
      </c>
      <c r="AB43" s="9">
        <f t="shared" si="26"/>
        <v>0</v>
      </c>
      <c r="AC43" s="9">
        <f t="shared" si="27"/>
        <v>0</v>
      </c>
      <c r="AD43" s="9">
        <f t="shared" si="28"/>
        <v>0</v>
      </c>
      <c r="AE43" s="9">
        <f t="shared" si="29"/>
        <v>0</v>
      </c>
      <c r="AF43" s="9">
        <f t="shared" si="30"/>
        <v>0</v>
      </c>
      <c r="AG43" s="9">
        <f t="shared" si="31"/>
        <v>0</v>
      </c>
      <c r="AH43" s="9">
        <f t="shared" si="32"/>
        <v>0</v>
      </c>
      <c r="AI43" s="7" t="s">
        <v>57</v>
      </c>
      <c r="AJ43" s="9">
        <f t="shared" si="33"/>
        <v>0</v>
      </c>
      <c r="AK43" s="9">
        <f t="shared" si="34"/>
        <v>0</v>
      </c>
      <c r="AL43" s="9">
        <f t="shared" si="35"/>
        <v>0</v>
      </c>
      <c r="AN43" s="9">
        <v>21</v>
      </c>
      <c r="AO43" s="9">
        <f>H43*0.578038968</f>
        <v>0</v>
      </c>
      <c r="AP43" s="9">
        <f>H43*(1-0.578038968)</f>
        <v>0</v>
      </c>
      <c r="AQ43" s="10" t="s">
        <v>61</v>
      </c>
      <c r="AV43" s="9">
        <f t="shared" si="36"/>
        <v>0</v>
      </c>
      <c r="AW43" s="9">
        <f t="shared" si="37"/>
        <v>0</v>
      </c>
      <c r="AX43" s="9">
        <f t="shared" si="38"/>
        <v>0</v>
      </c>
      <c r="AY43" s="10" t="s">
        <v>146</v>
      </c>
      <c r="AZ43" s="10" t="s">
        <v>147</v>
      </c>
      <c r="BA43" s="7" t="s">
        <v>67</v>
      </c>
      <c r="BC43" s="9">
        <f t="shared" si="39"/>
        <v>0</v>
      </c>
      <c r="BD43" s="9">
        <f t="shared" si="40"/>
        <v>0</v>
      </c>
      <c r="BE43" s="9">
        <v>0</v>
      </c>
      <c r="BF43" s="9">
        <f t="shared" si="41"/>
        <v>11.458944000000001</v>
      </c>
      <c r="BH43" s="9">
        <f t="shared" si="42"/>
        <v>0</v>
      </c>
      <c r="BI43" s="9">
        <f t="shared" si="43"/>
        <v>0</v>
      </c>
      <c r="BJ43" s="9">
        <f t="shared" si="44"/>
        <v>0</v>
      </c>
      <c r="BK43" s="9"/>
      <c r="BL43" s="9">
        <v>62</v>
      </c>
      <c r="BW43" s="9">
        <f t="shared" si="45"/>
        <v>0</v>
      </c>
      <c r="BX43" s="2" t="s">
        <v>159</v>
      </c>
    </row>
    <row r="44" spans="1:76" x14ac:dyDescent="0.25">
      <c r="A44" s="38" t="s">
        <v>160</v>
      </c>
      <c r="B44" s="38" t="s">
        <v>57</v>
      </c>
      <c r="C44" s="38" t="s">
        <v>161</v>
      </c>
      <c r="D44" s="52" t="s">
        <v>162</v>
      </c>
      <c r="E44" s="53"/>
      <c r="F44" s="38" t="s">
        <v>64</v>
      </c>
      <c r="G44" s="39">
        <v>85.8</v>
      </c>
      <c r="H44" s="39"/>
      <c r="I44" s="40"/>
      <c r="J44" s="39"/>
      <c r="K44" s="39"/>
      <c r="L44" s="39"/>
      <c r="M44" s="39"/>
      <c r="N44" s="39">
        <v>0</v>
      </c>
      <c r="O44" s="39">
        <f t="shared" si="24"/>
        <v>0</v>
      </c>
      <c r="P44" s="41"/>
      <c r="Z44" s="9">
        <f t="shared" si="25"/>
        <v>0</v>
      </c>
      <c r="AB44" s="9">
        <f t="shared" si="26"/>
        <v>0</v>
      </c>
      <c r="AC44" s="9">
        <f t="shared" si="27"/>
        <v>0</v>
      </c>
      <c r="AD44" s="9">
        <f t="shared" si="28"/>
        <v>0</v>
      </c>
      <c r="AE44" s="9">
        <f t="shared" si="29"/>
        <v>0</v>
      </c>
      <c r="AF44" s="9">
        <f t="shared" si="30"/>
        <v>0</v>
      </c>
      <c r="AG44" s="9">
        <f t="shared" si="31"/>
        <v>0</v>
      </c>
      <c r="AH44" s="9">
        <f t="shared" si="32"/>
        <v>0</v>
      </c>
      <c r="AI44" s="7" t="s">
        <v>57</v>
      </c>
      <c r="AJ44" s="9">
        <f t="shared" si="33"/>
        <v>0</v>
      </c>
      <c r="AK44" s="9">
        <f t="shared" si="34"/>
        <v>0</v>
      </c>
      <c r="AL44" s="9">
        <f t="shared" si="35"/>
        <v>0</v>
      </c>
      <c r="AN44" s="9">
        <v>21</v>
      </c>
      <c r="AO44" s="9">
        <f>H44*0.682866577</f>
        <v>0</v>
      </c>
      <c r="AP44" s="9">
        <f>H44*(1-0.682866577)</f>
        <v>0</v>
      </c>
      <c r="AQ44" s="10" t="s">
        <v>61</v>
      </c>
      <c r="AV44" s="9">
        <f t="shared" si="36"/>
        <v>0</v>
      </c>
      <c r="AW44" s="9">
        <f t="shared" si="37"/>
        <v>0</v>
      </c>
      <c r="AX44" s="9">
        <f t="shared" si="38"/>
        <v>0</v>
      </c>
      <c r="AY44" s="10" t="s">
        <v>146</v>
      </c>
      <c r="AZ44" s="10" t="s">
        <v>147</v>
      </c>
      <c r="BA44" s="7" t="s">
        <v>67</v>
      </c>
      <c r="BC44" s="9">
        <f t="shared" si="39"/>
        <v>0</v>
      </c>
      <c r="BD44" s="9">
        <f t="shared" si="40"/>
        <v>0</v>
      </c>
      <c r="BE44" s="9">
        <v>0</v>
      </c>
      <c r="BF44" s="9">
        <f t="shared" si="41"/>
        <v>0</v>
      </c>
      <c r="BH44" s="9">
        <f t="shared" si="42"/>
        <v>0</v>
      </c>
      <c r="BI44" s="9">
        <f t="shared" si="43"/>
        <v>0</v>
      </c>
      <c r="BJ44" s="9">
        <f t="shared" si="44"/>
        <v>0</v>
      </c>
      <c r="BK44" s="9"/>
      <c r="BL44" s="9">
        <v>62</v>
      </c>
      <c r="BW44" s="9">
        <f t="shared" si="45"/>
        <v>0</v>
      </c>
      <c r="BX44" s="2" t="s">
        <v>162</v>
      </c>
    </row>
    <row r="45" spans="1:76" x14ac:dyDescent="0.25">
      <c r="A45" s="38" t="s">
        <v>163</v>
      </c>
      <c r="B45" s="38" t="s">
        <v>57</v>
      </c>
      <c r="C45" s="38" t="s">
        <v>164</v>
      </c>
      <c r="D45" s="52" t="s">
        <v>165</v>
      </c>
      <c r="E45" s="53"/>
      <c r="F45" s="38" t="s">
        <v>112</v>
      </c>
      <c r="G45" s="39">
        <v>152</v>
      </c>
      <c r="H45" s="39"/>
      <c r="I45" s="40"/>
      <c r="J45" s="39"/>
      <c r="K45" s="39"/>
      <c r="L45" s="39"/>
      <c r="M45" s="39"/>
      <c r="N45" s="39">
        <v>8.4999999999999995E-4</v>
      </c>
      <c r="O45" s="39">
        <f t="shared" si="24"/>
        <v>0.12919999999999998</v>
      </c>
      <c r="P45" s="41"/>
      <c r="Z45" s="9">
        <f t="shared" si="25"/>
        <v>0</v>
      </c>
      <c r="AB45" s="9">
        <f t="shared" si="26"/>
        <v>0</v>
      </c>
      <c r="AC45" s="9">
        <f t="shared" si="27"/>
        <v>0</v>
      </c>
      <c r="AD45" s="9">
        <f t="shared" si="28"/>
        <v>0</v>
      </c>
      <c r="AE45" s="9">
        <f t="shared" si="29"/>
        <v>0</v>
      </c>
      <c r="AF45" s="9">
        <f t="shared" si="30"/>
        <v>0</v>
      </c>
      <c r="AG45" s="9">
        <f t="shared" si="31"/>
        <v>0</v>
      </c>
      <c r="AH45" s="9">
        <f t="shared" si="32"/>
        <v>0</v>
      </c>
      <c r="AI45" s="7" t="s">
        <v>57</v>
      </c>
      <c r="AJ45" s="9">
        <f t="shared" si="33"/>
        <v>0</v>
      </c>
      <c r="AK45" s="9">
        <f t="shared" si="34"/>
        <v>0</v>
      </c>
      <c r="AL45" s="9">
        <f t="shared" si="35"/>
        <v>0</v>
      </c>
      <c r="AN45" s="9">
        <v>21</v>
      </c>
      <c r="AO45" s="9">
        <f>H45*0.672116183</f>
        <v>0</v>
      </c>
      <c r="AP45" s="9">
        <f>H45*(1-0.672116183)</f>
        <v>0</v>
      </c>
      <c r="AQ45" s="10" t="s">
        <v>61</v>
      </c>
      <c r="AV45" s="9">
        <f t="shared" si="36"/>
        <v>0</v>
      </c>
      <c r="AW45" s="9">
        <f t="shared" si="37"/>
        <v>0</v>
      </c>
      <c r="AX45" s="9">
        <f t="shared" si="38"/>
        <v>0</v>
      </c>
      <c r="AY45" s="10" t="s">
        <v>146</v>
      </c>
      <c r="AZ45" s="10" t="s">
        <v>147</v>
      </c>
      <c r="BA45" s="7" t="s">
        <v>67</v>
      </c>
      <c r="BC45" s="9">
        <f t="shared" si="39"/>
        <v>0</v>
      </c>
      <c r="BD45" s="9">
        <f t="shared" si="40"/>
        <v>0</v>
      </c>
      <c r="BE45" s="9">
        <v>0</v>
      </c>
      <c r="BF45" s="9">
        <f t="shared" si="41"/>
        <v>0.12919999999999998</v>
      </c>
      <c r="BH45" s="9">
        <f t="shared" si="42"/>
        <v>0</v>
      </c>
      <c r="BI45" s="9">
        <f t="shared" si="43"/>
        <v>0</v>
      </c>
      <c r="BJ45" s="9">
        <f t="shared" si="44"/>
        <v>0</v>
      </c>
      <c r="BK45" s="9"/>
      <c r="BL45" s="9">
        <v>62</v>
      </c>
      <c r="BW45" s="9">
        <f t="shared" si="45"/>
        <v>0</v>
      </c>
      <c r="BX45" s="2" t="s">
        <v>165</v>
      </c>
    </row>
    <row r="46" spans="1:76" x14ac:dyDescent="0.25">
      <c r="A46" s="38" t="s">
        <v>166</v>
      </c>
      <c r="B46" s="38" t="s">
        <v>57</v>
      </c>
      <c r="C46" s="38" t="s">
        <v>167</v>
      </c>
      <c r="D46" s="52" t="s">
        <v>168</v>
      </c>
      <c r="E46" s="53"/>
      <c r="F46" s="38" t="s">
        <v>64</v>
      </c>
      <c r="G46" s="39">
        <v>96.7</v>
      </c>
      <c r="H46" s="39"/>
      <c r="I46" s="40"/>
      <c r="J46" s="39"/>
      <c r="K46" s="39"/>
      <c r="L46" s="39"/>
      <c r="M46" s="39"/>
      <c r="N46" s="39">
        <v>1.272E-2</v>
      </c>
      <c r="O46" s="39">
        <f t="shared" si="24"/>
        <v>1.230024</v>
      </c>
      <c r="P46" s="41"/>
      <c r="Z46" s="9">
        <f t="shared" si="25"/>
        <v>0</v>
      </c>
      <c r="AB46" s="9">
        <f t="shared" si="26"/>
        <v>0</v>
      </c>
      <c r="AC46" s="9">
        <f t="shared" si="27"/>
        <v>0</v>
      </c>
      <c r="AD46" s="9">
        <f t="shared" si="28"/>
        <v>0</v>
      </c>
      <c r="AE46" s="9">
        <f t="shared" si="29"/>
        <v>0</v>
      </c>
      <c r="AF46" s="9">
        <f t="shared" si="30"/>
        <v>0</v>
      </c>
      <c r="AG46" s="9">
        <f t="shared" si="31"/>
        <v>0</v>
      </c>
      <c r="AH46" s="9">
        <f t="shared" si="32"/>
        <v>0</v>
      </c>
      <c r="AI46" s="7" t="s">
        <v>57</v>
      </c>
      <c r="AJ46" s="9">
        <f t="shared" si="33"/>
        <v>0</v>
      </c>
      <c r="AK46" s="9">
        <f t="shared" si="34"/>
        <v>0</v>
      </c>
      <c r="AL46" s="9">
        <f t="shared" si="35"/>
        <v>0</v>
      </c>
      <c r="AN46" s="9">
        <v>21</v>
      </c>
      <c r="AO46" s="9">
        <f>H46*0.484332212</f>
        <v>0</v>
      </c>
      <c r="AP46" s="9">
        <f>H46*(1-0.484332212)</f>
        <v>0</v>
      </c>
      <c r="AQ46" s="10" t="s">
        <v>61</v>
      </c>
      <c r="AV46" s="9">
        <f t="shared" si="36"/>
        <v>0</v>
      </c>
      <c r="AW46" s="9">
        <f t="shared" si="37"/>
        <v>0</v>
      </c>
      <c r="AX46" s="9">
        <f t="shared" si="38"/>
        <v>0</v>
      </c>
      <c r="AY46" s="10" t="s">
        <v>146</v>
      </c>
      <c r="AZ46" s="10" t="s">
        <v>147</v>
      </c>
      <c r="BA46" s="7" t="s">
        <v>67</v>
      </c>
      <c r="BC46" s="9">
        <f t="shared" si="39"/>
        <v>0</v>
      </c>
      <c r="BD46" s="9">
        <f t="shared" si="40"/>
        <v>0</v>
      </c>
      <c r="BE46" s="9">
        <v>0</v>
      </c>
      <c r="BF46" s="9">
        <f t="shared" si="41"/>
        <v>1.230024</v>
      </c>
      <c r="BH46" s="9">
        <f t="shared" si="42"/>
        <v>0</v>
      </c>
      <c r="BI46" s="9">
        <f t="shared" si="43"/>
        <v>0</v>
      </c>
      <c r="BJ46" s="9">
        <f t="shared" si="44"/>
        <v>0</v>
      </c>
      <c r="BK46" s="9"/>
      <c r="BL46" s="9">
        <v>62</v>
      </c>
      <c r="BW46" s="9">
        <f t="shared" si="45"/>
        <v>0</v>
      </c>
      <c r="BX46" s="2" t="s">
        <v>168</v>
      </c>
    </row>
    <row r="47" spans="1:76" x14ac:dyDescent="0.25">
      <c r="A47" s="38" t="s">
        <v>169</v>
      </c>
      <c r="B47" s="38" t="s">
        <v>57</v>
      </c>
      <c r="C47" s="38" t="s">
        <v>170</v>
      </c>
      <c r="D47" s="52" t="s">
        <v>171</v>
      </c>
      <c r="E47" s="53"/>
      <c r="F47" s="38" t="s">
        <v>64</v>
      </c>
      <c r="G47" s="39">
        <v>80</v>
      </c>
      <c r="H47" s="39"/>
      <c r="I47" s="40"/>
      <c r="J47" s="39"/>
      <c r="K47" s="39"/>
      <c r="L47" s="39"/>
      <c r="M47" s="39"/>
      <c r="N47" s="39">
        <v>0</v>
      </c>
      <c r="O47" s="39">
        <f t="shared" si="24"/>
        <v>0</v>
      </c>
      <c r="P47" s="41"/>
      <c r="Z47" s="9">
        <f t="shared" si="25"/>
        <v>0</v>
      </c>
      <c r="AB47" s="9">
        <f t="shared" si="26"/>
        <v>0</v>
      </c>
      <c r="AC47" s="9">
        <f t="shared" si="27"/>
        <v>0</v>
      </c>
      <c r="AD47" s="9">
        <f t="shared" si="28"/>
        <v>0</v>
      </c>
      <c r="AE47" s="9">
        <f t="shared" si="29"/>
        <v>0</v>
      </c>
      <c r="AF47" s="9">
        <f t="shared" si="30"/>
        <v>0</v>
      </c>
      <c r="AG47" s="9">
        <f t="shared" si="31"/>
        <v>0</v>
      </c>
      <c r="AH47" s="9">
        <f t="shared" si="32"/>
        <v>0</v>
      </c>
      <c r="AI47" s="7" t="s">
        <v>57</v>
      </c>
      <c r="AJ47" s="9">
        <f t="shared" si="33"/>
        <v>0</v>
      </c>
      <c r="AK47" s="9">
        <f t="shared" si="34"/>
        <v>0</v>
      </c>
      <c r="AL47" s="9">
        <f t="shared" si="35"/>
        <v>0</v>
      </c>
      <c r="AN47" s="9">
        <v>21</v>
      </c>
      <c r="AO47" s="9">
        <f>H47*0.146370192</f>
        <v>0</v>
      </c>
      <c r="AP47" s="9">
        <f>H47*(1-0.146370192)</f>
        <v>0</v>
      </c>
      <c r="AQ47" s="10" t="s">
        <v>61</v>
      </c>
      <c r="AV47" s="9">
        <f t="shared" si="36"/>
        <v>0</v>
      </c>
      <c r="AW47" s="9">
        <f t="shared" si="37"/>
        <v>0</v>
      </c>
      <c r="AX47" s="9">
        <f t="shared" si="38"/>
        <v>0</v>
      </c>
      <c r="AY47" s="10" t="s">
        <v>146</v>
      </c>
      <c r="AZ47" s="10" t="s">
        <v>147</v>
      </c>
      <c r="BA47" s="7" t="s">
        <v>67</v>
      </c>
      <c r="BC47" s="9">
        <f t="shared" si="39"/>
        <v>0</v>
      </c>
      <c r="BD47" s="9">
        <f t="shared" si="40"/>
        <v>0</v>
      </c>
      <c r="BE47" s="9">
        <v>0</v>
      </c>
      <c r="BF47" s="9">
        <f t="shared" si="41"/>
        <v>0</v>
      </c>
      <c r="BH47" s="9">
        <f t="shared" si="42"/>
        <v>0</v>
      </c>
      <c r="BI47" s="9">
        <f t="shared" si="43"/>
        <v>0</v>
      </c>
      <c r="BJ47" s="9">
        <f t="shared" si="44"/>
        <v>0</v>
      </c>
      <c r="BK47" s="9"/>
      <c r="BL47" s="9">
        <v>62</v>
      </c>
      <c r="BW47" s="9">
        <f t="shared" si="45"/>
        <v>0</v>
      </c>
      <c r="BX47" s="2" t="s">
        <v>171</v>
      </c>
    </row>
    <row r="48" spans="1:76" x14ac:dyDescent="0.25">
      <c r="A48" s="38" t="s">
        <v>172</v>
      </c>
      <c r="B48" s="38" t="s">
        <v>57</v>
      </c>
      <c r="C48" s="38" t="s">
        <v>173</v>
      </c>
      <c r="D48" s="52" t="s">
        <v>174</v>
      </c>
      <c r="E48" s="53"/>
      <c r="F48" s="38" t="s">
        <v>64</v>
      </c>
      <c r="G48" s="39">
        <v>91.3</v>
      </c>
      <c r="H48" s="39"/>
      <c r="I48" s="40"/>
      <c r="J48" s="39"/>
      <c r="K48" s="39"/>
      <c r="L48" s="39"/>
      <c r="M48" s="39"/>
      <c r="N48" s="39">
        <v>1.1999999999999999E-3</v>
      </c>
      <c r="O48" s="39">
        <f t="shared" si="24"/>
        <v>0.10955999999999999</v>
      </c>
      <c r="P48" s="41"/>
      <c r="Z48" s="9">
        <f t="shared" si="25"/>
        <v>0</v>
      </c>
      <c r="AB48" s="9">
        <f t="shared" si="26"/>
        <v>0</v>
      </c>
      <c r="AC48" s="9">
        <f t="shared" si="27"/>
        <v>0</v>
      </c>
      <c r="AD48" s="9">
        <f t="shared" si="28"/>
        <v>0</v>
      </c>
      <c r="AE48" s="9">
        <f t="shared" si="29"/>
        <v>0</v>
      </c>
      <c r="AF48" s="9">
        <f t="shared" si="30"/>
        <v>0</v>
      </c>
      <c r="AG48" s="9">
        <f t="shared" si="31"/>
        <v>0</v>
      </c>
      <c r="AH48" s="9">
        <f t="shared" si="32"/>
        <v>0</v>
      </c>
      <c r="AI48" s="7" t="s">
        <v>57</v>
      </c>
      <c r="AJ48" s="9">
        <f t="shared" si="33"/>
        <v>0</v>
      </c>
      <c r="AK48" s="9">
        <f t="shared" si="34"/>
        <v>0</v>
      </c>
      <c r="AL48" s="9">
        <f t="shared" si="35"/>
        <v>0</v>
      </c>
      <c r="AN48" s="9">
        <v>21</v>
      </c>
      <c r="AO48" s="9">
        <f>H48*1</f>
        <v>0</v>
      </c>
      <c r="AP48" s="9">
        <f>H48*(1-1)</f>
        <v>0</v>
      </c>
      <c r="AQ48" s="10" t="s">
        <v>61</v>
      </c>
      <c r="AV48" s="9">
        <f t="shared" si="36"/>
        <v>0</v>
      </c>
      <c r="AW48" s="9">
        <f t="shared" si="37"/>
        <v>0</v>
      </c>
      <c r="AX48" s="9">
        <f t="shared" si="38"/>
        <v>0</v>
      </c>
      <c r="AY48" s="10" t="s">
        <v>146</v>
      </c>
      <c r="AZ48" s="10" t="s">
        <v>147</v>
      </c>
      <c r="BA48" s="7" t="s">
        <v>67</v>
      </c>
      <c r="BC48" s="9">
        <f t="shared" si="39"/>
        <v>0</v>
      </c>
      <c r="BD48" s="9">
        <f t="shared" si="40"/>
        <v>0</v>
      </c>
      <c r="BE48" s="9">
        <v>0</v>
      </c>
      <c r="BF48" s="9">
        <f t="shared" si="41"/>
        <v>0.10955999999999999</v>
      </c>
      <c r="BH48" s="9">
        <f t="shared" si="42"/>
        <v>0</v>
      </c>
      <c r="BI48" s="9">
        <f t="shared" si="43"/>
        <v>0</v>
      </c>
      <c r="BJ48" s="9">
        <f t="shared" si="44"/>
        <v>0</v>
      </c>
      <c r="BK48" s="9"/>
      <c r="BL48" s="9">
        <v>62</v>
      </c>
      <c r="BW48" s="9">
        <f t="shared" si="45"/>
        <v>0</v>
      </c>
      <c r="BX48" s="2" t="s">
        <v>174</v>
      </c>
    </row>
    <row r="49" spans="1:76" x14ac:dyDescent="0.25">
      <c r="A49" s="38" t="s">
        <v>175</v>
      </c>
      <c r="B49" s="38" t="s">
        <v>57</v>
      </c>
      <c r="C49" s="38" t="s">
        <v>176</v>
      </c>
      <c r="D49" s="52" t="s">
        <v>177</v>
      </c>
      <c r="E49" s="53"/>
      <c r="F49" s="38" t="s">
        <v>64</v>
      </c>
      <c r="G49" s="39">
        <v>27.1</v>
      </c>
      <c r="H49" s="39"/>
      <c r="I49" s="40"/>
      <c r="J49" s="39"/>
      <c r="K49" s="39"/>
      <c r="L49" s="39"/>
      <c r="M49" s="39"/>
      <c r="N49" s="39">
        <v>1.093E-2</v>
      </c>
      <c r="O49" s="39">
        <f t="shared" si="24"/>
        <v>0.29620300000000005</v>
      </c>
      <c r="P49" s="41"/>
      <c r="Z49" s="9">
        <f t="shared" si="25"/>
        <v>0</v>
      </c>
      <c r="AB49" s="9">
        <f t="shared" si="26"/>
        <v>0</v>
      </c>
      <c r="AC49" s="9">
        <f t="shared" si="27"/>
        <v>0</v>
      </c>
      <c r="AD49" s="9">
        <f t="shared" si="28"/>
        <v>0</v>
      </c>
      <c r="AE49" s="9">
        <f t="shared" si="29"/>
        <v>0</v>
      </c>
      <c r="AF49" s="9">
        <f t="shared" si="30"/>
        <v>0</v>
      </c>
      <c r="AG49" s="9">
        <f t="shared" si="31"/>
        <v>0</v>
      </c>
      <c r="AH49" s="9">
        <f t="shared" si="32"/>
        <v>0</v>
      </c>
      <c r="AI49" s="7" t="s">
        <v>57</v>
      </c>
      <c r="AJ49" s="9">
        <f t="shared" si="33"/>
        <v>0</v>
      </c>
      <c r="AK49" s="9">
        <f t="shared" si="34"/>
        <v>0</v>
      </c>
      <c r="AL49" s="9">
        <f t="shared" si="35"/>
        <v>0</v>
      </c>
      <c r="AN49" s="9">
        <v>21</v>
      </c>
      <c r="AO49" s="9">
        <f>H49*0.372107944</f>
        <v>0</v>
      </c>
      <c r="AP49" s="9">
        <f>H49*(1-0.372107944)</f>
        <v>0</v>
      </c>
      <c r="AQ49" s="10" t="s">
        <v>61</v>
      </c>
      <c r="AV49" s="9">
        <f t="shared" si="36"/>
        <v>0</v>
      </c>
      <c r="AW49" s="9">
        <f t="shared" si="37"/>
        <v>0</v>
      </c>
      <c r="AX49" s="9">
        <f t="shared" si="38"/>
        <v>0</v>
      </c>
      <c r="AY49" s="10" t="s">
        <v>146</v>
      </c>
      <c r="AZ49" s="10" t="s">
        <v>147</v>
      </c>
      <c r="BA49" s="7" t="s">
        <v>67</v>
      </c>
      <c r="BC49" s="9">
        <f t="shared" si="39"/>
        <v>0</v>
      </c>
      <c r="BD49" s="9">
        <f t="shared" si="40"/>
        <v>0</v>
      </c>
      <c r="BE49" s="9">
        <v>0</v>
      </c>
      <c r="BF49" s="9">
        <f t="shared" si="41"/>
        <v>0.29620300000000005</v>
      </c>
      <c r="BH49" s="9">
        <f t="shared" si="42"/>
        <v>0</v>
      </c>
      <c r="BI49" s="9">
        <f t="shared" si="43"/>
        <v>0</v>
      </c>
      <c r="BJ49" s="9">
        <f t="shared" si="44"/>
        <v>0</v>
      </c>
      <c r="BK49" s="9"/>
      <c r="BL49" s="9">
        <v>62</v>
      </c>
      <c r="BW49" s="9">
        <f t="shared" si="45"/>
        <v>0</v>
      </c>
      <c r="BX49" s="2" t="s">
        <v>177</v>
      </c>
    </row>
    <row r="50" spans="1:76" x14ac:dyDescent="0.25">
      <c r="A50" s="34" t="s">
        <v>56</v>
      </c>
      <c r="B50" s="35" t="s">
        <v>57</v>
      </c>
      <c r="C50" s="35" t="s">
        <v>178</v>
      </c>
      <c r="D50" s="57" t="s">
        <v>179</v>
      </c>
      <c r="E50" s="58"/>
      <c r="F50" s="34" t="s">
        <v>4</v>
      </c>
      <c r="G50" s="34" t="s">
        <v>4</v>
      </c>
      <c r="H50" s="34"/>
      <c r="I50" s="34"/>
      <c r="J50" s="36"/>
      <c r="K50" s="36"/>
      <c r="L50" s="36"/>
      <c r="M50" s="36"/>
      <c r="N50" s="37" t="s">
        <v>56</v>
      </c>
      <c r="O50" s="36">
        <f>SUM(O51:O53)</f>
        <v>10.72242</v>
      </c>
      <c r="P50" s="37"/>
      <c r="AI50" s="7" t="s">
        <v>57</v>
      </c>
      <c r="AS50" s="1">
        <f>SUM(AJ51:AJ53)</f>
        <v>0</v>
      </c>
      <c r="AT50" s="1">
        <f>SUM(AK51:AK53)</f>
        <v>0</v>
      </c>
      <c r="AU50" s="1">
        <f>SUM(AL51:AL53)</f>
        <v>0</v>
      </c>
    </row>
    <row r="51" spans="1:76" x14ac:dyDescent="0.25">
      <c r="A51" s="38" t="s">
        <v>180</v>
      </c>
      <c r="B51" s="38" t="s">
        <v>57</v>
      </c>
      <c r="C51" s="38" t="s">
        <v>181</v>
      </c>
      <c r="D51" s="52" t="s">
        <v>182</v>
      </c>
      <c r="E51" s="53"/>
      <c r="F51" s="38" t="s">
        <v>64</v>
      </c>
      <c r="G51" s="39">
        <v>1510.2</v>
      </c>
      <c r="H51" s="39"/>
      <c r="I51" s="40"/>
      <c r="J51" s="39"/>
      <c r="K51" s="39"/>
      <c r="L51" s="39"/>
      <c r="M51" s="39"/>
      <c r="N51" s="39">
        <v>1.3999999999999999E-4</v>
      </c>
      <c r="O51" s="39">
        <f>G51*N51</f>
        <v>0.21142799999999998</v>
      </c>
      <c r="P51" s="41"/>
      <c r="Z51" s="9">
        <f>ROUND(IF(AQ51="5",BJ51,0),2)</f>
        <v>0</v>
      </c>
      <c r="AB51" s="9">
        <f>ROUND(IF(AQ51="1",BH51,0),2)</f>
        <v>0</v>
      </c>
      <c r="AC51" s="9">
        <f>ROUND(IF(AQ51="1",BI51,0),2)</f>
        <v>0</v>
      </c>
      <c r="AD51" s="9">
        <f>ROUND(IF(AQ51="7",BH51,0),2)</f>
        <v>0</v>
      </c>
      <c r="AE51" s="9">
        <f>ROUND(IF(AQ51="7",BI51,0),2)</f>
        <v>0</v>
      </c>
      <c r="AF51" s="9">
        <f>ROUND(IF(AQ51="2",BH51,0),2)</f>
        <v>0</v>
      </c>
      <c r="AG51" s="9">
        <f>ROUND(IF(AQ51="2",BI51,0),2)</f>
        <v>0</v>
      </c>
      <c r="AH51" s="9">
        <f>ROUND(IF(AQ51="0",BJ51,0),2)</f>
        <v>0</v>
      </c>
      <c r="AI51" s="7" t="s">
        <v>57</v>
      </c>
      <c r="AJ51" s="9">
        <f>IF(AN51=0,L51,0)</f>
        <v>0</v>
      </c>
      <c r="AK51" s="9">
        <f>IF(AN51=12,L51,0)</f>
        <v>0</v>
      </c>
      <c r="AL51" s="9">
        <f>IF(AN51=21,L51,0)</f>
        <v>0</v>
      </c>
      <c r="AN51" s="9">
        <v>21</v>
      </c>
      <c r="AO51" s="9">
        <f>H51*0.461444034</f>
        <v>0</v>
      </c>
      <c r="AP51" s="9">
        <f>H51*(1-0.461444034)</f>
        <v>0</v>
      </c>
      <c r="AQ51" s="10" t="s">
        <v>88</v>
      </c>
      <c r="AV51" s="9">
        <f>ROUND(AW51+AX51,2)</f>
        <v>0</v>
      </c>
      <c r="AW51" s="9">
        <f>ROUND(G51*AO51,2)</f>
        <v>0</v>
      </c>
      <c r="AX51" s="9">
        <f>ROUND(G51*AP51,2)</f>
        <v>0</v>
      </c>
      <c r="AY51" s="10" t="s">
        <v>183</v>
      </c>
      <c r="AZ51" s="10" t="s">
        <v>184</v>
      </c>
      <c r="BA51" s="7" t="s">
        <v>67</v>
      </c>
      <c r="BC51" s="9">
        <f>AW51+AX51</f>
        <v>0</v>
      </c>
      <c r="BD51" s="9">
        <f>H51/(100-BE51)*100</f>
        <v>0</v>
      </c>
      <c r="BE51" s="9">
        <v>0</v>
      </c>
      <c r="BF51" s="9">
        <f>O51</f>
        <v>0.21142799999999998</v>
      </c>
      <c r="BH51" s="9">
        <f>G51*AO51</f>
        <v>0</v>
      </c>
      <c r="BI51" s="9">
        <f>G51*AP51</f>
        <v>0</v>
      </c>
      <c r="BJ51" s="9">
        <f>G51*H51</f>
        <v>0</v>
      </c>
      <c r="BK51" s="9"/>
      <c r="BL51" s="9">
        <v>713</v>
      </c>
      <c r="BW51" s="9">
        <f>I51</f>
        <v>0</v>
      </c>
      <c r="BX51" s="2" t="s">
        <v>182</v>
      </c>
    </row>
    <row r="52" spans="1:76" x14ac:dyDescent="0.25">
      <c r="A52" s="38" t="s">
        <v>185</v>
      </c>
      <c r="B52" s="38" t="s">
        <v>57</v>
      </c>
      <c r="C52" s="38" t="s">
        <v>186</v>
      </c>
      <c r="D52" s="52" t="s">
        <v>187</v>
      </c>
      <c r="E52" s="53"/>
      <c r="F52" s="38" t="s">
        <v>64</v>
      </c>
      <c r="G52" s="39">
        <v>1510.2</v>
      </c>
      <c r="H52" s="39"/>
      <c r="I52" s="40"/>
      <c r="J52" s="39"/>
      <c r="K52" s="39"/>
      <c r="L52" s="39"/>
      <c r="M52" s="39"/>
      <c r="N52" s="39">
        <v>6.96E-3</v>
      </c>
      <c r="O52" s="39">
        <f>G52*N52</f>
        <v>10.510992</v>
      </c>
      <c r="P52" s="41"/>
      <c r="Z52" s="9">
        <f>ROUND(IF(AQ52="5",BJ52,0),2)</f>
        <v>0</v>
      </c>
      <c r="AB52" s="9">
        <f>ROUND(IF(AQ52="1",BH52,0),2)</f>
        <v>0</v>
      </c>
      <c r="AC52" s="9">
        <f>ROUND(IF(AQ52="1",BI52,0),2)</f>
        <v>0</v>
      </c>
      <c r="AD52" s="9">
        <f>ROUND(IF(AQ52="7",BH52,0),2)</f>
        <v>0</v>
      </c>
      <c r="AE52" s="9">
        <f>ROUND(IF(AQ52="7",BI52,0),2)</f>
        <v>0</v>
      </c>
      <c r="AF52" s="9">
        <f>ROUND(IF(AQ52="2",BH52,0),2)</f>
        <v>0</v>
      </c>
      <c r="AG52" s="9">
        <f>ROUND(IF(AQ52="2",BI52,0),2)</f>
        <v>0</v>
      </c>
      <c r="AH52" s="9">
        <f>ROUND(IF(AQ52="0",BJ52,0),2)</f>
        <v>0</v>
      </c>
      <c r="AI52" s="7" t="s">
        <v>57</v>
      </c>
      <c r="AJ52" s="9">
        <f>IF(AN52=0,L52,0)</f>
        <v>0</v>
      </c>
      <c r="AK52" s="9">
        <f>IF(AN52=12,L52,0)</f>
        <v>0</v>
      </c>
      <c r="AL52" s="9">
        <f>IF(AN52=21,L52,0)</f>
        <v>0</v>
      </c>
      <c r="AN52" s="9">
        <v>21</v>
      </c>
      <c r="AO52" s="9">
        <f>H52*0.691358025</f>
        <v>0</v>
      </c>
      <c r="AP52" s="9">
        <f>H52*(1-0.691358025)</f>
        <v>0</v>
      </c>
      <c r="AQ52" s="10" t="s">
        <v>88</v>
      </c>
      <c r="AV52" s="9">
        <f>ROUND(AW52+AX52,2)</f>
        <v>0</v>
      </c>
      <c r="AW52" s="9">
        <f>ROUND(G52*AO52,2)</f>
        <v>0</v>
      </c>
      <c r="AX52" s="9">
        <f>ROUND(G52*AP52,2)</f>
        <v>0</v>
      </c>
      <c r="AY52" s="10" t="s">
        <v>183</v>
      </c>
      <c r="AZ52" s="10" t="s">
        <v>184</v>
      </c>
      <c r="BA52" s="7" t="s">
        <v>67</v>
      </c>
      <c r="BC52" s="9">
        <f>AW52+AX52</f>
        <v>0</v>
      </c>
      <c r="BD52" s="9">
        <f>H52/(100-BE52)*100</f>
        <v>0</v>
      </c>
      <c r="BE52" s="9">
        <v>0</v>
      </c>
      <c r="BF52" s="9">
        <f>O52</f>
        <v>10.510992</v>
      </c>
      <c r="BH52" s="9">
        <f>G52*AO52</f>
        <v>0</v>
      </c>
      <c r="BI52" s="9">
        <f>G52*AP52</f>
        <v>0</v>
      </c>
      <c r="BJ52" s="9">
        <f>G52*H52</f>
        <v>0</v>
      </c>
      <c r="BK52" s="9"/>
      <c r="BL52" s="9">
        <v>713</v>
      </c>
      <c r="BW52" s="9">
        <f>I52</f>
        <v>0</v>
      </c>
      <c r="BX52" s="2" t="s">
        <v>187</v>
      </c>
    </row>
    <row r="53" spans="1:76" x14ac:dyDescent="0.25">
      <c r="A53" s="38" t="s">
        <v>188</v>
      </c>
      <c r="B53" s="38" t="s">
        <v>57</v>
      </c>
      <c r="C53" s="38" t="s">
        <v>189</v>
      </c>
      <c r="D53" s="52" t="s">
        <v>190</v>
      </c>
      <c r="E53" s="53"/>
      <c r="F53" s="38" t="s">
        <v>105</v>
      </c>
      <c r="G53" s="39">
        <v>10.7</v>
      </c>
      <c r="H53" s="39"/>
      <c r="I53" s="40"/>
      <c r="J53" s="39"/>
      <c r="K53" s="39"/>
      <c r="L53" s="39"/>
      <c r="M53" s="39"/>
      <c r="N53" s="39">
        <v>0</v>
      </c>
      <c r="O53" s="39">
        <f>G53*N53</f>
        <v>0</v>
      </c>
      <c r="P53" s="41"/>
      <c r="Z53" s="9">
        <f>ROUND(IF(AQ53="5",BJ53,0),2)</f>
        <v>0</v>
      </c>
      <c r="AB53" s="9">
        <f>ROUND(IF(AQ53="1",BH53,0),2)</f>
        <v>0</v>
      </c>
      <c r="AC53" s="9">
        <f>ROUND(IF(AQ53="1",BI53,0),2)</f>
        <v>0</v>
      </c>
      <c r="AD53" s="9">
        <f>ROUND(IF(AQ53="7",BH53,0),2)</f>
        <v>0</v>
      </c>
      <c r="AE53" s="9">
        <f>ROUND(IF(AQ53="7",BI53,0),2)</f>
        <v>0</v>
      </c>
      <c r="AF53" s="9">
        <f>ROUND(IF(AQ53="2",BH53,0),2)</f>
        <v>0</v>
      </c>
      <c r="AG53" s="9">
        <f>ROUND(IF(AQ53="2",BI53,0),2)</f>
        <v>0</v>
      </c>
      <c r="AH53" s="9">
        <f>ROUND(IF(AQ53="0",BJ53,0),2)</f>
        <v>0</v>
      </c>
      <c r="AI53" s="7" t="s">
        <v>57</v>
      </c>
      <c r="AJ53" s="9">
        <f>IF(AN53=0,L53,0)</f>
        <v>0</v>
      </c>
      <c r="AK53" s="9">
        <f>IF(AN53=12,L53,0)</f>
        <v>0</v>
      </c>
      <c r="AL53" s="9">
        <f>IF(AN53=21,L53,0)</f>
        <v>0</v>
      </c>
      <c r="AN53" s="9">
        <v>21</v>
      </c>
      <c r="AO53" s="9">
        <f>H53*0</f>
        <v>0</v>
      </c>
      <c r="AP53" s="9">
        <f>H53*(1-0)</f>
        <v>0</v>
      </c>
      <c r="AQ53" s="10" t="s">
        <v>80</v>
      </c>
      <c r="AV53" s="9">
        <f>ROUND(AW53+AX53,2)</f>
        <v>0</v>
      </c>
      <c r="AW53" s="9">
        <f>ROUND(G53*AO53,2)</f>
        <v>0</v>
      </c>
      <c r="AX53" s="9">
        <f>ROUND(G53*AP53,2)</f>
        <v>0</v>
      </c>
      <c r="AY53" s="10" t="s">
        <v>183</v>
      </c>
      <c r="AZ53" s="10" t="s">
        <v>184</v>
      </c>
      <c r="BA53" s="7" t="s">
        <v>67</v>
      </c>
      <c r="BC53" s="9">
        <f>AW53+AX53</f>
        <v>0</v>
      </c>
      <c r="BD53" s="9">
        <f>H53/(100-BE53)*100</f>
        <v>0</v>
      </c>
      <c r="BE53" s="9">
        <v>0</v>
      </c>
      <c r="BF53" s="9">
        <f>O53</f>
        <v>0</v>
      </c>
      <c r="BH53" s="9">
        <f>G53*AO53</f>
        <v>0</v>
      </c>
      <c r="BI53" s="9">
        <f>G53*AP53</f>
        <v>0</v>
      </c>
      <c r="BJ53" s="9">
        <f>G53*H53</f>
        <v>0</v>
      </c>
      <c r="BK53" s="9"/>
      <c r="BL53" s="9">
        <v>713</v>
      </c>
      <c r="BW53" s="9">
        <f>I53</f>
        <v>0</v>
      </c>
      <c r="BX53" s="2" t="s">
        <v>190</v>
      </c>
    </row>
    <row r="54" spans="1:76" x14ac:dyDescent="0.25">
      <c r="A54" s="34" t="s">
        <v>56</v>
      </c>
      <c r="B54" s="35" t="s">
        <v>57</v>
      </c>
      <c r="C54" s="35" t="s">
        <v>191</v>
      </c>
      <c r="D54" s="57" t="s">
        <v>192</v>
      </c>
      <c r="E54" s="58"/>
      <c r="F54" s="34" t="s">
        <v>4</v>
      </c>
      <c r="G54" s="34" t="s">
        <v>4</v>
      </c>
      <c r="H54" s="34"/>
      <c r="I54" s="34"/>
      <c r="J54" s="36"/>
      <c r="K54" s="36"/>
      <c r="L54" s="36"/>
      <c r="M54" s="36"/>
      <c r="N54" s="37" t="s">
        <v>56</v>
      </c>
      <c r="O54" s="36">
        <f>SUM(O55:O60)</f>
        <v>0.46309999999999996</v>
      </c>
      <c r="P54" s="37"/>
      <c r="AI54" s="7" t="s">
        <v>57</v>
      </c>
      <c r="AS54" s="1">
        <f>SUM(AJ55:AJ60)</f>
        <v>0</v>
      </c>
      <c r="AT54" s="1">
        <f>SUM(AK55:AK60)</f>
        <v>0</v>
      </c>
      <c r="AU54" s="1">
        <f>SUM(AL55:AL60)</f>
        <v>0</v>
      </c>
    </row>
    <row r="55" spans="1:76" x14ac:dyDescent="0.25">
      <c r="A55" s="38" t="s">
        <v>193</v>
      </c>
      <c r="B55" s="38" t="s">
        <v>57</v>
      </c>
      <c r="C55" s="38" t="s">
        <v>194</v>
      </c>
      <c r="D55" s="52" t="s">
        <v>195</v>
      </c>
      <c r="E55" s="53"/>
      <c r="F55" s="38" t="s">
        <v>112</v>
      </c>
      <c r="G55" s="39">
        <v>38</v>
      </c>
      <c r="H55" s="39"/>
      <c r="I55" s="40"/>
      <c r="J55" s="39"/>
      <c r="K55" s="39"/>
      <c r="L55" s="39"/>
      <c r="M55" s="39"/>
      <c r="N55" s="39">
        <v>3.3500000000000001E-3</v>
      </c>
      <c r="O55" s="39">
        <f t="shared" ref="O55:O60" si="46">G55*N55</f>
        <v>0.1273</v>
      </c>
      <c r="P55" s="41"/>
      <c r="Z55" s="9">
        <f t="shared" ref="Z55:Z60" si="47">ROUND(IF(AQ55="5",BJ55,0),2)</f>
        <v>0</v>
      </c>
      <c r="AB55" s="9">
        <f t="shared" ref="AB55:AB60" si="48">ROUND(IF(AQ55="1",BH55,0),2)</f>
        <v>0</v>
      </c>
      <c r="AC55" s="9">
        <f t="shared" ref="AC55:AC60" si="49">ROUND(IF(AQ55="1",BI55,0),2)</f>
        <v>0</v>
      </c>
      <c r="AD55" s="9">
        <f t="shared" ref="AD55:AD60" si="50">ROUND(IF(AQ55="7",BH55,0),2)</f>
        <v>0</v>
      </c>
      <c r="AE55" s="9">
        <f t="shared" ref="AE55:AE60" si="51">ROUND(IF(AQ55="7",BI55,0),2)</f>
        <v>0</v>
      </c>
      <c r="AF55" s="9">
        <f t="shared" ref="AF55:AF60" si="52">ROUND(IF(AQ55="2",BH55,0),2)</f>
        <v>0</v>
      </c>
      <c r="AG55" s="9">
        <f t="shared" ref="AG55:AG60" si="53">ROUND(IF(AQ55="2",BI55,0),2)</f>
        <v>0</v>
      </c>
      <c r="AH55" s="9">
        <f t="shared" ref="AH55:AH60" si="54">ROUND(IF(AQ55="0",BJ55,0),2)</f>
        <v>0</v>
      </c>
      <c r="AI55" s="7" t="s">
        <v>57</v>
      </c>
      <c r="AJ55" s="9">
        <f t="shared" ref="AJ55:AJ60" si="55">IF(AN55=0,L55,0)</f>
        <v>0</v>
      </c>
      <c r="AK55" s="9">
        <f t="shared" ref="AK55:AK60" si="56">IF(AN55=12,L55,0)</f>
        <v>0</v>
      </c>
      <c r="AL55" s="9">
        <f t="shared" ref="AL55:AL60" si="57">IF(AN55=21,L55,0)</f>
        <v>0</v>
      </c>
      <c r="AN55" s="9">
        <v>21</v>
      </c>
      <c r="AO55" s="9">
        <f>H55*0.335672515</f>
        <v>0</v>
      </c>
      <c r="AP55" s="9">
        <f>H55*(1-0.335672515)</f>
        <v>0</v>
      </c>
      <c r="AQ55" s="10" t="s">
        <v>88</v>
      </c>
      <c r="AV55" s="9">
        <f t="shared" ref="AV55:AV60" si="58">ROUND(AW55+AX55,2)</f>
        <v>0</v>
      </c>
      <c r="AW55" s="9">
        <f t="shared" ref="AW55:AW60" si="59">ROUND(G55*AO55,2)</f>
        <v>0</v>
      </c>
      <c r="AX55" s="9">
        <f t="shared" ref="AX55:AX60" si="60">ROUND(G55*AP55,2)</f>
        <v>0</v>
      </c>
      <c r="AY55" s="10" t="s">
        <v>196</v>
      </c>
      <c r="AZ55" s="10" t="s">
        <v>197</v>
      </c>
      <c r="BA55" s="7" t="s">
        <v>67</v>
      </c>
      <c r="BC55" s="9">
        <f t="shared" ref="BC55:BC60" si="61">AW55+AX55</f>
        <v>0</v>
      </c>
      <c r="BD55" s="9">
        <f t="shared" ref="BD55:BD60" si="62">H55/(100-BE55)*100</f>
        <v>0</v>
      </c>
      <c r="BE55" s="9">
        <v>0</v>
      </c>
      <c r="BF55" s="9">
        <f t="shared" ref="BF55:BF60" si="63">O55</f>
        <v>0.1273</v>
      </c>
      <c r="BH55" s="9">
        <f t="shared" ref="BH55:BH60" si="64">G55*AO55</f>
        <v>0</v>
      </c>
      <c r="BI55" s="9">
        <f t="shared" ref="BI55:BI60" si="65">G55*AP55</f>
        <v>0</v>
      </c>
      <c r="BJ55" s="9">
        <f t="shared" ref="BJ55:BJ60" si="66">G55*H55</f>
        <v>0</v>
      </c>
      <c r="BK55" s="9"/>
      <c r="BL55" s="9">
        <v>764</v>
      </c>
      <c r="BW55" s="9">
        <f t="shared" ref="BW55:BW60" si="67">I55</f>
        <v>0</v>
      </c>
      <c r="BX55" s="2" t="s">
        <v>195</v>
      </c>
    </row>
    <row r="56" spans="1:76" x14ac:dyDescent="0.25">
      <c r="A56" s="38" t="s">
        <v>198</v>
      </c>
      <c r="B56" s="38" t="s">
        <v>57</v>
      </c>
      <c r="C56" s="38" t="s">
        <v>199</v>
      </c>
      <c r="D56" s="52" t="s">
        <v>200</v>
      </c>
      <c r="E56" s="53"/>
      <c r="F56" s="38" t="s">
        <v>112</v>
      </c>
      <c r="G56" s="39">
        <v>38</v>
      </c>
      <c r="H56" s="39"/>
      <c r="I56" s="40"/>
      <c r="J56" s="39"/>
      <c r="K56" s="39"/>
      <c r="L56" s="39"/>
      <c r="M56" s="39"/>
      <c r="N56" s="39">
        <v>1.81E-3</v>
      </c>
      <c r="O56" s="39">
        <f t="shared" si="46"/>
        <v>6.8779999999999994E-2</v>
      </c>
      <c r="P56" s="41"/>
      <c r="Z56" s="9">
        <f t="shared" si="47"/>
        <v>0</v>
      </c>
      <c r="AB56" s="9">
        <f t="shared" si="48"/>
        <v>0</v>
      </c>
      <c r="AC56" s="9">
        <f t="shared" si="49"/>
        <v>0</v>
      </c>
      <c r="AD56" s="9">
        <f t="shared" si="50"/>
        <v>0</v>
      </c>
      <c r="AE56" s="9">
        <f t="shared" si="51"/>
        <v>0</v>
      </c>
      <c r="AF56" s="9">
        <f t="shared" si="52"/>
        <v>0</v>
      </c>
      <c r="AG56" s="9">
        <f t="shared" si="53"/>
        <v>0</v>
      </c>
      <c r="AH56" s="9">
        <f t="shared" si="54"/>
        <v>0</v>
      </c>
      <c r="AI56" s="7" t="s">
        <v>57</v>
      </c>
      <c r="AJ56" s="9">
        <f t="shared" si="55"/>
        <v>0</v>
      </c>
      <c r="AK56" s="9">
        <f t="shared" si="56"/>
        <v>0</v>
      </c>
      <c r="AL56" s="9">
        <f t="shared" si="57"/>
        <v>0</v>
      </c>
      <c r="AN56" s="9">
        <v>21</v>
      </c>
      <c r="AO56" s="9">
        <f>H56*0</f>
        <v>0</v>
      </c>
      <c r="AP56" s="9">
        <f>H56*(1-0)</f>
        <v>0</v>
      </c>
      <c r="AQ56" s="10" t="s">
        <v>88</v>
      </c>
      <c r="AV56" s="9">
        <f t="shared" si="58"/>
        <v>0</v>
      </c>
      <c r="AW56" s="9">
        <f t="shared" si="59"/>
        <v>0</v>
      </c>
      <c r="AX56" s="9">
        <f t="shared" si="60"/>
        <v>0</v>
      </c>
      <c r="AY56" s="10" t="s">
        <v>196</v>
      </c>
      <c r="AZ56" s="10" t="s">
        <v>197</v>
      </c>
      <c r="BA56" s="7" t="s">
        <v>67</v>
      </c>
      <c r="BC56" s="9">
        <f t="shared" si="61"/>
        <v>0</v>
      </c>
      <c r="BD56" s="9">
        <f t="shared" si="62"/>
        <v>0</v>
      </c>
      <c r="BE56" s="9">
        <v>0</v>
      </c>
      <c r="BF56" s="9">
        <f t="shared" si="63"/>
        <v>6.8779999999999994E-2</v>
      </c>
      <c r="BH56" s="9">
        <f t="shared" si="64"/>
        <v>0</v>
      </c>
      <c r="BI56" s="9">
        <f t="shared" si="65"/>
        <v>0</v>
      </c>
      <c r="BJ56" s="9">
        <f t="shared" si="66"/>
        <v>0</v>
      </c>
      <c r="BK56" s="9"/>
      <c r="BL56" s="9">
        <v>764</v>
      </c>
      <c r="BW56" s="9">
        <f t="shared" si="67"/>
        <v>0</v>
      </c>
      <c r="BX56" s="2" t="s">
        <v>200</v>
      </c>
    </row>
    <row r="57" spans="1:76" x14ac:dyDescent="0.25">
      <c r="A57" s="38" t="s">
        <v>201</v>
      </c>
      <c r="B57" s="38" t="s">
        <v>57</v>
      </c>
      <c r="C57" s="38" t="s">
        <v>202</v>
      </c>
      <c r="D57" s="52" t="s">
        <v>203</v>
      </c>
      <c r="E57" s="53"/>
      <c r="F57" s="38" t="s">
        <v>112</v>
      </c>
      <c r="G57" s="39">
        <v>42</v>
      </c>
      <c r="H57" s="39"/>
      <c r="I57" s="40"/>
      <c r="J57" s="39"/>
      <c r="K57" s="39"/>
      <c r="L57" s="39"/>
      <c r="M57" s="39"/>
      <c r="N57" s="39">
        <v>2.9099999999999998E-3</v>
      </c>
      <c r="O57" s="39">
        <f t="shared" si="46"/>
        <v>0.12222</v>
      </c>
      <c r="P57" s="41"/>
      <c r="Z57" s="9">
        <f t="shared" si="47"/>
        <v>0</v>
      </c>
      <c r="AB57" s="9">
        <f t="shared" si="48"/>
        <v>0</v>
      </c>
      <c r="AC57" s="9">
        <f t="shared" si="49"/>
        <v>0</v>
      </c>
      <c r="AD57" s="9">
        <f t="shared" si="50"/>
        <v>0</v>
      </c>
      <c r="AE57" s="9">
        <f t="shared" si="51"/>
        <v>0</v>
      </c>
      <c r="AF57" s="9">
        <f t="shared" si="52"/>
        <v>0</v>
      </c>
      <c r="AG57" s="9">
        <f t="shared" si="53"/>
        <v>0</v>
      </c>
      <c r="AH57" s="9">
        <f t="shared" si="54"/>
        <v>0</v>
      </c>
      <c r="AI57" s="7" t="s">
        <v>57</v>
      </c>
      <c r="AJ57" s="9">
        <f t="shared" si="55"/>
        <v>0</v>
      </c>
      <c r="AK57" s="9">
        <f t="shared" si="56"/>
        <v>0</v>
      </c>
      <c r="AL57" s="9">
        <f t="shared" si="57"/>
        <v>0</v>
      </c>
      <c r="AN57" s="9">
        <v>21</v>
      </c>
      <c r="AO57" s="9">
        <f>H57*0.198192085</f>
        <v>0</v>
      </c>
      <c r="AP57" s="9">
        <f>H57*(1-0.198192085)</f>
        <v>0</v>
      </c>
      <c r="AQ57" s="10" t="s">
        <v>88</v>
      </c>
      <c r="AV57" s="9">
        <f t="shared" si="58"/>
        <v>0</v>
      </c>
      <c r="AW57" s="9">
        <f t="shared" si="59"/>
        <v>0</v>
      </c>
      <c r="AX57" s="9">
        <f t="shared" si="60"/>
        <v>0</v>
      </c>
      <c r="AY57" s="10" t="s">
        <v>196</v>
      </c>
      <c r="AZ57" s="10" t="s">
        <v>197</v>
      </c>
      <c r="BA57" s="7" t="s">
        <v>67</v>
      </c>
      <c r="BC57" s="9">
        <f t="shared" si="61"/>
        <v>0</v>
      </c>
      <c r="BD57" s="9">
        <f t="shared" si="62"/>
        <v>0</v>
      </c>
      <c r="BE57" s="9">
        <v>0</v>
      </c>
      <c r="BF57" s="9">
        <f t="shared" si="63"/>
        <v>0.12222</v>
      </c>
      <c r="BH57" s="9">
        <f t="shared" si="64"/>
        <v>0</v>
      </c>
      <c r="BI57" s="9">
        <f t="shared" si="65"/>
        <v>0</v>
      </c>
      <c r="BJ57" s="9">
        <f t="shared" si="66"/>
        <v>0</v>
      </c>
      <c r="BK57" s="9"/>
      <c r="BL57" s="9">
        <v>764</v>
      </c>
      <c r="BW57" s="9">
        <f t="shared" si="67"/>
        <v>0</v>
      </c>
      <c r="BX57" s="2" t="s">
        <v>203</v>
      </c>
    </row>
    <row r="58" spans="1:76" x14ac:dyDescent="0.25">
      <c r="A58" s="38" t="s">
        <v>204</v>
      </c>
      <c r="B58" s="38" t="s">
        <v>57</v>
      </c>
      <c r="C58" s="38" t="s">
        <v>205</v>
      </c>
      <c r="D58" s="52" t="s">
        <v>206</v>
      </c>
      <c r="E58" s="53"/>
      <c r="F58" s="38" t="s">
        <v>112</v>
      </c>
      <c r="G58" s="39">
        <v>40</v>
      </c>
      <c r="H58" s="39"/>
      <c r="I58" s="40"/>
      <c r="J58" s="39"/>
      <c r="K58" s="39"/>
      <c r="L58" s="39"/>
      <c r="M58" s="39"/>
      <c r="N58" s="39">
        <v>6.0000000000000002E-5</v>
      </c>
      <c r="O58" s="39">
        <f t="shared" si="46"/>
        <v>2.4000000000000002E-3</v>
      </c>
      <c r="P58" s="41"/>
      <c r="Z58" s="9">
        <f t="shared" si="47"/>
        <v>0</v>
      </c>
      <c r="AB58" s="9">
        <f t="shared" si="48"/>
        <v>0</v>
      </c>
      <c r="AC58" s="9">
        <f t="shared" si="49"/>
        <v>0</v>
      </c>
      <c r="AD58" s="9">
        <f t="shared" si="50"/>
        <v>0</v>
      </c>
      <c r="AE58" s="9">
        <f t="shared" si="51"/>
        <v>0</v>
      </c>
      <c r="AF58" s="9">
        <f t="shared" si="52"/>
        <v>0</v>
      </c>
      <c r="AG58" s="9">
        <f t="shared" si="53"/>
        <v>0</v>
      </c>
      <c r="AH58" s="9">
        <f t="shared" si="54"/>
        <v>0</v>
      </c>
      <c r="AI58" s="7" t="s">
        <v>57</v>
      </c>
      <c r="AJ58" s="9">
        <f t="shared" si="55"/>
        <v>0</v>
      </c>
      <c r="AK58" s="9">
        <f t="shared" si="56"/>
        <v>0</v>
      </c>
      <c r="AL58" s="9">
        <f t="shared" si="57"/>
        <v>0</v>
      </c>
      <c r="AN58" s="9">
        <v>21</v>
      </c>
      <c r="AO58" s="9">
        <f>H58*0.113664856</f>
        <v>0</v>
      </c>
      <c r="AP58" s="9">
        <f>H58*(1-0.113664856)</f>
        <v>0</v>
      </c>
      <c r="AQ58" s="10" t="s">
        <v>88</v>
      </c>
      <c r="AV58" s="9">
        <f t="shared" si="58"/>
        <v>0</v>
      </c>
      <c r="AW58" s="9">
        <f t="shared" si="59"/>
        <v>0</v>
      </c>
      <c r="AX58" s="9">
        <f t="shared" si="60"/>
        <v>0</v>
      </c>
      <c r="AY58" s="10" t="s">
        <v>196</v>
      </c>
      <c r="AZ58" s="10" t="s">
        <v>197</v>
      </c>
      <c r="BA58" s="7" t="s">
        <v>67</v>
      </c>
      <c r="BC58" s="9">
        <f t="shared" si="61"/>
        <v>0</v>
      </c>
      <c r="BD58" s="9">
        <f t="shared" si="62"/>
        <v>0</v>
      </c>
      <c r="BE58" s="9">
        <v>0</v>
      </c>
      <c r="BF58" s="9">
        <f t="shared" si="63"/>
        <v>2.4000000000000002E-3</v>
      </c>
      <c r="BH58" s="9">
        <f t="shared" si="64"/>
        <v>0</v>
      </c>
      <c r="BI58" s="9">
        <f t="shared" si="65"/>
        <v>0</v>
      </c>
      <c r="BJ58" s="9">
        <f t="shared" si="66"/>
        <v>0</v>
      </c>
      <c r="BK58" s="9"/>
      <c r="BL58" s="9">
        <v>764</v>
      </c>
      <c r="BW58" s="9">
        <f t="shared" si="67"/>
        <v>0</v>
      </c>
      <c r="BX58" s="2" t="s">
        <v>206</v>
      </c>
    </row>
    <row r="59" spans="1:76" x14ac:dyDescent="0.25">
      <c r="A59" s="38" t="s">
        <v>207</v>
      </c>
      <c r="B59" s="38" t="s">
        <v>57</v>
      </c>
      <c r="C59" s="38" t="s">
        <v>208</v>
      </c>
      <c r="D59" s="52" t="s">
        <v>209</v>
      </c>
      <c r="E59" s="53"/>
      <c r="F59" s="38" t="s">
        <v>112</v>
      </c>
      <c r="G59" s="39">
        <v>40</v>
      </c>
      <c r="H59" s="39"/>
      <c r="I59" s="40"/>
      <c r="J59" s="39"/>
      <c r="K59" s="39"/>
      <c r="L59" s="39"/>
      <c r="M59" s="39"/>
      <c r="N59" s="39">
        <v>3.5599999999999998E-3</v>
      </c>
      <c r="O59" s="39">
        <f t="shared" si="46"/>
        <v>0.1424</v>
      </c>
      <c r="P59" s="41"/>
      <c r="Z59" s="9">
        <f t="shared" si="47"/>
        <v>0</v>
      </c>
      <c r="AB59" s="9">
        <f t="shared" si="48"/>
        <v>0</v>
      </c>
      <c r="AC59" s="9">
        <f t="shared" si="49"/>
        <v>0</v>
      </c>
      <c r="AD59" s="9">
        <f t="shared" si="50"/>
        <v>0</v>
      </c>
      <c r="AE59" s="9">
        <f t="shared" si="51"/>
        <v>0</v>
      </c>
      <c r="AF59" s="9">
        <f t="shared" si="52"/>
        <v>0</v>
      </c>
      <c r="AG59" s="9">
        <f t="shared" si="53"/>
        <v>0</v>
      </c>
      <c r="AH59" s="9">
        <f t="shared" si="54"/>
        <v>0</v>
      </c>
      <c r="AI59" s="7" t="s">
        <v>57</v>
      </c>
      <c r="AJ59" s="9">
        <f t="shared" si="55"/>
        <v>0</v>
      </c>
      <c r="AK59" s="9">
        <f t="shared" si="56"/>
        <v>0</v>
      </c>
      <c r="AL59" s="9">
        <f t="shared" si="57"/>
        <v>0</v>
      </c>
      <c r="AN59" s="9">
        <v>21</v>
      </c>
      <c r="AO59" s="9">
        <f>H59*0</f>
        <v>0</v>
      </c>
      <c r="AP59" s="9">
        <f>H59*(1-0)</f>
        <v>0</v>
      </c>
      <c r="AQ59" s="10" t="s">
        <v>88</v>
      </c>
      <c r="AV59" s="9">
        <f t="shared" si="58"/>
        <v>0</v>
      </c>
      <c r="AW59" s="9">
        <f t="shared" si="59"/>
        <v>0</v>
      </c>
      <c r="AX59" s="9">
        <f t="shared" si="60"/>
        <v>0</v>
      </c>
      <c r="AY59" s="10" t="s">
        <v>196</v>
      </c>
      <c r="AZ59" s="10" t="s">
        <v>197</v>
      </c>
      <c r="BA59" s="7" t="s">
        <v>67</v>
      </c>
      <c r="BC59" s="9">
        <f t="shared" si="61"/>
        <v>0</v>
      </c>
      <c r="BD59" s="9">
        <f t="shared" si="62"/>
        <v>0</v>
      </c>
      <c r="BE59" s="9">
        <v>0</v>
      </c>
      <c r="BF59" s="9">
        <f t="shared" si="63"/>
        <v>0.1424</v>
      </c>
      <c r="BH59" s="9">
        <f t="shared" si="64"/>
        <v>0</v>
      </c>
      <c r="BI59" s="9">
        <f t="shared" si="65"/>
        <v>0</v>
      </c>
      <c r="BJ59" s="9">
        <f t="shared" si="66"/>
        <v>0</v>
      </c>
      <c r="BK59" s="9"/>
      <c r="BL59" s="9">
        <v>764</v>
      </c>
      <c r="BW59" s="9">
        <f t="shared" si="67"/>
        <v>0</v>
      </c>
      <c r="BX59" s="2" t="s">
        <v>209</v>
      </c>
    </row>
    <row r="60" spans="1:76" x14ac:dyDescent="0.25">
      <c r="A60" s="38" t="s">
        <v>210</v>
      </c>
      <c r="B60" s="38" t="s">
        <v>57</v>
      </c>
      <c r="C60" s="38" t="s">
        <v>211</v>
      </c>
      <c r="D60" s="52" t="s">
        <v>212</v>
      </c>
      <c r="E60" s="53"/>
      <c r="F60" s="38" t="s">
        <v>105</v>
      </c>
      <c r="G60" s="39">
        <v>0.5</v>
      </c>
      <c r="H60" s="39"/>
      <c r="I60" s="40"/>
      <c r="J60" s="39"/>
      <c r="K60" s="39"/>
      <c r="L60" s="39"/>
      <c r="M60" s="39"/>
      <c r="N60" s="39">
        <v>0</v>
      </c>
      <c r="O60" s="39">
        <f t="shared" si="46"/>
        <v>0</v>
      </c>
      <c r="P60" s="41"/>
      <c r="Z60" s="9">
        <f t="shared" si="47"/>
        <v>0</v>
      </c>
      <c r="AB60" s="9">
        <f t="shared" si="48"/>
        <v>0</v>
      </c>
      <c r="AC60" s="9">
        <f t="shared" si="49"/>
        <v>0</v>
      </c>
      <c r="AD60" s="9">
        <f t="shared" si="50"/>
        <v>0</v>
      </c>
      <c r="AE60" s="9">
        <f t="shared" si="51"/>
        <v>0</v>
      </c>
      <c r="AF60" s="9">
        <f t="shared" si="52"/>
        <v>0</v>
      </c>
      <c r="AG60" s="9">
        <f t="shared" si="53"/>
        <v>0</v>
      </c>
      <c r="AH60" s="9">
        <f t="shared" si="54"/>
        <v>0</v>
      </c>
      <c r="AI60" s="7" t="s">
        <v>57</v>
      </c>
      <c r="AJ60" s="9">
        <f t="shared" si="55"/>
        <v>0</v>
      </c>
      <c r="AK60" s="9">
        <f t="shared" si="56"/>
        <v>0</v>
      </c>
      <c r="AL60" s="9">
        <f t="shared" si="57"/>
        <v>0</v>
      </c>
      <c r="AN60" s="9">
        <v>21</v>
      </c>
      <c r="AO60" s="9">
        <f>H60*0</f>
        <v>0</v>
      </c>
      <c r="AP60" s="9">
        <f>H60*(1-0)</f>
        <v>0</v>
      </c>
      <c r="AQ60" s="10" t="s">
        <v>80</v>
      </c>
      <c r="AV60" s="9">
        <f t="shared" si="58"/>
        <v>0</v>
      </c>
      <c r="AW60" s="9">
        <f t="shared" si="59"/>
        <v>0</v>
      </c>
      <c r="AX60" s="9">
        <f t="shared" si="60"/>
        <v>0</v>
      </c>
      <c r="AY60" s="10" t="s">
        <v>196</v>
      </c>
      <c r="AZ60" s="10" t="s">
        <v>197</v>
      </c>
      <c r="BA60" s="7" t="s">
        <v>67</v>
      </c>
      <c r="BC60" s="9">
        <f t="shared" si="61"/>
        <v>0</v>
      </c>
      <c r="BD60" s="9">
        <f t="shared" si="62"/>
        <v>0</v>
      </c>
      <c r="BE60" s="9">
        <v>0</v>
      </c>
      <c r="BF60" s="9">
        <f t="shared" si="63"/>
        <v>0</v>
      </c>
      <c r="BH60" s="9">
        <f t="shared" si="64"/>
        <v>0</v>
      </c>
      <c r="BI60" s="9">
        <f t="shared" si="65"/>
        <v>0</v>
      </c>
      <c r="BJ60" s="9">
        <f t="shared" si="66"/>
        <v>0</v>
      </c>
      <c r="BK60" s="9"/>
      <c r="BL60" s="9">
        <v>764</v>
      </c>
      <c r="BW60" s="9">
        <f t="shared" si="67"/>
        <v>0</v>
      </c>
      <c r="BX60" s="2" t="s">
        <v>212</v>
      </c>
    </row>
    <row r="61" spans="1:76" x14ac:dyDescent="0.25">
      <c r="A61" s="34" t="s">
        <v>56</v>
      </c>
      <c r="B61" s="35" t="s">
        <v>213</v>
      </c>
      <c r="C61" s="35" t="s">
        <v>56</v>
      </c>
      <c r="D61" s="57" t="s">
        <v>214</v>
      </c>
      <c r="E61" s="58"/>
      <c r="F61" s="34" t="s">
        <v>4</v>
      </c>
      <c r="G61" s="34" t="s">
        <v>4</v>
      </c>
      <c r="H61" s="34"/>
      <c r="I61" s="34"/>
      <c r="J61" s="36"/>
      <c r="K61" s="36"/>
      <c r="L61" s="36"/>
      <c r="M61" s="36"/>
      <c r="N61" s="37" t="s">
        <v>56</v>
      </c>
      <c r="O61" s="36">
        <f>O62+O67+O70+O73+O77+O79+O81+O92+O96+O102</f>
        <v>12.129319000000001</v>
      </c>
      <c r="P61" s="37"/>
    </row>
    <row r="62" spans="1:76" x14ac:dyDescent="0.25">
      <c r="A62" s="34" t="s">
        <v>56</v>
      </c>
      <c r="B62" s="35" t="s">
        <v>213</v>
      </c>
      <c r="C62" s="35" t="s">
        <v>59</v>
      </c>
      <c r="D62" s="57" t="s">
        <v>60</v>
      </c>
      <c r="E62" s="58"/>
      <c r="F62" s="34" t="s">
        <v>4</v>
      </c>
      <c r="G62" s="34" t="s">
        <v>4</v>
      </c>
      <c r="H62" s="34"/>
      <c r="I62" s="34"/>
      <c r="J62" s="36"/>
      <c r="K62" s="36"/>
      <c r="L62" s="36"/>
      <c r="M62" s="36"/>
      <c r="N62" s="37" t="s">
        <v>56</v>
      </c>
      <c r="O62" s="36">
        <f>SUM(O63:O66)</f>
        <v>5.7059519999999999</v>
      </c>
      <c r="P62" s="37"/>
      <c r="AI62" s="7" t="s">
        <v>213</v>
      </c>
      <c r="AS62" s="1">
        <f>SUM(AJ63:AJ66)</f>
        <v>0</v>
      </c>
      <c r="AT62" s="1">
        <f>SUM(AK63:AK66)</f>
        <v>0</v>
      </c>
      <c r="AU62" s="1">
        <f>SUM(AL63:AL66)</f>
        <v>0</v>
      </c>
    </row>
    <row r="63" spans="1:76" x14ac:dyDescent="0.25">
      <c r="A63" s="38" t="s">
        <v>215</v>
      </c>
      <c r="B63" s="38" t="s">
        <v>213</v>
      </c>
      <c r="C63" s="38" t="s">
        <v>62</v>
      </c>
      <c r="D63" s="52" t="s">
        <v>63</v>
      </c>
      <c r="E63" s="53"/>
      <c r="F63" s="38" t="s">
        <v>64</v>
      </c>
      <c r="G63" s="39">
        <v>235.2</v>
      </c>
      <c r="H63" s="39"/>
      <c r="I63" s="40"/>
      <c r="J63" s="39"/>
      <c r="K63" s="39"/>
      <c r="L63" s="39"/>
      <c r="M63" s="39"/>
      <c r="N63" s="39">
        <v>0</v>
      </c>
      <c r="O63" s="39">
        <f>G63*N63</f>
        <v>0</v>
      </c>
      <c r="P63" s="41"/>
      <c r="Z63" s="9">
        <f>ROUND(IF(AQ63="5",BJ63,0),2)</f>
        <v>0</v>
      </c>
      <c r="AB63" s="9">
        <f>ROUND(IF(AQ63="1",BH63,0),2)</f>
        <v>0</v>
      </c>
      <c r="AC63" s="9">
        <f>ROUND(IF(AQ63="1",BI63,0),2)</f>
        <v>0</v>
      </c>
      <c r="AD63" s="9">
        <f>ROUND(IF(AQ63="7",BH63,0),2)</f>
        <v>0</v>
      </c>
      <c r="AE63" s="9">
        <f>ROUND(IF(AQ63="7",BI63,0),2)</f>
        <v>0</v>
      </c>
      <c r="AF63" s="9">
        <f>ROUND(IF(AQ63="2",BH63,0),2)</f>
        <v>0</v>
      </c>
      <c r="AG63" s="9">
        <f>ROUND(IF(AQ63="2",BI63,0),2)</f>
        <v>0</v>
      </c>
      <c r="AH63" s="9">
        <f>ROUND(IF(AQ63="0",BJ63,0),2)</f>
        <v>0</v>
      </c>
      <c r="AI63" s="7" t="s">
        <v>213</v>
      </c>
      <c r="AJ63" s="9">
        <f>IF(AN63=0,L63,0)</f>
        <v>0</v>
      </c>
      <c r="AK63" s="9">
        <f>IF(AN63=12,L63,0)</f>
        <v>0</v>
      </c>
      <c r="AL63" s="9">
        <f>IF(AN63=21,L63,0)</f>
        <v>0</v>
      </c>
      <c r="AN63" s="9">
        <v>21</v>
      </c>
      <c r="AO63" s="9">
        <f>H63*0</f>
        <v>0</v>
      </c>
      <c r="AP63" s="9">
        <f>H63*(1-0)</f>
        <v>0</v>
      </c>
      <c r="AQ63" s="10" t="s">
        <v>61</v>
      </c>
      <c r="AV63" s="9">
        <f>ROUND(AW63+AX63,2)</f>
        <v>0</v>
      </c>
      <c r="AW63" s="9">
        <f>ROUND(G63*AO63,2)</f>
        <v>0</v>
      </c>
      <c r="AX63" s="9">
        <f>ROUND(G63*AP63,2)</f>
        <v>0</v>
      </c>
      <c r="AY63" s="10" t="s">
        <v>65</v>
      </c>
      <c r="AZ63" s="10" t="s">
        <v>216</v>
      </c>
      <c r="BA63" s="7" t="s">
        <v>217</v>
      </c>
      <c r="BC63" s="9">
        <f>AW63+AX63</f>
        <v>0</v>
      </c>
      <c r="BD63" s="9">
        <f>H63/(100-BE63)*100</f>
        <v>0</v>
      </c>
      <c r="BE63" s="9">
        <v>0</v>
      </c>
      <c r="BF63" s="9">
        <f>O63</f>
        <v>0</v>
      </c>
      <c r="BH63" s="9">
        <f>G63*AO63</f>
        <v>0</v>
      </c>
      <c r="BI63" s="9">
        <f>G63*AP63</f>
        <v>0</v>
      </c>
      <c r="BJ63" s="9">
        <f>G63*H63</f>
        <v>0</v>
      </c>
      <c r="BK63" s="9"/>
      <c r="BL63" s="9">
        <v>94</v>
      </c>
      <c r="BW63" s="9">
        <f>I63</f>
        <v>0</v>
      </c>
      <c r="BX63" s="2" t="s">
        <v>63</v>
      </c>
    </row>
    <row r="64" spans="1:76" x14ac:dyDescent="0.25">
      <c r="A64" s="38" t="s">
        <v>218</v>
      </c>
      <c r="B64" s="38" t="s">
        <v>213</v>
      </c>
      <c r="C64" s="38" t="s">
        <v>69</v>
      </c>
      <c r="D64" s="52" t="s">
        <v>70</v>
      </c>
      <c r="E64" s="53"/>
      <c r="F64" s="38" t="s">
        <v>64</v>
      </c>
      <c r="G64" s="39">
        <v>470.4</v>
      </c>
      <c r="H64" s="39"/>
      <c r="I64" s="40"/>
      <c r="J64" s="39"/>
      <c r="K64" s="39"/>
      <c r="L64" s="39"/>
      <c r="M64" s="39"/>
      <c r="N64" s="39">
        <v>0</v>
      </c>
      <c r="O64" s="39">
        <f>G64*N64</f>
        <v>0</v>
      </c>
      <c r="P64" s="41"/>
      <c r="Z64" s="9">
        <f>ROUND(IF(AQ64="5",BJ64,0),2)</f>
        <v>0</v>
      </c>
      <c r="AB64" s="9">
        <f>ROUND(IF(AQ64="1",BH64,0),2)</f>
        <v>0</v>
      </c>
      <c r="AC64" s="9">
        <f>ROUND(IF(AQ64="1",BI64,0),2)</f>
        <v>0</v>
      </c>
      <c r="AD64" s="9">
        <f>ROUND(IF(AQ64="7",BH64,0),2)</f>
        <v>0</v>
      </c>
      <c r="AE64" s="9">
        <f>ROUND(IF(AQ64="7",BI64,0),2)</f>
        <v>0</v>
      </c>
      <c r="AF64" s="9">
        <f>ROUND(IF(AQ64="2",BH64,0),2)</f>
        <v>0</v>
      </c>
      <c r="AG64" s="9">
        <f>ROUND(IF(AQ64="2",BI64,0),2)</f>
        <v>0</v>
      </c>
      <c r="AH64" s="9">
        <f>ROUND(IF(AQ64="0",BJ64,0),2)</f>
        <v>0</v>
      </c>
      <c r="AI64" s="7" t="s">
        <v>213</v>
      </c>
      <c r="AJ64" s="9">
        <f>IF(AN64=0,L64,0)</f>
        <v>0</v>
      </c>
      <c r="AK64" s="9">
        <f>IF(AN64=12,L64,0)</f>
        <v>0</v>
      </c>
      <c r="AL64" s="9">
        <f>IF(AN64=21,L64,0)</f>
        <v>0</v>
      </c>
      <c r="AN64" s="9">
        <v>21</v>
      </c>
      <c r="AO64" s="9">
        <f>H64*0</f>
        <v>0</v>
      </c>
      <c r="AP64" s="9">
        <f>H64*(1-0)</f>
        <v>0</v>
      </c>
      <c r="AQ64" s="10" t="s">
        <v>61</v>
      </c>
      <c r="AV64" s="9">
        <f>ROUND(AW64+AX64,2)</f>
        <v>0</v>
      </c>
      <c r="AW64" s="9">
        <f>ROUND(G64*AO64,2)</f>
        <v>0</v>
      </c>
      <c r="AX64" s="9">
        <f>ROUND(G64*AP64,2)</f>
        <v>0</v>
      </c>
      <c r="AY64" s="10" t="s">
        <v>65</v>
      </c>
      <c r="AZ64" s="10" t="s">
        <v>216</v>
      </c>
      <c r="BA64" s="7" t="s">
        <v>217</v>
      </c>
      <c r="BC64" s="9">
        <f>AW64+AX64</f>
        <v>0</v>
      </c>
      <c r="BD64" s="9">
        <f>H64/(100-BE64)*100</f>
        <v>0</v>
      </c>
      <c r="BE64" s="9">
        <v>0</v>
      </c>
      <c r="BF64" s="9">
        <f>O64</f>
        <v>0</v>
      </c>
      <c r="BH64" s="9">
        <f>G64*AO64</f>
        <v>0</v>
      </c>
      <c r="BI64" s="9">
        <f>G64*AP64</f>
        <v>0</v>
      </c>
      <c r="BJ64" s="9">
        <f>G64*H64</f>
        <v>0</v>
      </c>
      <c r="BK64" s="9"/>
      <c r="BL64" s="9">
        <v>94</v>
      </c>
      <c r="BW64" s="9">
        <f>I64</f>
        <v>0</v>
      </c>
      <c r="BX64" s="2" t="s">
        <v>70</v>
      </c>
    </row>
    <row r="65" spans="1:76" x14ac:dyDescent="0.25">
      <c r="A65" s="38" t="s">
        <v>219</v>
      </c>
      <c r="B65" s="38" t="s">
        <v>213</v>
      </c>
      <c r="C65" s="38" t="s">
        <v>72</v>
      </c>
      <c r="D65" s="52" t="s">
        <v>73</v>
      </c>
      <c r="E65" s="53"/>
      <c r="F65" s="38" t="s">
        <v>64</v>
      </c>
      <c r="G65" s="39">
        <v>235.2</v>
      </c>
      <c r="H65" s="39"/>
      <c r="I65" s="40"/>
      <c r="J65" s="39"/>
      <c r="K65" s="39"/>
      <c r="L65" s="39"/>
      <c r="M65" s="39"/>
      <c r="N65" s="39">
        <v>2.426E-2</v>
      </c>
      <c r="O65" s="39">
        <f>G65*N65</f>
        <v>5.7059519999999999</v>
      </c>
      <c r="P65" s="41"/>
      <c r="Z65" s="9">
        <f>ROUND(IF(AQ65="5",BJ65,0),2)</f>
        <v>0</v>
      </c>
      <c r="AB65" s="9">
        <f>ROUND(IF(AQ65="1",BH65,0),2)</f>
        <v>0</v>
      </c>
      <c r="AC65" s="9">
        <f>ROUND(IF(AQ65="1",BI65,0),2)</f>
        <v>0</v>
      </c>
      <c r="AD65" s="9">
        <f>ROUND(IF(AQ65="7",BH65,0),2)</f>
        <v>0</v>
      </c>
      <c r="AE65" s="9">
        <f>ROUND(IF(AQ65="7",BI65,0),2)</f>
        <v>0</v>
      </c>
      <c r="AF65" s="9">
        <f>ROUND(IF(AQ65="2",BH65,0),2)</f>
        <v>0</v>
      </c>
      <c r="AG65" s="9">
        <f>ROUND(IF(AQ65="2",BI65,0),2)</f>
        <v>0</v>
      </c>
      <c r="AH65" s="9">
        <f>ROUND(IF(AQ65="0",BJ65,0),2)</f>
        <v>0</v>
      </c>
      <c r="AI65" s="7" t="s">
        <v>213</v>
      </c>
      <c r="AJ65" s="9">
        <f>IF(AN65=0,L65,0)</f>
        <v>0</v>
      </c>
      <c r="AK65" s="9">
        <f>IF(AN65=12,L65,0)</f>
        <v>0</v>
      </c>
      <c r="AL65" s="9">
        <f>IF(AN65=21,L65,0)</f>
        <v>0</v>
      </c>
      <c r="AN65" s="9">
        <v>21</v>
      </c>
      <c r="AO65" s="9">
        <f>H65*0.001212121</f>
        <v>0</v>
      </c>
      <c r="AP65" s="9">
        <f>H65*(1-0.001212121)</f>
        <v>0</v>
      </c>
      <c r="AQ65" s="10" t="s">
        <v>61</v>
      </c>
      <c r="AV65" s="9">
        <f>ROUND(AW65+AX65,2)</f>
        <v>0</v>
      </c>
      <c r="AW65" s="9">
        <f>ROUND(G65*AO65,2)</f>
        <v>0</v>
      </c>
      <c r="AX65" s="9">
        <f>ROUND(G65*AP65,2)</f>
        <v>0</v>
      </c>
      <c r="AY65" s="10" t="s">
        <v>65</v>
      </c>
      <c r="AZ65" s="10" t="s">
        <v>216</v>
      </c>
      <c r="BA65" s="7" t="s">
        <v>217</v>
      </c>
      <c r="BC65" s="9">
        <f>AW65+AX65</f>
        <v>0</v>
      </c>
      <c r="BD65" s="9">
        <f>H65/(100-BE65)*100</f>
        <v>0</v>
      </c>
      <c r="BE65" s="9">
        <v>0</v>
      </c>
      <c r="BF65" s="9">
        <f>O65</f>
        <v>5.7059519999999999</v>
      </c>
      <c r="BH65" s="9">
        <f>G65*AO65</f>
        <v>0</v>
      </c>
      <c r="BI65" s="9">
        <f>G65*AP65</f>
        <v>0</v>
      </c>
      <c r="BJ65" s="9">
        <f>G65*H65</f>
        <v>0</v>
      </c>
      <c r="BK65" s="9"/>
      <c r="BL65" s="9">
        <v>94</v>
      </c>
      <c r="BW65" s="9">
        <f>I65</f>
        <v>0</v>
      </c>
      <c r="BX65" s="2" t="s">
        <v>73</v>
      </c>
    </row>
    <row r="66" spans="1:76" x14ac:dyDescent="0.25">
      <c r="A66" s="38" t="s">
        <v>220</v>
      </c>
      <c r="B66" s="38" t="s">
        <v>213</v>
      </c>
      <c r="C66" s="38" t="s">
        <v>75</v>
      </c>
      <c r="D66" s="52" t="s">
        <v>76</v>
      </c>
      <c r="E66" s="53"/>
      <c r="F66" s="38" t="s">
        <v>77</v>
      </c>
      <c r="G66" s="39">
        <v>75</v>
      </c>
      <c r="H66" s="39"/>
      <c r="I66" s="40"/>
      <c r="J66" s="39"/>
      <c r="K66" s="39"/>
      <c r="L66" s="39"/>
      <c r="M66" s="39"/>
      <c r="N66" s="39">
        <v>0</v>
      </c>
      <c r="O66" s="39">
        <f>G66*N66</f>
        <v>0</v>
      </c>
      <c r="P66" s="41"/>
      <c r="Z66" s="9">
        <f>ROUND(IF(AQ66="5",BJ66,0),2)</f>
        <v>0</v>
      </c>
      <c r="AB66" s="9">
        <f>ROUND(IF(AQ66="1",BH66,0),2)</f>
        <v>0</v>
      </c>
      <c r="AC66" s="9">
        <f>ROUND(IF(AQ66="1",BI66,0),2)</f>
        <v>0</v>
      </c>
      <c r="AD66" s="9">
        <f>ROUND(IF(AQ66="7",BH66,0),2)</f>
        <v>0</v>
      </c>
      <c r="AE66" s="9">
        <f>ROUND(IF(AQ66="7",BI66,0),2)</f>
        <v>0</v>
      </c>
      <c r="AF66" s="9">
        <f>ROUND(IF(AQ66="2",BH66,0),2)</f>
        <v>0</v>
      </c>
      <c r="AG66" s="9">
        <f>ROUND(IF(AQ66="2",BI66,0),2)</f>
        <v>0</v>
      </c>
      <c r="AH66" s="9">
        <f>ROUND(IF(AQ66="0",BJ66,0),2)</f>
        <v>0</v>
      </c>
      <c r="AI66" s="7" t="s">
        <v>213</v>
      </c>
      <c r="AJ66" s="9">
        <f>IF(AN66=0,L66,0)</f>
        <v>0</v>
      </c>
      <c r="AK66" s="9">
        <f>IF(AN66=12,L66,0)</f>
        <v>0</v>
      </c>
      <c r="AL66" s="9">
        <f>IF(AN66=21,L66,0)</f>
        <v>0</v>
      </c>
      <c r="AN66" s="9">
        <v>21</v>
      </c>
      <c r="AO66" s="9">
        <f>H66*0</f>
        <v>0</v>
      </c>
      <c r="AP66" s="9">
        <f>H66*(1-0)</f>
        <v>0</v>
      </c>
      <c r="AQ66" s="10" t="s">
        <v>61</v>
      </c>
      <c r="AV66" s="9">
        <f>ROUND(AW66+AX66,2)</f>
        <v>0</v>
      </c>
      <c r="AW66" s="9">
        <f>ROUND(G66*AO66,2)</f>
        <v>0</v>
      </c>
      <c r="AX66" s="9">
        <f>ROUND(G66*AP66,2)</f>
        <v>0</v>
      </c>
      <c r="AY66" s="10" t="s">
        <v>65</v>
      </c>
      <c r="AZ66" s="10" t="s">
        <v>216</v>
      </c>
      <c r="BA66" s="7" t="s">
        <v>217</v>
      </c>
      <c r="BC66" s="9">
        <f>AW66+AX66</f>
        <v>0</v>
      </c>
      <c r="BD66" s="9">
        <f>H66/(100-BE66)*100</f>
        <v>0</v>
      </c>
      <c r="BE66" s="9">
        <v>0</v>
      </c>
      <c r="BF66" s="9">
        <f>O66</f>
        <v>0</v>
      </c>
      <c r="BH66" s="9">
        <f>G66*AO66</f>
        <v>0</v>
      </c>
      <c r="BI66" s="9">
        <f>G66*AP66</f>
        <v>0</v>
      </c>
      <c r="BJ66" s="9">
        <f>G66*H66</f>
        <v>0</v>
      </c>
      <c r="BK66" s="9"/>
      <c r="BL66" s="9">
        <v>94</v>
      </c>
      <c r="BW66" s="9">
        <f>I66</f>
        <v>0</v>
      </c>
      <c r="BX66" s="2" t="s">
        <v>76</v>
      </c>
    </row>
    <row r="67" spans="1:76" x14ac:dyDescent="0.25">
      <c r="A67" s="34" t="s">
        <v>56</v>
      </c>
      <c r="B67" s="35" t="s">
        <v>213</v>
      </c>
      <c r="C67" s="35" t="s">
        <v>78</v>
      </c>
      <c r="D67" s="57" t="s">
        <v>79</v>
      </c>
      <c r="E67" s="58"/>
      <c r="F67" s="34" t="s">
        <v>4</v>
      </c>
      <c r="G67" s="34" t="s">
        <v>4</v>
      </c>
      <c r="H67" s="34"/>
      <c r="I67" s="34"/>
      <c r="J67" s="36"/>
      <c r="K67" s="36"/>
      <c r="L67" s="36"/>
      <c r="M67" s="36"/>
      <c r="N67" s="37" t="s">
        <v>56</v>
      </c>
      <c r="O67" s="36">
        <f>SUM(O68:O69)</f>
        <v>0.41170000000000001</v>
      </c>
      <c r="P67" s="37"/>
      <c r="AI67" s="7" t="s">
        <v>213</v>
      </c>
      <c r="AS67" s="1">
        <f>SUM(AJ68:AJ69)</f>
        <v>0</v>
      </c>
      <c r="AT67" s="1">
        <f>SUM(AK68:AK69)</f>
        <v>0</v>
      </c>
      <c r="AU67" s="1">
        <f>SUM(AL68:AL69)</f>
        <v>0</v>
      </c>
    </row>
    <row r="68" spans="1:76" x14ac:dyDescent="0.25">
      <c r="A68" s="38" t="s">
        <v>221</v>
      </c>
      <c r="B68" s="38" t="s">
        <v>213</v>
      </c>
      <c r="C68" s="38" t="s">
        <v>89</v>
      </c>
      <c r="D68" s="52" t="s">
        <v>90</v>
      </c>
      <c r="E68" s="53"/>
      <c r="F68" s="38" t="s">
        <v>83</v>
      </c>
      <c r="G68" s="39">
        <v>5</v>
      </c>
      <c r="H68" s="39"/>
      <c r="I68" s="40"/>
      <c r="J68" s="39"/>
      <c r="K68" s="39"/>
      <c r="L68" s="39"/>
      <c r="M68" s="39"/>
      <c r="N68" s="39">
        <v>0.08</v>
      </c>
      <c r="O68" s="39">
        <f>G68*N68</f>
        <v>0.4</v>
      </c>
      <c r="P68" s="41"/>
      <c r="Z68" s="9">
        <f>ROUND(IF(AQ68="5",BJ68,0),2)</f>
        <v>0</v>
      </c>
      <c r="AB68" s="9">
        <f>ROUND(IF(AQ68="1",BH68,0),2)</f>
        <v>0</v>
      </c>
      <c r="AC68" s="9">
        <f>ROUND(IF(AQ68="1",BI68,0),2)</f>
        <v>0</v>
      </c>
      <c r="AD68" s="9">
        <f>ROUND(IF(AQ68="7",BH68,0),2)</f>
        <v>0</v>
      </c>
      <c r="AE68" s="9">
        <f>ROUND(IF(AQ68="7",BI68,0),2)</f>
        <v>0</v>
      </c>
      <c r="AF68" s="9">
        <f>ROUND(IF(AQ68="2",BH68,0),2)</f>
        <v>0</v>
      </c>
      <c r="AG68" s="9">
        <f>ROUND(IF(AQ68="2",BI68,0),2)</f>
        <v>0</v>
      </c>
      <c r="AH68" s="9">
        <f>ROUND(IF(AQ68="0",BJ68,0),2)</f>
        <v>0</v>
      </c>
      <c r="AI68" s="7" t="s">
        <v>213</v>
      </c>
      <c r="AJ68" s="9">
        <f>IF(AN68=0,L68,0)</f>
        <v>0</v>
      </c>
      <c r="AK68" s="9">
        <f>IF(AN68=12,L68,0)</f>
        <v>0</v>
      </c>
      <c r="AL68" s="9">
        <f>IF(AN68=21,L68,0)</f>
        <v>0</v>
      </c>
      <c r="AN68" s="9">
        <v>21</v>
      </c>
      <c r="AO68" s="9">
        <f>H68*0.000091743</f>
        <v>0</v>
      </c>
      <c r="AP68" s="9">
        <f>H68*(1-0.000091743)</f>
        <v>0</v>
      </c>
      <c r="AQ68" s="10" t="s">
        <v>61</v>
      </c>
      <c r="AV68" s="9">
        <f>ROUND(AW68+AX68,2)</f>
        <v>0</v>
      </c>
      <c r="AW68" s="9">
        <f>ROUND(G68*AO68,2)</f>
        <v>0</v>
      </c>
      <c r="AX68" s="9">
        <f>ROUND(G68*AP68,2)</f>
        <v>0</v>
      </c>
      <c r="AY68" s="10" t="s">
        <v>84</v>
      </c>
      <c r="AZ68" s="10" t="s">
        <v>216</v>
      </c>
      <c r="BA68" s="7" t="s">
        <v>217</v>
      </c>
      <c r="BC68" s="9">
        <f>AW68+AX68</f>
        <v>0</v>
      </c>
      <c r="BD68" s="9">
        <f>H68/(100-BE68)*100</f>
        <v>0</v>
      </c>
      <c r="BE68" s="9">
        <v>0</v>
      </c>
      <c r="BF68" s="9">
        <f>O68</f>
        <v>0.4</v>
      </c>
      <c r="BH68" s="9">
        <f>G68*AO68</f>
        <v>0</v>
      </c>
      <c r="BI68" s="9">
        <f>G68*AP68</f>
        <v>0</v>
      </c>
      <c r="BJ68" s="9">
        <f>G68*H68</f>
        <v>0</v>
      </c>
      <c r="BK68" s="9"/>
      <c r="BL68" s="9">
        <v>95</v>
      </c>
      <c r="BW68" s="9">
        <f>I68</f>
        <v>0</v>
      </c>
      <c r="BX68" s="2" t="s">
        <v>90</v>
      </c>
    </row>
    <row r="69" spans="1:76" ht="25.5" x14ac:dyDescent="0.25">
      <c r="A69" s="38" t="s">
        <v>222</v>
      </c>
      <c r="B69" s="38" t="s">
        <v>213</v>
      </c>
      <c r="C69" s="38" t="s">
        <v>81</v>
      </c>
      <c r="D69" s="52" t="s">
        <v>82</v>
      </c>
      <c r="E69" s="53"/>
      <c r="F69" s="38" t="s">
        <v>83</v>
      </c>
      <c r="G69" s="39">
        <v>5</v>
      </c>
      <c r="H69" s="39"/>
      <c r="I69" s="40"/>
      <c r="J69" s="39"/>
      <c r="K69" s="39"/>
      <c r="L69" s="39"/>
      <c r="M69" s="39"/>
      <c r="N69" s="39">
        <v>2.3400000000000001E-3</v>
      </c>
      <c r="O69" s="39">
        <f>G69*N69</f>
        <v>1.17E-2</v>
      </c>
      <c r="P69" s="41"/>
      <c r="Z69" s="9">
        <f>ROUND(IF(AQ69="5",BJ69,0),2)</f>
        <v>0</v>
      </c>
      <c r="AB69" s="9">
        <f>ROUND(IF(AQ69="1",BH69,0),2)</f>
        <v>0</v>
      </c>
      <c r="AC69" s="9">
        <f>ROUND(IF(AQ69="1",BI69,0),2)</f>
        <v>0</v>
      </c>
      <c r="AD69" s="9">
        <f>ROUND(IF(AQ69="7",BH69,0),2)</f>
        <v>0</v>
      </c>
      <c r="AE69" s="9">
        <f>ROUND(IF(AQ69="7",BI69,0),2)</f>
        <v>0</v>
      </c>
      <c r="AF69" s="9">
        <f>ROUND(IF(AQ69="2",BH69,0),2)</f>
        <v>0</v>
      </c>
      <c r="AG69" s="9">
        <f>ROUND(IF(AQ69="2",BI69,0),2)</f>
        <v>0</v>
      </c>
      <c r="AH69" s="9">
        <f>ROUND(IF(AQ69="0",BJ69,0),2)</f>
        <v>0</v>
      </c>
      <c r="AI69" s="7" t="s">
        <v>213</v>
      </c>
      <c r="AJ69" s="9">
        <f>IF(AN69=0,L69,0)</f>
        <v>0</v>
      </c>
      <c r="AK69" s="9">
        <f>IF(AN69=12,L69,0)</f>
        <v>0</v>
      </c>
      <c r="AL69" s="9">
        <f>IF(AN69=21,L69,0)</f>
        <v>0</v>
      </c>
      <c r="AN69" s="9">
        <v>21</v>
      </c>
      <c r="AO69" s="9">
        <f>H69*0.025526057</f>
        <v>0</v>
      </c>
      <c r="AP69" s="9">
        <f>H69*(1-0.025526057)</f>
        <v>0</v>
      </c>
      <c r="AQ69" s="10" t="s">
        <v>61</v>
      </c>
      <c r="AV69" s="9">
        <f>ROUND(AW69+AX69,2)</f>
        <v>0</v>
      </c>
      <c r="AW69" s="9">
        <f>ROUND(G69*AO69,2)</f>
        <v>0</v>
      </c>
      <c r="AX69" s="9">
        <f>ROUND(G69*AP69,2)</f>
        <v>0</v>
      </c>
      <c r="AY69" s="10" t="s">
        <v>84</v>
      </c>
      <c r="AZ69" s="10" t="s">
        <v>216</v>
      </c>
      <c r="BA69" s="7" t="s">
        <v>217</v>
      </c>
      <c r="BC69" s="9">
        <f>AW69+AX69</f>
        <v>0</v>
      </c>
      <c r="BD69" s="9">
        <f>H69/(100-BE69)*100</f>
        <v>0</v>
      </c>
      <c r="BE69" s="9">
        <v>0</v>
      </c>
      <c r="BF69" s="9">
        <f>O69</f>
        <v>1.17E-2</v>
      </c>
      <c r="BH69" s="9">
        <f>G69*AO69</f>
        <v>0</v>
      </c>
      <c r="BI69" s="9">
        <f>G69*AP69</f>
        <v>0</v>
      </c>
      <c r="BJ69" s="9">
        <f>G69*H69</f>
        <v>0</v>
      </c>
      <c r="BK69" s="9"/>
      <c r="BL69" s="9">
        <v>95</v>
      </c>
      <c r="BW69" s="9">
        <f>I69</f>
        <v>0</v>
      </c>
      <c r="BX69" s="2" t="s">
        <v>82</v>
      </c>
    </row>
    <row r="70" spans="1:76" x14ac:dyDescent="0.25">
      <c r="A70" s="34" t="s">
        <v>56</v>
      </c>
      <c r="B70" s="35" t="s">
        <v>213</v>
      </c>
      <c r="C70" s="35" t="s">
        <v>223</v>
      </c>
      <c r="D70" s="57" t="s">
        <v>224</v>
      </c>
      <c r="E70" s="58"/>
      <c r="F70" s="34" t="s">
        <v>4</v>
      </c>
      <c r="G70" s="34" t="s">
        <v>4</v>
      </c>
      <c r="H70" s="34"/>
      <c r="I70" s="34"/>
      <c r="J70" s="36"/>
      <c r="K70" s="36"/>
      <c r="L70" s="36"/>
      <c r="M70" s="36"/>
      <c r="N70" s="37" t="s">
        <v>56</v>
      </c>
      <c r="O70" s="36">
        <f>SUM(O71:O72)</f>
        <v>0.41568199999999994</v>
      </c>
      <c r="P70" s="37"/>
      <c r="AI70" s="7" t="s">
        <v>213</v>
      </c>
      <c r="AS70" s="1">
        <f>SUM(AJ71:AJ72)</f>
        <v>0</v>
      </c>
      <c r="AT70" s="1">
        <f>SUM(AK71:AK72)</f>
        <v>0</v>
      </c>
      <c r="AU70" s="1">
        <f>SUM(AL71:AL72)</f>
        <v>0</v>
      </c>
    </row>
    <row r="71" spans="1:76" x14ac:dyDescent="0.25">
      <c r="A71" s="38" t="s">
        <v>225</v>
      </c>
      <c r="B71" s="38" t="s">
        <v>213</v>
      </c>
      <c r="C71" s="38" t="s">
        <v>226</v>
      </c>
      <c r="D71" s="52" t="s">
        <v>227</v>
      </c>
      <c r="E71" s="53"/>
      <c r="F71" s="38" t="s">
        <v>64</v>
      </c>
      <c r="G71" s="39">
        <v>5.5</v>
      </c>
      <c r="H71" s="39"/>
      <c r="I71" s="40"/>
      <c r="J71" s="39"/>
      <c r="K71" s="39"/>
      <c r="L71" s="39"/>
      <c r="M71" s="39"/>
      <c r="N71" s="39">
        <v>6.6559999999999994E-2</v>
      </c>
      <c r="O71" s="39">
        <f>G71*N71</f>
        <v>0.36607999999999996</v>
      </c>
      <c r="P71" s="41"/>
      <c r="Z71" s="9">
        <f>ROUND(IF(AQ71="5",BJ71,0),2)</f>
        <v>0</v>
      </c>
      <c r="AB71" s="9">
        <f>ROUND(IF(AQ71="1",BH71,0),2)</f>
        <v>0</v>
      </c>
      <c r="AC71" s="9">
        <f>ROUND(IF(AQ71="1",BI71,0),2)</f>
        <v>0</v>
      </c>
      <c r="AD71" s="9">
        <f>ROUND(IF(AQ71="7",BH71,0),2)</f>
        <v>0</v>
      </c>
      <c r="AE71" s="9">
        <f>ROUND(IF(AQ71="7",BI71,0),2)</f>
        <v>0</v>
      </c>
      <c r="AF71" s="9">
        <f>ROUND(IF(AQ71="2",BH71,0),2)</f>
        <v>0</v>
      </c>
      <c r="AG71" s="9">
        <f>ROUND(IF(AQ71="2",BI71,0),2)</f>
        <v>0</v>
      </c>
      <c r="AH71" s="9">
        <f>ROUND(IF(AQ71="0",BJ71,0),2)</f>
        <v>0</v>
      </c>
      <c r="AI71" s="7" t="s">
        <v>213</v>
      </c>
      <c r="AJ71" s="9">
        <f>IF(AN71=0,L71,0)</f>
        <v>0</v>
      </c>
      <c r="AK71" s="9">
        <f>IF(AN71=12,L71,0)</f>
        <v>0</v>
      </c>
      <c r="AL71" s="9">
        <f>IF(AN71=21,L71,0)</f>
        <v>0</v>
      </c>
      <c r="AN71" s="9">
        <v>21</v>
      </c>
      <c r="AO71" s="9">
        <f>H71*0.092351275</f>
        <v>0</v>
      </c>
      <c r="AP71" s="9">
        <f>H71*(1-0.092351275)</f>
        <v>0</v>
      </c>
      <c r="AQ71" s="10" t="s">
        <v>61</v>
      </c>
      <c r="AV71" s="9">
        <f>ROUND(AW71+AX71,2)</f>
        <v>0</v>
      </c>
      <c r="AW71" s="9">
        <f>ROUND(G71*AO71,2)</f>
        <v>0</v>
      </c>
      <c r="AX71" s="9">
        <f>ROUND(G71*AP71,2)</f>
        <v>0</v>
      </c>
      <c r="AY71" s="10" t="s">
        <v>228</v>
      </c>
      <c r="AZ71" s="10" t="s">
        <v>216</v>
      </c>
      <c r="BA71" s="7" t="s">
        <v>217</v>
      </c>
      <c r="BC71" s="9">
        <f>AW71+AX71</f>
        <v>0</v>
      </c>
      <c r="BD71" s="9">
        <f>H71/(100-BE71)*100</f>
        <v>0</v>
      </c>
      <c r="BE71" s="9">
        <v>0</v>
      </c>
      <c r="BF71" s="9">
        <f>O71</f>
        <v>0.36607999999999996</v>
      </c>
      <c r="BH71" s="9">
        <f>G71*AO71</f>
        <v>0</v>
      </c>
      <c r="BI71" s="9">
        <f>G71*AP71</f>
        <v>0</v>
      </c>
      <c r="BJ71" s="9">
        <f>G71*H71</f>
        <v>0</v>
      </c>
      <c r="BK71" s="9"/>
      <c r="BL71" s="9">
        <v>96</v>
      </c>
      <c r="BW71" s="9">
        <f>I71</f>
        <v>0</v>
      </c>
      <c r="BX71" s="2" t="s">
        <v>227</v>
      </c>
    </row>
    <row r="72" spans="1:76" x14ac:dyDescent="0.25">
      <c r="A72" s="38" t="s">
        <v>229</v>
      </c>
      <c r="B72" s="38" t="s">
        <v>213</v>
      </c>
      <c r="C72" s="38" t="s">
        <v>230</v>
      </c>
      <c r="D72" s="52" t="s">
        <v>231</v>
      </c>
      <c r="E72" s="53"/>
      <c r="F72" s="38" t="s">
        <v>64</v>
      </c>
      <c r="G72" s="39">
        <v>0.6</v>
      </c>
      <c r="H72" s="39"/>
      <c r="I72" s="40"/>
      <c r="J72" s="39"/>
      <c r="K72" s="39"/>
      <c r="L72" s="39"/>
      <c r="M72" s="39"/>
      <c r="N72" s="39">
        <v>8.2669999999999993E-2</v>
      </c>
      <c r="O72" s="39">
        <f>G72*N72</f>
        <v>4.9601999999999993E-2</v>
      </c>
      <c r="P72" s="41"/>
      <c r="Z72" s="9">
        <f>ROUND(IF(AQ72="5",BJ72,0),2)</f>
        <v>0</v>
      </c>
      <c r="AB72" s="9">
        <f>ROUND(IF(AQ72="1",BH72,0),2)</f>
        <v>0</v>
      </c>
      <c r="AC72" s="9">
        <f>ROUND(IF(AQ72="1",BI72,0),2)</f>
        <v>0</v>
      </c>
      <c r="AD72" s="9">
        <f>ROUND(IF(AQ72="7",BH72,0),2)</f>
        <v>0</v>
      </c>
      <c r="AE72" s="9">
        <f>ROUND(IF(AQ72="7",BI72,0),2)</f>
        <v>0</v>
      </c>
      <c r="AF72" s="9">
        <f>ROUND(IF(AQ72="2",BH72,0),2)</f>
        <v>0</v>
      </c>
      <c r="AG72" s="9">
        <f>ROUND(IF(AQ72="2",BI72,0),2)</f>
        <v>0</v>
      </c>
      <c r="AH72" s="9">
        <f>ROUND(IF(AQ72="0",BJ72,0),2)</f>
        <v>0</v>
      </c>
      <c r="AI72" s="7" t="s">
        <v>213</v>
      </c>
      <c r="AJ72" s="9">
        <f>IF(AN72=0,L72,0)</f>
        <v>0</v>
      </c>
      <c r="AK72" s="9">
        <f>IF(AN72=12,L72,0)</f>
        <v>0</v>
      </c>
      <c r="AL72" s="9">
        <f>IF(AN72=21,L72,0)</f>
        <v>0</v>
      </c>
      <c r="AN72" s="9">
        <v>21</v>
      </c>
      <c r="AO72" s="9">
        <f>H72*0.046598993</f>
        <v>0</v>
      </c>
      <c r="AP72" s="9">
        <f>H72*(1-0.046598993)</f>
        <v>0</v>
      </c>
      <c r="AQ72" s="10" t="s">
        <v>61</v>
      </c>
      <c r="AV72" s="9">
        <f>ROUND(AW72+AX72,2)</f>
        <v>0</v>
      </c>
      <c r="AW72" s="9">
        <f>ROUND(G72*AO72,2)</f>
        <v>0</v>
      </c>
      <c r="AX72" s="9">
        <f>ROUND(G72*AP72,2)</f>
        <v>0</v>
      </c>
      <c r="AY72" s="10" t="s">
        <v>228</v>
      </c>
      <c r="AZ72" s="10" t="s">
        <v>216</v>
      </c>
      <c r="BA72" s="7" t="s">
        <v>217</v>
      </c>
      <c r="BC72" s="9">
        <f>AW72+AX72</f>
        <v>0</v>
      </c>
      <c r="BD72" s="9">
        <f>H72/(100-BE72)*100</f>
        <v>0</v>
      </c>
      <c r="BE72" s="9">
        <v>0</v>
      </c>
      <c r="BF72" s="9">
        <f>O72</f>
        <v>4.9601999999999993E-2</v>
      </c>
      <c r="BH72" s="9">
        <f>G72*AO72</f>
        <v>0</v>
      </c>
      <c r="BI72" s="9">
        <f>G72*AP72</f>
        <v>0</v>
      </c>
      <c r="BJ72" s="9">
        <f>G72*H72</f>
        <v>0</v>
      </c>
      <c r="BK72" s="9"/>
      <c r="BL72" s="9">
        <v>96</v>
      </c>
      <c r="BW72" s="9">
        <f>I72</f>
        <v>0</v>
      </c>
      <c r="BX72" s="2" t="s">
        <v>231</v>
      </c>
    </row>
    <row r="73" spans="1:76" x14ac:dyDescent="0.25">
      <c r="A73" s="34" t="s">
        <v>56</v>
      </c>
      <c r="B73" s="35" t="s">
        <v>213</v>
      </c>
      <c r="C73" s="35" t="s">
        <v>91</v>
      </c>
      <c r="D73" s="57" t="s">
        <v>92</v>
      </c>
      <c r="E73" s="58"/>
      <c r="F73" s="34" t="s">
        <v>4</v>
      </c>
      <c r="G73" s="34" t="s">
        <v>4</v>
      </c>
      <c r="H73" s="34"/>
      <c r="I73" s="34"/>
      <c r="J73" s="36"/>
      <c r="K73" s="36"/>
      <c r="L73" s="36"/>
      <c r="M73" s="36"/>
      <c r="N73" s="37" t="s">
        <v>56</v>
      </c>
      <c r="O73" s="36">
        <f>SUM(O74:O76)</f>
        <v>2.3673999999999999</v>
      </c>
      <c r="P73" s="37"/>
      <c r="AI73" s="7" t="s">
        <v>213</v>
      </c>
      <c r="AS73" s="1">
        <f>SUM(AJ74:AJ76)</f>
        <v>0</v>
      </c>
      <c r="AT73" s="1">
        <f>SUM(AK74:AK76)</f>
        <v>0</v>
      </c>
      <c r="AU73" s="1">
        <f>SUM(AL74:AL76)</f>
        <v>0</v>
      </c>
    </row>
    <row r="74" spans="1:76" x14ac:dyDescent="0.25">
      <c r="A74" s="38" t="s">
        <v>232</v>
      </c>
      <c r="B74" s="38" t="s">
        <v>213</v>
      </c>
      <c r="C74" s="38" t="s">
        <v>233</v>
      </c>
      <c r="D74" s="52" t="s">
        <v>234</v>
      </c>
      <c r="E74" s="53"/>
      <c r="F74" s="38" t="s">
        <v>105</v>
      </c>
      <c r="G74" s="39">
        <v>0.1</v>
      </c>
      <c r="H74" s="39"/>
      <c r="I74" s="40"/>
      <c r="J74" s="39"/>
      <c r="K74" s="39"/>
      <c r="L74" s="39"/>
      <c r="M74" s="39"/>
      <c r="N74" s="39">
        <v>0</v>
      </c>
      <c r="O74" s="39">
        <f>G74*N74</f>
        <v>0</v>
      </c>
      <c r="P74" s="41"/>
      <c r="Z74" s="9">
        <f>ROUND(IF(AQ74="5",BJ74,0),2)</f>
        <v>0</v>
      </c>
      <c r="AB74" s="9">
        <f>ROUND(IF(AQ74="1",BH74,0),2)</f>
        <v>0</v>
      </c>
      <c r="AC74" s="9">
        <f>ROUND(IF(AQ74="1",BI74,0),2)</f>
        <v>0</v>
      </c>
      <c r="AD74" s="9">
        <f>ROUND(IF(AQ74="7",BH74,0),2)</f>
        <v>0</v>
      </c>
      <c r="AE74" s="9">
        <f>ROUND(IF(AQ74="7",BI74,0),2)</f>
        <v>0</v>
      </c>
      <c r="AF74" s="9">
        <f>ROUND(IF(AQ74="2",BH74,0),2)</f>
        <v>0</v>
      </c>
      <c r="AG74" s="9">
        <f>ROUND(IF(AQ74="2",BI74,0),2)</f>
        <v>0</v>
      </c>
      <c r="AH74" s="9">
        <f>ROUND(IF(AQ74="0",BJ74,0),2)</f>
        <v>0</v>
      </c>
      <c r="AI74" s="7" t="s">
        <v>213</v>
      </c>
      <c r="AJ74" s="9">
        <f>IF(AN74=0,L74,0)</f>
        <v>0</v>
      </c>
      <c r="AK74" s="9">
        <f>IF(AN74=12,L74,0)</f>
        <v>0</v>
      </c>
      <c r="AL74" s="9">
        <f>IF(AN74=21,L74,0)</f>
        <v>0</v>
      </c>
      <c r="AN74" s="9">
        <v>21</v>
      </c>
      <c r="AO74" s="9">
        <f>H74*0</f>
        <v>0</v>
      </c>
      <c r="AP74" s="9">
        <f>H74*(1-0)</f>
        <v>0</v>
      </c>
      <c r="AQ74" s="10" t="s">
        <v>61</v>
      </c>
      <c r="AV74" s="9">
        <f>ROUND(AW74+AX74,2)</f>
        <v>0</v>
      </c>
      <c r="AW74" s="9">
        <f>ROUND(G74*AO74,2)</f>
        <v>0</v>
      </c>
      <c r="AX74" s="9">
        <f>ROUND(G74*AP74,2)</f>
        <v>0</v>
      </c>
      <c r="AY74" s="10" t="s">
        <v>96</v>
      </c>
      <c r="AZ74" s="10" t="s">
        <v>216</v>
      </c>
      <c r="BA74" s="7" t="s">
        <v>217</v>
      </c>
      <c r="BC74" s="9">
        <f>AW74+AX74</f>
        <v>0</v>
      </c>
      <c r="BD74" s="9">
        <f>H74/(100-BE74)*100</f>
        <v>0</v>
      </c>
      <c r="BE74" s="9">
        <v>0</v>
      </c>
      <c r="BF74" s="9">
        <f>O74</f>
        <v>0</v>
      </c>
      <c r="BH74" s="9">
        <f>G74*AO74</f>
        <v>0</v>
      </c>
      <c r="BI74" s="9">
        <f>G74*AP74</f>
        <v>0</v>
      </c>
      <c r="BJ74" s="9">
        <f>G74*H74</f>
        <v>0</v>
      </c>
      <c r="BK74" s="9"/>
      <c r="BL74" s="9">
        <v>97</v>
      </c>
      <c r="BW74" s="9">
        <f>I74</f>
        <v>0</v>
      </c>
      <c r="BX74" s="2" t="s">
        <v>234</v>
      </c>
    </row>
    <row r="75" spans="1:76" x14ac:dyDescent="0.25">
      <c r="A75" s="38" t="s">
        <v>235</v>
      </c>
      <c r="B75" s="38" t="s">
        <v>213</v>
      </c>
      <c r="C75" s="38" t="s">
        <v>98</v>
      </c>
      <c r="D75" s="52" t="s">
        <v>99</v>
      </c>
      <c r="E75" s="53"/>
      <c r="F75" s="38" t="s">
        <v>83</v>
      </c>
      <c r="G75" s="39">
        <v>1</v>
      </c>
      <c r="H75" s="39"/>
      <c r="I75" s="40"/>
      <c r="J75" s="39"/>
      <c r="K75" s="39"/>
      <c r="L75" s="39"/>
      <c r="M75" s="39"/>
      <c r="N75" s="39">
        <v>8.8999999999999999E-3</v>
      </c>
      <c r="O75" s="39">
        <f>G75*N75</f>
        <v>8.8999999999999999E-3</v>
      </c>
      <c r="P75" s="41"/>
      <c r="Z75" s="9">
        <f>ROUND(IF(AQ75="5",BJ75,0),2)</f>
        <v>0</v>
      </c>
      <c r="AB75" s="9">
        <f>ROUND(IF(AQ75="1",BH75,0),2)</f>
        <v>0</v>
      </c>
      <c r="AC75" s="9">
        <f>ROUND(IF(AQ75="1",BI75,0),2)</f>
        <v>0</v>
      </c>
      <c r="AD75" s="9">
        <f>ROUND(IF(AQ75="7",BH75,0),2)</f>
        <v>0</v>
      </c>
      <c r="AE75" s="9">
        <f>ROUND(IF(AQ75="7",BI75,0),2)</f>
        <v>0</v>
      </c>
      <c r="AF75" s="9">
        <f>ROUND(IF(AQ75="2",BH75,0),2)</f>
        <v>0</v>
      </c>
      <c r="AG75" s="9">
        <f>ROUND(IF(AQ75="2",BI75,0),2)</f>
        <v>0</v>
      </c>
      <c r="AH75" s="9">
        <f>ROUND(IF(AQ75="0",BJ75,0),2)</f>
        <v>0</v>
      </c>
      <c r="AI75" s="7" t="s">
        <v>213</v>
      </c>
      <c r="AJ75" s="9">
        <f>IF(AN75=0,L75,0)</f>
        <v>0</v>
      </c>
      <c r="AK75" s="9">
        <f>IF(AN75=12,L75,0)</f>
        <v>0</v>
      </c>
      <c r="AL75" s="9">
        <f>IF(AN75=21,L75,0)</f>
        <v>0</v>
      </c>
      <c r="AN75" s="9">
        <v>21</v>
      </c>
      <c r="AO75" s="9">
        <f>H75*0</f>
        <v>0</v>
      </c>
      <c r="AP75" s="9">
        <f>H75*(1-0)</f>
        <v>0</v>
      </c>
      <c r="AQ75" s="10" t="s">
        <v>61</v>
      </c>
      <c r="AV75" s="9">
        <f>ROUND(AW75+AX75,2)</f>
        <v>0</v>
      </c>
      <c r="AW75" s="9">
        <f>ROUND(G75*AO75,2)</f>
        <v>0</v>
      </c>
      <c r="AX75" s="9">
        <f>ROUND(G75*AP75,2)</f>
        <v>0</v>
      </c>
      <c r="AY75" s="10" t="s">
        <v>96</v>
      </c>
      <c r="AZ75" s="10" t="s">
        <v>216</v>
      </c>
      <c r="BA75" s="7" t="s">
        <v>217</v>
      </c>
      <c r="BC75" s="9">
        <f>AW75+AX75</f>
        <v>0</v>
      </c>
      <c r="BD75" s="9">
        <f>H75/(100-BE75)*100</f>
        <v>0</v>
      </c>
      <c r="BE75" s="9">
        <v>0</v>
      </c>
      <c r="BF75" s="9">
        <f>O75</f>
        <v>8.8999999999999999E-3</v>
      </c>
      <c r="BH75" s="9">
        <f>G75*AO75</f>
        <v>0</v>
      </c>
      <c r="BI75" s="9">
        <f>G75*AP75</f>
        <v>0</v>
      </c>
      <c r="BJ75" s="9">
        <f>G75*H75</f>
        <v>0</v>
      </c>
      <c r="BK75" s="9"/>
      <c r="BL75" s="9">
        <v>97</v>
      </c>
      <c r="BW75" s="9">
        <f>I75</f>
        <v>0</v>
      </c>
      <c r="BX75" s="2" t="s">
        <v>99</v>
      </c>
    </row>
    <row r="76" spans="1:76" x14ac:dyDescent="0.25">
      <c r="A76" s="38" t="s">
        <v>236</v>
      </c>
      <c r="B76" s="38" t="s">
        <v>213</v>
      </c>
      <c r="C76" s="38" t="s">
        <v>94</v>
      </c>
      <c r="D76" s="52" t="s">
        <v>95</v>
      </c>
      <c r="E76" s="53"/>
      <c r="F76" s="38" t="s">
        <v>64</v>
      </c>
      <c r="G76" s="39">
        <v>26.5</v>
      </c>
      <c r="H76" s="39"/>
      <c r="I76" s="40"/>
      <c r="J76" s="39"/>
      <c r="K76" s="39"/>
      <c r="L76" s="39"/>
      <c r="M76" s="39"/>
      <c r="N76" s="39">
        <v>8.8999999999999996E-2</v>
      </c>
      <c r="O76" s="39">
        <f>G76*N76</f>
        <v>2.3584999999999998</v>
      </c>
      <c r="P76" s="41"/>
      <c r="Z76" s="9">
        <f>ROUND(IF(AQ76="5",BJ76,0),2)</f>
        <v>0</v>
      </c>
      <c r="AB76" s="9">
        <f>ROUND(IF(AQ76="1",BH76,0),2)</f>
        <v>0</v>
      </c>
      <c r="AC76" s="9">
        <f>ROUND(IF(AQ76="1",BI76,0),2)</f>
        <v>0</v>
      </c>
      <c r="AD76" s="9">
        <f>ROUND(IF(AQ76="7",BH76,0),2)</f>
        <v>0</v>
      </c>
      <c r="AE76" s="9">
        <f>ROUND(IF(AQ76="7",BI76,0),2)</f>
        <v>0</v>
      </c>
      <c r="AF76" s="9">
        <f>ROUND(IF(AQ76="2",BH76,0),2)</f>
        <v>0</v>
      </c>
      <c r="AG76" s="9">
        <f>ROUND(IF(AQ76="2",BI76,0),2)</f>
        <v>0</v>
      </c>
      <c r="AH76" s="9">
        <f>ROUND(IF(AQ76="0",BJ76,0),2)</f>
        <v>0</v>
      </c>
      <c r="AI76" s="7" t="s">
        <v>213</v>
      </c>
      <c r="AJ76" s="9">
        <f>IF(AN76=0,L76,0)</f>
        <v>0</v>
      </c>
      <c r="AK76" s="9">
        <f>IF(AN76=12,L76,0)</f>
        <v>0</v>
      </c>
      <c r="AL76" s="9">
        <f>IF(AN76=21,L76,0)</f>
        <v>0</v>
      </c>
      <c r="AN76" s="9">
        <v>21</v>
      </c>
      <c r="AO76" s="9">
        <f>H76*0</f>
        <v>0</v>
      </c>
      <c r="AP76" s="9">
        <f>H76*(1-0)</f>
        <v>0</v>
      </c>
      <c r="AQ76" s="10" t="s">
        <v>61</v>
      </c>
      <c r="AV76" s="9">
        <f>ROUND(AW76+AX76,2)</f>
        <v>0</v>
      </c>
      <c r="AW76" s="9">
        <f>ROUND(G76*AO76,2)</f>
        <v>0</v>
      </c>
      <c r="AX76" s="9">
        <f>ROUND(G76*AP76,2)</f>
        <v>0</v>
      </c>
      <c r="AY76" s="10" t="s">
        <v>96</v>
      </c>
      <c r="AZ76" s="10" t="s">
        <v>216</v>
      </c>
      <c r="BA76" s="7" t="s">
        <v>217</v>
      </c>
      <c r="BC76" s="9">
        <f>AW76+AX76</f>
        <v>0</v>
      </c>
      <c r="BD76" s="9">
        <f>H76/(100-BE76)*100</f>
        <v>0</v>
      </c>
      <c r="BE76" s="9">
        <v>0</v>
      </c>
      <c r="BF76" s="9">
        <f>O76</f>
        <v>2.3584999999999998</v>
      </c>
      <c r="BH76" s="9">
        <f>G76*AO76</f>
        <v>0</v>
      </c>
      <c r="BI76" s="9">
        <f>G76*AP76</f>
        <v>0</v>
      </c>
      <c r="BJ76" s="9">
        <f>G76*H76</f>
        <v>0</v>
      </c>
      <c r="BK76" s="9"/>
      <c r="BL76" s="9">
        <v>97</v>
      </c>
      <c r="BW76" s="9">
        <f>I76</f>
        <v>0</v>
      </c>
      <c r="BX76" s="2" t="s">
        <v>95</v>
      </c>
    </row>
    <row r="77" spans="1:76" x14ac:dyDescent="0.25">
      <c r="A77" s="34" t="s">
        <v>56</v>
      </c>
      <c r="B77" s="35" t="s">
        <v>213</v>
      </c>
      <c r="C77" s="35" t="s">
        <v>100</v>
      </c>
      <c r="D77" s="57" t="s">
        <v>101</v>
      </c>
      <c r="E77" s="58"/>
      <c r="F77" s="34" t="s">
        <v>4</v>
      </c>
      <c r="G77" s="34" t="s">
        <v>4</v>
      </c>
      <c r="H77" s="34"/>
      <c r="I77" s="34"/>
      <c r="J77" s="36"/>
      <c r="K77" s="36"/>
      <c r="L77" s="36"/>
      <c r="M77" s="36"/>
      <c r="N77" s="37" t="s">
        <v>56</v>
      </c>
      <c r="O77" s="36">
        <f>SUM(O78:O78)</f>
        <v>0</v>
      </c>
      <c r="P77" s="37"/>
      <c r="AI77" s="7" t="s">
        <v>213</v>
      </c>
      <c r="AS77" s="1">
        <f>SUM(AJ78:AJ78)</f>
        <v>0</v>
      </c>
      <c r="AT77" s="1">
        <f>SUM(AK78:AK78)</f>
        <v>0</v>
      </c>
      <c r="AU77" s="1">
        <f>SUM(AL78:AL78)</f>
        <v>0</v>
      </c>
    </row>
    <row r="78" spans="1:76" x14ac:dyDescent="0.25">
      <c r="A78" s="38" t="s">
        <v>237</v>
      </c>
      <c r="B78" s="38" t="s">
        <v>213</v>
      </c>
      <c r="C78" s="38" t="s">
        <v>103</v>
      </c>
      <c r="D78" s="52" t="s">
        <v>104</v>
      </c>
      <c r="E78" s="53"/>
      <c r="F78" s="38" t="s">
        <v>105</v>
      </c>
      <c r="G78" s="39">
        <v>9.5</v>
      </c>
      <c r="H78" s="39"/>
      <c r="I78" s="40"/>
      <c r="J78" s="39"/>
      <c r="K78" s="39"/>
      <c r="L78" s="39"/>
      <c r="M78" s="39"/>
      <c r="N78" s="39">
        <v>0</v>
      </c>
      <c r="O78" s="39">
        <f>G78*N78</f>
        <v>0</v>
      </c>
      <c r="P78" s="41"/>
      <c r="Z78" s="9">
        <f>ROUND(IF(AQ78="5",BJ78,0),2)</f>
        <v>0</v>
      </c>
      <c r="AB78" s="9">
        <f>ROUND(IF(AQ78="1",BH78,0),2)</f>
        <v>0</v>
      </c>
      <c r="AC78" s="9">
        <f>ROUND(IF(AQ78="1",BI78,0),2)</f>
        <v>0</v>
      </c>
      <c r="AD78" s="9">
        <f>ROUND(IF(AQ78="7",BH78,0),2)</f>
        <v>0</v>
      </c>
      <c r="AE78" s="9">
        <f>ROUND(IF(AQ78="7",BI78,0),2)</f>
        <v>0</v>
      </c>
      <c r="AF78" s="9">
        <f>ROUND(IF(AQ78="2",BH78,0),2)</f>
        <v>0</v>
      </c>
      <c r="AG78" s="9">
        <f>ROUND(IF(AQ78="2",BI78,0),2)</f>
        <v>0</v>
      </c>
      <c r="AH78" s="9">
        <f>ROUND(IF(AQ78="0",BJ78,0),2)</f>
        <v>0</v>
      </c>
      <c r="AI78" s="7" t="s">
        <v>213</v>
      </c>
      <c r="AJ78" s="9">
        <f>IF(AN78=0,L78,0)</f>
        <v>0</v>
      </c>
      <c r="AK78" s="9">
        <f>IF(AN78=12,L78,0)</f>
        <v>0</v>
      </c>
      <c r="AL78" s="9">
        <f>IF(AN78=21,L78,0)</f>
        <v>0</v>
      </c>
      <c r="AN78" s="9">
        <v>21</v>
      </c>
      <c r="AO78" s="9">
        <f>H78*0</f>
        <v>0</v>
      </c>
      <c r="AP78" s="9">
        <f>H78*(1-0)</f>
        <v>0</v>
      </c>
      <c r="AQ78" s="10" t="s">
        <v>80</v>
      </c>
      <c r="AV78" s="9">
        <f>ROUND(AW78+AX78,2)</f>
        <v>0</v>
      </c>
      <c r="AW78" s="9">
        <f>ROUND(G78*AO78,2)</f>
        <v>0</v>
      </c>
      <c r="AX78" s="9">
        <f>ROUND(G78*AP78,2)</f>
        <v>0</v>
      </c>
      <c r="AY78" s="10" t="s">
        <v>106</v>
      </c>
      <c r="AZ78" s="10" t="s">
        <v>216</v>
      </c>
      <c r="BA78" s="7" t="s">
        <v>217</v>
      </c>
      <c r="BC78" s="9">
        <f>AW78+AX78</f>
        <v>0</v>
      </c>
      <c r="BD78" s="9">
        <f>H78/(100-BE78)*100</f>
        <v>0</v>
      </c>
      <c r="BE78" s="9">
        <v>0</v>
      </c>
      <c r="BF78" s="9">
        <f>O78</f>
        <v>0</v>
      </c>
      <c r="BH78" s="9">
        <f>G78*AO78</f>
        <v>0</v>
      </c>
      <c r="BI78" s="9">
        <f>G78*AP78</f>
        <v>0</v>
      </c>
      <c r="BJ78" s="9">
        <f>G78*H78</f>
        <v>0</v>
      </c>
      <c r="BK78" s="9"/>
      <c r="BL78" s="9"/>
      <c r="BW78" s="9">
        <f>I78</f>
        <v>0</v>
      </c>
      <c r="BX78" s="2" t="s">
        <v>104</v>
      </c>
    </row>
    <row r="79" spans="1:76" x14ac:dyDescent="0.25">
      <c r="A79" s="34" t="s">
        <v>56</v>
      </c>
      <c r="B79" s="35" t="s">
        <v>213</v>
      </c>
      <c r="C79" s="35" t="s">
        <v>238</v>
      </c>
      <c r="D79" s="57" t="s">
        <v>239</v>
      </c>
      <c r="E79" s="58"/>
      <c r="F79" s="34" t="s">
        <v>4</v>
      </c>
      <c r="G79" s="34" t="s">
        <v>4</v>
      </c>
      <c r="H79" s="34"/>
      <c r="I79" s="34"/>
      <c r="J79" s="36"/>
      <c r="K79" s="36"/>
      <c r="L79" s="36"/>
      <c r="M79" s="36"/>
      <c r="N79" s="37" t="s">
        <v>56</v>
      </c>
      <c r="O79" s="36">
        <f>SUM(O80:O80)</f>
        <v>0</v>
      </c>
      <c r="P79" s="37"/>
      <c r="AI79" s="7" t="s">
        <v>213</v>
      </c>
      <c r="AS79" s="1">
        <f>SUM(AJ80:AJ80)</f>
        <v>0</v>
      </c>
      <c r="AT79" s="1">
        <f>SUM(AK80:AK80)</f>
        <v>0</v>
      </c>
      <c r="AU79" s="1">
        <f>SUM(AL80:AL80)</f>
        <v>0</v>
      </c>
    </row>
    <row r="80" spans="1:76" x14ac:dyDescent="0.25">
      <c r="A80" s="38" t="s">
        <v>240</v>
      </c>
      <c r="B80" s="38" t="s">
        <v>213</v>
      </c>
      <c r="C80" s="38" t="s">
        <v>241</v>
      </c>
      <c r="D80" s="52" t="s">
        <v>242</v>
      </c>
      <c r="E80" s="53"/>
      <c r="F80" s="38" t="s">
        <v>105</v>
      </c>
      <c r="G80" s="39">
        <v>0.1</v>
      </c>
      <c r="H80" s="39"/>
      <c r="I80" s="40"/>
      <c r="J80" s="39"/>
      <c r="K80" s="39"/>
      <c r="L80" s="39"/>
      <c r="M80" s="39"/>
      <c r="N80" s="39">
        <v>0</v>
      </c>
      <c r="O80" s="39">
        <f>G80*N80</f>
        <v>0</v>
      </c>
      <c r="P80" s="41"/>
      <c r="Z80" s="9">
        <f>ROUND(IF(AQ80="5",BJ80,0),2)</f>
        <v>0</v>
      </c>
      <c r="AB80" s="9">
        <f>ROUND(IF(AQ80="1",BH80,0),2)</f>
        <v>0</v>
      </c>
      <c r="AC80" s="9">
        <f>ROUND(IF(AQ80="1",BI80,0),2)</f>
        <v>0</v>
      </c>
      <c r="AD80" s="9">
        <f>ROUND(IF(AQ80="7",BH80,0),2)</f>
        <v>0</v>
      </c>
      <c r="AE80" s="9">
        <f>ROUND(IF(AQ80="7",BI80,0),2)</f>
        <v>0</v>
      </c>
      <c r="AF80" s="9">
        <f>ROUND(IF(AQ80="2",BH80,0),2)</f>
        <v>0</v>
      </c>
      <c r="AG80" s="9">
        <f>ROUND(IF(AQ80="2",BI80,0),2)</f>
        <v>0</v>
      </c>
      <c r="AH80" s="9">
        <f>ROUND(IF(AQ80="0",BJ80,0),2)</f>
        <v>0</v>
      </c>
      <c r="AI80" s="7" t="s">
        <v>213</v>
      </c>
      <c r="AJ80" s="9">
        <f>IF(AN80=0,L80,0)</f>
        <v>0</v>
      </c>
      <c r="AK80" s="9">
        <f>IF(AN80=12,L80,0)</f>
        <v>0</v>
      </c>
      <c r="AL80" s="9">
        <f>IF(AN80=21,L80,0)</f>
        <v>0</v>
      </c>
      <c r="AN80" s="9">
        <v>21</v>
      </c>
      <c r="AO80" s="9">
        <f>H80*0</f>
        <v>0</v>
      </c>
      <c r="AP80" s="9">
        <f>H80*(1-0)</f>
        <v>0</v>
      </c>
      <c r="AQ80" s="10" t="s">
        <v>80</v>
      </c>
      <c r="AV80" s="9">
        <f>ROUND(AW80+AX80,2)</f>
        <v>0</v>
      </c>
      <c r="AW80" s="9">
        <f>ROUND(G80*AO80,2)</f>
        <v>0</v>
      </c>
      <c r="AX80" s="9">
        <f>ROUND(G80*AP80,2)</f>
        <v>0</v>
      </c>
      <c r="AY80" s="10" t="s">
        <v>243</v>
      </c>
      <c r="AZ80" s="10" t="s">
        <v>216</v>
      </c>
      <c r="BA80" s="7" t="s">
        <v>217</v>
      </c>
      <c r="BC80" s="9">
        <f>AW80+AX80</f>
        <v>0</v>
      </c>
      <c r="BD80" s="9">
        <f>H80/(100-BE80)*100</f>
        <v>0</v>
      </c>
      <c r="BE80" s="9">
        <v>0</v>
      </c>
      <c r="BF80" s="9">
        <f>O80</f>
        <v>0</v>
      </c>
      <c r="BH80" s="9">
        <f>G80*AO80</f>
        <v>0</v>
      </c>
      <c r="BI80" s="9">
        <f>G80*AP80</f>
        <v>0</v>
      </c>
      <c r="BJ80" s="9">
        <f>G80*H80</f>
        <v>0</v>
      </c>
      <c r="BK80" s="9"/>
      <c r="BL80" s="9"/>
      <c r="BW80" s="9">
        <f>I80</f>
        <v>0</v>
      </c>
      <c r="BX80" s="2" t="s">
        <v>242</v>
      </c>
    </row>
    <row r="81" spans="1:76" x14ac:dyDescent="0.25">
      <c r="A81" s="34" t="s">
        <v>56</v>
      </c>
      <c r="B81" s="35" t="s">
        <v>213</v>
      </c>
      <c r="C81" s="35" t="s">
        <v>141</v>
      </c>
      <c r="D81" s="57" t="s">
        <v>142</v>
      </c>
      <c r="E81" s="58"/>
      <c r="F81" s="34" t="s">
        <v>4</v>
      </c>
      <c r="G81" s="34" t="s">
        <v>4</v>
      </c>
      <c r="H81" s="34"/>
      <c r="I81" s="34"/>
      <c r="J81" s="36"/>
      <c r="K81" s="36"/>
      <c r="L81" s="36"/>
      <c r="M81" s="36"/>
      <c r="N81" s="37" t="s">
        <v>56</v>
      </c>
      <c r="O81" s="36">
        <f>SUM(O82:O91)</f>
        <v>1.953681</v>
      </c>
      <c r="P81" s="37"/>
      <c r="AI81" s="7" t="s">
        <v>213</v>
      </c>
      <c r="AS81" s="1">
        <f>SUM(AJ82:AJ91)</f>
        <v>0</v>
      </c>
      <c r="AT81" s="1">
        <f>SUM(AK82:AK91)</f>
        <v>0</v>
      </c>
      <c r="AU81" s="1">
        <f>SUM(AL82:AL91)</f>
        <v>0</v>
      </c>
    </row>
    <row r="82" spans="1:76" x14ac:dyDescent="0.25">
      <c r="A82" s="38" t="s">
        <v>244</v>
      </c>
      <c r="B82" s="38" t="s">
        <v>213</v>
      </c>
      <c r="C82" s="38" t="s">
        <v>144</v>
      </c>
      <c r="D82" s="52" t="s">
        <v>145</v>
      </c>
      <c r="E82" s="53"/>
      <c r="F82" s="38" t="s">
        <v>64</v>
      </c>
      <c r="G82" s="39">
        <v>131.19999999999999</v>
      </c>
      <c r="H82" s="39"/>
      <c r="I82" s="40"/>
      <c r="J82" s="39"/>
      <c r="K82" s="39"/>
      <c r="L82" s="39"/>
      <c r="M82" s="39"/>
      <c r="N82" s="39">
        <v>2.0000000000000002E-5</v>
      </c>
      <c r="O82" s="39">
        <f t="shared" ref="O82:O91" si="68">G82*N82</f>
        <v>2.624E-3</v>
      </c>
      <c r="P82" s="41"/>
      <c r="Z82" s="9">
        <f t="shared" ref="Z82:Z91" si="69">ROUND(IF(AQ82="5",BJ82,0),2)</f>
        <v>0</v>
      </c>
      <c r="AB82" s="9">
        <f t="shared" ref="AB82:AB91" si="70">ROUND(IF(AQ82="1",BH82,0),2)</f>
        <v>0</v>
      </c>
      <c r="AC82" s="9">
        <f t="shared" ref="AC82:AC91" si="71">ROUND(IF(AQ82="1",BI82,0),2)</f>
        <v>0</v>
      </c>
      <c r="AD82" s="9">
        <f t="shared" ref="AD82:AD91" si="72">ROUND(IF(AQ82="7",BH82,0),2)</f>
        <v>0</v>
      </c>
      <c r="AE82" s="9">
        <f t="shared" ref="AE82:AE91" si="73">ROUND(IF(AQ82="7",BI82,0),2)</f>
        <v>0</v>
      </c>
      <c r="AF82" s="9">
        <f t="shared" ref="AF82:AF91" si="74">ROUND(IF(AQ82="2",BH82,0),2)</f>
        <v>0</v>
      </c>
      <c r="AG82" s="9">
        <f t="shared" ref="AG82:AG91" si="75">ROUND(IF(AQ82="2",BI82,0),2)</f>
        <v>0</v>
      </c>
      <c r="AH82" s="9">
        <f t="shared" ref="AH82:AH91" si="76">ROUND(IF(AQ82="0",BJ82,0),2)</f>
        <v>0</v>
      </c>
      <c r="AI82" s="7" t="s">
        <v>213</v>
      </c>
      <c r="AJ82" s="9">
        <f t="shared" ref="AJ82:AJ91" si="77">IF(AN82=0,L82,0)</f>
        <v>0</v>
      </c>
      <c r="AK82" s="9">
        <f t="shared" ref="AK82:AK91" si="78">IF(AN82=12,L82,0)</f>
        <v>0</v>
      </c>
      <c r="AL82" s="9">
        <f t="shared" ref="AL82:AL91" si="79">IF(AN82=21,L82,0)</f>
        <v>0</v>
      </c>
      <c r="AN82" s="9">
        <v>21</v>
      </c>
      <c r="AO82" s="9">
        <f>H82*0.071561522</f>
        <v>0</v>
      </c>
      <c r="AP82" s="9">
        <f>H82*(1-0.071561522)</f>
        <v>0</v>
      </c>
      <c r="AQ82" s="10" t="s">
        <v>61</v>
      </c>
      <c r="AV82" s="9">
        <f t="shared" ref="AV82:AV91" si="80">ROUND(AW82+AX82,2)</f>
        <v>0</v>
      </c>
      <c r="AW82" s="9">
        <f t="shared" ref="AW82:AW91" si="81">ROUND(G82*AO82,2)</f>
        <v>0</v>
      </c>
      <c r="AX82" s="9">
        <f t="shared" ref="AX82:AX91" si="82">ROUND(G82*AP82,2)</f>
        <v>0</v>
      </c>
      <c r="AY82" s="10" t="s">
        <v>146</v>
      </c>
      <c r="AZ82" s="10" t="s">
        <v>245</v>
      </c>
      <c r="BA82" s="7" t="s">
        <v>217</v>
      </c>
      <c r="BC82" s="9">
        <f t="shared" ref="BC82:BC91" si="83">AW82+AX82</f>
        <v>0</v>
      </c>
      <c r="BD82" s="9">
        <f t="shared" ref="BD82:BD91" si="84">H82/(100-BE82)*100</f>
        <v>0</v>
      </c>
      <c r="BE82" s="9">
        <v>0</v>
      </c>
      <c r="BF82" s="9">
        <f t="shared" ref="BF82:BF91" si="85">O82</f>
        <v>2.624E-3</v>
      </c>
      <c r="BH82" s="9">
        <f t="shared" ref="BH82:BH91" si="86">G82*AO82</f>
        <v>0</v>
      </c>
      <c r="BI82" s="9">
        <f t="shared" ref="BI82:BI91" si="87">G82*AP82</f>
        <v>0</v>
      </c>
      <c r="BJ82" s="9">
        <f t="shared" ref="BJ82:BJ91" si="88">G82*H82</f>
        <v>0</v>
      </c>
      <c r="BK82" s="9"/>
      <c r="BL82" s="9">
        <v>62</v>
      </c>
      <c r="BW82" s="9">
        <f t="shared" ref="BW82:BW91" si="89">I82</f>
        <v>0</v>
      </c>
      <c r="BX82" s="2" t="s">
        <v>145</v>
      </c>
    </row>
    <row r="83" spans="1:76" x14ac:dyDescent="0.25">
      <c r="A83" s="38" t="s">
        <v>246</v>
      </c>
      <c r="B83" s="38" t="s">
        <v>213</v>
      </c>
      <c r="C83" s="38" t="s">
        <v>149</v>
      </c>
      <c r="D83" s="52" t="s">
        <v>150</v>
      </c>
      <c r="E83" s="53"/>
      <c r="F83" s="38" t="s">
        <v>64</v>
      </c>
      <c r="G83" s="39">
        <v>74.5</v>
      </c>
      <c r="H83" s="39"/>
      <c r="I83" s="40"/>
      <c r="J83" s="39"/>
      <c r="K83" s="39"/>
      <c r="L83" s="39"/>
      <c r="M83" s="39"/>
      <c r="N83" s="39">
        <v>4.0000000000000003E-5</v>
      </c>
      <c r="O83" s="39">
        <f t="shared" si="68"/>
        <v>2.9800000000000004E-3</v>
      </c>
      <c r="P83" s="41"/>
      <c r="Z83" s="9">
        <f t="shared" si="69"/>
        <v>0</v>
      </c>
      <c r="AB83" s="9">
        <f t="shared" si="70"/>
        <v>0</v>
      </c>
      <c r="AC83" s="9">
        <f t="shared" si="71"/>
        <v>0</v>
      </c>
      <c r="AD83" s="9">
        <f t="shared" si="72"/>
        <v>0</v>
      </c>
      <c r="AE83" s="9">
        <f t="shared" si="73"/>
        <v>0</v>
      </c>
      <c r="AF83" s="9">
        <f t="shared" si="74"/>
        <v>0</v>
      </c>
      <c r="AG83" s="9">
        <f t="shared" si="75"/>
        <v>0</v>
      </c>
      <c r="AH83" s="9">
        <f t="shared" si="76"/>
        <v>0</v>
      </c>
      <c r="AI83" s="7" t="s">
        <v>213</v>
      </c>
      <c r="AJ83" s="9">
        <f t="shared" si="77"/>
        <v>0</v>
      </c>
      <c r="AK83" s="9">
        <f t="shared" si="78"/>
        <v>0</v>
      </c>
      <c r="AL83" s="9">
        <f t="shared" si="79"/>
        <v>0</v>
      </c>
      <c r="AN83" s="9">
        <v>21</v>
      </c>
      <c r="AO83" s="9">
        <f>H83*0.322160149</f>
        <v>0</v>
      </c>
      <c r="AP83" s="9">
        <f>H83*(1-0.322160149)</f>
        <v>0</v>
      </c>
      <c r="AQ83" s="10" t="s">
        <v>61</v>
      </c>
      <c r="AV83" s="9">
        <f t="shared" si="80"/>
        <v>0</v>
      </c>
      <c r="AW83" s="9">
        <f t="shared" si="81"/>
        <v>0</v>
      </c>
      <c r="AX83" s="9">
        <f t="shared" si="82"/>
        <v>0</v>
      </c>
      <c r="AY83" s="10" t="s">
        <v>146</v>
      </c>
      <c r="AZ83" s="10" t="s">
        <v>245</v>
      </c>
      <c r="BA83" s="7" t="s">
        <v>217</v>
      </c>
      <c r="BC83" s="9">
        <f t="shared" si="83"/>
        <v>0</v>
      </c>
      <c r="BD83" s="9">
        <f t="shared" si="84"/>
        <v>0</v>
      </c>
      <c r="BE83" s="9">
        <v>0</v>
      </c>
      <c r="BF83" s="9">
        <f t="shared" si="85"/>
        <v>2.9800000000000004E-3</v>
      </c>
      <c r="BH83" s="9">
        <f t="shared" si="86"/>
        <v>0</v>
      </c>
      <c r="BI83" s="9">
        <f t="shared" si="87"/>
        <v>0</v>
      </c>
      <c r="BJ83" s="9">
        <f t="shared" si="88"/>
        <v>0</v>
      </c>
      <c r="BK83" s="9"/>
      <c r="BL83" s="9">
        <v>62</v>
      </c>
      <c r="BW83" s="9">
        <f t="shared" si="89"/>
        <v>0</v>
      </c>
      <c r="BX83" s="2" t="s">
        <v>150</v>
      </c>
    </row>
    <row r="84" spans="1:76" x14ac:dyDescent="0.25">
      <c r="A84" s="38" t="s">
        <v>247</v>
      </c>
      <c r="B84" s="38" t="s">
        <v>213</v>
      </c>
      <c r="C84" s="38" t="s">
        <v>248</v>
      </c>
      <c r="D84" s="52" t="s">
        <v>249</v>
      </c>
      <c r="E84" s="53"/>
      <c r="F84" s="38" t="s">
        <v>112</v>
      </c>
      <c r="G84" s="39">
        <v>18</v>
      </c>
      <c r="H84" s="39"/>
      <c r="I84" s="40"/>
      <c r="J84" s="39"/>
      <c r="K84" s="39"/>
      <c r="L84" s="39"/>
      <c r="M84" s="39"/>
      <c r="N84" s="39">
        <v>6.9999999999999994E-5</v>
      </c>
      <c r="O84" s="39">
        <f t="shared" si="68"/>
        <v>1.2599999999999998E-3</v>
      </c>
      <c r="P84" s="41"/>
      <c r="Z84" s="9">
        <f t="shared" si="69"/>
        <v>0</v>
      </c>
      <c r="AB84" s="9">
        <f t="shared" si="70"/>
        <v>0</v>
      </c>
      <c r="AC84" s="9">
        <f t="shared" si="71"/>
        <v>0</v>
      </c>
      <c r="AD84" s="9">
        <f t="shared" si="72"/>
        <v>0</v>
      </c>
      <c r="AE84" s="9">
        <f t="shared" si="73"/>
        <v>0</v>
      </c>
      <c r="AF84" s="9">
        <f t="shared" si="74"/>
        <v>0</v>
      </c>
      <c r="AG84" s="9">
        <f t="shared" si="75"/>
        <v>0</v>
      </c>
      <c r="AH84" s="9">
        <f t="shared" si="76"/>
        <v>0</v>
      </c>
      <c r="AI84" s="7" t="s">
        <v>213</v>
      </c>
      <c r="AJ84" s="9">
        <f t="shared" si="77"/>
        <v>0</v>
      </c>
      <c r="AK84" s="9">
        <f t="shared" si="78"/>
        <v>0</v>
      </c>
      <c r="AL84" s="9">
        <f t="shared" si="79"/>
        <v>0</v>
      </c>
      <c r="AN84" s="9">
        <v>21</v>
      </c>
      <c r="AO84" s="9">
        <f>H84*0.237219731</f>
        <v>0</v>
      </c>
      <c r="AP84" s="9">
        <f>H84*(1-0.237219731)</f>
        <v>0</v>
      </c>
      <c r="AQ84" s="10" t="s">
        <v>61</v>
      </c>
      <c r="AV84" s="9">
        <f t="shared" si="80"/>
        <v>0</v>
      </c>
      <c r="AW84" s="9">
        <f t="shared" si="81"/>
        <v>0</v>
      </c>
      <c r="AX84" s="9">
        <f t="shared" si="82"/>
        <v>0</v>
      </c>
      <c r="AY84" s="10" t="s">
        <v>146</v>
      </c>
      <c r="AZ84" s="10" t="s">
        <v>245</v>
      </c>
      <c r="BA84" s="7" t="s">
        <v>217</v>
      </c>
      <c r="BC84" s="9">
        <f t="shared" si="83"/>
        <v>0</v>
      </c>
      <c r="BD84" s="9">
        <f t="shared" si="84"/>
        <v>0</v>
      </c>
      <c r="BE84" s="9">
        <v>0</v>
      </c>
      <c r="BF84" s="9">
        <f t="shared" si="85"/>
        <v>1.2599999999999998E-3</v>
      </c>
      <c r="BH84" s="9">
        <f t="shared" si="86"/>
        <v>0</v>
      </c>
      <c r="BI84" s="9">
        <f t="shared" si="87"/>
        <v>0</v>
      </c>
      <c r="BJ84" s="9">
        <f t="shared" si="88"/>
        <v>0</v>
      </c>
      <c r="BK84" s="9"/>
      <c r="BL84" s="9">
        <v>62</v>
      </c>
      <c r="BW84" s="9">
        <f t="shared" si="89"/>
        <v>0</v>
      </c>
      <c r="BX84" s="2" t="s">
        <v>249</v>
      </c>
    </row>
    <row r="85" spans="1:76" x14ac:dyDescent="0.25">
      <c r="A85" s="38" t="s">
        <v>250</v>
      </c>
      <c r="B85" s="38" t="s">
        <v>213</v>
      </c>
      <c r="C85" s="38" t="s">
        <v>152</v>
      </c>
      <c r="D85" s="52" t="s">
        <v>153</v>
      </c>
      <c r="E85" s="53"/>
      <c r="F85" s="38" t="s">
        <v>112</v>
      </c>
      <c r="G85" s="39">
        <v>59</v>
      </c>
      <c r="H85" s="39"/>
      <c r="I85" s="40"/>
      <c r="J85" s="39"/>
      <c r="K85" s="39"/>
      <c r="L85" s="39"/>
      <c r="M85" s="39"/>
      <c r="N85" s="39">
        <v>1.1E-4</v>
      </c>
      <c r="O85" s="39">
        <f t="shared" si="68"/>
        <v>6.4900000000000001E-3</v>
      </c>
      <c r="P85" s="41"/>
      <c r="Z85" s="9">
        <f t="shared" si="69"/>
        <v>0</v>
      </c>
      <c r="AB85" s="9">
        <f t="shared" si="70"/>
        <v>0</v>
      </c>
      <c r="AC85" s="9">
        <f t="shared" si="71"/>
        <v>0</v>
      </c>
      <c r="AD85" s="9">
        <f t="shared" si="72"/>
        <v>0</v>
      </c>
      <c r="AE85" s="9">
        <f t="shared" si="73"/>
        <v>0</v>
      </c>
      <c r="AF85" s="9">
        <f t="shared" si="74"/>
        <v>0</v>
      </c>
      <c r="AG85" s="9">
        <f t="shared" si="75"/>
        <v>0</v>
      </c>
      <c r="AH85" s="9">
        <f t="shared" si="76"/>
        <v>0</v>
      </c>
      <c r="AI85" s="7" t="s">
        <v>213</v>
      </c>
      <c r="AJ85" s="9">
        <f t="shared" si="77"/>
        <v>0</v>
      </c>
      <c r="AK85" s="9">
        <f t="shared" si="78"/>
        <v>0</v>
      </c>
      <c r="AL85" s="9">
        <f t="shared" si="79"/>
        <v>0</v>
      </c>
      <c r="AN85" s="9">
        <v>21</v>
      </c>
      <c r="AO85" s="9">
        <f>H85*0.735841346</f>
        <v>0</v>
      </c>
      <c r="AP85" s="9">
        <f>H85*(1-0.735841346)</f>
        <v>0</v>
      </c>
      <c r="AQ85" s="10" t="s">
        <v>61</v>
      </c>
      <c r="AV85" s="9">
        <f t="shared" si="80"/>
        <v>0</v>
      </c>
      <c r="AW85" s="9">
        <f t="shared" si="81"/>
        <v>0</v>
      </c>
      <c r="AX85" s="9">
        <f t="shared" si="82"/>
        <v>0</v>
      </c>
      <c r="AY85" s="10" t="s">
        <v>146</v>
      </c>
      <c r="AZ85" s="10" t="s">
        <v>245</v>
      </c>
      <c r="BA85" s="7" t="s">
        <v>217</v>
      </c>
      <c r="BC85" s="9">
        <f t="shared" si="83"/>
        <v>0</v>
      </c>
      <c r="BD85" s="9">
        <f t="shared" si="84"/>
        <v>0</v>
      </c>
      <c r="BE85" s="9">
        <v>0</v>
      </c>
      <c r="BF85" s="9">
        <f t="shared" si="85"/>
        <v>6.4900000000000001E-3</v>
      </c>
      <c r="BH85" s="9">
        <f t="shared" si="86"/>
        <v>0</v>
      </c>
      <c r="BI85" s="9">
        <f t="shared" si="87"/>
        <v>0</v>
      </c>
      <c r="BJ85" s="9">
        <f t="shared" si="88"/>
        <v>0</v>
      </c>
      <c r="BK85" s="9"/>
      <c r="BL85" s="9">
        <v>62</v>
      </c>
      <c r="BW85" s="9">
        <f t="shared" si="89"/>
        <v>0</v>
      </c>
      <c r="BX85" s="2" t="s">
        <v>153</v>
      </c>
    </row>
    <row r="86" spans="1:76" x14ac:dyDescent="0.25">
      <c r="A86" s="38" t="s">
        <v>251</v>
      </c>
      <c r="B86" s="38" t="s">
        <v>213</v>
      </c>
      <c r="C86" s="38" t="s">
        <v>155</v>
      </c>
      <c r="D86" s="52" t="s">
        <v>156</v>
      </c>
      <c r="E86" s="53"/>
      <c r="F86" s="38" t="s">
        <v>112</v>
      </c>
      <c r="G86" s="39">
        <v>36</v>
      </c>
      <c r="H86" s="39"/>
      <c r="I86" s="40"/>
      <c r="J86" s="39"/>
      <c r="K86" s="39"/>
      <c r="L86" s="39"/>
      <c r="M86" s="39"/>
      <c r="N86" s="39">
        <v>1.1E-4</v>
      </c>
      <c r="O86" s="39">
        <f t="shared" si="68"/>
        <v>3.96E-3</v>
      </c>
      <c r="P86" s="41"/>
      <c r="Z86" s="9">
        <f t="shared" si="69"/>
        <v>0</v>
      </c>
      <c r="AB86" s="9">
        <f t="shared" si="70"/>
        <v>0</v>
      </c>
      <c r="AC86" s="9">
        <f t="shared" si="71"/>
        <v>0</v>
      </c>
      <c r="AD86" s="9">
        <f t="shared" si="72"/>
        <v>0</v>
      </c>
      <c r="AE86" s="9">
        <f t="shared" si="73"/>
        <v>0</v>
      </c>
      <c r="AF86" s="9">
        <f t="shared" si="74"/>
        <v>0</v>
      </c>
      <c r="AG86" s="9">
        <f t="shared" si="75"/>
        <v>0</v>
      </c>
      <c r="AH86" s="9">
        <f t="shared" si="76"/>
        <v>0</v>
      </c>
      <c r="AI86" s="7" t="s">
        <v>213</v>
      </c>
      <c r="AJ86" s="9">
        <f t="shared" si="77"/>
        <v>0</v>
      </c>
      <c r="AK86" s="9">
        <f t="shared" si="78"/>
        <v>0</v>
      </c>
      <c r="AL86" s="9">
        <f t="shared" si="79"/>
        <v>0</v>
      </c>
      <c r="AN86" s="9">
        <v>21</v>
      </c>
      <c r="AO86" s="9">
        <f>H86*0.282016807</f>
        <v>0</v>
      </c>
      <c r="AP86" s="9">
        <f>H86*(1-0.282016807)</f>
        <v>0</v>
      </c>
      <c r="AQ86" s="10" t="s">
        <v>61</v>
      </c>
      <c r="AV86" s="9">
        <f t="shared" si="80"/>
        <v>0</v>
      </c>
      <c r="AW86" s="9">
        <f t="shared" si="81"/>
        <v>0</v>
      </c>
      <c r="AX86" s="9">
        <f t="shared" si="82"/>
        <v>0</v>
      </c>
      <c r="AY86" s="10" t="s">
        <v>146</v>
      </c>
      <c r="AZ86" s="10" t="s">
        <v>245</v>
      </c>
      <c r="BA86" s="7" t="s">
        <v>217</v>
      </c>
      <c r="BC86" s="9">
        <f t="shared" si="83"/>
        <v>0</v>
      </c>
      <c r="BD86" s="9">
        <f t="shared" si="84"/>
        <v>0</v>
      </c>
      <c r="BE86" s="9">
        <v>0</v>
      </c>
      <c r="BF86" s="9">
        <f t="shared" si="85"/>
        <v>3.96E-3</v>
      </c>
      <c r="BH86" s="9">
        <f t="shared" si="86"/>
        <v>0</v>
      </c>
      <c r="BI86" s="9">
        <f t="shared" si="87"/>
        <v>0</v>
      </c>
      <c r="BJ86" s="9">
        <f t="shared" si="88"/>
        <v>0</v>
      </c>
      <c r="BK86" s="9"/>
      <c r="BL86" s="9">
        <v>62</v>
      </c>
      <c r="BW86" s="9">
        <f t="shared" si="89"/>
        <v>0</v>
      </c>
      <c r="BX86" s="2" t="s">
        <v>156</v>
      </c>
    </row>
    <row r="87" spans="1:76" x14ac:dyDescent="0.25">
      <c r="A87" s="38" t="s">
        <v>252</v>
      </c>
      <c r="B87" s="38" t="s">
        <v>213</v>
      </c>
      <c r="C87" s="38" t="s">
        <v>158</v>
      </c>
      <c r="D87" s="52" t="s">
        <v>159</v>
      </c>
      <c r="E87" s="53"/>
      <c r="F87" s="38" t="s">
        <v>64</v>
      </c>
      <c r="G87" s="39">
        <v>131.19999999999999</v>
      </c>
      <c r="H87" s="39"/>
      <c r="I87" s="40"/>
      <c r="J87" s="39"/>
      <c r="K87" s="39"/>
      <c r="L87" s="39"/>
      <c r="M87" s="39"/>
      <c r="N87" s="39">
        <v>1.392E-2</v>
      </c>
      <c r="O87" s="39">
        <f t="shared" si="68"/>
        <v>1.8263039999999999</v>
      </c>
      <c r="P87" s="41"/>
      <c r="Z87" s="9">
        <f t="shared" si="69"/>
        <v>0</v>
      </c>
      <c r="AB87" s="9">
        <f t="shared" si="70"/>
        <v>0</v>
      </c>
      <c r="AC87" s="9">
        <f t="shared" si="71"/>
        <v>0</v>
      </c>
      <c r="AD87" s="9">
        <f t="shared" si="72"/>
        <v>0</v>
      </c>
      <c r="AE87" s="9">
        <f t="shared" si="73"/>
        <v>0</v>
      </c>
      <c r="AF87" s="9">
        <f t="shared" si="74"/>
        <v>0</v>
      </c>
      <c r="AG87" s="9">
        <f t="shared" si="75"/>
        <v>0</v>
      </c>
      <c r="AH87" s="9">
        <f t="shared" si="76"/>
        <v>0</v>
      </c>
      <c r="AI87" s="7" t="s">
        <v>213</v>
      </c>
      <c r="AJ87" s="9">
        <f t="shared" si="77"/>
        <v>0</v>
      </c>
      <c r="AK87" s="9">
        <f t="shared" si="78"/>
        <v>0</v>
      </c>
      <c r="AL87" s="9">
        <f t="shared" si="79"/>
        <v>0</v>
      </c>
      <c r="AN87" s="9">
        <v>21</v>
      </c>
      <c r="AO87" s="9">
        <f>H87*0.578038976</f>
        <v>0</v>
      </c>
      <c r="AP87" s="9">
        <f>H87*(1-0.578038976)</f>
        <v>0</v>
      </c>
      <c r="AQ87" s="10" t="s">
        <v>61</v>
      </c>
      <c r="AV87" s="9">
        <f t="shared" si="80"/>
        <v>0</v>
      </c>
      <c r="AW87" s="9">
        <f t="shared" si="81"/>
        <v>0</v>
      </c>
      <c r="AX87" s="9">
        <f t="shared" si="82"/>
        <v>0</v>
      </c>
      <c r="AY87" s="10" t="s">
        <v>146</v>
      </c>
      <c r="AZ87" s="10" t="s">
        <v>245</v>
      </c>
      <c r="BA87" s="7" t="s">
        <v>217</v>
      </c>
      <c r="BC87" s="9">
        <f t="shared" si="83"/>
        <v>0</v>
      </c>
      <c r="BD87" s="9">
        <f t="shared" si="84"/>
        <v>0</v>
      </c>
      <c r="BE87" s="9">
        <v>0</v>
      </c>
      <c r="BF87" s="9">
        <f t="shared" si="85"/>
        <v>1.8263039999999999</v>
      </c>
      <c r="BH87" s="9">
        <f t="shared" si="86"/>
        <v>0</v>
      </c>
      <c r="BI87" s="9">
        <f t="shared" si="87"/>
        <v>0</v>
      </c>
      <c r="BJ87" s="9">
        <f t="shared" si="88"/>
        <v>0</v>
      </c>
      <c r="BK87" s="9"/>
      <c r="BL87" s="9">
        <v>62</v>
      </c>
      <c r="BW87" s="9">
        <f t="shared" si="89"/>
        <v>0</v>
      </c>
      <c r="BX87" s="2" t="s">
        <v>159</v>
      </c>
    </row>
    <row r="88" spans="1:76" x14ac:dyDescent="0.25">
      <c r="A88" s="38" t="s">
        <v>253</v>
      </c>
      <c r="B88" s="38" t="s">
        <v>213</v>
      </c>
      <c r="C88" s="38" t="s">
        <v>161</v>
      </c>
      <c r="D88" s="52" t="s">
        <v>162</v>
      </c>
      <c r="E88" s="53"/>
      <c r="F88" s="38" t="s">
        <v>64</v>
      </c>
      <c r="G88" s="39">
        <v>26.5</v>
      </c>
      <c r="H88" s="39"/>
      <c r="I88" s="40"/>
      <c r="J88" s="39"/>
      <c r="K88" s="39"/>
      <c r="L88" s="39"/>
      <c r="M88" s="39"/>
      <c r="N88" s="39">
        <v>0</v>
      </c>
      <c r="O88" s="39">
        <f t="shared" si="68"/>
        <v>0</v>
      </c>
      <c r="P88" s="41"/>
      <c r="Z88" s="9">
        <f t="shared" si="69"/>
        <v>0</v>
      </c>
      <c r="AB88" s="9">
        <f t="shared" si="70"/>
        <v>0</v>
      </c>
      <c r="AC88" s="9">
        <f t="shared" si="71"/>
        <v>0</v>
      </c>
      <c r="AD88" s="9">
        <f t="shared" si="72"/>
        <v>0</v>
      </c>
      <c r="AE88" s="9">
        <f t="shared" si="73"/>
        <v>0</v>
      </c>
      <c r="AF88" s="9">
        <f t="shared" si="74"/>
        <v>0</v>
      </c>
      <c r="AG88" s="9">
        <f t="shared" si="75"/>
        <v>0</v>
      </c>
      <c r="AH88" s="9">
        <f t="shared" si="76"/>
        <v>0</v>
      </c>
      <c r="AI88" s="7" t="s">
        <v>213</v>
      </c>
      <c r="AJ88" s="9">
        <f t="shared" si="77"/>
        <v>0</v>
      </c>
      <c r="AK88" s="9">
        <f t="shared" si="78"/>
        <v>0</v>
      </c>
      <c r="AL88" s="9">
        <f t="shared" si="79"/>
        <v>0</v>
      </c>
      <c r="AN88" s="9">
        <v>21</v>
      </c>
      <c r="AO88" s="9">
        <f>H88*0.682866598</f>
        <v>0</v>
      </c>
      <c r="AP88" s="9">
        <f>H88*(1-0.682866598)</f>
        <v>0</v>
      </c>
      <c r="AQ88" s="10" t="s">
        <v>61</v>
      </c>
      <c r="AV88" s="9">
        <f t="shared" si="80"/>
        <v>0</v>
      </c>
      <c r="AW88" s="9">
        <f t="shared" si="81"/>
        <v>0</v>
      </c>
      <c r="AX88" s="9">
        <f t="shared" si="82"/>
        <v>0</v>
      </c>
      <c r="AY88" s="10" t="s">
        <v>146</v>
      </c>
      <c r="AZ88" s="10" t="s">
        <v>245</v>
      </c>
      <c r="BA88" s="7" t="s">
        <v>217</v>
      </c>
      <c r="BC88" s="9">
        <f t="shared" si="83"/>
        <v>0</v>
      </c>
      <c r="BD88" s="9">
        <f t="shared" si="84"/>
        <v>0</v>
      </c>
      <c r="BE88" s="9">
        <v>0</v>
      </c>
      <c r="BF88" s="9">
        <f t="shared" si="85"/>
        <v>0</v>
      </c>
      <c r="BH88" s="9">
        <f t="shared" si="86"/>
        <v>0</v>
      </c>
      <c r="BI88" s="9">
        <f t="shared" si="87"/>
        <v>0</v>
      </c>
      <c r="BJ88" s="9">
        <f t="shared" si="88"/>
        <v>0</v>
      </c>
      <c r="BK88" s="9"/>
      <c r="BL88" s="9">
        <v>62</v>
      </c>
      <c r="BW88" s="9">
        <f t="shared" si="89"/>
        <v>0</v>
      </c>
      <c r="BX88" s="2" t="s">
        <v>162</v>
      </c>
    </row>
    <row r="89" spans="1:76" x14ac:dyDescent="0.25">
      <c r="A89" s="38" t="s">
        <v>254</v>
      </c>
      <c r="B89" s="38" t="s">
        <v>213</v>
      </c>
      <c r="C89" s="38" t="s">
        <v>164</v>
      </c>
      <c r="D89" s="52" t="s">
        <v>165</v>
      </c>
      <c r="E89" s="53"/>
      <c r="F89" s="38" t="s">
        <v>112</v>
      </c>
      <c r="G89" s="39">
        <v>40</v>
      </c>
      <c r="H89" s="39"/>
      <c r="I89" s="40"/>
      <c r="J89" s="39"/>
      <c r="K89" s="39"/>
      <c r="L89" s="39"/>
      <c r="M89" s="39"/>
      <c r="N89" s="39">
        <v>8.4999999999999995E-4</v>
      </c>
      <c r="O89" s="39">
        <f t="shared" si="68"/>
        <v>3.3999999999999996E-2</v>
      </c>
      <c r="P89" s="41"/>
      <c r="Z89" s="9">
        <f t="shared" si="69"/>
        <v>0</v>
      </c>
      <c r="AB89" s="9">
        <f t="shared" si="70"/>
        <v>0</v>
      </c>
      <c r="AC89" s="9">
        <f t="shared" si="71"/>
        <v>0</v>
      </c>
      <c r="AD89" s="9">
        <f t="shared" si="72"/>
        <v>0</v>
      </c>
      <c r="AE89" s="9">
        <f t="shared" si="73"/>
        <v>0</v>
      </c>
      <c r="AF89" s="9">
        <f t="shared" si="74"/>
        <v>0</v>
      </c>
      <c r="AG89" s="9">
        <f t="shared" si="75"/>
        <v>0</v>
      </c>
      <c r="AH89" s="9">
        <f t="shared" si="76"/>
        <v>0</v>
      </c>
      <c r="AI89" s="7" t="s">
        <v>213</v>
      </c>
      <c r="AJ89" s="9">
        <f t="shared" si="77"/>
        <v>0</v>
      </c>
      <c r="AK89" s="9">
        <f t="shared" si="78"/>
        <v>0</v>
      </c>
      <c r="AL89" s="9">
        <f t="shared" si="79"/>
        <v>0</v>
      </c>
      <c r="AN89" s="9">
        <v>21</v>
      </c>
      <c r="AO89" s="9">
        <f>H89*0.672116183</f>
        <v>0</v>
      </c>
      <c r="AP89" s="9">
        <f>H89*(1-0.672116183)</f>
        <v>0</v>
      </c>
      <c r="AQ89" s="10" t="s">
        <v>61</v>
      </c>
      <c r="AV89" s="9">
        <f t="shared" si="80"/>
        <v>0</v>
      </c>
      <c r="AW89" s="9">
        <f t="shared" si="81"/>
        <v>0</v>
      </c>
      <c r="AX89" s="9">
        <f t="shared" si="82"/>
        <v>0</v>
      </c>
      <c r="AY89" s="10" t="s">
        <v>146</v>
      </c>
      <c r="AZ89" s="10" t="s">
        <v>245</v>
      </c>
      <c r="BA89" s="7" t="s">
        <v>217</v>
      </c>
      <c r="BC89" s="9">
        <f t="shared" si="83"/>
        <v>0</v>
      </c>
      <c r="BD89" s="9">
        <f t="shared" si="84"/>
        <v>0</v>
      </c>
      <c r="BE89" s="9">
        <v>0</v>
      </c>
      <c r="BF89" s="9">
        <f t="shared" si="85"/>
        <v>3.3999999999999996E-2</v>
      </c>
      <c r="BH89" s="9">
        <f t="shared" si="86"/>
        <v>0</v>
      </c>
      <c r="BI89" s="9">
        <f t="shared" si="87"/>
        <v>0</v>
      </c>
      <c r="BJ89" s="9">
        <f t="shared" si="88"/>
        <v>0</v>
      </c>
      <c r="BK89" s="9"/>
      <c r="BL89" s="9">
        <v>62</v>
      </c>
      <c r="BW89" s="9">
        <f t="shared" si="89"/>
        <v>0</v>
      </c>
      <c r="BX89" s="2" t="s">
        <v>165</v>
      </c>
    </row>
    <row r="90" spans="1:76" x14ac:dyDescent="0.25">
      <c r="A90" s="38" t="s">
        <v>255</v>
      </c>
      <c r="B90" s="38" t="s">
        <v>213</v>
      </c>
      <c r="C90" s="38" t="s">
        <v>256</v>
      </c>
      <c r="D90" s="52" t="s">
        <v>257</v>
      </c>
      <c r="E90" s="53"/>
      <c r="F90" s="38" t="s">
        <v>83</v>
      </c>
      <c r="G90" s="39">
        <v>1</v>
      </c>
      <c r="H90" s="39"/>
      <c r="I90" s="40"/>
      <c r="J90" s="39"/>
      <c r="K90" s="39"/>
      <c r="L90" s="39"/>
      <c r="M90" s="39"/>
      <c r="N90" s="39">
        <v>5.3109999999999997E-2</v>
      </c>
      <c r="O90" s="39">
        <f t="shared" si="68"/>
        <v>5.3109999999999997E-2</v>
      </c>
      <c r="P90" s="41"/>
      <c r="Z90" s="9">
        <f t="shared" si="69"/>
        <v>0</v>
      </c>
      <c r="AB90" s="9">
        <f t="shared" si="70"/>
        <v>0</v>
      </c>
      <c r="AC90" s="9">
        <f t="shared" si="71"/>
        <v>0</v>
      </c>
      <c r="AD90" s="9">
        <f t="shared" si="72"/>
        <v>0</v>
      </c>
      <c r="AE90" s="9">
        <f t="shared" si="73"/>
        <v>0</v>
      </c>
      <c r="AF90" s="9">
        <f t="shared" si="74"/>
        <v>0</v>
      </c>
      <c r="AG90" s="9">
        <f t="shared" si="75"/>
        <v>0</v>
      </c>
      <c r="AH90" s="9">
        <f t="shared" si="76"/>
        <v>0</v>
      </c>
      <c r="AI90" s="7" t="s">
        <v>213</v>
      </c>
      <c r="AJ90" s="9">
        <f t="shared" si="77"/>
        <v>0</v>
      </c>
      <c r="AK90" s="9">
        <f t="shared" si="78"/>
        <v>0</v>
      </c>
      <c r="AL90" s="9">
        <f t="shared" si="79"/>
        <v>0</v>
      </c>
      <c r="AN90" s="9">
        <v>21</v>
      </c>
      <c r="AO90" s="9">
        <f>H90*0.806833801</f>
        <v>0</v>
      </c>
      <c r="AP90" s="9">
        <f>H90*(1-0.806833801)</f>
        <v>0</v>
      </c>
      <c r="AQ90" s="10" t="s">
        <v>61</v>
      </c>
      <c r="AV90" s="9">
        <f t="shared" si="80"/>
        <v>0</v>
      </c>
      <c r="AW90" s="9">
        <f t="shared" si="81"/>
        <v>0</v>
      </c>
      <c r="AX90" s="9">
        <f t="shared" si="82"/>
        <v>0</v>
      </c>
      <c r="AY90" s="10" t="s">
        <v>146</v>
      </c>
      <c r="AZ90" s="10" t="s">
        <v>245</v>
      </c>
      <c r="BA90" s="7" t="s">
        <v>217</v>
      </c>
      <c r="BC90" s="9">
        <f t="shared" si="83"/>
        <v>0</v>
      </c>
      <c r="BD90" s="9">
        <f t="shared" si="84"/>
        <v>0</v>
      </c>
      <c r="BE90" s="9">
        <v>0</v>
      </c>
      <c r="BF90" s="9">
        <f t="shared" si="85"/>
        <v>5.3109999999999997E-2</v>
      </c>
      <c r="BH90" s="9">
        <f t="shared" si="86"/>
        <v>0</v>
      </c>
      <c r="BI90" s="9">
        <f t="shared" si="87"/>
        <v>0</v>
      </c>
      <c r="BJ90" s="9">
        <f t="shared" si="88"/>
        <v>0</v>
      </c>
      <c r="BK90" s="9"/>
      <c r="BL90" s="9">
        <v>62</v>
      </c>
      <c r="BW90" s="9">
        <f t="shared" si="89"/>
        <v>0</v>
      </c>
      <c r="BX90" s="2" t="s">
        <v>257</v>
      </c>
    </row>
    <row r="91" spans="1:76" x14ac:dyDescent="0.25">
      <c r="A91" s="38" t="s">
        <v>141</v>
      </c>
      <c r="B91" s="38" t="s">
        <v>213</v>
      </c>
      <c r="C91" s="38" t="s">
        <v>176</v>
      </c>
      <c r="D91" s="52" t="s">
        <v>177</v>
      </c>
      <c r="E91" s="53"/>
      <c r="F91" s="38" t="s">
        <v>64</v>
      </c>
      <c r="G91" s="39">
        <v>2.1</v>
      </c>
      <c r="H91" s="39"/>
      <c r="I91" s="40"/>
      <c r="J91" s="39"/>
      <c r="K91" s="39"/>
      <c r="L91" s="39"/>
      <c r="M91" s="39"/>
      <c r="N91" s="39">
        <v>1.093E-2</v>
      </c>
      <c r="O91" s="39">
        <f t="shared" si="68"/>
        <v>2.2953000000000001E-2</v>
      </c>
      <c r="P91" s="41"/>
      <c r="Z91" s="9">
        <f t="shared" si="69"/>
        <v>0</v>
      </c>
      <c r="AB91" s="9">
        <f t="shared" si="70"/>
        <v>0</v>
      </c>
      <c r="AC91" s="9">
        <f t="shared" si="71"/>
        <v>0</v>
      </c>
      <c r="AD91" s="9">
        <f t="shared" si="72"/>
        <v>0</v>
      </c>
      <c r="AE91" s="9">
        <f t="shared" si="73"/>
        <v>0</v>
      </c>
      <c r="AF91" s="9">
        <f t="shared" si="74"/>
        <v>0</v>
      </c>
      <c r="AG91" s="9">
        <f t="shared" si="75"/>
        <v>0</v>
      </c>
      <c r="AH91" s="9">
        <f t="shared" si="76"/>
        <v>0</v>
      </c>
      <c r="AI91" s="7" t="s">
        <v>213</v>
      </c>
      <c r="AJ91" s="9">
        <f t="shared" si="77"/>
        <v>0</v>
      </c>
      <c r="AK91" s="9">
        <f t="shared" si="78"/>
        <v>0</v>
      </c>
      <c r="AL91" s="9">
        <f t="shared" si="79"/>
        <v>0</v>
      </c>
      <c r="AN91" s="9">
        <v>21</v>
      </c>
      <c r="AO91" s="9">
        <f>H91*0.372107374</f>
        <v>0</v>
      </c>
      <c r="AP91" s="9">
        <f>H91*(1-0.372107374)</f>
        <v>0</v>
      </c>
      <c r="AQ91" s="10" t="s">
        <v>61</v>
      </c>
      <c r="AV91" s="9">
        <f t="shared" si="80"/>
        <v>0</v>
      </c>
      <c r="AW91" s="9">
        <f t="shared" si="81"/>
        <v>0</v>
      </c>
      <c r="AX91" s="9">
        <f t="shared" si="82"/>
        <v>0</v>
      </c>
      <c r="AY91" s="10" t="s">
        <v>146</v>
      </c>
      <c r="AZ91" s="10" t="s">
        <v>245</v>
      </c>
      <c r="BA91" s="7" t="s">
        <v>217</v>
      </c>
      <c r="BC91" s="9">
        <f t="shared" si="83"/>
        <v>0</v>
      </c>
      <c r="BD91" s="9">
        <f t="shared" si="84"/>
        <v>0</v>
      </c>
      <c r="BE91" s="9">
        <v>0</v>
      </c>
      <c r="BF91" s="9">
        <f t="shared" si="85"/>
        <v>2.2953000000000001E-2</v>
      </c>
      <c r="BH91" s="9">
        <f t="shared" si="86"/>
        <v>0</v>
      </c>
      <c r="BI91" s="9">
        <f t="shared" si="87"/>
        <v>0</v>
      </c>
      <c r="BJ91" s="9">
        <f t="shared" si="88"/>
        <v>0</v>
      </c>
      <c r="BK91" s="9"/>
      <c r="BL91" s="9">
        <v>62</v>
      </c>
      <c r="BW91" s="9">
        <f t="shared" si="89"/>
        <v>0</v>
      </c>
      <c r="BX91" s="2" t="s">
        <v>177</v>
      </c>
    </row>
    <row r="92" spans="1:76" x14ac:dyDescent="0.25">
      <c r="A92" s="34" t="s">
        <v>56</v>
      </c>
      <c r="B92" s="35" t="s">
        <v>213</v>
      </c>
      <c r="C92" s="35" t="s">
        <v>178</v>
      </c>
      <c r="D92" s="57" t="s">
        <v>179</v>
      </c>
      <c r="E92" s="58"/>
      <c r="F92" s="34" t="s">
        <v>4</v>
      </c>
      <c r="G92" s="34" t="s">
        <v>4</v>
      </c>
      <c r="H92" s="34"/>
      <c r="I92" s="34"/>
      <c r="J92" s="36"/>
      <c r="K92" s="36"/>
      <c r="L92" s="36"/>
      <c r="M92" s="36"/>
      <c r="N92" s="37" t="s">
        <v>56</v>
      </c>
      <c r="O92" s="36">
        <f>SUM(O93:O95)</f>
        <v>1.02382</v>
      </c>
      <c r="P92" s="37"/>
      <c r="AI92" s="7" t="s">
        <v>213</v>
      </c>
      <c r="AS92" s="1">
        <f>SUM(AJ93:AJ95)</f>
        <v>0</v>
      </c>
      <c r="AT92" s="1">
        <f>SUM(AK93:AK95)</f>
        <v>0</v>
      </c>
      <c r="AU92" s="1">
        <f>SUM(AL93:AL95)</f>
        <v>0</v>
      </c>
    </row>
    <row r="93" spans="1:76" x14ac:dyDescent="0.25">
      <c r="A93" s="38" t="s">
        <v>258</v>
      </c>
      <c r="B93" s="38" t="s">
        <v>213</v>
      </c>
      <c r="C93" s="38" t="s">
        <v>181</v>
      </c>
      <c r="D93" s="52" t="s">
        <v>259</v>
      </c>
      <c r="E93" s="53"/>
      <c r="F93" s="38" t="s">
        <v>64</v>
      </c>
      <c r="G93" s="39">
        <v>144.19999999999999</v>
      </c>
      <c r="H93" s="39"/>
      <c r="I93" s="40"/>
      <c r="J93" s="39"/>
      <c r="K93" s="39"/>
      <c r="L93" s="39"/>
      <c r="M93" s="39"/>
      <c r="N93" s="39">
        <v>1.3999999999999999E-4</v>
      </c>
      <c r="O93" s="39">
        <f>G93*N93</f>
        <v>2.0187999999999998E-2</v>
      </c>
      <c r="P93" s="41"/>
      <c r="Z93" s="9">
        <f>ROUND(IF(AQ93="5",BJ93,0),2)</f>
        <v>0</v>
      </c>
      <c r="AB93" s="9">
        <f>ROUND(IF(AQ93="1",BH93,0),2)</f>
        <v>0</v>
      </c>
      <c r="AC93" s="9">
        <f>ROUND(IF(AQ93="1",BI93,0),2)</f>
        <v>0</v>
      </c>
      <c r="AD93" s="9">
        <f>ROUND(IF(AQ93="7",BH93,0),2)</f>
        <v>0</v>
      </c>
      <c r="AE93" s="9">
        <f>ROUND(IF(AQ93="7",BI93,0),2)</f>
        <v>0</v>
      </c>
      <c r="AF93" s="9">
        <f>ROUND(IF(AQ93="2",BH93,0),2)</f>
        <v>0</v>
      </c>
      <c r="AG93" s="9">
        <f>ROUND(IF(AQ93="2",BI93,0),2)</f>
        <v>0</v>
      </c>
      <c r="AH93" s="9">
        <f>ROUND(IF(AQ93="0",BJ93,0),2)</f>
        <v>0</v>
      </c>
      <c r="AI93" s="7" t="s">
        <v>213</v>
      </c>
      <c r="AJ93" s="9">
        <f>IF(AN93=0,L93,0)</f>
        <v>0</v>
      </c>
      <c r="AK93" s="9">
        <f>IF(AN93=12,L93,0)</f>
        <v>0</v>
      </c>
      <c r="AL93" s="9">
        <f>IF(AN93=21,L93,0)</f>
        <v>0</v>
      </c>
      <c r="AN93" s="9">
        <v>21</v>
      </c>
      <c r="AO93" s="9">
        <f>H93*0.461443943</f>
        <v>0</v>
      </c>
      <c r="AP93" s="9">
        <f>H93*(1-0.461443943)</f>
        <v>0</v>
      </c>
      <c r="AQ93" s="10" t="s">
        <v>88</v>
      </c>
      <c r="AV93" s="9">
        <f>ROUND(AW93+AX93,2)</f>
        <v>0</v>
      </c>
      <c r="AW93" s="9">
        <f>ROUND(G93*AO93,2)</f>
        <v>0</v>
      </c>
      <c r="AX93" s="9">
        <f>ROUND(G93*AP93,2)</f>
        <v>0</v>
      </c>
      <c r="AY93" s="10" t="s">
        <v>183</v>
      </c>
      <c r="AZ93" s="10" t="s">
        <v>260</v>
      </c>
      <c r="BA93" s="7" t="s">
        <v>217</v>
      </c>
      <c r="BC93" s="9">
        <f>AW93+AX93</f>
        <v>0</v>
      </c>
      <c r="BD93" s="9">
        <f>H93/(100-BE93)*100</f>
        <v>0</v>
      </c>
      <c r="BE93" s="9">
        <v>0</v>
      </c>
      <c r="BF93" s="9">
        <f>O93</f>
        <v>2.0187999999999998E-2</v>
      </c>
      <c r="BH93" s="9">
        <f>G93*AO93</f>
        <v>0</v>
      </c>
      <c r="BI93" s="9">
        <f>G93*AP93</f>
        <v>0</v>
      </c>
      <c r="BJ93" s="9">
        <f>G93*H93</f>
        <v>0</v>
      </c>
      <c r="BK93" s="9"/>
      <c r="BL93" s="9">
        <v>713</v>
      </c>
      <c r="BW93" s="9">
        <f>I93</f>
        <v>0</v>
      </c>
      <c r="BX93" s="2" t="s">
        <v>259</v>
      </c>
    </row>
    <row r="94" spans="1:76" x14ac:dyDescent="0.25">
      <c r="A94" s="38" t="s">
        <v>261</v>
      </c>
      <c r="B94" s="38" t="s">
        <v>213</v>
      </c>
      <c r="C94" s="38" t="s">
        <v>186</v>
      </c>
      <c r="D94" s="52" t="s">
        <v>187</v>
      </c>
      <c r="E94" s="53"/>
      <c r="F94" s="38" t="s">
        <v>64</v>
      </c>
      <c r="G94" s="39">
        <v>144.19999999999999</v>
      </c>
      <c r="H94" s="39"/>
      <c r="I94" s="40"/>
      <c r="J94" s="39"/>
      <c r="K94" s="39"/>
      <c r="L94" s="39"/>
      <c r="M94" s="39"/>
      <c r="N94" s="39">
        <v>6.96E-3</v>
      </c>
      <c r="O94" s="39">
        <f>G94*N94</f>
        <v>1.0036319999999999</v>
      </c>
      <c r="P94" s="41"/>
      <c r="Z94" s="9">
        <f>ROUND(IF(AQ94="5",BJ94,0),2)</f>
        <v>0</v>
      </c>
      <c r="AB94" s="9">
        <f>ROUND(IF(AQ94="1",BH94,0),2)</f>
        <v>0</v>
      </c>
      <c r="AC94" s="9">
        <f>ROUND(IF(AQ94="1",BI94,0),2)</f>
        <v>0</v>
      </c>
      <c r="AD94" s="9">
        <f>ROUND(IF(AQ94="7",BH94,0),2)</f>
        <v>0</v>
      </c>
      <c r="AE94" s="9">
        <f>ROUND(IF(AQ94="7",BI94,0),2)</f>
        <v>0</v>
      </c>
      <c r="AF94" s="9">
        <f>ROUND(IF(AQ94="2",BH94,0),2)</f>
        <v>0</v>
      </c>
      <c r="AG94" s="9">
        <f>ROUND(IF(AQ94="2",BI94,0),2)</f>
        <v>0</v>
      </c>
      <c r="AH94" s="9">
        <f>ROUND(IF(AQ94="0",BJ94,0),2)</f>
        <v>0</v>
      </c>
      <c r="AI94" s="7" t="s">
        <v>213</v>
      </c>
      <c r="AJ94" s="9">
        <f>IF(AN94=0,L94,0)</f>
        <v>0</v>
      </c>
      <c r="AK94" s="9">
        <f>IF(AN94=12,L94,0)</f>
        <v>0</v>
      </c>
      <c r="AL94" s="9">
        <f>IF(AN94=21,L94,0)</f>
        <v>0</v>
      </c>
      <c r="AN94" s="9">
        <v>21</v>
      </c>
      <c r="AO94" s="9">
        <f>H94*0.691358025</f>
        <v>0</v>
      </c>
      <c r="AP94" s="9">
        <f>H94*(1-0.691358025)</f>
        <v>0</v>
      </c>
      <c r="AQ94" s="10" t="s">
        <v>88</v>
      </c>
      <c r="AV94" s="9">
        <f>ROUND(AW94+AX94,2)</f>
        <v>0</v>
      </c>
      <c r="AW94" s="9">
        <f>ROUND(G94*AO94,2)</f>
        <v>0</v>
      </c>
      <c r="AX94" s="9">
        <f>ROUND(G94*AP94,2)</f>
        <v>0</v>
      </c>
      <c r="AY94" s="10" t="s">
        <v>183</v>
      </c>
      <c r="AZ94" s="10" t="s">
        <v>260</v>
      </c>
      <c r="BA94" s="7" t="s">
        <v>217</v>
      </c>
      <c r="BC94" s="9">
        <f>AW94+AX94</f>
        <v>0</v>
      </c>
      <c r="BD94" s="9">
        <f>H94/(100-BE94)*100</f>
        <v>0</v>
      </c>
      <c r="BE94" s="9">
        <v>0</v>
      </c>
      <c r="BF94" s="9">
        <f>O94</f>
        <v>1.0036319999999999</v>
      </c>
      <c r="BH94" s="9">
        <f>G94*AO94</f>
        <v>0</v>
      </c>
      <c r="BI94" s="9">
        <f>G94*AP94</f>
        <v>0</v>
      </c>
      <c r="BJ94" s="9">
        <f>G94*H94</f>
        <v>0</v>
      </c>
      <c r="BK94" s="9"/>
      <c r="BL94" s="9">
        <v>713</v>
      </c>
      <c r="BW94" s="9">
        <f>I94</f>
        <v>0</v>
      </c>
      <c r="BX94" s="2" t="s">
        <v>187</v>
      </c>
    </row>
    <row r="95" spans="1:76" x14ac:dyDescent="0.25">
      <c r="A95" s="38" t="s">
        <v>262</v>
      </c>
      <c r="B95" s="38" t="s">
        <v>213</v>
      </c>
      <c r="C95" s="38" t="s">
        <v>189</v>
      </c>
      <c r="D95" s="52" t="s">
        <v>190</v>
      </c>
      <c r="E95" s="53"/>
      <c r="F95" s="38" t="s">
        <v>105</v>
      </c>
      <c r="G95" s="39">
        <v>1</v>
      </c>
      <c r="H95" s="39"/>
      <c r="I95" s="40"/>
      <c r="J95" s="39"/>
      <c r="K95" s="39"/>
      <c r="L95" s="39"/>
      <c r="M95" s="39"/>
      <c r="N95" s="39">
        <v>0</v>
      </c>
      <c r="O95" s="39">
        <f>G95*N95</f>
        <v>0</v>
      </c>
      <c r="P95" s="41"/>
      <c r="Z95" s="9">
        <f>ROUND(IF(AQ95="5",BJ95,0),2)</f>
        <v>0</v>
      </c>
      <c r="AB95" s="9">
        <f>ROUND(IF(AQ95="1",BH95,0),2)</f>
        <v>0</v>
      </c>
      <c r="AC95" s="9">
        <f>ROUND(IF(AQ95="1",BI95,0),2)</f>
        <v>0</v>
      </c>
      <c r="AD95" s="9">
        <f>ROUND(IF(AQ95="7",BH95,0),2)</f>
        <v>0</v>
      </c>
      <c r="AE95" s="9">
        <f>ROUND(IF(AQ95="7",BI95,0),2)</f>
        <v>0</v>
      </c>
      <c r="AF95" s="9">
        <f>ROUND(IF(AQ95="2",BH95,0),2)</f>
        <v>0</v>
      </c>
      <c r="AG95" s="9">
        <f>ROUND(IF(AQ95="2",BI95,0),2)</f>
        <v>0</v>
      </c>
      <c r="AH95" s="9">
        <f>ROUND(IF(AQ95="0",BJ95,0),2)</f>
        <v>0</v>
      </c>
      <c r="AI95" s="7" t="s">
        <v>213</v>
      </c>
      <c r="AJ95" s="9">
        <f>IF(AN95=0,L95,0)</f>
        <v>0</v>
      </c>
      <c r="AK95" s="9">
        <f>IF(AN95=12,L95,0)</f>
        <v>0</v>
      </c>
      <c r="AL95" s="9">
        <f>IF(AN95=21,L95,0)</f>
        <v>0</v>
      </c>
      <c r="AN95" s="9">
        <v>21</v>
      </c>
      <c r="AO95" s="9">
        <f>H95*0</f>
        <v>0</v>
      </c>
      <c r="AP95" s="9">
        <f>H95*(1-0)</f>
        <v>0</v>
      </c>
      <c r="AQ95" s="10" t="s">
        <v>80</v>
      </c>
      <c r="AV95" s="9">
        <f>ROUND(AW95+AX95,2)</f>
        <v>0</v>
      </c>
      <c r="AW95" s="9">
        <f>ROUND(G95*AO95,2)</f>
        <v>0</v>
      </c>
      <c r="AX95" s="9">
        <f>ROUND(G95*AP95,2)</f>
        <v>0</v>
      </c>
      <c r="AY95" s="10" t="s">
        <v>183</v>
      </c>
      <c r="AZ95" s="10" t="s">
        <v>260</v>
      </c>
      <c r="BA95" s="7" t="s">
        <v>217</v>
      </c>
      <c r="BC95" s="9">
        <f>AW95+AX95</f>
        <v>0</v>
      </c>
      <c r="BD95" s="9">
        <f>H95/(100-BE95)*100</f>
        <v>0</v>
      </c>
      <c r="BE95" s="9">
        <v>0</v>
      </c>
      <c r="BF95" s="9">
        <f>O95</f>
        <v>0</v>
      </c>
      <c r="BH95" s="9">
        <f>G95*AO95</f>
        <v>0</v>
      </c>
      <c r="BI95" s="9">
        <f>G95*AP95</f>
        <v>0</v>
      </c>
      <c r="BJ95" s="9">
        <f>G95*H95</f>
        <v>0</v>
      </c>
      <c r="BK95" s="9"/>
      <c r="BL95" s="9">
        <v>713</v>
      </c>
      <c r="BW95" s="9">
        <f>I95</f>
        <v>0</v>
      </c>
      <c r="BX95" s="2" t="s">
        <v>190</v>
      </c>
    </row>
    <row r="96" spans="1:76" x14ac:dyDescent="0.25">
      <c r="A96" s="34" t="s">
        <v>56</v>
      </c>
      <c r="B96" s="35" t="s">
        <v>213</v>
      </c>
      <c r="C96" s="35" t="s">
        <v>191</v>
      </c>
      <c r="D96" s="57" t="s">
        <v>192</v>
      </c>
      <c r="E96" s="58"/>
      <c r="F96" s="34" t="s">
        <v>4</v>
      </c>
      <c r="G96" s="34" t="s">
        <v>4</v>
      </c>
      <c r="H96" s="34"/>
      <c r="I96" s="34"/>
      <c r="J96" s="36"/>
      <c r="K96" s="36"/>
      <c r="L96" s="36"/>
      <c r="M96" s="36"/>
      <c r="N96" s="37" t="s">
        <v>56</v>
      </c>
      <c r="O96" s="36">
        <f>SUM(O97:O101)</f>
        <v>8.6483999999999991E-2</v>
      </c>
      <c r="P96" s="37"/>
      <c r="AI96" s="7" t="s">
        <v>213</v>
      </c>
      <c r="AS96" s="1">
        <f>SUM(AJ97:AJ101)</f>
        <v>0</v>
      </c>
      <c r="AT96" s="1">
        <f>SUM(AK97:AK101)</f>
        <v>0</v>
      </c>
      <c r="AU96" s="1">
        <f>SUM(AL97:AL101)</f>
        <v>0</v>
      </c>
    </row>
    <row r="97" spans="1:76" x14ac:dyDescent="0.25">
      <c r="A97" s="38" t="s">
        <v>263</v>
      </c>
      <c r="B97" s="38" t="s">
        <v>213</v>
      </c>
      <c r="C97" s="38" t="s">
        <v>194</v>
      </c>
      <c r="D97" s="52" t="s">
        <v>264</v>
      </c>
      <c r="E97" s="53"/>
      <c r="F97" s="38" t="s">
        <v>112</v>
      </c>
      <c r="G97" s="39">
        <v>7.5</v>
      </c>
      <c r="H97" s="39"/>
      <c r="I97" s="40"/>
      <c r="J97" s="39"/>
      <c r="K97" s="39"/>
      <c r="L97" s="39"/>
      <c r="M97" s="39"/>
      <c r="N97" s="39">
        <v>3.3500000000000001E-3</v>
      </c>
      <c r="O97" s="39">
        <f>G97*N97</f>
        <v>2.5125000000000001E-2</v>
      </c>
      <c r="P97" s="41"/>
      <c r="Z97" s="9">
        <f>ROUND(IF(AQ97="5",BJ97,0),2)</f>
        <v>0</v>
      </c>
      <c r="AB97" s="9">
        <f>ROUND(IF(AQ97="1",BH97,0),2)</f>
        <v>0</v>
      </c>
      <c r="AC97" s="9">
        <f>ROUND(IF(AQ97="1",BI97,0),2)</f>
        <v>0</v>
      </c>
      <c r="AD97" s="9">
        <f>ROUND(IF(AQ97="7",BH97,0),2)</f>
        <v>0</v>
      </c>
      <c r="AE97" s="9">
        <f>ROUND(IF(AQ97="7",BI97,0),2)</f>
        <v>0</v>
      </c>
      <c r="AF97" s="9">
        <f>ROUND(IF(AQ97="2",BH97,0),2)</f>
        <v>0</v>
      </c>
      <c r="AG97" s="9">
        <f>ROUND(IF(AQ97="2",BI97,0),2)</f>
        <v>0</v>
      </c>
      <c r="AH97" s="9">
        <f>ROUND(IF(AQ97="0",BJ97,0),2)</f>
        <v>0</v>
      </c>
      <c r="AI97" s="7" t="s">
        <v>213</v>
      </c>
      <c r="AJ97" s="9">
        <f>IF(AN97=0,L97,0)</f>
        <v>0</v>
      </c>
      <c r="AK97" s="9">
        <f>IF(AN97=12,L97,0)</f>
        <v>0</v>
      </c>
      <c r="AL97" s="9">
        <f>IF(AN97=21,L97,0)</f>
        <v>0</v>
      </c>
      <c r="AN97" s="9">
        <v>21</v>
      </c>
      <c r="AO97" s="9">
        <f>H97*0.335672515</f>
        <v>0</v>
      </c>
      <c r="AP97" s="9">
        <f>H97*(1-0.335672515)</f>
        <v>0</v>
      </c>
      <c r="AQ97" s="10" t="s">
        <v>88</v>
      </c>
      <c r="AV97" s="9">
        <f>ROUND(AW97+AX97,2)</f>
        <v>0</v>
      </c>
      <c r="AW97" s="9">
        <f>ROUND(G97*AO97,2)</f>
        <v>0</v>
      </c>
      <c r="AX97" s="9">
        <f>ROUND(G97*AP97,2)</f>
        <v>0</v>
      </c>
      <c r="AY97" s="10" t="s">
        <v>196</v>
      </c>
      <c r="AZ97" s="10" t="s">
        <v>265</v>
      </c>
      <c r="BA97" s="7" t="s">
        <v>217</v>
      </c>
      <c r="BC97" s="9">
        <f>AW97+AX97</f>
        <v>0</v>
      </c>
      <c r="BD97" s="9">
        <f>H97/(100-BE97)*100</f>
        <v>0</v>
      </c>
      <c r="BE97" s="9">
        <v>0</v>
      </c>
      <c r="BF97" s="9">
        <f>O97</f>
        <v>2.5125000000000001E-2</v>
      </c>
      <c r="BH97" s="9">
        <f>G97*AO97</f>
        <v>0</v>
      </c>
      <c r="BI97" s="9">
        <f>G97*AP97</f>
        <v>0</v>
      </c>
      <c r="BJ97" s="9">
        <f>G97*H97</f>
        <v>0</v>
      </c>
      <c r="BK97" s="9"/>
      <c r="BL97" s="9">
        <v>764</v>
      </c>
      <c r="BW97" s="9">
        <f>I97</f>
        <v>0</v>
      </c>
      <c r="BX97" s="2" t="s">
        <v>264</v>
      </c>
    </row>
    <row r="98" spans="1:76" x14ac:dyDescent="0.25">
      <c r="A98" s="38" t="s">
        <v>266</v>
      </c>
      <c r="B98" s="38" t="s">
        <v>213</v>
      </c>
      <c r="C98" s="38" t="s">
        <v>199</v>
      </c>
      <c r="D98" s="52" t="s">
        <v>200</v>
      </c>
      <c r="E98" s="53"/>
      <c r="F98" s="38" t="s">
        <v>112</v>
      </c>
      <c r="G98" s="39">
        <v>7.5</v>
      </c>
      <c r="H98" s="39"/>
      <c r="I98" s="40"/>
      <c r="J98" s="39"/>
      <c r="K98" s="39"/>
      <c r="L98" s="39"/>
      <c r="M98" s="39"/>
      <c r="N98" s="39">
        <v>1.81E-3</v>
      </c>
      <c r="O98" s="39">
        <f>G98*N98</f>
        <v>1.3575E-2</v>
      </c>
      <c r="P98" s="41"/>
      <c r="Z98" s="9">
        <f>ROUND(IF(AQ98="5",BJ98,0),2)</f>
        <v>0</v>
      </c>
      <c r="AB98" s="9">
        <f>ROUND(IF(AQ98="1",BH98,0),2)</f>
        <v>0</v>
      </c>
      <c r="AC98" s="9">
        <f>ROUND(IF(AQ98="1",BI98,0),2)</f>
        <v>0</v>
      </c>
      <c r="AD98" s="9">
        <f>ROUND(IF(AQ98="7",BH98,0),2)</f>
        <v>0</v>
      </c>
      <c r="AE98" s="9">
        <f>ROUND(IF(AQ98="7",BI98,0),2)</f>
        <v>0</v>
      </c>
      <c r="AF98" s="9">
        <f>ROUND(IF(AQ98="2",BH98,0),2)</f>
        <v>0</v>
      </c>
      <c r="AG98" s="9">
        <f>ROUND(IF(AQ98="2",BI98,0),2)</f>
        <v>0</v>
      </c>
      <c r="AH98" s="9">
        <f>ROUND(IF(AQ98="0",BJ98,0),2)</f>
        <v>0</v>
      </c>
      <c r="AI98" s="7" t="s">
        <v>213</v>
      </c>
      <c r="AJ98" s="9">
        <f>IF(AN98=0,L98,0)</f>
        <v>0</v>
      </c>
      <c r="AK98" s="9">
        <f>IF(AN98=12,L98,0)</f>
        <v>0</v>
      </c>
      <c r="AL98" s="9">
        <f>IF(AN98=21,L98,0)</f>
        <v>0</v>
      </c>
      <c r="AN98" s="9">
        <v>21</v>
      </c>
      <c r="AO98" s="9">
        <f>H98*0</f>
        <v>0</v>
      </c>
      <c r="AP98" s="9">
        <f>H98*(1-0)</f>
        <v>0</v>
      </c>
      <c r="AQ98" s="10" t="s">
        <v>88</v>
      </c>
      <c r="AV98" s="9">
        <f>ROUND(AW98+AX98,2)</f>
        <v>0</v>
      </c>
      <c r="AW98" s="9">
        <f>ROUND(G98*AO98,2)</f>
        <v>0</v>
      </c>
      <c r="AX98" s="9">
        <f>ROUND(G98*AP98,2)</f>
        <v>0</v>
      </c>
      <c r="AY98" s="10" t="s">
        <v>196</v>
      </c>
      <c r="AZ98" s="10" t="s">
        <v>265</v>
      </c>
      <c r="BA98" s="7" t="s">
        <v>217</v>
      </c>
      <c r="BC98" s="9">
        <f>AW98+AX98</f>
        <v>0</v>
      </c>
      <c r="BD98" s="9">
        <f>H98/(100-BE98)*100</f>
        <v>0</v>
      </c>
      <c r="BE98" s="9">
        <v>0</v>
      </c>
      <c r="BF98" s="9">
        <f>O98</f>
        <v>1.3575E-2</v>
      </c>
      <c r="BH98" s="9">
        <f>G98*AO98</f>
        <v>0</v>
      </c>
      <c r="BI98" s="9">
        <f>G98*AP98</f>
        <v>0</v>
      </c>
      <c r="BJ98" s="9">
        <f>G98*H98</f>
        <v>0</v>
      </c>
      <c r="BK98" s="9"/>
      <c r="BL98" s="9">
        <v>764</v>
      </c>
      <c r="BW98" s="9">
        <f>I98</f>
        <v>0</v>
      </c>
      <c r="BX98" s="2" t="s">
        <v>200</v>
      </c>
    </row>
    <row r="99" spans="1:76" x14ac:dyDescent="0.25">
      <c r="A99" s="38" t="s">
        <v>267</v>
      </c>
      <c r="B99" s="38" t="s">
        <v>213</v>
      </c>
      <c r="C99" s="38" t="s">
        <v>208</v>
      </c>
      <c r="D99" s="52" t="s">
        <v>209</v>
      </c>
      <c r="E99" s="53"/>
      <c r="F99" s="38" t="s">
        <v>112</v>
      </c>
      <c r="G99" s="39">
        <v>13.2</v>
      </c>
      <c r="H99" s="39"/>
      <c r="I99" s="40"/>
      <c r="J99" s="39"/>
      <c r="K99" s="39"/>
      <c r="L99" s="39"/>
      <c r="M99" s="39"/>
      <c r="N99" s="39">
        <v>3.5599999999999998E-3</v>
      </c>
      <c r="O99" s="39">
        <f>G99*N99</f>
        <v>4.6991999999999992E-2</v>
      </c>
      <c r="P99" s="41"/>
      <c r="Z99" s="9">
        <f>ROUND(IF(AQ99="5",BJ99,0),2)</f>
        <v>0</v>
      </c>
      <c r="AB99" s="9">
        <f>ROUND(IF(AQ99="1",BH99,0),2)</f>
        <v>0</v>
      </c>
      <c r="AC99" s="9">
        <f>ROUND(IF(AQ99="1",BI99,0),2)</f>
        <v>0</v>
      </c>
      <c r="AD99" s="9">
        <f>ROUND(IF(AQ99="7",BH99,0),2)</f>
        <v>0</v>
      </c>
      <c r="AE99" s="9">
        <f>ROUND(IF(AQ99="7",BI99,0),2)</f>
        <v>0</v>
      </c>
      <c r="AF99" s="9">
        <f>ROUND(IF(AQ99="2",BH99,0),2)</f>
        <v>0</v>
      </c>
      <c r="AG99" s="9">
        <f>ROUND(IF(AQ99="2",BI99,0),2)</f>
        <v>0</v>
      </c>
      <c r="AH99" s="9">
        <f>ROUND(IF(AQ99="0",BJ99,0),2)</f>
        <v>0</v>
      </c>
      <c r="AI99" s="7" t="s">
        <v>213</v>
      </c>
      <c r="AJ99" s="9">
        <f>IF(AN99=0,L99,0)</f>
        <v>0</v>
      </c>
      <c r="AK99" s="9">
        <f>IF(AN99=12,L99,0)</f>
        <v>0</v>
      </c>
      <c r="AL99" s="9">
        <f>IF(AN99=21,L99,0)</f>
        <v>0</v>
      </c>
      <c r="AN99" s="9">
        <v>21</v>
      </c>
      <c r="AO99" s="9">
        <f>H99*0</f>
        <v>0</v>
      </c>
      <c r="AP99" s="9">
        <f>H99*(1-0)</f>
        <v>0</v>
      </c>
      <c r="AQ99" s="10" t="s">
        <v>88</v>
      </c>
      <c r="AV99" s="9">
        <f>ROUND(AW99+AX99,2)</f>
        <v>0</v>
      </c>
      <c r="AW99" s="9">
        <f>ROUND(G99*AO99,2)</f>
        <v>0</v>
      </c>
      <c r="AX99" s="9">
        <f>ROUND(G99*AP99,2)</f>
        <v>0</v>
      </c>
      <c r="AY99" s="10" t="s">
        <v>196</v>
      </c>
      <c r="AZ99" s="10" t="s">
        <v>265</v>
      </c>
      <c r="BA99" s="7" t="s">
        <v>217</v>
      </c>
      <c r="BC99" s="9">
        <f>AW99+AX99</f>
        <v>0</v>
      </c>
      <c r="BD99" s="9">
        <f>H99/(100-BE99)*100</f>
        <v>0</v>
      </c>
      <c r="BE99" s="9">
        <v>0</v>
      </c>
      <c r="BF99" s="9">
        <f>O99</f>
        <v>4.6991999999999992E-2</v>
      </c>
      <c r="BH99" s="9">
        <f>G99*AO99</f>
        <v>0</v>
      </c>
      <c r="BI99" s="9">
        <f>G99*AP99</f>
        <v>0</v>
      </c>
      <c r="BJ99" s="9">
        <f>G99*H99</f>
        <v>0</v>
      </c>
      <c r="BK99" s="9"/>
      <c r="BL99" s="9">
        <v>764</v>
      </c>
      <c r="BW99" s="9">
        <f>I99</f>
        <v>0</v>
      </c>
      <c r="BX99" s="2" t="s">
        <v>209</v>
      </c>
    </row>
    <row r="100" spans="1:76" x14ac:dyDescent="0.25">
      <c r="A100" s="38" t="s">
        <v>268</v>
      </c>
      <c r="B100" s="38" t="s">
        <v>213</v>
      </c>
      <c r="C100" s="38" t="s">
        <v>205</v>
      </c>
      <c r="D100" s="52" t="s">
        <v>206</v>
      </c>
      <c r="E100" s="53"/>
      <c r="F100" s="38" t="s">
        <v>112</v>
      </c>
      <c r="G100" s="39">
        <v>13.2</v>
      </c>
      <c r="H100" s="39"/>
      <c r="I100" s="40"/>
      <c r="J100" s="39"/>
      <c r="K100" s="39"/>
      <c r="L100" s="39"/>
      <c r="M100" s="39"/>
      <c r="N100" s="39">
        <v>6.0000000000000002E-5</v>
      </c>
      <c r="O100" s="39">
        <f>G100*N100</f>
        <v>7.9199999999999995E-4</v>
      </c>
      <c r="P100" s="41"/>
      <c r="Z100" s="9">
        <f>ROUND(IF(AQ100="5",BJ100,0),2)</f>
        <v>0</v>
      </c>
      <c r="AB100" s="9">
        <f>ROUND(IF(AQ100="1",BH100,0),2)</f>
        <v>0</v>
      </c>
      <c r="AC100" s="9">
        <f>ROUND(IF(AQ100="1",BI100,0),2)</f>
        <v>0</v>
      </c>
      <c r="AD100" s="9">
        <f>ROUND(IF(AQ100="7",BH100,0),2)</f>
        <v>0</v>
      </c>
      <c r="AE100" s="9">
        <f>ROUND(IF(AQ100="7",BI100,0),2)</f>
        <v>0</v>
      </c>
      <c r="AF100" s="9">
        <f>ROUND(IF(AQ100="2",BH100,0),2)</f>
        <v>0</v>
      </c>
      <c r="AG100" s="9">
        <f>ROUND(IF(AQ100="2",BI100,0),2)</f>
        <v>0</v>
      </c>
      <c r="AH100" s="9">
        <f>ROUND(IF(AQ100="0",BJ100,0),2)</f>
        <v>0</v>
      </c>
      <c r="AI100" s="7" t="s">
        <v>213</v>
      </c>
      <c r="AJ100" s="9">
        <f>IF(AN100=0,L100,0)</f>
        <v>0</v>
      </c>
      <c r="AK100" s="9">
        <f>IF(AN100=12,L100,0)</f>
        <v>0</v>
      </c>
      <c r="AL100" s="9">
        <f>IF(AN100=21,L100,0)</f>
        <v>0</v>
      </c>
      <c r="AN100" s="9">
        <v>21</v>
      </c>
      <c r="AO100" s="9">
        <f>H100*0.113665863</f>
        <v>0</v>
      </c>
      <c r="AP100" s="9">
        <f>H100*(1-0.113665863)</f>
        <v>0</v>
      </c>
      <c r="AQ100" s="10" t="s">
        <v>88</v>
      </c>
      <c r="AV100" s="9">
        <f>ROUND(AW100+AX100,2)</f>
        <v>0</v>
      </c>
      <c r="AW100" s="9">
        <f>ROUND(G100*AO100,2)</f>
        <v>0</v>
      </c>
      <c r="AX100" s="9">
        <f>ROUND(G100*AP100,2)</f>
        <v>0</v>
      </c>
      <c r="AY100" s="10" t="s">
        <v>196</v>
      </c>
      <c r="AZ100" s="10" t="s">
        <v>265</v>
      </c>
      <c r="BA100" s="7" t="s">
        <v>217</v>
      </c>
      <c r="BC100" s="9">
        <f>AW100+AX100</f>
        <v>0</v>
      </c>
      <c r="BD100" s="9">
        <f>H100/(100-BE100)*100</f>
        <v>0</v>
      </c>
      <c r="BE100" s="9">
        <v>0</v>
      </c>
      <c r="BF100" s="9">
        <f>O100</f>
        <v>7.9199999999999995E-4</v>
      </c>
      <c r="BH100" s="9">
        <f>G100*AO100</f>
        <v>0</v>
      </c>
      <c r="BI100" s="9">
        <f>G100*AP100</f>
        <v>0</v>
      </c>
      <c r="BJ100" s="9">
        <f>G100*H100</f>
        <v>0</v>
      </c>
      <c r="BK100" s="9"/>
      <c r="BL100" s="9">
        <v>764</v>
      </c>
      <c r="BW100" s="9">
        <f>I100</f>
        <v>0</v>
      </c>
      <c r="BX100" s="2" t="s">
        <v>206</v>
      </c>
    </row>
    <row r="101" spans="1:76" x14ac:dyDescent="0.25">
      <c r="A101" s="38" t="s">
        <v>269</v>
      </c>
      <c r="B101" s="38" t="s">
        <v>213</v>
      </c>
      <c r="C101" s="38" t="s">
        <v>211</v>
      </c>
      <c r="D101" s="52" t="s">
        <v>212</v>
      </c>
      <c r="E101" s="53"/>
      <c r="F101" s="38" t="s">
        <v>105</v>
      </c>
      <c r="G101" s="39">
        <v>0.1</v>
      </c>
      <c r="H101" s="39"/>
      <c r="I101" s="40"/>
      <c r="J101" s="39"/>
      <c r="K101" s="39"/>
      <c r="L101" s="39"/>
      <c r="M101" s="39"/>
      <c r="N101" s="39">
        <v>0</v>
      </c>
      <c r="O101" s="39">
        <f>G101*N101</f>
        <v>0</v>
      </c>
      <c r="P101" s="41"/>
      <c r="Z101" s="9">
        <f>ROUND(IF(AQ101="5",BJ101,0),2)</f>
        <v>0</v>
      </c>
      <c r="AB101" s="9">
        <f>ROUND(IF(AQ101="1",BH101,0),2)</f>
        <v>0</v>
      </c>
      <c r="AC101" s="9">
        <f>ROUND(IF(AQ101="1",BI101,0),2)</f>
        <v>0</v>
      </c>
      <c r="AD101" s="9">
        <f>ROUND(IF(AQ101="7",BH101,0),2)</f>
        <v>0</v>
      </c>
      <c r="AE101" s="9">
        <f>ROUND(IF(AQ101="7",BI101,0),2)</f>
        <v>0</v>
      </c>
      <c r="AF101" s="9">
        <f>ROUND(IF(AQ101="2",BH101,0),2)</f>
        <v>0</v>
      </c>
      <c r="AG101" s="9">
        <f>ROUND(IF(AQ101="2",BI101,0),2)</f>
        <v>0</v>
      </c>
      <c r="AH101" s="9">
        <f>ROUND(IF(AQ101="0",BJ101,0),2)</f>
        <v>0</v>
      </c>
      <c r="AI101" s="7" t="s">
        <v>213</v>
      </c>
      <c r="AJ101" s="9">
        <f>IF(AN101=0,L101,0)</f>
        <v>0</v>
      </c>
      <c r="AK101" s="9">
        <f>IF(AN101=12,L101,0)</f>
        <v>0</v>
      </c>
      <c r="AL101" s="9">
        <f>IF(AN101=21,L101,0)</f>
        <v>0</v>
      </c>
      <c r="AN101" s="9">
        <v>21</v>
      </c>
      <c r="AO101" s="9">
        <f>H101*0</f>
        <v>0</v>
      </c>
      <c r="AP101" s="9">
        <f>H101*(1-0)</f>
        <v>0</v>
      </c>
      <c r="AQ101" s="10" t="s">
        <v>80</v>
      </c>
      <c r="AV101" s="9">
        <f>ROUND(AW101+AX101,2)</f>
        <v>0</v>
      </c>
      <c r="AW101" s="9">
        <f>ROUND(G101*AO101,2)</f>
        <v>0</v>
      </c>
      <c r="AX101" s="9">
        <f>ROUND(G101*AP101,2)</f>
        <v>0</v>
      </c>
      <c r="AY101" s="10" t="s">
        <v>196</v>
      </c>
      <c r="AZ101" s="10" t="s">
        <v>265</v>
      </c>
      <c r="BA101" s="7" t="s">
        <v>217</v>
      </c>
      <c r="BC101" s="9">
        <f>AW101+AX101</f>
        <v>0</v>
      </c>
      <c r="BD101" s="9">
        <f>H101/(100-BE101)*100</f>
        <v>0</v>
      </c>
      <c r="BE101" s="9">
        <v>0</v>
      </c>
      <c r="BF101" s="9">
        <f>O101</f>
        <v>0</v>
      </c>
      <c r="BH101" s="9">
        <f>G101*AO101</f>
        <v>0</v>
      </c>
      <c r="BI101" s="9">
        <f>G101*AP101</f>
        <v>0</v>
      </c>
      <c r="BJ101" s="9">
        <f>G101*H101</f>
        <v>0</v>
      </c>
      <c r="BK101" s="9"/>
      <c r="BL101" s="9">
        <v>764</v>
      </c>
      <c r="BW101" s="9">
        <f>I101</f>
        <v>0</v>
      </c>
      <c r="BX101" s="2" t="s">
        <v>212</v>
      </c>
    </row>
    <row r="102" spans="1:76" x14ac:dyDescent="0.25">
      <c r="A102" s="34" t="s">
        <v>56</v>
      </c>
      <c r="B102" s="35" t="s">
        <v>213</v>
      </c>
      <c r="C102" s="35" t="s">
        <v>270</v>
      </c>
      <c r="D102" s="57" t="s">
        <v>271</v>
      </c>
      <c r="E102" s="58"/>
      <c r="F102" s="34" t="s">
        <v>4</v>
      </c>
      <c r="G102" s="34" t="s">
        <v>4</v>
      </c>
      <c r="H102" s="34"/>
      <c r="I102" s="34"/>
      <c r="J102" s="36"/>
      <c r="K102" s="36"/>
      <c r="L102" s="36"/>
      <c r="M102" s="36"/>
      <c r="N102" s="37" t="s">
        <v>56</v>
      </c>
      <c r="O102" s="36">
        <f>SUM(O103:O105)</f>
        <v>0.1646</v>
      </c>
      <c r="P102" s="37"/>
      <c r="AI102" s="7" t="s">
        <v>213</v>
      </c>
      <c r="AS102" s="1">
        <f>SUM(AJ103:AJ105)</f>
        <v>0</v>
      </c>
      <c r="AT102" s="1">
        <f>SUM(AK103:AK105)</f>
        <v>0</v>
      </c>
      <c r="AU102" s="1">
        <f>SUM(AL103:AL105)</f>
        <v>0</v>
      </c>
    </row>
    <row r="103" spans="1:76" x14ac:dyDescent="0.25">
      <c r="A103" s="38" t="s">
        <v>272</v>
      </c>
      <c r="B103" s="38" t="s">
        <v>213</v>
      </c>
      <c r="C103" s="38" t="s">
        <v>273</v>
      </c>
      <c r="D103" s="52" t="s">
        <v>274</v>
      </c>
      <c r="E103" s="53"/>
      <c r="F103" s="38" t="s">
        <v>83</v>
      </c>
      <c r="G103" s="39">
        <v>1</v>
      </c>
      <c r="H103" s="39"/>
      <c r="I103" s="40"/>
      <c r="J103" s="39"/>
      <c r="K103" s="39"/>
      <c r="L103" s="39"/>
      <c r="M103" s="39"/>
      <c r="N103" s="39">
        <v>5.3100000000000001E-2</v>
      </c>
      <c r="O103" s="39">
        <f>G103*N103</f>
        <v>5.3100000000000001E-2</v>
      </c>
      <c r="P103" s="41"/>
      <c r="Z103" s="9">
        <f>ROUND(IF(AQ103="5",BJ103,0),2)</f>
        <v>0</v>
      </c>
      <c r="AB103" s="9">
        <f>ROUND(IF(AQ103="1",BH103,0),2)</f>
        <v>0</v>
      </c>
      <c r="AC103" s="9">
        <f>ROUND(IF(AQ103="1",BI103,0),2)</f>
        <v>0</v>
      </c>
      <c r="AD103" s="9">
        <f>ROUND(IF(AQ103="7",BH103,0),2)</f>
        <v>0</v>
      </c>
      <c r="AE103" s="9">
        <f>ROUND(IF(AQ103="7",BI103,0),2)</f>
        <v>0</v>
      </c>
      <c r="AF103" s="9">
        <f>ROUND(IF(AQ103="2",BH103,0),2)</f>
        <v>0</v>
      </c>
      <c r="AG103" s="9">
        <f>ROUND(IF(AQ103="2",BI103,0),2)</f>
        <v>0</v>
      </c>
      <c r="AH103" s="9">
        <f>ROUND(IF(AQ103="0",BJ103,0),2)</f>
        <v>0</v>
      </c>
      <c r="AI103" s="7" t="s">
        <v>213</v>
      </c>
      <c r="AJ103" s="9">
        <f>IF(AN103=0,L103,0)</f>
        <v>0</v>
      </c>
      <c r="AK103" s="9">
        <f>IF(AN103=12,L103,0)</f>
        <v>0</v>
      </c>
      <c r="AL103" s="9">
        <f>IF(AN103=21,L103,0)</f>
        <v>0</v>
      </c>
      <c r="AN103" s="9">
        <v>21</v>
      </c>
      <c r="AO103" s="9">
        <f>H103*1</f>
        <v>0</v>
      </c>
      <c r="AP103" s="9">
        <f>H103*(1-1)</f>
        <v>0</v>
      </c>
      <c r="AQ103" s="10" t="s">
        <v>275</v>
      </c>
      <c r="AV103" s="9">
        <f>ROUND(AW103+AX103,2)</f>
        <v>0</v>
      </c>
      <c r="AW103" s="9">
        <f>ROUND(G103*AO103,2)</f>
        <v>0</v>
      </c>
      <c r="AX103" s="9">
        <f>ROUND(G103*AP103,2)</f>
        <v>0</v>
      </c>
      <c r="AY103" s="10" t="s">
        <v>276</v>
      </c>
      <c r="AZ103" s="10" t="s">
        <v>277</v>
      </c>
      <c r="BA103" s="7" t="s">
        <v>217</v>
      </c>
      <c r="BC103" s="9">
        <f>AW103+AX103</f>
        <v>0</v>
      </c>
      <c r="BD103" s="9">
        <f>H103/(100-BE103)*100</f>
        <v>0</v>
      </c>
      <c r="BE103" s="9">
        <v>0</v>
      </c>
      <c r="BF103" s="9">
        <f>O103</f>
        <v>5.3100000000000001E-2</v>
      </c>
      <c r="BH103" s="9">
        <f>G103*AO103</f>
        <v>0</v>
      </c>
      <c r="BI103" s="9">
        <f>G103*AP103</f>
        <v>0</v>
      </c>
      <c r="BJ103" s="9">
        <f>G103*H103</f>
        <v>0</v>
      </c>
      <c r="BK103" s="9"/>
      <c r="BL103" s="9"/>
      <c r="BW103" s="9">
        <f>I103</f>
        <v>0</v>
      </c>
      <c r="BX103" s="2" t="s">
        <v>274</v>
      </c>
    </row>
    <row r="104" spans="1:76" x14ac:dyDescent="0.25">
      <c r="A104" s="38" t="s">
        <v>278</v>
      </c>
      <c r="B104" s="38" t="s">
        <v>213</v>
      </c>
      <c r="C104" s="38" t="s">
        <v>279</v>
      </c>
      <c r="D104" s="52" t="s">
        <v>280</v>
      </c>
      <c r="E104" s="53"/>
      <c r="F104" s="38" t="s">
        <v>83</v>
      </c>
      <c r="G104" s="39">
        <v>1</v>
      </c>
      <c r="H104" s="39"/>
      <c r="I104" s="40"/>
      <c r="J104" s="39"/>
      <c r="K104" s="39"/>
      <c r="L104" s="39"/>
      <c r="M104" s="39"/>
      <c r="N104" s="39">
        <v>5.3100000000000001E-2</v>
      </c>
      <c r="O104" s="39">
        <f>G104*N104</f>
        <v>5.3100000000000001E-2</v>
      </c>
      <c r="P104" s="41"/>
      <c r="Z104" s="9">
        <f>ROUND(IF(AQ104="5",BJ104,0),2)</f>
        <v>0</v>
      </c>
      <c r="AB104" s="9">
        <f>ROUND(IF(AQ104="1",BH104,0),2)</f>
        <v>0</v>
      </c>
      <c r="AC104" s="9">
        <f>ROUND(IF(AQ104="1",BI104,0),2)</f>
        <v>0</v>
      </c>
      <c r="AD104" s="9">
        <f>ROUND(IF(AQ104="7",BH104,0),2)</f>
        <v>0</v>
      </c>
      <c r="AE104" s="9">
        <f>ROUND(IF(AQ104="7",BI104,0),2)</f>
        <v>0</v>
      </c>
      <c r="AF104" s="9">
        <f>ROUND(IF(AQ104="2",BH104,0),2)</f>
        <v>0</v>
      </c>
      <c r="AG104" s="9">
        <f>ROUND(IF(AQ104="2",BI104,0),2)</f>
        <v>0</v>
      </c>
      <c r="AH104" s="9">
        <f>ROUND(IF(AQ104="0",BJ104,0),2)</f>
        <v>0</v>
      </c>
      <c r="AI104" s="7" t="s">
        <v>213</v>
      </c>
      <c r="AJ104" s="9">
        <f>IF(AN104=0,L104,0)</f>
        <v>0</v>
      </c>
      <c r="AK104" s="9">
        <f>IF(AN104=12,L104,0)</f>
        <v>0</v>
      </c>
      <c r="AL104" s="9">
        <f>IF(AN104=21,L104,0)</f>
        <v>0</v>
      </c>
      <c r="AN104" s="9">
        <v>21</v>
      </c>
      <c r="AO104" s="9">
        <f>H104*1</f>
        <v>0</v>
      </c>
      <c r="AP104" s="9">
        <f>H104*(1-1)</f>
        <v>0</v>
      </c>
      <c r="AQ104" s="10" t="s">
        <v>275</v>
      </c>
      <c r="AV104" s="9">
        <f>ROUND(AW104+AX104,2)</f>
        <v>0</v>
      </c>
      <c r="AW104" s="9">
        <f>ROUND(G104*AO104,2)</f>
        <v>0</v>
      </c>
      <c r="AX104" s="9">
        <f>ROUND(G104*AP104,2)</f>
        <v>0</v>
      </c>
      <c r="AY104" s="10" t="s">
        <v>276</v>
      </c>
      <c r="AZ104" s="10" t="s">
        <v>277</v>
      </c>
      <c r="BA104" s="7" t="s">
        <v>217</v>
      </c>
      <c r="BC104" s="9">
        <f>AW104+AX104</f>
        <v>0</v>
      </c>
      <c r="BD104" s="9">
        <f>H104/(100-BE104)*100</f>
        <v>0</v>
      </c>
      <c r="BE104" s="9">
        <v>0</v>
      </c>
      <c r="BF104" s="9">
        <f>O104</f>
        <v>5.3100000000000001E-2</v>
      </c>
      <c r="BH104" s="9">
        <f>G104*AO104</f>
        <v>0</v>
      </c>
      <c r="BI104" s="9">
        <f>G104*AP104</f>
        <v>0</v>
      </c>
      <c r="BJ104" s="9">
        <f>G104*H104</f>
        <v>0</v>
      </c>
      <c r="BK104" s="9"/>
      <c r="BL104" s="9"/>
      <c r="BW104" s="9">
        <f>I104</f>
        <v>0</v>
      </c>
      <c r="BX104" s="2" t="s">
        <v>280</v>
      </c>
    </row>
    <row r="105" spans="1:76" x14ac:dyDescent="0.25">
      <c r="A105" s="38" t="s">
        <v>281</v>
      </c>
      <c r="B105" s="38" t="s">
        <v>213</v>
      </c>
      <c r="C105" s="38" t="s">
        <v>282</v>
      </c>
      <c r="D105" s="52" t="s">
        <v>283</v>
      </c>
      <c r="E105" s="53"/>
      <c r="F105" s="38" t="s">
        <v>83</v>
      </c>
      <c r="G105" s="39">
        <v>1</v>
      </c>
      <c r="H105" s="39"/>
      <c r="I105" s="40"/>
      <c r="J105" s="39"/>
      <c r="K105" s="39"/>
      <c r="L105" s="39"/>
      <c r="M105" s="39"/>
      <c r="N105" s="39">
        <v>5.8400000000000001E-2</v>
      </c>
      <c r="O105" s="39">
        <f>G105*N105</f>
        <v>5.8400000000000001E-2</v>
      </c>
      <c r="P105" s="41"/>
      <c r="Z105" s="9">
        <f>ROUND(IF(AQ105="5",BJ105,0),2)</f>
        <v>0</v>
      </c>
      <c r="AB105" s="9">
        <f>ROUND(IF(AQ105="1",BH105,0),2)</f>
        <v>0</v>
      </c>
      <c r="AC105" s="9">
        <f>ROUND(IF(AQ105="1",BI105,0),2)</f>
        <v>0</v>
      </c>
      <c r="AD105" s="9">
        <f>ROUND(IF(AQ105="7",BH105,0),2)</f>
        <v>0</v>
      </c>
      <c r="AE105" s="9">
        <f>ROUND(IF(AQ105="7",BI105,0),2)</f>
        <v>0</v>
      </c>
      <c r="AF105" s="9">
        <f>ROUND(IF(AQ105="2",BH105,0),2)</f>
        <v>0</v>
      </c>
      <c r="AG105" s="9">
        <f>ROUND(IF(AQ105="2",BI105,0),2)</f>
        <v>0</v>
      </c>
      <c r="AH105" s="9">
        <f>ROUND(IF(AQ105="0",BJ105,0),2)</f>
        <v>0</v>
      </c>
      <c r="AI105" s="7" t="s">
        <v>213</v>
      </c>
      <c r="AJ105" s="9">
        <f>IF(AN105=0,L105,0)</f>
        <v>0</v>
      </c>
      <c r="AK105" s="9">
        <f>IF(AN105=12,L105,0)</f>
        <v>0</v>
      </c>
      <c r="AL105" s="9">
        <f>IF(AN105=21,L105,0)</f>
        <v>0</v>
      </c>
      <c r="AN105" s="9">
        <v>21</v>
      </c>
      <c r="AO105" s="9">
        <f>H105*1</f>
        <v>0</v>
      </c>
      <c r="AP105" s="9">
        <f>H105*(1-1)</f>
        <v>0</v>
      </c>
      <c r="AQ105" s="10" t="s">
        <v>275</v>
      </c>
      <c r="AV105" s="9">
        <f>ROUND(AW105+AX105,2)</f>
        <v>0</v>
      </c>
      <c r="AW105" s="9">
        <f>ROUND(G105*AO105,2)</f>
        <v>0</v>
      </c>
      <c r="AX105" s="9">
        <f>ROUND(G105*AP105,2)</f>
        <v>0</v>
      </c>
      <c r="AY105" s="10" t="s">
        <v>276</v>
      </c>
      <c r="AZ105" s="10" t="s">
        <v>277</v>
      </c>
      <c r="BA105" s="7" t="s">
        <v>217</v>
      </c>
      <c r="BC105" s="9">
        <f>AW105+AX105</f>
        <v>0</v>
      </c>
      <c r="BD105" s="9">
        <f>H105/(100-BE105)*100</f>
        <v>0</v>
      </c>
      <c r="BE105" s="9">
        <v>0</v>
      </c>
      <c r="BF105" s="9">
        <f>O105</f>
        <v>5.8400000000000001E-2</v>
      </c>
      <c r="BH105" s="9">
        <f>G105*AO105</f>
        <v>0</v>
      </c>
      <c r="BI105" s="9">
        <f>G105*AP105</f>
        <v>0</v>
      </c>
      <c r="BJ105" s="9">
        <f>G105*H105</f>
        <v>0</v>
      </c>
      <c r="BK105" s="9"/>
      <c r="BL105" s="9"/>
      <c r="BW105" s="9">
        <f>I105</f>
        <v>0</v>
      </c>
      <c r="BX105" s="2" t="s">
        <v>283</v>
      </c>
    </row>
    <row r="106" spans="1:76" x14ac:dyDescent="0.25">
      <c r="A106" s="34" t="s">
        <v>56</v>
      </c>
      <c r="B106" s="35" t="s">
        <v>284</v>
      </c>
      <c r="C106" s="35" t="s">
        <v>56</v>
      </c>
      <c r="D106" s="57" t="s">
        <v>285</v>
      </c>
      <c r="E106" s="58"/>
      <c r="F106" s="34" t="s">
        <v>4</v>
      </c>
      <c r="G106" s="34" t="s">
        <v>4</v>
      </c>
      <c r="H106" s="34"/>
      <c r="I106" s="34"/>
      <c r="J106" s="36"/>
      <c r="K106" s="36"/>
      <c r="L106" s="36"/>
      <c r="M106" s="36"/>
      <c r="N106" s="37" t="s">
        <v>56</v>
      </c>
      <c r="O106" s="36">
        <f>O107+O112+O115+O117+O120+O135+O139+O142+O148+O153+O155+O157</f>
        <v>83.151756000000006</v>
      </c>
      <c r="P106" s="37"/>
    </row>
    <row r="107" spans="1:76" x14ac:dyDescent="0.25">
      <c r="A107" s="34" t="s">
        <v>56</v>
      </c>
      <c r="B107" s="35" t="s">
        <v>284</v>
      </c>
      <c r="C107" s="35" t="s">
        <v>59</v>
      </c>
      <c r="D107" s="57" t="s">
        <v>60</v>
      </c>
      <c r="E107" s="58"/>
      <c r="F107" s="34" t="s">
        <v>4</v>
      </c>
      <c r="G107" s="34" t="s">
        <v>4</v>
      </c>
      <c r="H107" s="34"/>
      <c r="I107" s="34"/>
      <c r="J107" s="36"/>
      <c r="K107" s="36"/>
      <c r="L107" s="36"/>
      <c r="M107" s="36"/>
      <c r="N107" s="37" t="s">
        <v>56</v>
      </c>
      <c r="O107" s="36">
        <f>SUM(O108:O111)</f>
        <v>29.03922</v>
      </c>
      <c r="P107" s="37"/>
      <c r="AI107" s="7" t="s">
        <v>284</v>
      </c>
      <c r="AS107" s="1">
        <f>SUM(AJ108:AJ111)</f>
        <v>0</v>
      </c>
      <c r="AT107" s="1">
        <f>SUM(AK108:AK111)</f>
        <v>0</v>
      </c>
      <c r="AU107" s="1">
        <f>SUM(AL108:AL111)</f>
        <v>0</v>
      </c>
    </row>
    <row r="108" spans="1:76" x14ac:dyDescent="0.25">
      <c r="A108" s="38" t="s">
        <v>286</v>
      </c>
      <c r="B108" s="38" t="s">
        <v>284</v>
      </c>
      <c r="C108" s="38" t="s">
        <v>62</v>
      </c>
      <c r="D108" s="52" t="s">
        <v>63</v>
      </c>
      <c r="E108" s="53"/>
      <c r="F108" s="38" t="s">
        <v>64</v>
      </c>
      <c r="G108" s="39">
        <v>1197</v>
      </c>
      <c r="H108" s="39"/>
      <c r="I108" s="40"/>
      <c r="J108" s="39"/>
      <c r="K108" s="39"/>
      <c r="L108" s="39"/>
      <c r="M108" s="39"/>
      <c r="N108" s="39">
        <v>0</v>
      </c>
      <c r="O108" s="39">
        <f>G108*N108</f>
        <v>0</v>
      </c>
      <c r="P108" s="41"/>
      <c r="Z108" s="9">
        <f>ROUND(IF(AQ108="5",BJ108,0),2)</f>
        <v>0</v>
      </c>
      <c r="AB108" s="9">
        <f>ROUND(IF(AQ108="1",BH108,0),2)</f>
        <v>0</v>
      </c>
      <c r="AC108" s="9">
        <f>ROUND(IF(AQ108="1",BI108,0),2)</f>
        <v>0</v>
      </c>
      <c r="AD108" s="9">
        <f>ROUND(IF(AQ108="7",BH108,0),2)</f>
        <v>0</v>
      </c>
      <c r="AE108" s="9">
        <f>ROUND(IF(AQ108="7",BI108,0),2)</f>
        <v>0</v>
      </c>
      <c r="AF108" s="9">
        <f>ROUND(IF(AQ108="2",BH108,0),2)</f>
        <v>0</v>
      </c>
      <c r="AG108" s="9">
        <f>ROUND(IF(AQ108="2",BI108,0),2)</f>
        <v>0</v>
      </c>
      <c r="AH108" s="9">
        <f>ROUND(IF(AQ108="0",BJ108,0),2)</f>
        <v>0</v>
      </c>
      <c r="AI108" s="7" t="s">
        <v>284</v>
      </c>
      <c r="AJ108" s="9">
        <f>IF(AN108=0,L108,0)</f>
        <v>0</v>
      </c>
      <c r="AK108" s="9">
        <f>IF(AN108=12,L108,0)</f>
        <v>0</v>
      </c>
      <c r="AL108" s="9">
        <f>IF(AN108=21,L108,0)</f>
        <v>0</v>
      </c>
      <c r="AN108" s="9">
        <v>21</v>
      </c>
      <c r="AO108" s="9">
        <f>H108*0</f>
        <v>0</v>
      </c>
      <c r="AP108" s="9">
        <f>H108*(1-0)</f>
        <v>0</v>
      </c>
      <c r="AQ108" s="10" t="s">
        <v>61</v>
      </c>
      <c r="AV108" s="9">
        <f>ROUND(AW108+AX108,2)</f>
        <v>0</v>
      </c>
      <c r="AW108" s="9">
        <f>ROUND(G108*AO108,2)</f>
        <v>0</v>
      </c>
      <c r="AX108" s="9">
        <f>ROUND(G108*AP108,2)</f>
        <v>0</v>
      </c>
      <c r="AY108" s="10" t="s">
        <v>65</v>
      </c>
      <c r="AZ108" s="10" t="s">
        <v>287</v>
      </c>
      <c r="BA108" s="7" t="s">
        <v>288</v>
      </c>
      <c r="BC108" s="9">
        <f>AW108+AX108</f>
        <v>0</v>
      </c>
      <c r="BD108" s="9">
        <f>H108/(100-BE108)*100</f>
        <v>0</v>
      </c>
      <c r="BE108" s="9">
        <v>0</v>
      </c>
      <c r="BF108" s="9">
        <f>O108</f>
        <v>0</v>
      </c>
      <c r="BH108" s="9">
        <f>G108*AO108</f>
        <v>0</v>
      </c>
      <c r="BI108" s="9">
        <f>G108*AP108</f>
        <v>0</v>
      </c>
      <c r="BJ108" s="9">
        <f>G108*H108</f>
        <v>0</v>
      </c>
      <c r="BK108" s="9"/>
      <c r="BL108" s="9">
        <v>94</v>
      </c>
      <c r="BW108" s="9">
        <f>I108</f>
        <v>0</v>
      </c>
      <c r="BX108" s="2" t="s">
        <v>63</v>
      </c>
    </row>
    <row r="109" spans="1:76" x14ac:dyDescent="0.25">
      <c r="A109" s="38" t="s">
        <v>289</v>
      </c>
      <c r="B109" s="38" t="s">
        <v>284</v>
      </c>
      <c r="C109" s="38" t="s">
        <v>69</v>
      </c>
      <c r="D109" s="52" t="s">
        <v>70</v>
      </c>
      <c r="E109" s="53"/>
      <c r="F109" s="38" t="s">
        <v>64</v>
      </c>
      <c r="G109" s="39">
        <v>3591</v>
      </c>
      <c r="H109" s="39"/>
      <c r="I109" s="40"/>
      <c r="J109" s="39"/>
      <c r="K109" s="39"/>
      <c r="L109" s="39"/>
      <c r="M109" s="39"/>
      <c r="N109" s="39">
        <v>0</v>
      </c>
      <c r="O109" s="39">
        <f>G109*N109</f>
        <v>0</v>
      </c>
      <c r="P109" s="41"/>
      <c r="Z109" s="9">
        <f>ROUND(IF(AQ109="5",BJ109,0),2)</f>
        <v>0</v>
      </c>
      <c r="AB109" s="9">
        <f>ROUND(IF(AQ109="1",BH109,0),2)</f>
        <v>0</v>
      </c>
      <c r="AC109" s="9">
        <f>ROUND(IF(AQ109="1",BI109,0),2)</f>
        <v>0</v>
      </c>
      <c r="AD109" s="9">
        <f>ROUND(IF(AQ109="7",BH109,0),2)</f>
        <v>0</v>
      </c>
      <c r="AE109" s="9">
        <f>ROUND(IF(AQ109="7",BI109,0),2)</f>
        <v>0</v>
      </c>
      <c r="AF109" s="9">
        <f>ROUND(IF(AQ109="2",BH109,0),2)</f>
        <v>0</v>
      </c>
      <c r="AG109" s="9">
        <f>ROUND(IF(AQ109="2",BI109,0),2)</f>
        <v>0</v>
      </c>
      <c r="AH109" s="9">
        <f>ROUND(IF(AQ109="0",BJ109,0),2)</f>
        <v>0</v>
      </c>
      <c r="AI109" s="7" t="s">
        <v>284</v>
      </c>
      <c r="AJ109" s="9">
        <f>IF(AN109=0,L109,0)</f>
        <v>0</v>
      </c>
      <c r="AK109" s="9">
        <f>IF(AN109=12,L109,0)</f>
        <v>0</v>
      </c>
      <c r="AL109" s="9">
        <f>IF(AN109=21,L109,0)</f>
        <v>0</v>
      </c>
      <c r="AN109" s="9">
        <v>21</v>
      </c>
      <c r="AO109" s="9">
        <f>H109*0</f>
        <v>0</v>
      </c>
      <c r="AP109" s="9">
        <f>H109*(1-0)</f>
        <v>0</v>
      </c>
      <c r="AQ109" s="10" t="s">
        <v>61</v>
      </c>
      <c r="AV109" s="9">
        <f>ROUND(AW109+AX109,2)</f>
        <v>0</v>
      </c>
      <c r="AW109" s="9">
        <f>ROUND(G109*AO109,2)</f>
        <v>0</v>
      </c>
      <c r="AX109" s="9">
        <f>ROUND(G109*AP109,2)</f>
        <v>0</v>
      </c>
      <c r="AY109" s="10" t="s">
        <v>65</v>
      </c>
      <c r="AZ109" s="10" t="s">
        <v>287</v>
      </c>
      <c r="BA109" s="7" t="s">
        <v>288</v>
      </c>
      <c r="BC109" s="9">
        <f>AW109+AX109</f>
        <v>0</v>
      </c>
      <c r="BD109" s="9">
        <f>H109/(100-BE109)*100</f>
        <v>0</v>
      </c>
      <c r="BE109" s="9">
        <v>0</v>
      </c>
      <c r="BF109" s="9">
        <f>O109</f>
        <v>0</v>
      </c>
      <c r="BH109" s="9">
        <f>G109*AO109</f>
        <v>0</v>
      </c>
      <c r="BI109" s="9">
        <f>G109*AP109</f>
        <v>0</v>
      </c>
      <c r="BJ109" s="9">
        <f>G109*H109</f>
        <v>0</v>
      </c>
      <c r="BK109" s="9"/>
      <c r="BL109" s="9">
        <v>94</v>
      </c>
      <c r="BW109" s="9">
        <f>I109</f>
        <v>0</v>
      </c>
      <c r="BX109" s="2" t="s">
        <v>70</v>
      </c>
    </row>
    <row r="110" spans="1:76" x14ac:dyDescent="0.25">
      <c r="A110" s="38" t="s">
        <v>290</v>
      </c>
      <c r="B110" s="38" t="s">
        <v>284</v>
      </c>
      <c r="C110" s="38" t="s">
        <v>72</v>
      </c>
      <c r="D110" s="52" t="s">
        <v>73</v>
      </c>
      <c r="E110" s="53"/>
      <c r="F110" s="38" t="s">
        <v>64</v>
      </c>
      <c r="G110" s="39">
        <v>1197</v>
      </c>
      <c r="H110" s="39"/>
      <c r="I110" s="40"/>
      <c r="J110" s="39"/>
      <c r="K110" s="39"/>
      <c r="L110" s="39"/>
      <c r="M110" s="39"/>
      <c r="N110" s="39">
        <v>2.426E-2</v>
      </c>
      <c r="O110" s="39">
        <f>G110*N110</f>
        <v>29.03922</v>
      </c>
      <c r="P110" s="41"/>
      <c r="Z110" s="9">
        <f>ROUND(IF(AQ110="5",BJ110,0),2)</f>
        <v>0</v>
      </c>
      <c r="AB110" s="9">
        <f>ROUND(IF(AQ110="1",BH110,0),2)</f>
        <v>0</v>
      </c>
      <c r="AC110" s="9">
        <f>ROUND(IF(AQ110="1",BI110,0),2)</f>
        <v>0</v>
      </c>
      <c r="AD110" s="9">
        <f>ROUND(IF(AQ110="7",BH110,0),2)</f>
        <v>0</v>
      </c>
      <c r="AE110" s="9">
        <f>ROUND(IF(AQ110="7",BI110,0),2)</f>
        <v>0</v>
      </c>
      <c r="AF110" s="9">
        <f>ROUND(IF(AQ110="2",BH110,0),2)</f>
        <v>0</v>
      </c>
      <c r="AG110" s="9">
        <f>ROUND(IF(AQ110="2",BI110,0),2)</f>
        <v>0</v>
      </c>
      <c r="AH110" s="9">
        <f>ROUND(IF(AQ110="0",BJ110,0),2)</f>
        <v>0</v>
      </c>
      <c r="AI110" s="7" t="s">
        <v>284</v>
      </c>
      <c r="AJ110" s="9">
        <f>IF(AN110=0,L110,0)</f>
        <v>0</v>
      </c>
      <c r="AK110" s="9">
        <f>IF(AN110=12,L110,0)</f>
        <v>0</v>
      </c>
      <c r="AL110" s="9">
        <f>IF(AN110=21,L110,0)</f>
        <v>0</v>
      </c>
      <c r="AN110" s="9">
        <v>21</v>
      </c>
      <c r="AO110" s="9">
        <f>H110*0.001212121</f>
        <v>0</v>
      </c>
      <c r="AP110" s="9">
        <f>H110*(1-0.001212121)</f>
        <v>0</v>
      </c>
      <c r="AQ110" s="10" t="s">
        <v>61</v>
      </c>
      <c r="AV110" s="9">
        <f>ROUND(AW110+AX110,2)</f>
        <v>0</v>
      </c>
      <c r="AW110" s="9">
        <f>ROUND(G110*AO110,2)</f>
        <v>0</v>
      </c>
      <c r="AX110" s="9">
        <f>ROUND(G110*AP110,2)</f>
        <v>0</v>
      </c>
      <c r="AY110" s="10" t="s">
        <v>65</v>
      </c>
      <c r="AZ110" s="10" t="s">
        <v>287</v>
      </c>
      <c r="BA110" s="7" t="s">
        <v>288</v>
      </c>
      <c r="BC110" s="9">
        <f>AW110+AX110</f>
        <v>0</v>
      </c>
      <c r="BD110" s="9">
        <f>H110/(100-BE110)*100</f>
        <v>0</v>
      </c>
      <c r="BE110" s="9">
        <v>0</v>
      </c>
      <c r="BF110" s="9">
        <f>O110</f>
        <v>29.03922</v>
      </c>
      <c r="BH110" s="9">
        <f>G110*AO110</f>
        <v>0</v>
      </c>
      <c r="BI110" s="9">
        <f>G110*AP110</f>
        <v>0</v>
      </c>
      <c r="BJ110" s="9">
        <f>G110*H110</f>
        <v>0</v>
      </c>
      <c r="BK110" s="9"/>
      <c r="BL110" s="9">
        <v>94</v>
      </c>
      <c r="BW110" s="9">
        <f>I110</f>
        <v>0</v>
      </c>
      <c r="BX110" s="2" t="s">
        <v>73</v>
      </c>
    </row>
    <row r="111" spans="1:76" x14ac:dyDescent="0.25">
      <c r="A111" s="38" t="s">
        <v>291</v>
      </c>
      <c r="B111" s="38" t="s">
        <v>284</v>
      </c>
      <c r="C111" s="38" t="s">
        <v>75</v>
      </c>
      <c r="D111" s="52" t="s">
        <v>76</v>
      </c>
      <c r="E111" s="53"/>
      <c r="F111" s="38" t="s">
        <v>77</v>
      </c>
      <c r="G111" s="39">
        <v>1197</v>
      </c>
      <c r="H111" s="39"/>
      <c r="I111" s="40"/>
      <c r="J111" s="39"/>
      <c r="K111" s="39"/>
      <c r="L111" s="39"/>
      <c r="M111" s="39"/>
      <c r="N111" s="39">
        <v>0</v>
      </c>
      <c r="O111" s="39">
        <f>G111*N111</f>
        <v>0</v>
      </c>
      <c r="P111" s="41"/>
      <c r="Z111" s="9">
        <f>ROUND(IF(AQ111="5",BJ111,0),2)</f>
        <v>0</v>
      </c>
      <c r="AB111" s="9">
        <f>ROUND(IF(AQ111="1",BH111,0),2)</f>
        <v>0</v>
      </c>
      <c r="AC111" s="9">
        <f>ROUND(IF(AQ111="1",BI111,0),2)</f>
        <v>0</v>
      </c>
      <c r="AD111" s="9">
        <f>ROUND(IF(AQ111="7",BH111,0),2)</f>
        <v>0</v>
      </c>
      <c r="AE111" s="9">
        <f>ROUND(IF(AQ111="7",BI111,0),2)</f>
        <v>0</v>
      </c>
      <c r="AF111" s="9">
        <f>ROUND(IF(AQ111="2",BH111,0),2)</f>
        <v>0</v>
      </c>
      <c r="AG111" s="9">
        <f>ROUND(IF(AQ111="2",BI111,0),2)</f>
        <v>0</v>
      </c>
      <c r="AH111" s="9">
        <f>ROUND(IF(AQ111="0",BJ111,0),2)</f>
        <v>0</v>
      </c>
      <c r="AI111" s="7" t="s">
        <v>284</v>
      </c>
      <c r="AJ111" s="9">
        <f>IF(AN111=0,L111,0)</f>
        <v>0</v>
      </c>
      <c r="AK111" s="9">
        <f>IF(AN111=12,L111,0)</f>
        <v>0</v>
      </c>
      <c r="AL111" s="9">
        <f>IF(AN111=21,L111,0)</f>
        <v>0</v>
      </c>
      <c r="AN111" s="9">
        <v>21</v>
      </c>
      <c r="AO111" s="9">
        <f>H111*0</f>
        <v>0</v>
      </c>
      <c r="AP111" s="9">
        <f>H111*(1-0)</f>
        <v>0</v>
      </c>
      <c r="AQ111" s="10" t="s">
        <v>61</v>
      </c>
      <c r="AV111" s="9">
        <f>ROUND(AW111+AX111,2)</f>
        <v>0</v>
      </c>
      <c r="AW111" s="9">
        <f>ROUND(G111*AO111,2)</f>
        <v>0</v>
      </c>
      <c r="AX111" s="9">
        <f>ROUND(G111*AP111,2)</f>
        <v>0</v>
      </c>
      <c r="AY111" s="10" t="s">
        <v>65</v>
      </c>
      <c r="AZ111" s="10" t="s">
        <v>287</v>
      </c>
      <c r="BA111" s="7" t="s">
        <v>288</v>
      </c>
      <c r="BC111" s="9">
        <f>AW111+AX111</f>
        <v>0</v>
      </c>
      <c r="BD111" s="9">
        <f>H111/(100-BE111)*100</f>
        <v>0</v>
      </c>
      <c r="BE111" s="9">
        <v>0</v>
      </c>
      <c r="BF111" s="9">
        <f>O111</f>
        <v>0</v>
      </c>
      <c r="BH111" s="9">
        <f>G111*AO111</f>
        <v>0</v>
      </c>
      <c r="BI111" s="9">
        <f>G111*AP111</f>
        <v>0</v>
      </c>
      <c r="BJ111" s="9">
        <f>G111*H111</f>
        <v>0</v>
      </c>
      <c r="BK111" s="9"/>
      <c r="BL111" s="9">
        <v>94</v>
      </c>
      <c r="BW111" s="9">
        <f>I111</f>
        <v>0</v>
      </c>
      <c r="BX111" s="2" t="s">
        <v>76</v>
      </c>
    </row>
    <row r="112" spans="1:76" x14ac:dyDescent="0.25">
      <c r="A112" s="34" t="s">
        <v>56</v>
      </c>
      <c r="B112" s="35" t="s">
        <v>284</v>
      </c>
      <c r="C112" s="35" t="s">
        <v>78</v>
      </c>
      <c r="D112" s="57" t="s">
        <v>79</v>
      </c>
      <c r="E112" s="58"/>
      <c r="F112" s="34" t="s">
        <v>4</v>
      </c>
      <c r="G112" s="34" t="s">
        <v>4</v>
      </c>
      <c r="H112" s="34"/>
      <c r="I112" s="34"/>
      <c r="J112" s="36"/>
      <c r="K112" s="36"/>
      <c r="L112" s="36"/>
      <c r="M112" s="36"/>
      <c r="N112" s="37" t="s">
        <v>56</v>
      </c>
      <c r="O112" s="36">
        <f>SUM(O113:O114)</f>
        <v>0.57638</v>
      </c>
      <c r="P112" s="37"/>
      <c r="AI112" s="7" t="s">
        <v>284</v>
      </c>
      <c r="AS112" s="1">
        <f>SUM(AJ113:AJ114)</f>
        <v>0</v>
      </c>
      <c r="AT112" s="1">
        <f>SUM(AK113:AK114)</f>
        <v>0</v>
      </c>
      <c r="AU112" s="1">
        <f>SUM(AL113:AL114)</f>
        <v>0</v>
      </c>
    </row>
    <row r="113" spans="1:76" x14ac:dyDescent="0.25">
      <c r="A113" s="38" t="s">
        <v>292</v>
      </c>
      <c r="B113" s="38" t="s">
        <v>284</v>
      </c>
      <c r="C113" s="38" t="s">
        <v>89</v>
      </c>
      <c r="D113" s="52" t="s">
        <v>90</v>
      </c>
      <c r="E113" s="53"/>
      <c r="F113" s="38" t="s">
        <v>83</v>
      </c>
      <c r="G113" s="39">
        <v>7</v>
      </c>
      <c r="H113" s="39"/>
      <c r="I113" s="40"/>
      <c r="J113" s="39"/>
      <c r="K113" s="39"/>
      <c r="L113" s="39"/>
      <c r="M113" s="39"/>
      <c r="N113" s="39">
        <v>0.08</v>
      </c>
      <c r="O113" s="39">
        <f>G113*N113</f>
        <v>0.56000000000000005</v>
      </c>
      <c r="P113" s="41"/>
      <c r="Z113" s="9">
        <f>ROUND(IF(AQ113="5",BJ113,0),2)</f>
        <v>0</v>
      </c>
      <c r="AB113" s="9">
        <f>ROUND(IF(AQ113="1",BH113,0),2)</f>
        <v>0</v>
      </c>
      <c r="AC113" s="9">
        <f>ROUND(IF(AQ113="1",BI113,0),2)</f>
        <v>0</v>
      </c>
      <c r="AD113" s="9">
        <f>ROUND(IF(AQ113="7",BH113,0),2)</f>
        <v>0</v>
      </c>
      <c r="AE113" s="9">
        <f>ROUND(IF(AQ113="7",BI113,0),2)</f>
        <v>0</v>
      </c>
      <c r="AF113" s="9">
        <f>ROUND(IF(AQ113="2",BH113,0),2)</f>
        <v>0</v>
      </c>
      <c r="AG113" s="9">
        <f>ROUND(IF(AQ113="2",BI113,0),2)</f>
        <v>0</v>
      </c>
      <c r="AH113" s="9">
        <f>ROUND(IF(AQ113="0",BJ113,0),2)</f>
        <v>0</v>
      </c>
      <c r="AI113" s="7" t="s">
        <v>284</v>
      </c>
      <c r="AJ113" s="9">
        <f>IF(AN113=0,L113,0)</f>
        <v>0</v>
      </c>
      <c r="AK113" s="9">
        <f>IF(AN113=12,L113,0)</f>
        <v>0</v>
      </c>
      <c r="AL113" s="9">
        <f>IF(AN113=21,L113,0)</f>
        <v>0</v>
      </c>
      <c r="AN113" s="9">
        <v>21</v>
      </c>
      <c r="AO113" s="9">
        <f>H113*0.000091743</f>
        <v>0</v>
      </c>
      <c r="AP113" s="9">
        <f>H113*(1-0.000091743)</f>
        <v>0</v>
      </c>
      <c r="AQ113" s="10" t="s">
        <v>61</v>
      </c>
      <c r="AV113" s="9">
        <f>ROUND(AW113+AX113,2)</f>
        <v>0</v>
      </c>
      <c r="AW113" s="9">
        <f>ROUND(G113*AO113,2)</f>
        <v>0</v>
      </c>
      <c r="AX113" s="9">
        <f>ROUND(G113*AP113,2)</f>
        <v>0</v>
      </c>
      <c r="AY113" s="10" t="s">
        <v>84</v>
      </c>
      <c r="AZ113" s="10" t="s">
        <v>287</v>
      </c>
      <c r="BA113" s="7" t="s">
        <v>288</v>
      </c>
      <c r="BC113" s="9">
        <f>AW113+AX113</f>
        <v>0</v>
      </c>
      <c r="BD113" s="9">
        <f>H113/(100-BE113)*100</f>
        <v>0</v>
      </c>
      <c r="BE113" s="9">
        <v>0</v>
      </c>
      <c r="BF113" s="9">
        <f>O113</f>
        <v>0.56000000000000005</v>
      </c>
      <c r="BH113" s="9">
        <f>G113*AO113</f>
        <v>0</v>
      </c>
      <c r="BI113" s="9">
        <f>G113*AP113</f>
        <v>0</v>
      </c>
      <c r="BJ113" s="9">
        <f>G113*H113</f>
        <v>0</v>
      </c>
      <c r="BK113" s="9"/>
      <c r="BL113" s="9">
        <v>95</v>
      </c>
      <c r="BW113" s="9">
        <f>I113</f>
        <v>0</v>
      </c>
      <c r="BX113" s="2" t="s">
        <v>90</v>
      </c>
    </row>
    <row r="114" spans="1:76" ht="25.5" x14ac:dyDescent="0.25">
      <c r="A114" s="38" t="s">
        <v>293</v>
      </c>
      <c r="B114" s="38" t="s">
        <v>284</v>
      </c>
      <c r="C114" s="38" t="s">
        <v>81</v>
      </c>
      <c r="D114" s="52" t="s">
        <v>82</v>
      </c>
      <c r="E114" s="53"/>
      <c r="F114" s="38" t="s">
        <v>83</v>
      </c>
      <c r="G114" s="39">
        <v>7</v>
      </c>
      <c r="H114" s="39"/>
      <c r="I114" s="40"/>
      <c r="J114" s="39"/>
      <c r="K114" s="39"/>
      <c r="L114" s="39"/>
      <c r="M114" s="39"/>
      <c r="N114" s="39">
        <v>2.3400000000000001E-3</v>
      </c>
      <c r="O114" s="39">
        <f>G114*N114</f>
        <v>1.6379999999999999E-2</v>
      </c>
      <c r="P114" s="41"/>
      <c r="Z114" s="9">
        <f>ROUND(IF(AQ114="5",BJ114,0),2)</f>
        <v>0</v>
      </c>
      <c r="AB114" s="9">
        <f>ROUND(IF(AQ114="1",BH114,0),2)</f>
        <v>0</v>
      </c>
      <c r="AC114" s="9">
        <f>ROUND(IF(AQ114="1",BI114,0),2)</f>
        <v>0</v>
      </c>
      <c r="AD114" s="9">
        <f>ROUND(IF(AQ114="7",BH114,0),2)</f>
        <v>0</v>
      </c>
      <c r="AE114" s="9">
        <f>ROUND(IF(AQ114="7",BI114,0),2)</f>
        <v>0</v>
      </c>
      <c r="AF114" s="9">
        <f>ROUND(IF(AQ114="2",BH114,0),2)</f>
        <v>0</v>
      </c>
      <c r="AG114" s="9">
        <f>ROUND(IF(AQ114="2",BI114,0),2)</f>
        <v>0</v>
      </c>
      <c r="AH114" s="9">
        <f>ROUND(IF(AQ114="0",BJ114,0),2)</f>
        <v>0</v>
      </c>
      <c r="AI114" s="7" t="s">
        <v>284</v>
      </c>
      <c r="AJ114" s="9">
        <f>IF(AN114=0,L114,0)</f>
        <v>0</v>
      </c>
      <c r="AK114" s="9">
        <f>IF(AN114=12,L114,0)</f>
        <v>0</v>
      </c>
      <c r="AL114" s="9">
        <f>IF(AN114=21,L114,0)</f>
        <v>0</v>
      </c>
      <c r="AN114" s="9">
        <v>21</v>
      </c>
      <c r="AO114" s="9">
        <f>H114*0.025526057</f>
        <v>0</v>
      </c>
      <c r="AP114" s="9">
        <f>H114*(1-0.025526057)</f>
        <v>0</v>
      </c>
      <c r="AQ114" s="10" t="s">
        <v>61</v>
      </c>
      <c r="AV114" s="9">
        <f>ROUND(AW114+AX114,2)</f>
        <v>0</v>
      </c>
      <c r="AW114" s="9">
        <f>ROUND(G114*AO114,2)</f>
        <v>0</v>
      </c>
      <c r="AX114" s="9">
        <f>ROUND(G114*AP114,2)</f>
        <v>0</v>
      </c>
      <c r="AY114" s="10" t="s">
        <v>84</v>
      </c>
      <c r="AZ114" s="10" t="s">
        <v>287</v>
      </c>
      <c r="BA114" s="7" t="s">
        <v>288</v>
      </c>
      <c r="BC114" s="9">
        <f>AW114+AX114</f>
        <v>0</v>
      </c>
      <c r="BD114" s="9">
        <f>H114/(100-BE114)*100</f>
        <v>0</v>
      </c>
      <c r="BE114" s="9">
        <v>0</v>
      </c>
      <c r="BF114" s="9">
        <f>O114</f>
        <v>1.6379999999999999E-2</v>
      </c>
      <c r="BH114" s="9">
        <f>G114*AO114</f>
        <v>0</v>
      </c>
      <c r="BI114" s="9">
        <f>G114*AP114</f>
        <v>0</v>
      </c>
      <c r="BJ114" s="9">
        <f>G114*H114</f>
        <v>0</v>
      </c>
      <c r="BK114" s="9"/>
      <c r="BL114" s="9">
        <v>95</v>
      </c>
      <c r="BW114" s="9">
        <f>I114</f>
        <v>0</v>
      </c>
      <c r="BX114" s="2" t="s">
        <v>82</v>
      </c>
    </row>
    <row r="115" spans="1:76" x14ac:dyDescent="0.25">
      <c r="A115" s="34" t="s">
        <v>56</v>
      </c>
      <c r="B115" s="35" t="s">
        <v>284</v>
      </c>
      <c r="C115" s="35" t="s">
        <v>100</v>
      </c>
      <c r="D115" s="57" t="s">
        <v>101</v>
      </c>
      <c r="E115" s="58"/>
      <c r="F115" s="34" t="s">
        <v>4</v>
      </c>
      <c r="G115" s="34" t="s">
        <v>4</v>
      </c>
      <c r="H115" s="34"/>
      <c r="I115" s="34"/>
      <c r="J115" s="36"/>
      <c r="K115" s="36"/>
      <c r="L115" s="36"/>
      <c r="M115" s="36"/>
      <c r="N115" s="37" t="s">
        <v>56</v>
      </c>
      <c r="O115" s="36">
        <f>SUM(O116:O116)</f>
        <v>0</v>
      </c>
      <c r="P115" s="37"/>
      <c r="AI115" s="7" t="s">
        <v>284</v>
      </c>
      <c r="AS115" s="1">
        <f>SUM(AJ116:AJ116)</f>
        <v>0</v>
      </c>
      <c r="AT115" s="1">
        <f>SUM(AK116:AK116)</f>
        <v>0</v>
      </c>
      <c r="AU115" s="1">
        <f>SUM(AL116:AL116)</f>
        <v>0</v>
      </c>
    </row>
    <row r="116" spans="1:76" x14ac:dyDescent="0.25">
      <c r="A116" s="38" t="s">
        <v>294</v>
      </c>
      <c r="B116" s="38" t="s">
        <v>284</v>
      </c>
      <c r="C116" s="38" t="s">
        <v>103</v>
      </c>
      <c r="D116" s="52" t="s">
        <v>104</v>
      </c>
      <c r="E116" s="53"/>
      <c r="F116" s="38" t="s">
        <v>105</v>
      </c>
      <c r="G116" s="39">
        <v>53.3</v>
      </c>
      <c r="H116" s="39"/>
      <c r="I116" s="40"/>
      <c r="J116" s="39"/>
      <c r="K116" s="39"/>
      <c r="L116" s="39"/>
      <c r="M116" s="39"/>
      <c r="N116" s="39">
        <v>0</v>
      </c>
      <c r="O116" s="39">
        <f>G116*N116</f>
        <v>0</v>
      </c>
      <c r="P116" s="41"/>
      <c r="Z116" s="9">
        <f>ROUND(IF(AQ116="5",BJ116,0),2)</f>
        <v>0</v>
      </c>
      <c r="AB116" s="9">
        <f>ROUND(IF(AQ116="1",BH116,0),2)</f>
        <v>0</v>
      </c>
      <c r="AC116" s="9">
        <f>ROUND(IF(AQ116="1",BI116,0),2)</f>
        <v>0</v>
      </c>
      <c r="AD116" s="9">
        <f>ROUND(IF(AQ116="7",BH116,0),2)</f>
        <v>0</v>
      </c>
      <c r="AE116" s="9">
        <f>ROUND(IF(AQ116="7",BI116,0),2)</f>
        <v>0</v>
      </c>
      <c r="AF116" s="9">
        <f>ROUND(IF(AQ116="2",BH116,0),2)</f>
        <v>0</v>
      </c>
      <c r="AG116" s="9">
        <f>ROUND(IF(AQ116="2",BI116,0),2)</f>
        <v>0</v>
      </c>
      <c r="AH116" s="9">
        <f>ROUND(IF(AQ116="0",BJ116,0),2)</f>
        <v>0</v>
      </c>
      <c r="AI116" s="7" t="s">
        <v>284</v>
      </c>
      <c r="AJ116" s="9">
        <f>IF(AN116=0,L116,0)</f>
        <v>0</v>
      </c>
      <c r="AK116" s="9">
        <f>IF(AN116=12,L116,0)</f>
        <v>0</v>
      </c>
      <c r="AL116" s="9">
        <f>IF(AN116=21,L116,0)</f>
        <v>0</v>
      </c>
      <c r="AN116" s="9">
        <v>21</v>
      </c>
      <c r="AO116" s="9">
        <f>H116*0</f>
        <v>0</v>
      </c>
      <c r="AP116" s="9">
        <f>H116*(1-0)</f>
        <v>0</v>
      </c>
      <c r="AQ116" s="10" t="s">
        <v>80</v>
      </c>
      <c r="AV116" s="9">
        <f>ROUND(AW116+AX116,2)</f>
        <v>0</v>
      </c>
      <c r="AW116" s="9">
        <f>ROUND(G116*AO116,2)</f>
        <v>0</v>
      </c>
      <c r="AX116" s="9">
        <f>ROUND(G116*AP116,2)</f>
        <v>0</v>
      </c>
      <c r="AY116" s="10" t="s">
        <v>106</v>
      </c>
      <c r="AZ116" s="10" t="s">
        <v>287</v>
      </c>
      <c r="BA116" s="7" t="s">
        <v>288</v>
      </c>
      <c r="BC116" s="9">
        <f>AW116+AX116</f>
        <v>0</v>
      </c>
      <c r="BD116" s="9">
        <f>H116/(100-BE116)*100</f>
        <v>0</v>
      </c>
      <c r="BE116" s="9">
        <v>0</v>
      </c>
      <c r="BF116" s="9">
        <f>O116</f>
        <v>0</v>
      </c>
      <c r="BH116" s="9">
        <f>G116*AO116</f>
        <v>0</v>
      </c>
      <c r="BI116" s="9">
        <f>G116*AP116</f>
        <v>0</v>
      </c>
      <c r="BJ116" s="9">
        <f>G116*H116</f>
        <v>0</v>
      </c>
      <c r="BK116" s="9"/>
      <c r="BL116" s="9"/>
      <c r="BW116" s="9">
        <f>I116</f>
        <v>0</v>
      </c>
      <c r="BX116" s="2" t="s">
        <v>104</v>
      </c>
    </row>
    <row r="117" spans="1:76" x14ac:dyDescent="0.25">
      <c r="A117" s="34" t="s">
        <v>56</v>
      </c>
      <c r="B117" s="35" t="s">
        <v>284</v>
      </c>
      <c r="C117" s="35" t="s">
        <v>107</v>
      </c>
      <c r="D117" s="57" t="s">
        <v>108</v>
      </c>
      <c r="E117" s="58"/>
      <c r="F117" s="34" t="s">
        <v>4</v>
      </c>
      <c r="G117" s="34" t="s">
        <v>4</v>
      </c>
      <c r="H117" s="34"/>
      <c r="I117" s="34"/>
      <c r="J117" s="36"/>
      <c r="K117" s="36"/>
      <c r="L117" s="36"/>
      <c r="M117" s="36"/>
      <c r="N117" s="37" t="s">
        <v>56</v>
      </c>
      <c r="O117" s="36">
        <f>SUM(O118:O119)</f>
        <v>14.672069999999998</v>
      </c>
      <c r="P117" s="37"/>
      <c r="AI117" s="7" t="s">
        <v>284</v>
      </c>
      <c r="AS117" s="1">
        <f>SUM(AJ118:AJ119)</f>
        <v>0</v>
      </c>
      <c r="AT117" s="1">
        <f>SUM(AK118:AK119)</f>
        <v>0</v>
      </c>
      <c r="AU117" s="1">
        <f>SUM(AL118:AL119)</f>
        <v>0</v>
      </c>
    </row>
    <row r="118" spans="1:76" x14ac:dyDescent="0.25">
      <c r="A118" s="38" t="s">
        <v>295</v>
      </c>
      <c r="B118" s="38" t="s">
        <v>284</v>
      </c>
      <c r="C118" s="38" t="s">
        <v>115</v>
      </c>
      <c r="D118" s="52" t="s">
        <v>116</v>
      </c>
      <c r="E118" s="53"/>
      <c r="F118" s="38" t="s">
        <v>112</v>
      </c>
      <c r="G118" s="39">
        <v>49</v>
      </c>
      <c r="H118" s="39"/>
      <c r="I118" s="40"/>
      <c r="J118" s="39"/>
      <c r="K118" s="39"/>
      <c r="L118" s="39"/>
      <c r="M118" s="39"/>
      <c r="N118" s="39">
        <v>0</v>
      </c>
      <c r="O118" s="39">
        <f>G118*N118</f>
        <v>0</v>
      </c>
      <c r="P118" s="41"/>
      <c r="Z118" s="9">
        <f>ROUND(IF(AQ118="5",BJ118,0),2)</f>
        <v>0</v>
      </c>
      <c r="AB118" s="9">
        <f>ROUND(IF(AQ118="1",BH118,0),2)</f>
        <v>0</v>
      </c>
      <c r="AC118" s="9">
        <f>ROUND(IF(AQ118="1",BI118,0),2)</f>
        <v>0</v>
      </c>
      <c r="AD118" s="9">
        <f>ROUND(IF(AQ118="7",BH118,0),2)</f>
        <v>0</v>
      </c>
      <c r="AE118" s="9">
        <f>ROUND(IF(AQ118="7",BI118,0),2)</f>
        <v>0</v>
      </c>
      <c r="AF118" s="9">
        <f>ROUND(IF(AQ118="2",BH118,0),2)</f>
        <v>0</v>
      </c>
      <c r="AG118" s="9">
        <f>ROUND(IF(AQ118="2",BI118,0),2)</f>
        <v>0</v>
      </c>
      <c r="AH118" s="9">
        <f>ROUND(IF(AQ118="0",BJ118,0),2)</f>
        <v>0</v>
      </c>
      <c r="AI118" s="7" t="s">
        <v>284</v>
      </c>
      <c r="AJ118" s="9">
        <f>IF(AN118=0,L118,0)</f>
        <v>0</v>
      </c>
      <c r="AK118" s="9">
        <f>IF(AN118=12,L118,0)</f>
        <v>0</v>
      </c>
      <c r="AL118" s="9">
        <f>IF(AN118=21,L118,0)</f>
        <v>0</v>
      </c>
      <c r="AN118" s="9">
        <v>21</v>
      </c>
      <c r="AO118" s="9">
        <f>H118*0</f>
        <v>0</v>
      </c>
      <c r="AP118" s="9">
        <f>H118*(1-0)</f>
        <v>0</v>
      </c>
      <c r="AQ118" s="10" t="s">
        <v>68</v>
      </c>
      <c r="AV118" s="9">
        <f>ROUND(AW118+AX118,2)</f>
        <v>0</v>
      </c>
      <c r="AW118" s="9">
        <f>ROUND(G118*AO118,2)</f>
        <v>0</v>
      </c>
      <c r="AX118" s="9">
        <f>ROUND(G118*AP118,2)</f>
        <v>0</v>
      </c>
      <c r="AY118" s="10" t="s">
        <v>113</v>
      </c>
      <c r="AZ118" s="10" t="s">
        <v>287</v>
      </c>
      <c r="BA118" s="7" t="s">
        <v>288</v>
      </c>
      <c r="BC118" s="9">
        <f>AW118+AX118</f>
        <v>0</v>
      </c>
      <c r="BD118" s="9">
        <f>H118/(100-BE118)*100</f>
        <v>0</v>
      </c>
      <c r="BE118" s="9">
        <v>0</v>
      </c>
      <c r="BF118" s="9">
        <f>O118</f>
        <v>0</v>
      </c>
      <c r="BH118" s="9">
        <f>G118*AO118</f>
        <v>0</v>
      </c>
      <c r="BI118" s="9">
        <f>G118*AP118</f>
        <v>0</v>
      </c>
      <c r="BJ118" s="9">
        <f>G118*H118</f>
        <v>0</v>
      </c>
      <c r="BK118" s="9"/>
      <c r="BL118" s="9"/>
      <c r="BW118" s="9">
        <f>I118</f>
        <v>0</v>
      </c>
      <c r="BX118" s="2" t="s">
        <v>116</v>
      </c>
    </row>
    <row r="119" spans="1:76" x14ac:dyDescent="0.25">
      <c r="A119" s="38" t="s">
        <v>296</v>
      </c>
      <c r="B119" s="38" t="s">
        <v>284</v>
      </c>
      <c r="C119" s="38" t="s">
        <v>110</v>
      </c>
      <c r="D119" s="52" t="s">
        <v>111</v>
      </c>
      <c r="E119" s="53"/>
      <c r="F119" s="38" t="s">
        <v>112</v>
      </c>
      <c r="G119" s="39">
        <v>49</v>
      </c>
      <c r="H119" s="39"/>
      <c r="I119" s="40"/>
      <c r="J119" s="39"/>
      <c r="K119" s="39"/>
      <c r="L119" s="39"/>
      <c r="M119" s="39"/>
      <c r="N119" s="39">
        <v>0.29942999999999997</v>
      </c>
      <c r="O119" s="39">
        <f>G119*N119</f>
        <v>14.672069999999998</v>
      </c>
      <c r="P119" s="41"/>
      <c r="Z119" s="9">
        <f>ROUND(IF(AQ119="5",BJ119,0),2)</f>
        <v>0</v>
      </c>
      <c r="AB119" s="9">
        <f>ROUND(IF(AQ119="1",BH119,0),2)</f>
        <v>0</v>
      </c>
      <c r="AC119" s="9">
        <f>ROUND(IF(AQ119="1",BI119,0),2)</f>
        <v>0</v>
      </c>
      <c r="AD119" s="9">
        <f>ROUND(IF(AQ119="7",BH119,0),2)</f>
        <v>0</v>
      </c>
      <c r="AE119" s="9">
        <f>ROUND(IF(AQ119="7",BI119,0),2)</f>
        <v>0</v>
      </c>
      <c r="AF119" s="9">
        <f>ROUND(IF(AQ119="2",BH119,0),2)</f>
        <v>0</v>
      </c>
      <c r="AG119" s="9">
        <f>ROUND(IF(AQ119="2",BI119,0),2)</f>
        <v>0</v>
      </c>
      <c r="AH119" s="9">
        <f>ROUND(IF(AQ119="0",BJ119,0),2)</f>
        <v>0</v>
      </c>
      <c r="AI119" s="7" t="s">
        <v>284</v>
      </c>
      <c r="AJ119" s="9">
        <f>IF(AN119=0,L119,0)</f>
        <v>0</v>
      </c>
      <c r="AK119" s="9">
        <f>IF(AN119=12,L119,0)</f>
        <v>0</v>
      </c>
      <c r="AL119" s="9">
        <f>IF(AN119=21,L119,0)</f>
        <v>0</v>
      </c>
      <c r="AN119" s="9">
        <v>21</v>
      </c>
      <c r="AO119" s="9">
        <f>H119*0.184545455</f>
        <v>0</v>
      </c>
      <c r="AP119" s="9">
        <f>H119*(1-0.184545455)</f>
        <v>0</v>
      </c>
      <c r="AQ119" s="10" t="s">
        <v>68</v>
      </c>
      <c r="AV119" s="9">
        <f>ROUND(AW119+AX119,2)</f>
        <v>0</v>
      </c>
      <c r="AW119" s="9">
        <f>ROUND(G119*AO119,2)</f>
        <v>0</v>
      </c>
      <c r="AX119" s="9">
        <f>ROUND(G119*AP119,2)</f>
        <v>0</v>
      </c>
      <c r="AY119" s="10" t="s">
        <v>113</v>
      </c>
      <c r="AZ119" s="10" t="s">
        <v>287</v>
      </c>
      <c r="BA119" s="7" t="s">
        <v>288</v>
      </c>
      <c r="BC119" s="9">
        <f>AW119+AX119</f>
        <v>0</v>
      </c>
      <c r="BD119" s="9">
        <f>H119/(100-BE119)*100</f>
        <v>0</v>
      </c>
      <c r="BE119" s="9">
        <v>0</v>
      </c>
      <c r="BF119" s="9">
        <f>O119</f>
        <v>14.672069999999998</v>
      </c>
      <c r="BH119" s="9">
        <f>G119*AO119</f>
        <v>0</v>
      </c>
      <c r="BI119" s="9">
        <f>G119*AP119</f>
        <v>0</v>
      </c>
      <c r="BJ119" s="9">
        <f>G119*H119</f>
        <v>0</v>
      </c>
      <c r="BK119" s="9"/>
      <c r="BL119" s="9"/>
      <c r="BW119" s="9">
        <f>I119</f>
        <v>0</v>
      </c>
      <c r="BX119" s="2" t="s">
        <v>111</v>
      </c>
    </row>
    <row r="120" spans="1:76" x14ac:dyDescent="0.25">
      <c r="A120" s="34" t="s">
        <v>56</v>
      </c>
      <c r="B120" s="35" t="s">
        <v>284</v>
      </c>
      <c r="C120" s="35" t="s">
        <v>141</v>
      </c>
      <c r="D120" s="57" t="s">
        <v>142</v>
      </c>
      <c r="E120" s="58"/>
      <c r="F120" s="34" t="s">
        <v>4</v>
      </c>
      <c r="G120" s="34" t="s">
        <v>4</v>
      </c>
      <c r="H120" s="34"/>
      <c r="I120" s="34"/>
      <c r="J120" s="36"/>
      <c r="K120" s="36"/>
      <c r="L120" s="36"/>
      <c r="M120" s="36"/>
      <c r="N120" s="37" t="s">
        <v>56</v>
      </c>
      <c r="O120" s="36">
        <f>SUM(O121:O134)</f>
        <v>15.498595</v>
      </c>
      <c r="P120" s="37"/>
      <c r="AI120" s="7" t="s">
        <v>284</v>
      </c>
      <c r="AS120" s="1">
        <f>SUM(AJ121:AJ134)</f>
        <v>0</v>
      </c>
      <c r="AT120" s="1">
        <f>SUM(AK121:AK134)</f>
        <v>0</v>
      </c>
      <c r="AU120" s="1">
        <f>SUM(AL121:AL134)</f>
        <v>0</v>
      </c>
    </row>
    <row r="121" spans="1:76" x14ac:dyDescent="0.25">
      <c r="A121" s="38" t="s">
        <v>297</v>
      </c>
      <c r="B121" s="38" t="s">
        <v>284</v>
      </c>
      <c r="C121" s="38" t="s">
        <v>144</v>
      </c>
      <c r="D121" s="52" t="s">
        <v>145</v>
      </c>
      <c r="E121" s="53"/>
      <c r="F121" s="38" t="s">
        <v>64</v>
      </c>
      <c r="G121" s="39">
        <v>851.6</v>
      </c>
      <c r="H121" s="39"/>
      <c r="I121" s="40"/>
      <c r="J121" s="39"/>
      <c r="K121" s="39"/>
      <c r="L121" s="39"/>
      <c r="M121" s="39"/>
      <c r="N121" s="39">
        <v>2.0000000000000002E-5</v>
      </c>
      <c r="O121" s="39">
        <f t="shared" ref="O121:O134" si="90">G121*N121</f>
        <v>1.7032000000000002E-2</v>
      </c>
      <c r="P121" s="41"/>
      <c r="Z121" s="9">
        <f t="shared" ref="Z121:Z134" si="91">ROUND(IF(AQ121="5",BJ121,0),2)</f>
        <v>0</v>
      </c>
      <c r="AB121" s="9">
        <f t="shared" ref="AB121:AB134" si="92">ROUND(IF(AQ121="1",BH121,0),2)</f>
        <v>0</v>
      </c>
      <c r="AC121" s="9">
        <f t="shared" ref="AC121:AC134" si="93">ROUND(IF(AQ121="1",BI121,0),2)</f>
        <v>0</v>
      </c>
      <c r="AD121" s="9">
        <f t="shared" ref="AD121:AD134" si="94">ROUND(IF(AQ121="7",BH121,0),2)</f>
        <v>0</v>
      </c>
      <c r="AE121" s="9">
        <f t="shared" ref="AE121:AE134" si="95">ROUND(IF(AQ121="7",BI121,0),2)</f>
        <v>0</v>
      </c>
      <c r="AF121" s="9">
        <f t="shared" ref="AF121:AF134" si="96">ROUND(IF(AQ121="2",BH121,0),2)</f>
        <v>0</v>
      </c>
      <c r="AG121" s="9">
        <f t="shared" ref="AG121:AG134" si="97">ROUND(IF(AQ121="2",BI121,0),2)</f>
        <v>0</v>
      </c>
      <c r="AH121" s="9">
        <f t="shared" ref="AH121:AH134" si="98">ROUND(IF(AQ121="0",BJ121,0),2)</f>
        <v>0</v>
      </c>
      <c r="AI121" s="7" t="s">
        <v>284</v>
      </c>
      <c r="AJ121" s="9">
        <f t="shared" ref="AJ121:AJ134" si="99">IF(AN121=0,L121,0)</f>
        <v>0</v>
      </c>
      <c r="AK121" s="9">
        <f t="shared" ref="AK121:AK134" si="100">IF(AN121=12,L121,0)</f>
        <v>0</v>
      </c>
      <c r="AL121" s="9">
        <f t="shared" ref="AL121:AL134" si="101">IF(AN121=21,L121,0)</f>
        <v>0</v>
      </c>
      <c r="AN121" s="9">
        <v>21</v>
      </c>
      <c r="AO121" s="9">
        <f>H121*0.071561087</f>
        <v>0</v>
      </c>
      <c r="AP121" s="9">
        <f>H121*(1-0.071561087)</f>
        <v>0</v>
      </c>
      <c r="AQ121" s="10" t="s">
        <v>61</v>
      </c>
      <c r="AV121" s="9">
        <f t="shared" ref="AV121:AV134" si="102">ROUND(AW121+AX121,2)</f>
        <v>0</v>
      </c>
      <c r="AW121" s="9">
        <f t="shared" ref="AW121:AW134" si="103">ROUND(G121*AO121,2)</f>
        <v>0</v>
      </c>
      <c r="AX121" s="9">
        <f t="shared" ref="AX121:AX134" si="104">ROUND(G121*AP121,2)</f>
        <v>0</v>
      </c>
      <c r="AY121" s="10" t="s">
        <v>146</v>
      </c>
      <c r="AZ121" s="10" t="s">
        <v>298</v>
      </c>
      <c r="BA121" s="7" t="s">
        <v>288</v>
      </c>
      <c r="BC121" s="9">
        <f t="shared" ref="BC121:BC134" si="105">AW121+AX121</f>
        <v>0</v>
      </c>
      <c r="BD121" s="9">
        <f t="shared" ref="BD121:BD134" si="106">H121/(100-BE121)*100</f>
        <v>0</v>
      </c>
      <c r="BE121" s="9">
        <v>0</v>
      </c>
      <c r="BF121" s="9">
        <f t="shared" ref="BF121:BF134" si="107">O121</f>
        <v>1.7032000000000002E-2</v>
      </c>
      <c r="BH121" s="9">
        <f t="shared" ref="BH121:BH134" si="108">G121*AO121</f>
        <v>0</v>
      </c>
      <c r="BI121" s="9">
        <f t="shared" ref="BI121:BI134" si="109">G121*AP121</f>
        <v>0</v>
      </c>
      <c r="BJ121" s="9">
        <f t="shared" ref="BJ121:BJ134" si="110">G121*H121</f>
        <v>0</v>
      </c>
      <c r="BK121" s="9"/>
      <c r="BL121" s="9">
        <v>62</v>
      </c>
      <c r="BW121" s="9">
        <f t="shared" ref="BW121:BW134" si="111">I121</f>
        <v>0</v>
      </c>
      <c r="BX121" s="2" t="s">
        <v>145</v>
      </c>
    </row>
    <row r="122" spans="1:76" x14ac:dyDescent="0.25">
      <c r="A122" s="38" t="s">
        <v>299</v>
      </c>
      <c r="B122" s="38" t="s">
        <v>284</v>
      </c>
      <c r="C122" s="38" t="s">
        <v>149</v>
      </c>
      <c r="D122" s="52" t="s">
        <v>150</v>
      </c>
      <c r="E122" s="53"/>
      <c r="F122" s="38" t="s">
        <v>64</v>
      </c>
      <c r="G122" s="39">
        <v>104.4</v>
      </c>
      <c r="H122" s="39"/>
      <c r="I122" s="40"/>
      <c r="J122" s="39"/>
      <c r="K122" s="39"/>
      <c r="L122" s="39"/>
      <c r="M122" s="39"/>
      <c r="N122" s="39">
        <v>4.0000000000000003E-5</v>
      </c>
      <c r="O122" s="39">
        <f t="shared" si="90"/>
        <v>4.1760000000000009E-3</v>
      </c>
      <c r="P122" s="41"/>
      <c r="Z122" s="9">
        <f t="shared" si="91"/>
        <v>0</v>
      </c>
      <c r="AB122" s="9">
        <f t="shared" si="92"/>
        <v>0</v>
      </c>
      <c r="AC122" s="9">
        <f t="shared" si="93"/>
        <v>0</v>
      </c>
      <c r="AD122" s="9">
        <f t="shared" si="94"/>
        <v>0</v>
      </c>
      <c r="AE122" s="9">
        <f t="shared" si="95"/>
        <v>0</v>
      </c>
      <c r="AF122" s="9">
        <f t="shared" si="96"/>
        <v>0</v>
      </c>
      <c r="AG122" s="9">
        <f t="shared" si="97"/>
        <v>0</v>
      </c>
      <c r="AH122" s="9">
        <f t="shared" si="98"/>
        <v>0</v>
      </c>
      <c r="AI122" s="7" t="s">
        <v>284</v>
      </c>
      <c r="AJ122" s="9">
        <f t="shared" si="99"/>
        <v>0</v>
      </c>
      <c r="AK122" s="9">
        <f t="shared" si="100"/>
        <v>0</v>
      </c>
      <c r="AL122" s="9">
        <f t="shared" si="101"/>
        <v>0</v>
      </c>
      <c r="AN122" s="9">
        <v>21</v>
      </c>
      <c r="AO122" s="9">
        <f>H122*0.322160149</f>
        <v>0</v>
      </c>
      <c r="AP122" s="9">
        <f>H122*(1-0.322160149)</f>
        <v>0</v>
      </c>
      <c r="AQ122" s="10" t="s">
        <v>61</v>
      </c>
      <c r="AV122" s="9">
        <f t="shared" si="102"/>
        <v>0</v>
      </c>
      <c r="AW122" s="9">
        <f t="shared" si="103"/>
        <v>0</v>
      </c>
      <c r="AX122" s="9">
        <f t="shared" si="104"/>
        <v>0</v>
      </c>
      <c r="AY122" s="10" t="s">
        <v>146</v>
      </c>
      <c r="AZ122" s="10" t="s">
        <v>298</v>
      </c>
      <c r="BA122" s="7" t="s">
        <v>288</v>
      </c>
      <c r="BC122" s="9">
        <f t="shared" si="105"/>
        <v>0</v>
      </c>
      <c r="BD122" s="9">
        <f t="shared" si="106"/>
        <v>0</v>
      </c>
      <c r="BE122" s="9">
        <v>0</v>
      </c>
      <c r="BF122" s="9">
        <f t="shared" si="107"/>
        <v>4.1760000000000009E-3</v>
      </c>
      <c r="BH122" s="9">
        <f t="shared" si="108"/>
        <v>0</v>
      </c>
      <c r="BI122" s="9">
        <f t="shared" si="109"/>
        <v>0</v>
      </c>
      <c r="BJ122" s="9">
        <f t="shared" si="110"/>
        <v>0</v>
      </c>
      <c r="BK122" s="9"/>
      <c r="BL122" s="9">
        <v>62</v>
      </c>
      <c r="BW122" s="9">
        <f t="shared" si="111"/>
        <v>0</v>
      </c>
      <c r="BX122" s="2" t="s">
        <v>150</v>
      </c>
    </row>
    <row r="123" spans="1:76" x14ac:dyDescent="0.25">
      <c r="A123" s="38" t="s">
        <v>300</v>
      </c>
      <c r="B123" s="38" t="s">
        <v>284</v>
      </c>
      <c r="C123" s="38" t="s">
        <v>248</v>
      </c>
      <c r="D123" s="52" t="s">
        <v>249</v>
      </c>
      <c r="E123" s="53"/>
      <c r="F123" s="38" t="s">
        <v>112</v>
      </c>
      <c r="G123" s="39">
        <v>69.599999999999994</v>
      </c>
      <c r="H123" s="39"/>
      <c r="I123" s="40"/>
      <c r="J123" s="39"/>
      <c r="K123" s="39"/>
      <c r="L123" s="39"/>
      <c r="M123" s="39"/>
      <c r="N123" s="39">
        <v>6.9999999999999994E-5</v>
      </c>
      <c r="O123" s="39">
        <f t="shared" si="90"/>
        <v>4.8719999999999996E-3</v>
      </c>
      <c r="P123" s="41"/>
      <c r="Z123" s="9">
        <f t="shared" si="91"/>
        <v>0</v>
      </c>
      <c r="AB123" s="9">
        <f t="shared" si="92"/>
        <v>0</v>
      </c>
      <c r="AC123" s="9">
        <f t="shared" si="93"/>
        <v>0</v>
      </c>
      <c r="AD123" s="9">
        <f t="shared" si="94"/>
        <v>0</v>
      </c>
      <c r="AE123" s="9">
        <f t="shared" si="95"/>
        <v>0</v>
      </c>
      <c r="AF123" s="9">
        <f t="shared" si="96"/>
        <v>0</v>
      </c>
      <c r="AG123" s="9">
        <f t="shared" si="97"/>
        <v>0</v>
      </c>
      <c r="AH123" s="9">
        <f t="shared" si="98"/>
        <v>0</v>
      </c>
      <c r="AI123" s="7" t="s">
        <v>284</v>
      </c>
      <c r="AJ123" s="9">
        <f t="shared" si="99"/>
        <v>0</v>
      </c>
      <c r="AK123" s="9">
        <f t="shared" si="100"/>
        <v>0</v>
      </c>
      <c r="AL123" s="9">
        <f t="shared" si="101"/>
        <v>0</v>
      </c>
      <c r="AN123" s="9">
        <v>21</v>
      </c>
      <c r="AO123" s="9">
        <f>H123*0.237219731</f>
        <v>0</v>
      </c>
      <c r="AP123" s="9">
        <f>H123*(1-0.237219731)</f>
        <v>0</v>
      </c>
      <c r="AQ123" s="10" t="s">
        <v>61</v>
      </c>
      <c r="AV123" s="9">
        <f t="shared" si="102"/>
        <v>0</v>
      </c>
      <c r="AW123" s="9">
        <f t="shared" si="103"/>
        <v>0</v>
      </c>
      <c r="AX123" s="9">
        <f t="shared" si="104"/>
        <v>0</v>
      </c>
      <c r="AY123" s="10" t="s">
        <v>146</v>
      </c>
      <c r="AZ123" s="10" t="s">
        <v>298</v>
      </c>
      <c r="BA123" s="7" t="s">
        <v>288</v>
      </c>
      <c r="BC123" s="9">
        <f t="shared" si="105"/>
        <v>0</v>
      </c>
      <c r="BD123" s="9">
        <f t="shared" si="106"/>
        <v>0</v>
      </c>
      <c r="BE123" s="9">
        <v>0</v>
      </c>
      <c r="BF123" s="9">
        <f t="shared" si="107"/>
        <v>4.8719999999999996E-3</v>
      </c>
      <c r="BH123" s="9">
        <f t="shared" si="108"/>
        <v>0</v>
      </c>
      <c r="BI123" s="9">
        <f t="shared" si="109"/>
        <v>0</v>
      </c>
      <c r="BJ123" s="9">
        <f t="shared" si="110"/>
        <v>0</v>
      </c>
      <c r="BK123" s="9"/>
      <c r="BL123" s="9">
        <v>62</v>
      </c>
      <c r="BW123" s="9">
        <f t="shared" si="111"/>
        <v>0</v>
      </c>
      <c r="BX123" s="2" t="s">
        <v>249</v>
      </c>
    </row>
    <row r="124" spans="1:76" x14ac:dyDescent="0.25">
      <c r="A124" s="38" t="s">
        <v>301</v>
      </c>
      <c r="B124" s="38" t="s">
        <v>284</v>
      </c>
      <c r="C124" s="38" t="s">
        <v>152</v>
      </c>
      <c r="D124" s="52" t="s">
        <v>153</v>
      </c>
      <c r="E124" s="53"/>
      <c r="F124" s="38" t="s">
        <v>112</v>
      </c>
      <c r="G124" s="39">
        <v>124</v>
      </c>
      <c r="H124" s="39"/>
      <c r="I124" s="40"/>
      <c r="J124" s="39"/>
      <c r="K124" s="39"/>
      <c r="L124" s="39"/>
      <c r="M124" s="39"/>
      <c r="N124" s="39">
        <v>1.1E-4</v>
      </c>
      <c r="O124" s="39">
        <f t="shared" si="90"/>
        <v>1.3640000000000001E-2</v>
      </c>
      <c r="P124" s="41"/>
      <c r="Z124" s="9">
        <f t="shared" si="91"/>
        <v>0</v>
      </c>
      <c r="AB124" s="9">
        <f t="shared" si="92"/>
        <v>0</v>
      </c>
      <c r="AC124" s="9">
        <f t="shared" si="93"/>
        <v>0</v>
      </c>
      <c r="AD124" s="9">
        <f t="shared" si="94"/>
        <v>0</v>
      </c>
      <c r="AE124" s="9">
        <f t="shared" si="95"/>
        <v>0</v>
      </c>
      <c r="AF124" s="9">
        <f t="shared" si="96"/>
        <v>0</v>
      </c>
      <c r="AG124" s="9">
        <f t="shared" si="97"/>
        <v>0</v>
      </c>
      <c r="AH124" s="9">
        <f t="shared" si="98"/>
        <v>0</v>
      </c>
      <c r="AI124" s="7" t="s">
        <v>284</v>
      </c>
      <c r="AJ124" s="9">
        <f t="shared" si="99"/>
        <v>0</v>
      </c>
      <c r="AK124" s="9">
        <f t="shared" si="100"/>
        <v>0</v>
      </c>
      <c r="AL124" s="9">
        <f t="shared" si="101"/>
        <v>0</v>
      </c>
      <c r="AN124" s="9">
        <v>21</v>
      </c>
      <c r="AO124" s="9">
        <f>H124*0.735841346</f>
        <v>0</v>
      </c>
      <c r="AP124" s="9">
        <f>H124*(1-0.735841346)</f>
        <v>0</v>
      </c>
      <c r="AQ124" s="10" t="s">
        <v>61</v>
      </c>
      <c r="AV124" s="9">
        <f t="shared" si="102"/>
        <v>0</v>
      </c>
      <c r="AW124" s="9">
        <f t="shared" si="103"/>
        <v>0</v>
      </c>
      <c r="AX124" s="9">
        <f t="shared" si="104"/>
        <v>0</v>
      </c>
      <c r="AY124" s="10" t="s">
        <v>146</v>
      </c>
      <c r="AZ124" s="10" t="s">
        <v>298</v>
      </c>
      <c r="BA124" s="7" t="s">
        <v>288</v>
      </c>
      <c r="BC124" s="9">
        <f t="shared" si="105"/>
        <v>0</v>
      </c>
      <c r="BD124" s="9">
        <f t="shared" si="106"/>
        <v>0</v>
      </c>
      <c r="BE124" s="9">
        <v>0</v>
      </c>
      <c r="BF124" s="9">
        <f t="shared" si="107"/>
        <v>1.3640000000000001E-2</v>
      </c>
      <c r="BH124" s="9">
        <f t="shared" si="108"/>
        <v>0</v>
      </c>
      <c r="BI124" s="9">
        <f t="shared" si="109"/>
        <v>0</v>
      </c>
      <c r="BJ124" s="9">
        <f t="shared" si="110"/>
        <v>0</v>
      </c>
      <c r="BK124" s="9"/>
      <c r="BL124" s="9">
        <v>62</v>
      </c>
      <c r="BW124" s="9">
        <f t="shared" si="111"/>
        <v>0</v>
      </c>
      <c r="BX124" s="2" t="s">
        <v>153</v>
      </c>
    </row>
    <row r="125" spans="1:76" x14ac:dyDescent="0.25">
      <c r="A125" s="38" t="s">
        <v>302</v>
      </c>
      <c r="B125" s="38" t="s">
        <v>284</v>
      </c>
      <c r="C125" s="38" t="s">
        <v>155</v>
      </c>
      <c r="D125" s="52" t="s">
        <v>156</v>
      </c>
      <c r="E125" s="53"/>
      <c r="F125" s="38" t="s">
        <v>112</v>
      </c>
      <c r="G125" s="39">
        <v>243.6</v>
      </c>
      <c r="H125" s="39"/>
      <c r="I125" s="40"/>
      <c r="J125" s="39"/>
      <c r="K125" s="39"/>
      <c r="L125" s="39"/>
      <c r="M125" s="39"/>
      <c r="N125" s="39">
        <v>1.1E-4</v>
      </c>
      <c r="O125" s="39">
        <f t="shared" si="90"/>
        <v>2.6796E-2</v>
      </c>
      <c r="P125" s="41"/>
      <c r="Z125" s="9">
        <f t="shared" si="91"/>
        <v>0</v>
      </c>
      <c r="AB125" s="9">
        <f t="shared" si="92"/>
        <v>0</v>
      </c>
      <c r="AC125" s="9">
        <f t="shared" si="93"/>
        <v>0</v>
      </c>
      <c r="AD125" s="9">
        <f t="shared" si="94"/>
        <v>0</v>
      </c>
      <c r="AE125" s="9">
        <f t="shared" si="95"/>
        <v>0</v>
      </c>
      <c r="AF125" s="9">
        <f t="shared" si="96"/>
        <v>0</v>
      </c>
      <c r="AG125" s="9">
        <f t="shared" si="97"/>
        <v>0</v>
      </c>
      <c r="AH125" s="9">
        <f t="shared" si="98"/>
        <v>0</v>
      </c>
      <c r="AI125" s="7" t="s">
        <v>284</v>
      </c>
      <c r="AJ125" s="9">
        <f t="shared" si="99"/>
        <v>0</v>
      </c>
      <c r="AK125" s="9">
        <f t="shared" si="100"/>
        <v>0</v>
      </c>
      <c r="AL125" s="9">
        <f t="shared" si="101"/>
        <v>0</v>
      </c>
      <c r="AN125" s="9">
        <v>21</v>
      </c>
      <c r="AO125" s="9">
        <f>H125*0.282016945</f>
        <v>0</v>
      </c>
      <c r="AP125" s="9">
        <f>H125*(1-0.282016945)</f>
        <v>0</v>
      </c>
      <c r="AQ125" s="10" t="s">
        <v>61</v>
      </c>
      <c r="AV125" s="9">
        <f t="shared" si="102"/>
        <v>0</v>
      </c>
      <c r="AW125" s="9">
        <f t="shared" si="103"/>
        <v>0</v>
      </c>
      <c r="AX125" s="9">
        <f t="shared" si="104"/>
        <v>0</v>
      </c>
      <c r="AY125" s="10" t="s">
        <v>146</v>
      </c>
      <c r="AZ125" s="10" t="s">
        <v>298</v>
      </c>
      <c r="BA125" s="7" t="s">
        <v>288</v>
      </c>
      <c r="BC125" s="9">
        <f t="shared" si="105"/>
        <v>0</v>
      </c>
      <c r="BD125" s="9">
        <f t="shared" si="106"/>
        <v>0</v>
      </c>
      <c r="BE125" s="9">
        <v>0</v>
      </c>
      <c r="BF125" s="9">
        <f t="shared" si="107"/>
        <v>2.6796E-2</v>
      </c>
      <c r="BH125" s="9">
        <f t="shared" si="108"/>
        <v>0</v>
      </c>
      <c r="BI125" s="9">
        <f t="shared" si="109"/>
        <v>0</v>
      </c>
      <c r="BJ125" s="9">
        <f t="shared" si="110"/>
        <v>0</v>
      </c>
      <c r="BK125" s="9"/>
      <c r="BL125" s="9">
        <v>62</v>
      </c>
      <c r="BW125" s="9">
        <f t="shared" si="111"/>
        <v>0</v>
      </c>
      <c r="BX125" s="2" t="s">
        <v>156</v>
      </c>
    </row>
    <row r="126" spans="1:76" x14ac:dyDescent="0.25">
      <c r="A126" s="38" t="s">
        <v>303</v>
      </c>
      <c r="B126" s="38" t="s">
        <v>284</v>
      </c>
      <c r="C126" s="38" t="s">
        <v>158</v>
      </c>
      <c r="D126" s="52" t="s">
        <v>304</v>
      </c>
      <c r="E126" s="53"/>
      <c r="F126" s="38" t="s">
        <v>64</v>
      </c>
      <c r="G126" s="39">
        <v>851.6</v>
      </c>
      <c r="H126" s="39"/>
      <c r="I126" s="40"/>
      <c r="J126" s="39"/>
      <c r="K126" s="39"/>
      <c r="L126" s="39"/>
      <c r="M126" s="39"/>
      <c r="N126" s="39">
        <v>1.392E-2</v>
      </c>
      <c r="O126" s="39">
        <f t="shared" si="90"/>
        <v>11.854272</v>
      </c>
      <c r="P126" s="41"/>
      <c r="Z126" s="9">
        <f t="shared" si="91"/>
        <v>0</v>
      </c>
      <c r="AB126" s="9">
        <f t="shared" si="92"/>
        <v>0</v>
      </c>
      <c r="AC126" s="9">
        <f t="shared" si="93"/>
        <v>0</v>
      </c>
      <c r="AD126" s="9">
        <f t="shared" si="94"/>
        <v>0</v>
      </c>
      <c r="AE126" s="9">
        <f t="shared" si="95"/>
        <v>0</v>
      </c>
      <c r="AF126" s="9">
        <f t="shared" si="96"/>
        <v>0</v>
      </c>
      <c r="AG126" s="9">
        <f t="shared" si="97"/>
        <v>0</v>
      </c>
      <c r="AH126" s="9">
        <f t="shared" si="98"/>
        <v>0</v>
      </c>
      <c r="AI126" s="7" t="s">
        <v>284</v>
      </c>
      <c r="AJ126" s="9">
        <f t="shared" si="99"/>
        <v>0</v>
      </c>
      <c r="AK126" s="9">
        <f t="shared" si="100"/>
        <v>0</v>
      </c>
      <c r="AL126" s="9">
        <f t="shared" si="101"/>
        <v>0</v>
      </c>
      <c r="AN126" s="9">
        <v>21</v>
      </c>
      <c r="AO126" s="9">
        <f>H126*0.578038968</f>
        <v>0</v>
      </c>
      <c r="AP126" s="9">
        <f>H126*(1-0.578038968)</f>
        <v>0</v>
      </c>
      <c r="AQ126" s="10" t="s">
        <v>61</v>
      </c>
      <c r="AV126" s="9">
        <f t="shared" si="102"/>
        <v>0</v>
      </c>
      <c r="AW126" s="9">
        <f t="shared" si="103"/>
        <v>0</v>
      </c>
      <c r="AX126" s="9">
        <f t="shared" si="104"/>
        <v>0</v>
      </c>
      <c r="AY126" s="10" t="s">
        <v>146</v>
      </c>
      <c r="AZ126" s="10" t="s">
        <v>298</v>
      </c>
      <c r="BA126" s="7" t="s">
        <v>288</v>
      </c>
      <c r="BC126" s="9">
        <f t="shared" si="105"/>
        <v>0</v>
      </c>
      <c r="BD126" s="9">
        <f t="shared" si="106"/>
        <v>0</v>
      </c>
      <c r="BE126" s="9">
        <v>0</v>
      </c>
      <c r="BF126" s="9">
        <f t="shared" si="107"/>
        <v>11.854272</v>
      </c>
      <c r="BH126" s="9">
        <f t="shared" si="108"/>
        <v>0</v>
      </c>
      <c r="BI126" s="9">
        <f t="shared" si="109"/>
        <v>0</v>
      </c>
      <c r="BJ126" s="9">
        <f t="shared" si="110"/>
        <v>0</v>
      </c>
      <c r="BK126" s="9"/>
      <c r="BL126" s="9">
        <v>62</v>
      </c>
      <c r="BW126" s="9">
        <f t="shared" si="111"/>
        <v>0</v>
      </c>
      <c r="BX126" s="2" t="s">
        <v>304</v>
      </c>
    </row>
    <row r="127" spans="1:76" x14ac:dyDescent="0.25">
      <c r="A127" s="38" t="s">
        <v>305</v>
      </c>
      <c r="B127" s="38" t="s">
        <v>284</v>
      </c>
      <c r="C127" s="38" t="s">
        <v>164</v>
      </c>
      <c r="D127" s="52" t="s">
        <v>165</v>
      </c>
      <c r="E127" s="53"/>
      <c r="F127" s="38" t="s">
        <v>112</v>
      </c>
      <c r="G127" s="39">
        <v>124</v>
      </c>
      <c r="H127" s="39"/>
      <c r="I127" s="40"/>
      <c r="J127" s="39"/>
      <c r="K127" s="39"/>
      <c r="L127" s="39"/>
      <c r="M127" s="39"/>
      <c r="N127" s="39">
        <v>8.4999999999999995E-4</v>
      </c>
      <c r="O127" s="39">
        <f t="shared" si="90"/>
        <v>0.10539999999999999</v>
      </c>
      <c r="P127" s="41"/>
      <c r="Z127" s="9">
        <f t="shared" si="91"/>
        <v>0</v>
      </c>
      <c r="AB127" s="9">
        <f t="shared" si="92"/>
        <v>0</v>
      </c>
      <c r="AC127" s="9">
        <f t="shared" si="93"/>
        <v>0</v>
      </c>
      <c r="AD127" s="9">
        <f t="shared" si="94"/>
        <v>0</v>
      </c>
      <c r="AE127" s="9">
        <f t="shared" si="95"/>
        <v>0</v>
      </c>
      <c r="AF127" s="9">
        <f t="shared" si="96"/>
        <v>0</v>
      </c>
      <c r="AG127" s="9">
        <f t="shared" si="97"/>
        <v>0</v>
      </c>
      <c r="AH127" s="9">
        <f t="shared" si="98"/>
        <v>0</v>
      </c>
      <c r="AI127" s="7" t="s">
        <v>284</v>
      </c>
      <c r="AJ127" s="9">
        <f t="shared" si="99"/>
        <v>0</v>
      </c>
      <c r="AK127" s="9">
        <f t="shared" si="100"/>
        <v>0</v>
      </c>
      <c r="AL127" s="9">
        <f t="shared" si="101"/>
        <v>0</v>
      </c>
      <c r="AN127" s="9">
        <v>21</v>
      </c>
      <c r="AO127" s="9">
        <f>H127*0.672116183</f>
        <v>0</v>
      </c>
      <c r="AP127" s="9">
        <f>H127*(1-0.672116183)</f>
        <v>0</v>
      </c>
      <c r="AQ127" s="10" t="s">
        <v>61</v>
      </c>
      <c r="AV127" s="9">
        <f t="shared" si="102"/>
        <v>0</v>
      </c>
      <c r="AW127" s="9">
        <f t="shared" si="103"/>
        <v>0</v>
      </c>
      <c r="AX127" s="9">
        <f t="shared" si="104"/>
        <v>0</v>
      </c>
      <c r="AY127" s="10" t="s">
        <v>146</v>
      </c>
      <c r="AZ127" s="10" t="s">
        <v>298</v>
      </c>
      <c r="BA127" s="7" t="s">
        <v>288</v>
      </c>
      <c r="BC127" s="9">
        <f t="shared" si="105"/>
        <v>0</v>
      </c>
      <c r="BD127" s="9">
        <f t="shared" si="106"/>
        <v>0</v>
      </c>
      <c r="BE127" s="9">
        <v>0</v>
      </c>
      <c r="BF127" s="9">
        <f t="shared" si="107"/>
        <v>0.10539999999999999</v>
      </c>
      <c r="BH127" s="9">
        <f t="shared" si="108"/>
        <v>0</v>
      </c>
      <c r="BI127" s="9">
        <f t="shared" si="109"/>
        <v>0</v>
      </c>
      <c r="BJ127" s="9">
        <f t="shared" si="110"/>
        <v>0</v>
      </c>
      <c r="BK127" s="9"/>
      <c r="BL127" s="9">
        <v>62</v>
      </c>
      <c r="BW127" s="9">
        <f t="shared" si="111"/>
        <v>0</v>
      </c>
      <c r="BX127" s="2" t="s">
        <v>165</v>
      </c>
    </row>
    <row r="128" spans="1:76" x14ac:dyDescent="0.25">
      <c r="A128" s="38" t="s">
        <v>306</v>
      </c>
      <c r="B128" s="38" t="s">
        <v>284</v>
      </c>
      <c r="C128" s="38" t="s">
        <v>170</v>
      </c>
      <c r="D128" s="52" t="s">
        <v>307</v>
      </c>
      <c r="E128" s="53"/>
      <c r="F128" s="38" t="s">
        <v>64</v>
      </c>
      <c r="G128" s="39">
        <v>15</v>
      </c>
      <c r="H128" s="39"/>
      <c r="I128" s="40"/>
      <c r="J128" s="39"/>
      <c r="K128" s="39"/>
      <c r="L128" s="39"/>
      <c r="M128" s="39"/>
      <c r="N128" s="39">
        <v>0</v>
      </c>
      <c r="O128" s="39">
        <f t="shared" si="90"/>
        <v>0</v>
      </c>
      <c r="P128" s="41"/>
      <c r="Z128" s="9">
        <f t="shared" si="91"/>
        <v>0</v>
      </c>
      <c r="AB128" s="9">
        <f t="shared" si="92"/>
        <v>0</v>
      </c>
      <c r="AC128" s="9">
        <f t="shared" si="93"/>
        <v>0</v>
      </c>
      <c r="AD128" s="9">
        <f t="shared" si="94"/>
        <v>0</v>
      </c>
      <c r="AE128" s="9">
        <f t="shared" si="95"/>
        <v>0</v>
      </c>
      <c r="AF128" s="9">
        <f t="shared" si="96"/>
        <v>0</v>
      </c>
      <c r="AG128" s="9">
        <f t="shared" si="97"/>
        <v>0</v>
      </c>
      <c r="AH128" s="9">
        <f t="shared" si="98"/>
        <v>0</v>
      </c>
      <c r="AI128" s="7" t="s">
        <v>284</v>
      </c>
      <c r="AJ128" s="9">
        <f t="shared" si="99"/>
        <v>0</v>
      </c>
      <c r="AK128" s="9">
        <f t="shared" si="100"/>
        <v>0</v>
      </c>
      <c r="AL128" s="9">
        <f t="shared" si="101"/>
        <v>0</v>
      </c>
      <c r="AN128" s="9">
        <v>21</v>
      </c>
      <c r="AO128" s="9">
        <f>H128*0.146370192</f>
        <v>0</v>
      </c>
      <c r="AP128" s="9">
        <f>H128*(1-0.146370192)</f>
        <v>0</v>
      </c>
      <c r="AQ128" s="10" t="s">
        <v>61</v>
      </c>
      <c r="AV128" s="9">
        <f t="shared" si="102"/>
        <v>0</v>
      </c>
      <c r="AW128" s="9">
        <f t="shared" si="103"/>
        <v>0</v>
      </c>
      <c r="AX128" s="9">
        <f t="shared" si="104"/>
        <v>0</v>
      </c>
      <c r="AY128" s="10" t="s">
        <v>146</v>
      </c>
      <c r="AZ128" s="10" t="s">
        <v>298</v>
      </c>
      <c r="BA128" s="7" t="s">
        <v>288</v>
      </c>
      <c r="BC128" s="9">
        <f t="shared" si="105"/>
        <v>0</v>
      </c>
      <c r="BD128" s="9">
        <f t="shared" si="106"/>
        <v>0</v>
      </c>
      <c r="BE128" s="9">
        <v>0</v>
      </c>
      <c r="BF128" s="9">
        <f t="shared" si="107"/>
        <v>0</v>
      </c>
      <c r="BH128" s="9">
        <f t="shared" si="108"/>
        <v>0</v>
      </c>
      <c r="BI128" s="9">
        <f t="shared" si="109"/>
        <v>0</v>
      </c>
      <c r="BJ128" s="9">
        <f t="shared" si="110"/>
        <v>0</v>
      </c>
      <c r="BK128" s="9"/>
      <c r="BL128" s="9">
        <v>62</v>
      </c>
      <c r="BW128" s="9">
        <f t="shared" si="111"/>
        <v>0</v>
      </c>
      <c r="BX128" s="2" t="s">
        <v>307</v>
      </c>
    </row>
    <row r="129" spans="1:76" x14ac:dyDescent="0.25">
      <c r="A129" s="38" t="s">
        <v>308</v>
      </c>
      <c r="B129" s="38" t="s">
        <v>284</v>
      </c>
      <c r="C129" s="38" t="s">
        <v>309</v>
      </c>
      <c r="D129" s="52" t="s">
        <v>310</v>
      </c>
      <c r="E129" s="53"/>
      <c r="F129" s="38" t="s">
        <v>64</v>
      </c>
      <c r="G129" s="39">
        <v>37.5</v>
      </c>
      <c r="H129" s="39"/>
      <c r="I129" s="40"/>
      <c r="J129" s="39"/>
      <c r="K129" s="39"/>
      <c r="L129" s="39"/>
      <c r="M129" s="39"/>
      <c r="N129" s="39">
        <v>5.6309999999999999E-2</v>
      </c>
      <c r="O129" s="39">
        <f t="shared" si="90"/>
        <v>2.1116250000000001</v>
      </c>
      <c r="P129" s="41"/>
      <c r="Z129" s="9">
        <f t="shared" si="91"/>
        <v>0</v>
      </c>
      <c r="AB129" s="9">
        <f t="shared" si="92"/>
        <v>0</v>
      </c>
      <c r="AC129" s="9">
        <f t="shared" si="93"/>
        <v>0</v>
      </c>
      <c r="AD129" s="9">
        <f t="shared" si="94"/>
        <v>0</v>
      </c>
      <c r="AE129" s="9">
        <f t="shared" si="95"/>
        <v>0</v>
      </c>
      <c r="AF129" s="9">
        <f t="shared" si="96"/>
        <v>0</v>
      </c>
      <c r="AG129" s="9">
        <f t="shared" si="97"/>
        <v>0</v>
      </c>
      <c r="AH129" s="9">
        <f t="shared" si="98"/>
        <v>0</v>
      </c>
      <c r="AI129" s="7" t="s">
        <v>284</v>
      </c>
      <c r="AJ129" s="9">
        <f t="shared" si="99"/>
        <v>0</v>
      </c>
      <c r="AK129" s="9">
        <f t="shared" si="100"/>
        <v>0</v>
      </c>
      <c r="AL129" s="9">
        <f t="shared" si="101"/>
        <v>0</v>
      </c>
      <c r="AN129" s="9">
        <v>21</v>
      </c>
      <c r="AO129" s="9">
        <f>H129*0.106137931</f>
        <v>0</v>
      </c>
      <c r="AP129" s="9">
        <f>H129*(1-0.106137931)</f>
        <v>0</v>
      </c>
      <c r="AQ129" s="10" t="s">
        <v>61</v>
      </c>
      <c r="AV129" s="9">
        <f t="shared" si="102"/>
        <v>0</v>
      </c>
      <c r="AW129" s="9">
        <f t="shared" si="103"/>
        <v>0</v>
      </c>
      <c r="AX129" s="9">
        <f t="shared" si="104"/>
        <v>0</v>
      </c>
      <c r="AY129" s="10" t="s">
        <v>146</v>
      </c>
      <c r="AZ129" s="10" t="s">
        <v>298</v>
      </c>
      <c r="BA129" s="7" t="s">
        <v>288</v>
      </c>
      <c r="BC129" s="9">
        <f t="shared" si="105"/>
        <v>0</v>
      </c>
      <c r="BD129" s="9">
        <f t="shared" si="106"/>
        <v>0</v>
      </c>
      <c r="BE129" s="9">
        <v>0</v>
      </c>
      <c r="BF129" s="9">
        <f t="shared" si="107"/>
        <v>2.1116250000000001</v>
      </c>
      <c r="BH129" s="9">
        <f t="shared" si="108"/>
        <v>0</v>
      </c>
      <c r="BI129" s="9">
        <f t="shared" si="109"/>
        <v>0</v>
      </c>
      <c r="BJ129" s="9">
        <f t="shared" si="110"/>
        <v>0</v>
      </c>
      <c r="BK129" s="9"/>
      <c r="BL129" s="9">
        <v>62</v>
      </c>
      <c r="BW129" s="9">
        <f t="shared" si="111"/>
        <v>0</v>
      </c>
      <c r="BX129" s="2" t="s">
        <v>310</v>
      </c>
    </row>
    <row r="130" spans="1:76" x14ac:dyDescent="0.25">
      <c r="A130" s="38" t="s">
        <v>311</v>
      </c>
      <c r="B130" s="38" t="s">
        <v>284</v>
      </c>
      <c r="C130" s="38" t="s">
        <v>312</v>
      </c>
      <c r="D130" s="52" t="s">
        <v>313</v>
      </c>
      <c r="E130" s="53"/>
      <c r="F130" s="38" t="s">
        <v>64</v>
      </c>
      <c r="G130" s="39">
        <v>37.5</v>
      </c>
      <c r="H130" s="39"/>
      <c r="I130" s="40"/>
      <c r="J130" s="39"/>
      <c r="K130" s="39"/>
      <c r="L130" s="39"/>
      <c r="M130" s="39"/>
      <c r="N130" s="39">
        <v>1.1209999999999999E-2</v>
      </c>
      <c r="O130" s="39">
        <f t="shared" si="90"/>
        <v>0.420375</v>
      </c>
      <c r="P130" s="41"/>
      <c r="Z130" s="9">
        <f t="shared" si="91"/>
        <v>0</v>
      </c>
      <c r="AB130" s="9">
        <f t="shared" si="92"/>
        <v>0</v>
      </c>
      <c r="AC130" s="9">
        <f t="shared" si="93"/>
        <v>0</v>
      </c>
      <c r="AD130" s="9">
        <f t="shared" si="94"/>
        <v>0</v>
      </c>
      <c r="AE130" s="9">
        <f t="shared" si="95"/>
        <v>0</v>
      </c>
      <c r="AF130" s="9">
        <f t="shared" si="96"/>
        <v>0</v>
      </c>
      <c r="AG130" s="9">
        <f t="shared" si="97"/>
        <v>0</v>
      </c>
      <c r="AH130" s="9">
        <f t="shared" si="98"/>
        <v>0</v>
      </c>
      <c r="AI130" s="7" t="s">
        <v>284</v>
      </c>
      <c r="AJ130" s="9">
        <f t="shared" si="99"/>
        <v>0</v>
      </c>
      <c r="AK130" s="9">
        <f t="shared" si="100"/>
        <v>0</v>
      </c>
      <c r="AL130" s="9">
        <f t="shared" si="101"/>
        <v>0</v>
      </c>
      <c r="AN130" s="9">
        <v>21</v>
      </c>
      <c r="AO130" s="9">
        <f>H130*0.44374586</f>
        <v>0</v>
      </c>
      <c r="AP130" s="9">
        <f>H130*(1-0.44374586)</f>
        <v>0</v>
      </c>
      <c r="AQ130" s="10" t="s">
        <v>61</v>
      </c>
      <c r="AV130" s="9">
        <f t="shared" si="102"/>
        <v>0</v>
      </c>
      <c r="AW130" s="9">
        <f t="shared" si="103"/>
        <v>0</v>
      </c>
      <c r="AX130" s="9">
        <f t="shared" si="104"/>
        <v>0</v>
      </c>
      <c r="AY130" s="10" t="s">
        <v>146</v>
      </c>
      <c r="AZ130" s="10" t="s">
        <v>298</v>
      </c>
      <c r="BA130" s="7" t="s">
        <v>288</v>
      </c>
      <c r="BC130" s="9">
        <f t="shared" si="105"/>
        <v>0</v>
      </c>
      <c r="BD130" s="9">
        <f t="shared" si="106"/>
        <v>0</v>
      </c>
      <c r="BE130" s="9">
        <v>0</v>
      </c>
      <c r="BF130" s="9">
        <f t="shared" si="107"/>
        <v>0.420375</v>
      </c>
      <c r="BH130" s="9">
        <f t="shared" si="108"/>
        <v>0</v>
      </c>
      <c r="BI130" s="9">
        <f t="shared" si="109"/>
        <v>0</v>
      </c>
      <c r="BJ130" s="9">
        <f t="shared" si="110"/>
        <v>0</v>
      </c>
      <c r="BK130" s="9"/>
      <c r="BL130" s="9">
        <v>62</v>
      </c>
      <c r="BW130" s="9">
        <f t="shared" si="111"/>
        <v>0</v>
      </c>
      <c r="BX130" s="2" t="s">
        <v>313</v>
      </c>
    </row>
    <row r="131" spans="1:76" x14ac:dyDescent="0.25">
      <c r="A131" s="38" t="s">
        <v>314</v>
      </c>
      <c r="B131" s="38" t="s">
        <v>284</v>
      </c>
      <c r="C131" s="38" t="s">
        <v>315</v>
      </c>
      <c r="D131" s="52" t="s">
        <v>316</v>
      </c>
      <c r="E131" s="53"/>
      <c r="F131" s="38" t="s">
        <v>64</v>
      </c>
      <c r="G131" s="39">
        <v>37.5</v>
      </c>
      <c r="H131" s="39"/>
      <c r="I131" s="40"/>
      <c r="J131" s="39"/>
      <c r="K131" s="39"/>
      <c r="L131" s="39"/>
      <c r="M131" s="39"/>
      <c r="N131" s="39">
        <v>3.6800000000000001E-3</v>
      </c>
      <c r="O131" s="39">
        <f t="shared" si="90"/>
        <v>0.13800000000000001</v>
      </c>
      <c r="P131" s="41"/>
      <c r="Z131" s="9">
        <f t="shared" si="91"/>
        <v>0</v>
      </c>
      <c r="AB131" s="9">
        <f t="shared" si="92"/>
        <v>0</v>
      </c>
      <c r="AC131" s="9">
        <f t="shared" si="93"/>
        <v>0</v>
      </c>
      <c r="AD131" s="9">
        <f t="shared" si="94"/>
        <v>0</v>
      </c>
      <c r="AE131" s="9">
        <f t="shared" si="95"/>
        <v>0</v>
      </c>
      <c r="AF131" s="9">
        <f t="shared" si="96"/>
        <v>0</v>
      </c>
      <c r="AG131" s="9">
        <f t="shared" si="97"/>
        <v>0</v>
      </c>
      <c r="AH131" s="9">
        <f t="shared" si="98"/>
        <v>0</v>
      </c>
      <c r="AI131" s="7" t="s">
        <v>284</v>
      </c>
      <c r="AJ131" s="9">
        <f t="shared" si="99"/>
        <v>0</v>
      </c>
      <c r="AK131" s="9">
        <f t="shared" si="100"/>
        <v>0</v>
      </c>
      <c r="AL131" s="9">
        <f t="shared" si="101"/>
        <v>0</v>
      </c>
      <c r="AN131" s="9">
        <v>21</v>
      </c>
      <c r="AO131" s="9">
        <f>H131*0.565246465</f>
        <v>0</v>
      </c>
      <c r="AP131" s="9">
        <f>H131*(1-0.565246465)</f>
        <v>0</v>
      </c>
      <c r="AQ131" s="10" t="s">
        <v>61</v>
      </c>
      <c r="AV131" s="9">
        <f t="shared" si="102"/>
        <v>0</v>
      </c>
      <c r="AW131" s="9">
        <f t="shared" si="103"/>
        <v>0</v>
      </c>
      <c r="AX131" s="9">
        <f t="shared" si="104"/>
        <v>0</v>
      </c>
      <c r="AY131" s="10" t="s">
        <v>146</v>
      </c>
      <c r="AZ131" s="10" t="s">
        <v>298</v>
      </c>
      <c r="BA131" s="7" t="s">
        <v>288</v>
      </c>
      <c r="BC131" s="9">
        <f t="shared" si="105"/>
        <v>0</v>
      </c>
      <c r="BD131" s="9">
        <f t="shared" si="106"/>
        <v>0</v>
      </c>
      <c r="BE131" s="9">
        <v>0</v>
      </c>
      <c r="BF131" s="9">
        <f t="shared" si="107"/>
        <v>0.13800000000000001</v>
      </c>
      <c r="BH131" s="9">
        <f t="shared" si="108"/>
        <v>0</v>
      </c>
      <c r="BI131" s="9">
        <f t="shared" si="109"/>
        <v>0</v>
      </c>
      <c r="BJ131" s="9">
        <f t="shared" si="110"/>
        <v>0</v>
      </c>
      <c r="BK131" s="9"/>
      <c r="BL131" s="9">
        <v>62</v>
      </c>
      <c r="BW131" s="9">
        <f t="shared" si="111"/>
        <v>0</v>
      </c>
      <c r="BX131" s="2" t="s">
        <v>316</v>
      </c>
    </row>
    <row r="132" spans="1:76" x14ac:dyDescent="0.25">
      <c r="A132" s="38" t="s">
        <v>59</v>
      </c>
      <c r="B132" s="38" t="s">
        <v>284</v>
      </c>
      <c r="C132" s="38" t="s">
        <v>164</v>
      </c>
      <c r="D132" s="52" t="s">
        <v>317</v>
      </c>
      <c r="E132" s="53"/>
      <c r="F132" s="38" t="s">
        <v>112</v>
      </c>
      <c r="G132" s="39">
        <v>107.3</v>
      </c>
      <c r="H132" s="39"/>
      <c r="I132" s="40"/>
      <c r="J132" s="39"/>
      <c r="K132" s="39"/>
      <c r="L132" s="39"/>
      <c r="M132" s="39"/>
      <c r="N132" s="39">
        <v>8.4999999999999995E-4</v>
      </c>
      <c r="O132" s="39">
        <f t="shared" si="90"/>
        <v>9.1204999999999994E-2</v>
      </c>
      <c r="P132" s="41"/>
      <c r="Z132" s="9">
        <f t="shared" si="91"/>
        <v>0</v>
      </c>
      <c r="AB132" s="9">
        <f t="shared" si="92"/>
        <v>0</v>
      </c>
      <c r="AC132" s="9">
        <f t="shared" si="93"/>
        <v>0</v>
      </c>
      <c r="AD132" s="9">
        <f t="shared" si="94"/>
        <v>0</v>
      </c>
      <c r="AE132" s="9">
        <f t="shared" si="95"/>
        <v>0</v>
      </c>
      <c r="AF132" s="9">
        <f t="shared" si="96"/>
        <v>0</v>
      </c>
      <c r="AG132" s="9">
        <f t="shared" si="97"/>
        <v>0</v>
      </c>
      <c r="AH132" s="9">
        <f t="shared" si="98"/>
        <v>0</v>
      </c>
      <c r="AI132" s="7" t="s">
        <v>284</v>
      </c>
      <c r="AJ132" s="9">
        <f t="shared" si="99"/>
        <v>0</v>
      </c>
      <c r="AK132" s="9">
        <f t="shared" si="100"/>
        <v>0</v>
      </c>
      <c r="AL132" s="9">
        <f t="shared" si="101"/>
        <v>0</v>
      </c>
      <c r="AN132" s="9">
        <v>21</v>
      </c>
      <c r="AO132" s="9">
        <f>H132*0.649200708</f>
        <v>0</v>
      </c>
      <c r="AP132" s="9">
        <f>H132*(1-0.649200708)</f>
        <v>0</v>
      </c>
      <c r="AQ132" s="10" t="s">
        <v>61</v>
      </c>
      <c r="AV132" s="9">
        <f t="shared" si="102"/>
        <v>0</v>
      </c>
      <c r="AW132" s="9">
        <f t="shared" si="103"/>
        <v>0</v>
      </c>
      <c r="AX132" s="9">
        <f t="shared" si="104"/>
        <v>0</v>
      </c>
      <c r="AY132" s="10" t="s">
        <v>146</v>
      </c>
      <c r="AZ132" s="10" t="s">
        <v>298</v>
      </c>
      <c r="BA132" s="7" t="s">
        <v>288</v>
      </c>
      <c r="BC132" s="9">
        <f t="shared" si="105"/>
        <v>0</v>
      </c>
      <c r="BD132" s="9">
        <f t="shared" si="106"/>
        <v>0</v>
      </c>
      <c r="BE132" s="9">
        <v>0</v>
      </c>
      <c r="BF132" s="9">
        <f t="shared" si="107"/>
        <v>9.1204999999999994E-2</v>
      </c>
      <c r="BH132" s="9">
        <f t="shared" si="108"/>
        <v>0</v>
      </c>
      <c r="BI132" s="9">
        <f t="shared" si="109"/>
        <v>0</v>
      </c>
      <c r="BJ132" s="9">
        <f t="shared" si="110"/>
        <v>0</v>
      </c>
      <c r="BK132" s="9"/>
      <c r="BL132" s="9">
        <v>62</v>
      </c>
      <c r="BW132" s="9">
        <f t="shared" si="111"/>
        <v>0</v>
      </c>
      <c r="BX132" s="2" t="s">
        <v>317</v>
      </c>
    </row>
    <row r="133" spans="1:76" x14ac:dyDescent="0.25">
      <c r="A133" s="38" t="s">
        <v>78</v>
      </c>
      <c r="B133" s="38" t="s">
        <v>284</v>
      </c>
      <c r="C133" s="38" t="s">
        <v>176</v>
      </c>
      <c r="D133" s="52" t="s">
        <v>318</v>
      </c>
      <c r="E133" s="53"/>
      <c r="F133" s="38" t="s">
        <v>64</v>
      </c>
      <c r="G133" s="39">
        <v>63.4</v>
      </c>
      <c r="H133" s="39"/>
      <c r="I133" s="40"/>
      <c r="J133" s="39"/>
      <c r="K133" s="39"/>
      <c r="L133" s="39"/>
      <c r="M133" s="39"/>
      <c r="N133" s="39">
        <v>1.093E-2</v>
      </c>
      <c r="O133" s="39">
        <f t="shared" si="90"/>
        <v>0.69296199999999997</v>
      </c>
      <c r="P133" s="41"/>
      <c r="Z133" s="9">
        <f t="shared" si="91"/>
        <v>0</v>
      </c>
      <c r="AB133" s="9">
        <f t="shared" si="92"/>
        <v>0</v>
      </c>
      <c r="AC133" s="9">
        <f t="shared" si="93"/>
        <v>0</v>
      </c>
      <c r="AD133" s="9">
        <f t="shared" si="94"/>
        <v>0</v>
      </c>
      <c r="AE133" s="9">
        <f t="shared" si="95"/>
        <v>0</v>
      </c>
      <c r="AF133" s="9">
        <f t="shared" si="96"/>
        <v>0</v>
      </c>
      <c r="AG133" s="9">
        <f t="shared" si="97"/>
        <v>0</v>
      </c>
      <c r="AH133" s="9">
        <f t="shared" si="98"/>
        <v>0</v>
      </c>
      <c r="AI133" s="7" t="s">
        <v>284</v>
      </c>
      <c r="AJ133" s="9">
        <f t="shared" si="99"/>
        <v>0</v>
      </c>
      <c r="AK133" s="9">
        <f t="shared" si="100"/>
        <v>0</v>
      </c>
      <c r="AL133" s="9">
        <f t="shared" si="101"/>
        <v>0</v>
      </c>
      <c r="AN133" s="9">
        <v>21</v>
      </c>
      <c r="AO133" s="9">
        <f>H133*0.372107978</f>
        <v>0</v>
      </c>
      <c r="AP133" s="9">
        <f>H133*(1-0.372107978)</f>
        <v>0</v>
      </c>
      <c r="AQ133" s="10" t="s">
        <v>61</v>
      </c>
      <c r="AV133" s="9">
        <f t="shared" si="102"/>
        <v>0</v>
      </c>
      <c r="AW133" s="9">
        <f t="shared" si="103"/>
        <v>0</v>
      </c>
      <c r="AX133" s="9">
        <f t="shared" si="104"/>
        <v>0</v>
      </c>
      <c r="AY133" s="10" t="s">
        <v>146</v>
      </c>
      <c r="AZ133" s="10" t="s">
        <v>298</v>
      </c>
      <c r="BA133" s="7" t="s">
        <v>288</v>
      </c>
      <c r="BC133" s="9">
        <f t="shared" si="105"/>
        <v>0</v>
      </c>
      <c r="BD133" s="9">
        <f t="shared" si="106"/>
        <v>0</v>
      </c>
      <c r="BE133" s="9">
        <v>0</v>
      </c>
      <c r="BF133" s="9">
        <f t="shared" si="107"/>
        <v>0.69296199999999997</v>
      </c>
      <c r="BH133" s="9">
        <f t="shared" si="108"/>
        <v>0</v>
      </c>
      <c r="BI133" s="9">
        <f t="shared" si="109"/>
        <v>0</v>
      </c>
      <c r="BJ133" s="9">
        <f t="shared" si="110"/>
        <v>0</v>
      </c>
      <c r="BK133" s="9"/>
      <c r="BL133" s="9">
        <v>62</v>
      </c>
      <c r="BW133" s="9">
        <f t="shared" si="111"/>
        <v>0</v>
      </c>
      <c r="BX133" s="2" t="s">
        <v>318</v>
      </c>
    </row>
    <row r="134" spans="1:76" x14ac:dyDescent="0.25">
      <c r="A134" s="38" t="s">
        <v>223</v>
      </c>
      <c r="B134" s="38" t="s">
        <v>284</v>
      </c>
      <c r="C134" s="38" t="s">
        <v>319</v>
      </c>
      <c r="D134" s="52" t="s">
        <v>320</v>
      </c>
      <c r="E134" s="53"/>
      <c r="F134" s="38" t="s">
        <v>64</v>
      </c>
      <c r="G134" s="39">
        <v>15.2</v>
      </c>
      <c r="H134" s="39"/>
      <c r="I134" s="40"/>
      <c r="J134" s="39"/>
      <c r="K134" s="39"/>
      <c r="L134" s="39"/>
      <c r="M134" s="39"/>
      <c r="N134" s="39">
        <v>1.1999999999999999E-3</v>
      </c>
      <c r="O134" s="39">
        <f t="shared" si="90"/>
        <v>1.8239999999999999E-2</v>
      </c>
      <c r="P134" s="41"/>
      <c r="Z134" s="9">
        <f t="shared" si="91"/>
        <v>0</v>
      </c>
      <c r="AB134" s="9">
        <f t="shared" si="92"/>
        <v>0</v>
      </c>
      <c r="AC134" s="9">
        <f t="shared" si="93"/>
        <v>0</v>
      </c>
      <c r="AD134" s="9">
        <f t="shared" si="94"/>
        <v>0</v>
      </c>
      <c r="AE134" s="9">
        <f t="shared" si="95"/>
        <v>0</v>
      </c>
      <c r="AF134" s="9">
        <f t="shared" si="96"/>
        <v>0</v>
      </c>
      <c r="AG134" s="9">
        <f t="shared" si="97"/>
        <v>0</v>
      </c>
      <c r="AH134" s="9">
        <f t="shared" si="98"/>
        <v>0</v>
      </c>
      <c r="AI134" s="7" t="s">
        <v>284</v>
      </c>
      <c r="AJ134" s="9">
        <f t="shared" si="99"/>
        <v>0</v>
      </c>
      <c r="AK134" s="9">
        <f t="shared" si="100"/>
        <v>0</v>
      </c>
      <c r="AL134" s="9">
        <f t="shared" si="101"/>
        <v>0</v>
      </c>
      <c r="AN134" s="9">
        <v>21</v>
      </c>
      <c r="AO134" s="9">
        <f>H134*1</f>
        <v>0</v>
      </c>
      <c r="AP134" s="9">
        <f>H134*(1-1)</f>
        <v>0</v>
      </c>
      <c r="AQ134" s="10" t="s">
        <v>61</v>
      </c>
      <c r="AV134" s="9">
        <f t="shared" si="102"/>
        <v>0</v>
      </c>
      <c r="AW134" s="9">
        <f t="shared" si="103"/>
        <v>0</v>
      </c>
      <c r="AX134" s="9">
        <f t="shared" si="104"/>
        <v>0</v>
      </c>
      <c r="AY134" s="10" t="s">
        <v>146</v>
      </c>
      <c r="AZ134" s="10" t="s">
        <v>298</v>
      </c>
      <c r="BA134" s="7" t="s">
        <v>288</v>
      </c>
      <c r="BC134" s="9">
        <f t="shared" si="105"/>
        <v>0</v>
      </c>
      <c r="BD134" s="9">
        <f t="shared" si="106"/>
        <v>0</v>
      </c>
      <c r="BE134" s="9">
        <v>0</v>
      </c>
      <c r="BF134" s="9">
        <f t="shared" si="107"/>
        <v>1.8239999999999999E-2</v>
      </c>
      <c r="BH134" s="9">
        <f t="shared" si="108"/>
        <v>0</v>
      </c>
      <c r="BI134" s="9">
        <f t="shared" si="109"/>
        <v>0</v>
      </c>
      <c r="BJ134" s="9">
        <f t="shared" si="110"/>
        <v>0</v>
      </c>
      <c r="BK134" s="9"/>
      <c r="BL134" s="9">
        <v>62</v>
      </c>
      <c r="BW134" s="9">
        <f t="shared" si="111"/>
        <v>0</v>
      </c>
      <c r="BX134" s="2" t="s">
        <v>320</v>
      </c>
    </row>
    <row r="135" spans="1:76" x14ac:dyDescent="0.25">
      <c r="A135" s="34" t="s">
        <v>56</v>
      </c>
      <c r="B135" s="35" t="s">
        <v>284</v>
      </c>
      <c r="C135" s="35" t="s">
        <v>178</v>
      </c>
      <c r="D135" s="57" t="s">
        <v>179</v>
      </c>
      <c r="E135" s="58"/>
      <c r="F135" s="34" t="s">
        <v>4</v>
      </c>
      <c r="G135" s="34" t="s">
        <v>4</v>
      </c>
      <c r="H135" s="34"/>
      <c r="I135" s="34"/>
      <c r="J135" s="36"/>
      <c r="K135" s="36"/>
      <c r="L135" s="36"/>
      <c r="M135" s="36"/>
      <c r="N135" s="37" t="s">
        <v>56</v>
      </c>
      <c r="O135" s="36">
        <f>SUM(O136:O138)</f>
        <v>4.930200000000001</v>
      </c>
      <c r="P135" s="37"/>
      <c r="AI135" s="7" t="s">
        <v>284</v>
      </c>
      <c r="AS135" s="1">
        <f>SUM(AJ136:AJ138)</f>
        <v>0</v>
      </c>
      <c r="AT135" s="1">
        <f>SUM(AK136:AK138)</f>
        <v>0</v>
      </c>
      <c r="AU135" s="1">
        <f>SUM(AL136:AL138)</f>
        <v>0</v>
      </c>
    </row>
    <row r="136" spans="1:76" x14ac:dyDescent="0.25">
      <c r="A136" s="38" t="s">
        <v>91</v>
      </c>
      <c r="B136" s="38" t="s">
        <v>284</v>
      </c>
      <c r="C136" s="38" t="s">
        <v>181</v>
      </c>
      <c r="D136" s="52" t="s">
        <v>259</v>
      </c>
      <c r="E136" s="53"/>
      <c r="F136" s="38" t="s">
        <v>64</v>
      </c>
      <c r="G136" s="39">
        <v>594</v>
      </c>
      <c r="H136" s="39"/>
      <c r="I136" s="40"/>
      <c r="J136" s="39"/>
      <c r="K136" s="39"/>
      <c r="L136" s="39"/>
      <c r="M136" s="39"/>
      <c r="N136" s="39">
        <v>1.3999999999999999E-4</v>
      </c>
      <c r="O136" s="39">
        <f>G136*N136</f>
        <v>8.3159999999999998E-2</v>
      </c>
      <c r="P136" s="41"/>
      <c r="Z136" s="9">
        <f>ROUND(IF(AQ136="5",BJ136,0),2)</f>
        <v>0</v>
      </c>
      <c r="AB136" s="9">
        <f>ROUND(IF(AQ136="1",BH136,0),2)</f>
        <v>0</v>
      </c>
      <c r="AC136" s="9">
        <f>ROUND(IF(AQ136="1",BI136,0),2)</f>
        <v>0</v>
      </c>
      <c r="AD136" s="9">
        <f>ROUND(IF(AQ136="7",BH136,0),2)</f>
        <v>0</v>
      </c>
      <c r="AE136" s="9">
        <f>ROUND(IF(AQ136="7",BI136,0),2)</f>
        <v>0</v>
      </c>
      <c r="AF136" s="9">
        <f>ROUND(IF(AQ136="2",BH136,0),2)</f>
        <v>0</v>
      </c>
      <c r="AG136" s="9">
        <f>ROUND(IF(AQ136="2",BI136,0),2)</f>
        <v>0</v>
      </c>
      <c r="AH136" s="9">
        <f>ROUND(IF(AQ136="0",BJ136,0),2)</f>
        <v>0</v>
      </c>
      <c r="AI136" s="7" t="s">
        <v>284</v>
      </c>
      <c r="AJ136" s="9">
        <f>IF(AN136=0,L136,0)</f>
        <v>0</v>
      </c>
      <c r="AK136" s="9">
        <f>IF(AN136=12,L136,0)</f>
        <v>0</v>
      </c>
      <c r="AL136" s="9">
        <f>IF(AN136=21,L136,0)</f>
        <v>0</v>
      </c>
      <c r="AN136" s="9">
        <v>21</v>
      </c>
      <c r="AO136" s="9">
        <f>H136*0.461444043</f>
        <v>0</v>
      </c>
      <c r="AP136" s="9">
        <f>H136*(1-0.461444043)</f>
        <v>0</v>
      </c>
      <c r="AQ136" s="10" t="s">
        <v>88</v>
      </c>
      <c r="AV136" s="9">
        <f>ROUND(AW136+AX136,2)</f>
        <v>0</v>
      </c>
      <c r="AW136" s="9">
        <f>ROUND(G136*AO136,2)</f>
        <v>0</v>
      </c>
      <c r="AX136" s="9">
        <f>ROUND(G136*AP136,2)</f>
        <v>0</v>
      </c>
      <c r="AY136" s="10" t="s">
        <v>183</v>
      </c>
      <c r="AZ136" s="10" t="s">
        <v>321</v>
      </c>
      <c r="BA136" s="7" t="s">
        <v>288</v>
      </c>
      <c r="BC136" s="9">
        <f>AW136+AX136</f>
        <v>0</v>
      </c>
      <c r="BD136" s="9">
        <f>H136/(100-BE136)*100</f>
        <v>0</v>
      </c>
      <c r="BE136" s="9">
        <v>0</v>
      </c>
      <c r="BF136" s="9">
        <f>O136</f>
        <v>8.3159999999999998E-2</v>
      </c>
      <c r="BH136" s="9">
        <f>G136*AO136</f>
        <v>0</v>
      </c>
      <c r="BI136" s="9">
        <f>G136*AP136</f>
        <v>0</v>
      </c>
      <c r="BJ136" s="9">
        <f>G136*H136</f>
        <v>0</v>
      </c>
      <c r="BK136" s="9"/>
      <c r="BL136" s="9">
        <v>713</v>
      </c>
      <c r="BW136" s="9">
        <f>I136</f>
        <v>0</v>
      </c>
      <c r="BX136" s="2" t="s">
        <v>259</v>
      </c>
    </row>
    <row r="137" spans="1:76" x14ac:dyDescent="0.25">
      <c r="A137" s="38" t="s">
        <v>322</v>
      </c>
      <c r="B137" s="38" t="s">
        <v>284</v>
      </c>
      <c r="C137" s="38" t="s">
        <v>323</v>
      </c>
      <c r="D137" s="52" t="s">
        <v>324</v>
      </c>
      <c r="E137" s="53"/>
      <c r="F137" s="38" t="s">
        <v>64</v>
      </c>
      <c r="G137" s="39">
        <v>594</v>
      </c>
      <c r="H137" s="39"/>
      <c r="I137" s="40"/>
      <c r="J137" s="39"/>
      <c r="K137" s="39"/>
      <c r="L137" s="39"/>
      <c r="M137" s="39"/>
      <c r="N137" s="39">
        <v>8.1600000000000006E-3</v>
      </c>
      <c r="O137" s="39">
        <f>G137*N137</f>
        <v>4.8470400000000007</v>
      </c>
      <c r="P137" s="41"/>
      <c r="Z137" s="9">
        <f>ROUND(IF(AQ137="5",BJ137,0),2)</f>
        <v>0</v>
      </c>
      <c r="AB137" s="9">
        <f>ROUND(IF(AQ137="1",BH137,0),2)</f>
        <v>0</v>
      </c>
      <c r="AC137" s="9">
        <f>ROUND(IF(AQ137="1",BI137,0),2)</f>
        <v>0</v>
      </c>
      <c r="AD137" s="9">
        <f>ROUND(IF(AQ137="7",BH137,0),2)</f>
        <v>0</v>
      </c>
      <c r="AE137" s="9">
        <f>ROUND(IF(AQ137="7",BI137,0),2)</f>
        <v>0</v>
      </c>
      <c r="AF137" s="9">
        <f>ROUND(IF(AQ137="2",BH137,0),2)</f>
        <v>0</v>
      </c>
      <c r="AG137" s="9">
        <f>ROUND(IF(AQ137="2",BI137,0),2)</f>
        <v>0</v>
      </c>
      <c r="AH137" s="9">
        <f>ROUND(IF(AQ137="0",BJ137,0),2)</f>
        <v>0</v>
      </c>
      <c r="AI137" s="7" t="s">
        <v>284</v>
      </c>
      <c r="AJ137" s="9">
        <f>IF(AN137=0,L137,0)</f>
        <v>0</v>
      </c>
      <c r="AK137" s="9">
        <f>IF(AN137=12,L137,0)</f>
        <v>0</v>
      </c>
      <c r="AL137" s="9">
        <f>IF(AN137=21,L137,0)</f>
        <v>0</v>
      </c>
      <c r="AN137" s="9">
        <v>21</v>
      </c>
      <c r="AO137" s="9">
        <f>H137*0.830062681</f>
        <v>0</v>
      </c>
      <c r="AP137" s="9">
        <f>H137*(1-0.830062681)</f>
        <v>0</v>
      </c>
      <c r="AQ137" s="10" t="s">
        <v>88</v>
      </c>
      <c r="AV137" s="9">
        <f>ROUND(AW137+AX137,2)</f>
        <v>0</v>
      </c>
      <c r="AW137" s="9">
        <f>ROUND(G137*AO137,2)</f>
        <v>0</v>
      </c>
      <c r="AX137" s="9">
        <f>ROUND(G137*AP137,2)</f>
        <v>0</v>
      </c>
      <c r="AY137" s="10" t="s">
        <v>183</v>
      </c>
      <c r="AZ137" s="10" t="s">
        <v>321</v>
      </c>
      <c r="BA137" s="7" t="s">
        <v>288</v>
      </c>
      <c r="BC137" s="9">
        <f>AW137+AX137</f>
        <v>0</v>
      </c>
      <c r="BD137" s="9">
        <f>H137/(100-BE137)*100</f>
        <v>0</v>
      </c>
      <c r="BE137" s="9">
        <v>0</v>
      </c>
      <c r="BF137" s="9">
        <f>O137</f>
        <v>4.8470400000000007</v>
      </c>
      <c r="BH137" s="9">
        <f>G137*AO137</f>
        <v>0</v>
      </c>
      <c r="BI137" s="9">
        <f>G137*AP137</f>
        <v>0</v>
      </c>
      <c r="BJ137" s="9">
        <f>G137*H137</f>
        <v>0</v>
      </c>
      <c r="BK137" s="9"/>
      <c r="BL137" s="9">
        <v>713</v>
      </c>
      <c r="BW137" s="9">
        <f>I137</f>
        <v>0</v>
      </c>
      <c r="BX137" s="2" t="s">
        <v>324</v>
      </c>
    </row>
    <row r="138" spans="1:76" x14ac:dyDescent="0.25">
      <c r="A138" s="38" t="s">
        <v>325</v>
      </c>
      <c r="B138" s="38" t="s">
        <v>284</v>
      </c>
      <c r="C138" s="38" t="s">
        <v>189</v>
      </c>
      <c r="D138" s="52" t="s">
        <v>190</v>
      </c>
      <c r="E138" s="53"/>
      <c r="F138" s="38" t="s">
        <v>105</v>
      </c>
      <c r="G138" s="39">
        <v>4.9000000000000004</v>
      </c>
      <c r="H138" s="39"/>
      <c r="I138" s="40"/>
      <c r="J138" s="39"/>
      <c r="K138" s="39"/>
      <c r="L138" s="39"/>
      <c r="M138" s="39"/>
      <c r="N138" s="39">
        <v>0</v>
      </c>
      <c r="O138" s="39">
        <f>G138*N138</f>
        <v>0</v>
      </c>
      <c r="P138" s="41"/>
      <c r="Z138" s="9">
        <f>ROUND(IF(AQ138="5",BJ138,0),2)</f>
        <v>0</v>
      </c>
      <c r="AB138" s="9">
        <f>ROUND(IF(AQ138="1",BH138,0),2)</f>
        <v>0</v>
      </c>
      <c r="AC138" s="9">
        <f>ROUND(IF(AQ138="1",BI138,0),2)</f>
        <v>0</v>
      </c>
      <c r="AD138" s="9">
        <f>ROUND(IF(AQ138="7",BH138,0),2)</f>
        <v>0</v>
      </c>
      <c r="AE138" s="9">
        <f>ROUND(IF(AQ138="7",BI138,0),2)</f>
        <v>0</v>
      </c>
      <c r="AF138" s="9">
        <f>ROUND(IF(AQ138="2",BH138,0),2)</f>
        <v>0</v>
      </c>
      <c r="AG138" s="9">
        <f>ROUND(IF(AQ138="2",BI138,0),2)</f>
        <v>0</v>
      </c>
      <c r="AH138" s="9">
        <f>ROUND(IF(AQ138="0",BJ138,0),2)</f>
        <v>0</v>
      </c>
      <c r="AI138" s="7" t="s">
        <v>284</v>
      </c>
      <c r="AJ138" s="9">
        <f>IF(AN138=0,L138,0)</f>
        <v>0</v>
      </c>
      <c r="AK138" s="9">
        <f>IF(AN138=12,L138,0)</f>
        <v>0</v>
      </c>
      <c r="AL138" s="9">
        <f>IF(AN138=21,L138,0)</f>
        <v>0</v>
      </c>
      <c r="AN138" s="9">
        <v>21</v>
      </c>
      <c r="AO138" s="9">
        <f>H138*0</f>
        <v>0</v>
      </c>
      <c r="AP138" s="9">
        <f>H138*(1-0)</f>
        <v>0</v>
      </c>
      <c r="AQ138" s="10" t="s">
        <v>80</v>
      </c>
      <c r="AV138" s="9">
        <f>ROUND(AW138+AX138,2)</f>
        <v>0</v>
      </c>
      <c r="AW138" s="9">
        <f>ROUND(G138*AO138,2)</f>
        <v>0</v>
      </c>
      <c r="AX138" s="9">
        <f>ROUND(G138*AP138,2)</f>
        <v>0</v>
      </c>
      <c r="AY138" s="10" t="s">
        <v>183</v>
      </c>
      <c r="AZ138" s="10" t="s">
        <v>321</v>
      </c>
      <c r="BA138" s="7" t="s">
        <v>288</v>
      </c>
      <c r="BC138" s="9">
        <f>AW138+AX138</f>
        <v>0</v>
      </c>
      <c r="BD138" s="9">
        <f>H138/(100-BE138)*100</f>
        <v>0</v>
      </c>
      <c r="BE138" s="9">
        <v>0</v>
      </c>
      <c r="BF138" s="9">
        <f>O138</f>
        <v>0</v>
      </c>
      <c r="BH138" s="9">
        <f>G138*AO138</f>
        <v>0</v>
      </c>
      <c r="BI138" s="9">
        <f>G138*AP138</f>
        <v>0</v>
      </c>
      <c r="BJ138" s="9">
        <f>G138*H138</f>
        <v>0</v>
      </c>
      <c r="BK138" s="9"/>
      <c r="BL138" s="9">
        <v>713</v>
      </c>
      <c r="BW138" s="9">
        <f>I138</f>
        <v>0</v>
      </c>
      <c r="BX138" s="2" t="s">
        <v>190</v>
      </c>
    </row>
    <row r="139" spans="1:76" x14ac:dyDescent="0.25">
      <c r="A139" s="34" t="s">
        <v>56</v>
      </c>
      <c r="B139" s="35" t="s">
        <v>284</v>
      </c>
      <c r="C139" s="35" t="s">
        <v>326</v>
      </c>
      <c r="D139" s="57" t="s">
        <v>327</v>
      </c>
      <c r="E139" s="58"/>
      <c r="F139" s="34" t="s">
        <v>4</v>
      </c>
      <c r="G139" s="34" t="s">
        <v>4</v>
      </c>
      <c r="H139" s="34"/>
      <c r="I139" s="34"/>
      <c r="J139" s="36"/>
      <c r="K139" s="36"/>
      <c r="L139" s="36"/>
      <c r="M139" s="36"/>
      <c r="N139" s="37" t="s">
        <v>56</v>
      </c>
      <c r="O139" s="36">
        <f>SUM(O140:O141)</f>
        <v>7.3889100000000001</v>
      </c>
      <c r="P139" s="37"/>
      <c r="AI139" s="7" t="s">
        <v>284</v>
      </c>
      <c r="AS139" s="1">
        <f>SUM(AJ140:AJ141)</f>
        <v>0</v>
      </c>
      <c r="AT139" s="1">
        <f>SUM(AK140:AK141)</f>
        <v>0</v>
      </c>
      <c r="AU139" s="1">
        <f>SUM(AL140:AL141)</f>
        <v>0</v>
      </c>
    </row>
    <row r="140" spans="1:76" x14ac:dyDescent="0.25">
      <c r="A140" s="38" t="s">
        <v>328</v>
      </c>
      <c r="B140" s="38" t="s">
        <v>284</v>
      </c>
      <c r="C140" s="38" t="s">
        <v>329</v>
      </c>
      <c r="D140" s="52" t="s">
        <v>330</v>
      </c>
      <c r="E140" s="53"/>
      <c r="F140" s="38" t="s">
        <v>64</v>
      </c>
      <c r="G140" s="39">
        <v>261</v>
      </c>
      <c r="H140" s="39"/>
      <c r="I140" s="40"/>
      <c r="J140" s="39"/>
      <c r="K140" s="39"/>
      <c r="L140" s="39"/>
      <c r="M140" s="39"/>
      <c r="N140" s="39">
        <v>1.4999999999999999E-2</v>
      </c>
      <c r="O140" s="39">
        <f>G140*N140</f>
        <v>3.915</v>
      </c>
      <c r="P140" s="41"/>
      <c r="Z140" s="9">
        <f>ROUND(IF(AQ140="5",BJ140,0),2)</f>
        <v>0</v>
      </c>
      <c r="AB140" s="9">
        <f>ROUND(IF(AQ140="1",BH140,0),2)</f>
        <v>0</v>
      </c>
      <c r="AC140" s="9">
        <f>ROUND(IF(AQ140="1",BI140,0),2)</f>
        <v>0</v>
      </c>
      <c r="AD140" s="9">
        <f>ROUND(IF(AQ140="7",BH140,0),2)</f>
        <v>0</v>
      </c>
      <c r="AE140" s="9">
        <f>ROUND(IF(AQ140="7",BI140,0),2)</f>
        <v>0</v>
      </c>
      <c r="AF140" s="9">
        <f>ROUND(IF(AQ140="2",BH140,0),2)</f>
        <v>0</v>
      </c>
      <c r="AG140" s="9">
        <f>ROUND(IF(AQ140="2",BI140,0),2)</f>
        <v>0</v>
      </c>
      <c r="AH140" s="9">
        <f>ROUND(IF(AQ140="0",BJ140,0),2)</f>
        <v>0</v>
      </c>
      <c r="AI140" s="7" t="s">
        <v>284</v>
      </c>
      <c r="AJ140" s="9">
        <f>IF(AN140=0,L140,0)</f>
        <v>0</v>
      </c>
      <c r="AK140" s="9">
        <f>IF(AN140=12,L140,0)</f>
        <v>0</v>
      </c>
      <c r="AL140" s="9">
        <f>IF(AN140=21,L140,0)</f>
        <v>0</v>
      </c>
      <c r="AN140" s="9">
        <v>21</v>
      </c>
      <c r="AO140" s="9">
        <f>H140*0</f>
        <v>0</v>
      </c>
      <c r="AP140" s="9">
        <f>H140*(1-0)</f>
        <v>0</v>
      </c>
      <c r="AQ140" s="10" t="s">
        <v>88</v>
      </c>
      <c r="AV140" s="9">
        <f>ROUND(AW140+AX140,2)</f>
        <v>0</v>
      </c>
      <c r="AW140" s="9">
        <f>ROUND(G140*AO140,2)</f>
        <v>0</v>
      </c>
      <c r="AX140" s="9">
        <f>ROUND(G140*AP140,2)</f>
        <v>0</v>
      </c>
      <c r="AY140" s="10" t="s">
        <v>331</v>
      </c>
      <c r="AZ140" s="10" t="s">
        <v>332</v>
      </c>
      <c r="BA140" s="7" t="s">
        <v>288</v>
      </c>
      <c r="BC140" s="9">
        <f>AW140+AX140</f>
        <v>0</v>
      </c>
      <c r="BD140" s="9">
        <f>H140/(100-BE140)*100</f>
        <v>0</v>
      </c>
      <c r="BE140" s="9">
        <v>0</v>
      </c>
      <c r="BF140" s="9">
        <f>O140</f>
        <v>3.915</v>
      </c>
      <c r="BH140" s="9">
        <f>G140*AO140</f>
        <v>0</v>
      </c>
      <c r="BI140" s="9">
        <f>G140*AP140</f>
        <v>0</v>
      </c>
      <c r="BJ140" s="9">
        <f>G140*H140</f>
        <v>0</v>
      </c>
      <c r="BK140" s="9"/>
      <c r="BL140" s="9">
        <v>762</v>
      </c>
      <c r="BW140" s="9">
        <f>I140</f>
        <v>0</v>
      </c>
      <c r="BX140" s="2" t="s">
        <v>330</v>
      </c>
    </row>
    <row r="141" spans="1:76" x14ac:dyDescent="0.25">
      <c r="A141" s="38" t="s">
        <v>333</v>
      </c>
      <c r="B141" s="38" t="s">
        <v>284</v>
      </c>
      <c r="C141" s="38" t="s">
        <v>334</v>
      </c>
      <c r="D141" s="52" t="s">
        <v>335</v>
      </c>
      <c r="E141" s="53"/>
      <c r="F141" s="38" t="s">
        <v>64</v>
      </c>
      <c r="G141" s="39">
        <v>261</v>
      </c>
      <c r="H141" s="39"/>
      <c r="I141" s="40"/>
      <c r="J141" s="39"/>
      <c r="K141" s="39"/>
      <c r="L141" s="39"/>
      <c r="M141" s="39"/>
      <c r="N141" s="39">
        <v>1.3310000000000001E-2</v>
      </c>
      <c r="O141" s="39">
        <f>G141*N141</f>
        <v>3.4739100000000001</v>
      </c>
      <c r="P141" s="41"/>
      <c r="Z141" s="9">
        <f>ROUND(IF(AQ141="5",BJ141,0),2)</f>
        <v>0</v>
      </c>
      <c r="AB141" s="9">
        <f>ROUND(IF(AQ141="1",BH141,0),2)</f>
        <v>0</v>
      </c>
      <c r="AC141" s="9">
        <f>ROUND(IF(AQ141="1",BI141,0),2)</f>
        <v>0</v>
      </c>
      <c r="AD141" s="9">
        <f>ROUND(IF(AQ141="7",BH141,0),2)</f>
        <v>0</v>
      </c>
      <c r="AE141" s="9">
        <f>ROUND(IF(AQ141="7",BI141,0),2)</f>
        <v>0</v>
      </c>
      <c r="AF141" s="9">
        <f>ROUND(IF(AQ141="2",BH141,0),2)</f>
        <v>0</v>
      </c>
      <c r="AG141" s="9">
        <f>ROUND(IF(AQ141="2",BI141,0),2)</f>
        <v>0</v>
      </c>
      <c r="AH141" s="9">
        <f>ROUND(IF(AQ141="0",BJ141,0),2)</f>
        <v>0</v>
      </c>
      <c r="AI141" s="7" t="s">
        <v>284</v>
      </c>
      <c r="AJ141" s="9">
        <f>IF(AN141=0,L141,0)</f>
        <v>0</v>
      </c>
      <c r="AK141" s="9">
        <f>IF(AN141=12,L141,0)</f>
        <v>0</v>
      </c>
      <c r="AL141" s="9">
        <f>IF(AN141=21,L141,0)</f>
        <v>0</v>
      </c>
      <c r="AN141" s="9">
        <v>21</v>
      </c>
      <c r="AO141" s="9">
        <f>H141*0.474796748</f>
        <v>0</v>
      </c>
      <c r="AP141" s="9">
        <f>H141*(1-0.474796748)</f>
        <v>0</v>
      </c>
      <c r="AQ141" s="10" t="s">
        <v>88</v>
      </c>
      <c r="AV141" s="9">
        <f>ROUND(AW141+AX141,2)</f>
        <v>0</v>
      </c>
      <c r="AW141" s="9">
        <f>ROUND(G141*AO141,2)</f>
        <v>0</v>
      </c>
      <c r="AX141" s="9">
        <f>ROUND(G141*AP141,2)</f>
        <v>0</v>
      </c>
      <c r="AY141" s="10" t="s">
        <v>331</v>
      </c>
      <c r="AZ141" s="10" t="s">
        <v>332</v>
      </c>
      <c r="BA141" s="7" t="s">
        <v>288</v>
      </c>
      <c r="BC141" s="9">
        <f>AW141+AX141</f>
        <v>0</v>
      </c>
      <c r="BD141" s="9">
        <f>H141/(100-BE141)*100</f>
        <v>0</v>
      </c>
      <c r="BE141" s="9">
        <v>0</v>
      </c>
      <c r="BF141" s="9">
        <f>O141</f>
        <v>3.4739100000000001</v>
      </c>
      <c r="BH141" s="9">
        <f>G141*AO141</f>
        <v>0</v>
      </c>
      <c r="BI141" s="9">
        <f>G141*AP141</f>
        <v>0</v>
      </c>
      <c r="BJ141" s="9">
        <f>G141*H141</f>
        <v>0</v>
      </c>
      <c r="BK141" s="9"/>
      <c r="BL141" s="9">
        <v>762</v>
      </c>
      <c r="BW141" s="9">
        <f>I141</f>
        <v>0</v>
      </c>
      <c r="BX141" s="2" t="s">
        <v>335</v>
      </c>
    </row>
    <row r="142" spans="1:76" x14ac:dyDescent="0.25">
      <c r="A142" s="34" t="s">
        <v>56</v>
      </c>
      <c r="B142" s="35" t="s">
        <v>284</v>
      </c>
      <c r="C142" s="35" t="s">
        <v>191</v>
      </c>
      <c r="D142" s="57" t="s">
        <v>192</v>
      </c>
      <c r="E142" s="58"/>
      <c r="F142" s="34" t="s">
        <v>4</v>
      </c>
      <c r="G142" s="34" t="s">
        <v>4</v>
      </c>
      <c r="H142" s="34"/>
      <c r="I142" s="34"/>
      <c r="J142" s="36"/>
      <c r="K142" s="36"/>
      <c r="L142" s="36"/>
      <c r="M142" s="36"/>
      <c r="N142" s="37" t="s">
        <v>56</v>
      </c>
      <c r="O142" s="36">
        <f>SUM(O143:O147)</f>
        <v>0.50900400000000001</v>
      </c>
      <c r="P142" s="37"/>
      <c r="AI142" s="7" t="s">
        <v>284</v>
      </c>
      <c r="AS142" s="1">
        <f>SUM(AJ143:AJ147)</f>
        <v>0</v>
      </c>
      <c r="AT142" s="1">
        <f>SUM(AK143:AK147)</f>
        <v>0</v>
      </c>
      <c r="AU142" s="1">
        <f>SUM(AL143:AL147)</f>
        <v>0</v>
      </c>
    </row>
    <row r="143" spans="1:76" x14ac:dyDescent="0.25">
      <c r="A143" s="38" t="s">
        <v>336</v>
      </c>
      <c r="B143" s="38" t="s">
        <v>284</v>
      </c>
      <c r="C143" s="38" t="s">
        <v>194</v>
      </c>
      <c r="D143" s="52" t="s">
        <v>264</v>
      </c>
      <c r="E143" s="53"/>
      <c r="F143" s="38" t="s">
        <v>112</v>
      </c>
      <c r="G143" s="39">
        <v>69.599999999999994</v>
      </c>
      <c r="H143" s="39"/>
      <c r="I143" s="40"/>
      <c r="J143" s="39"/>
      <c r="K143" s="39"/>
      <c r="L143" s="39"/>
      <c r="M143" s="39"/>
      <c r="N143" s="39">
        <v>3.3500000000000001E-3</v>
      </c>
      <c r="O143" s="39">
        <f>G143*N143</f>
        <v>0.23315999999999998</v>
      </c>
      <c r="P143" s="41"/>
      <c r="Z143" s="9">
        <f>ROUND(IF(AQ143="5",BJ143,0),2)</f>
        <v>0</v>
      </c>
      <c r="AB143" s="9">
        <f>ROUND(IF(AQ143="1",BH143,0),2)</f>
        <v>0</v>
      </c>
      <c r="AC143" s="9">
        <f>ROUND(IF(AQ143="1",BI143,0),2)</f>
        <v>0</v>
      </c>
      <c r="AD143" s="9">
        <f>ROUND(IF(AQ143="7",BH143,0),2)</f>
        <v>0</v>
      </c>
      <c r="AE143" s="9">
        <f>ROUND(IF(AQ143="7",BI143,0),2)</f>
        <v>0</v>
      </c>
      <c r="AF143" s="9">
        <f>ROUND(IF(AQ143="2",BH143,0),2)</f>
        <v>0</v>
      </c>
      <c r="AG143" s="9">
        <f>ROUND(IF(AQ143="2",BI143,0),2)</f>
        <v>0</v>
      </c>
      <c r="AH143" s="9">
        <f>ROUND(IF(AQ143="0",BJ143,0),2)</f>
        <v>0</v>
      </c>
      <c r="AI143" s="7" t="s">
        <v>284</v>
      </c>
      <c r="AJ143" s="9">
        <f>IF(AN143=0,L143,0)</f>
        <v>0</v>
      </c>
      <c r="AK143" s="9">
        <f>IF(AN143=12,L143,0)</f>
        <v>0</v>
      </c>
      <c r="AL143" s="9">
        <f>IF(AN143=21,L143,0)</f>
        <v>0</v>
      </c>
      <c r="AN143" s="9">
        <v>21</v>
      </c>
      <c r="AO143" s="9">
        <f>H143*0.335672515</f>
        <v>0</v>
      </c>
      <c r="AP143" s="9">
        <f>H143*(1-0.335672515)</f>
        <v>0</v>
      </c>
      <c r="AQ143" s="10" t="s">
        <v>88</v>
      </c>
      <c r="AV143" s="9">
        <f>ROUND(AW143+AX143,2)</f>
        <v>0</v>
      </c>
      <c r="AW143" s="9">
        <f>ROUND(G143*AO143,2)</f>
        <v>0</v>
      </c>
      <c r="AX143" s="9">
        <f>ROUND(G143*AP143,2)</f>
        <v>0</v>
      </c>
      <c r="AY143" s="10" t="s">
        <v>196</v>
      </c>
      <c r="AZ143" s="10" t="s">
        <v>332</v>
      </c>
      <c r="BA143" s="7" t="s">
        <v>288</v>
      </c>
      <c r="BC143" s="9">
        <f>AW143+AX143</f>
        <v>0</v>
      </c>
      <c r="BD143" s="9">
        <f>H143/(100-BE143)*100</f>
        <v>0</v>
      </c>
      <c r="BE143" s="9">
        <v>0</v>
      </c>
      <c r="BF143" s="9">
        <f>O143</f>
        <v>0.23315999999999998</v>
      </c>
      <c r="BH143" s="9">
        <f>G143*AO143</f>
        <v>0</v>
      </c>
      <c r="BI143" s="9">
        <f>G143*AP143</f>
        <v>0</v>
      </c>
      <c r="BJ143" s="9">
        <f>G143*H143</f>
        <v>0</v>
      </c>
      <c r="BK143" s="9"/>
      <c r="BL143" s="9">
        <v>764</v>
      </c>
      <c r="BW143" s="9">
        <f>I143</f>
        <v>0</v>
      </c>
      <c r="BX143" s="2" t="s">
        <v>264</v>
      </c>
    </row>
    <row r="144" spans="1:76" x14ac:dyDescent="0.25">
      <c r="A144" s="38" t="s">
        <v>337</v>
      </c>
      <c r="B144" s="38" t="s">
        <v>284</v>
      </c>
      <c r="C144" s="38" t="s">
        <v>199</v>
      </c>
      <c r="D144" s="52" t="s">
        <v>200</v>
      </c>
      <c r="E144" s="53"/>
      <c r="F144" s="38" t="s">
        <v>112</v>
      </c>
      <c r="G144" s="39">
        <v>69.599999999999994</v>
      </c>
      <c r="H144" s="39"/>
      <c r="I144" s="40"/>
      <c r="J144" s="39"/>
      <c r="K144" s="39"/>
      <c r="L144" s="39"/>
      <c r="M144" s="39"/>
      <c r="N144" s="39">
        <v>1.81E-3</v>
      </c>
      <c r="O144" s="39">
        <f>G144*N144</f>
        <v>0.12597599999999998</v>
      </c>
      <c r="P144" s="41"/>
      <c r="Z144" s="9">
        <f>ROUND(IF(AQ144="5",BJ144,0),2)</f>
        <v>0</v>
      </c>
      <c r="AB144" s="9">
        <f>ROUND(IF(AQ144="1",BH144,0),2)</f>
        <v>0</v>
      </c>
      <c r="AC144" s="9">
        <f>ROUND(IF(AQ144="1",BI144,0),2)</f>
        <v>0</v>
      </c>
      <c r="AD144" s="9">
        <f>ROUND(IF(AQ144="7",BH144,0),2)</f>
        <v>0</v>
      </c>
      <c r="AE144" s="9">
        <f>ROUND(IF(AQ144="7",BI144,0),2)</f>
        <v>0</v>
      </c>
      <c r="AF144" s="9">
        <f>ROUND(IF(AQ144="2",BH144,0),2)</f>
        <v>0</v>
      </c>
      <c r="AG144" s="9">
        <f>ROUND(IF(AQ144="2",BI144,0),2)</f>
        <v>0</v>
      </c>
      <c r="AH144" s="9">
        <f>ROUND(IF(AQ144="0",BJ144,0),2)</f>
        <v>0</v>
      </c>
      <c r="AI144" s="7" t="s">
        <v>284</v>
      </c>
      <c r="AJ144" s="9">
        <f>IF(AN144=0,L144,0)</f>
        <v>0</v>
      </c>
      <c r="AK144" s="9">
        <f>IF(AN144=12,L144,0)</f>
        <v>0</v>
      </c>
      <c r="AL144" s="9">
        <f>IF(AN144=21,L144,0)</f>
        <v>0</v>
      </c>
      <c r="AN144" s="9">
        <v>21</v>
      </c>
      <c r="AO144" s="9">
        <f>H144*0</f>
        <v>0</v>
      </c>
      <c r="AP144" s="9">
        <f>H144*(1-0)</f>
        <v>0</v>
      </c>
      <c r="AQ144" s="10" t="s">
        <v>88</v>
      </c>
      <c r="AV144" s="9">
        <f>ROUND(AW144+AX144,2)</f>
        <v>0</v>
      </c>
      <c r="AW144" s="9">
        <f>ROUND(G144*AO144,2)</f>
        <v>0</v>
      </c>
      <c r="AX144" s="9">
        <f>ROUND(G144*AP144,2)</f>
        <v>0</v>
      </c>
      <c r="AY144" s="10" t="s">
        <v>196</v>
      </c>
      <c r="AZ144" s="10" t="s">
        <v>332</v>
      </c>
      <c r="BA144" s="7" t="s">
        <v>288</v>
      </c>
      <c r="BC144" s="9">
        <f>AW144+AX144</f>
        <v>0</v>
      </c>
      <c r="BD144" s="9">
        <f>H144/(100-BE144)*100</f>
        <v>0</v>
      </c>
      <c r="BE144" s="9">
        <v>0</v>
      </c>
      <c r="BF144" s="9">
        <f>O144</f>
        <v>0.12597599999999998</v>
      </c>
      <c r="BH144" s="9">
        <f>G144*AO144</f>
        <v>0</v>
      </c>
      <c r="BI144" s="9">
        <f>G144*AP144</f>
        <v>0</v>
      </c>
      <c r="BJ144" s="9">
        <f>G144*H144</f>
        <v>0</v>
      </c>
      <c r="BK144" s="9"/>
      <c r="BL144" s="9">
        <v>764</v>
      </c>
      <c r="BW144" s="9">
        <f>I144</f>
        <v>0</v>
      </c>
      <c r="BX144" s="2" t="s">
        <v>200</v>
      </c>
    </row>
    <row r="145" spans="1:76" x14ac:dyDescent="0.25">
      <c r="A145" s="38" t="s">
        <v>338</v>
      </c>
      <c r="B145" s="38" t="s">
        <v>284</v>
      </c>
      <c r="C145" s="38" t="s">
        <v>208</v>
      </c>
      <c r="D145" s="52" t="s">
        <v>209</v>
      </c>
      <c r="E145" s="53"/>
      <c r="F145" s="38" t="s">
        <v>112</v>
      </c>
      <c r="G145" s="39">
        <v>41.4</v>
      </c>
      <c r="H145" s="39"/>
      <c r="I145" s="40"/>
      <c r="J145" s="39"/>
      <c r="K145" s="39"/>
      <c r="L145" s="39"/>
      <c r="M145" s="39"/>
      <c r="N145" s="39">
        <v>3.5599999999999998E-3</v>
      </c>
      <c r="O145" s="39">
        <f>G145*N145</f>
        <v>0.14738399999999999</v>
      </c>
      <c r="P145" s="41"/>
      <c r="Z145" s="9">
        <f>ROUND(IF(AQ145="5",BJ145,0),2)</f>
        <v>0</v>
      </c>
      <c r="AB145" s="9">
        <f>ROUND(IF(AQ145="1",BH145,0),2)</f>
        <v>0</v>
      </c>
      <c r="AC145" s="9">
        <f>ROUND(IF(AQ145="1",BI145,0),2)</f>
        <v>0</v>
      </c>
      <c r="AD145" s="9">
        <f>ROUND(IF(AQ145="7",BH145,0),2)</f>
        <v>0</v>
      </c>
      <c r="AE145" s="9">
        <f>ROUND(IF(AQ145="7",BI145,0),2)</f>
        <v>0</v>
      </c>
      <c r="AF145" s="9">
        <f>ROUND(IF(AQ145="2",BH145,0),2)</f>
        <v>0</v>
      </c>
      <c r="AG145" s="9">
        <f>ROUND(IF(AQ145="2",BI145,0),2)</f>
        <v>0</v>
      </c>
      <c r="AH145" s="9">
        <f>ROUND(IF(AQ145="0",BJ145,0),2)</f>
        <v>0</v>
      </c>
      <c r="AI145" s="7" t="s">
        <v>284</v>
      </c>
      <c r="AJ145" s="9">
        <f>IF(AN145=0,L145,0)</f>
        <v>0</v>
      </c>
      <c r="AK145" s="9">
        <f>IF(AN145=12,L145,0)</f>
        <v>0</v>
      </c>
      <c r="AL145" s="9">
        <f>IF(AN145=21,L145,0)</f>
        <v>0</v>
      </c>
      <c r="AN145" s="9">
        <v>21</v>
      </c>
      <c r="AO145" s="9">
        <f>H145*0</f>
        <v>0</v>
      </c>
      <c r="AP145" s="9">
        <f>H145*(1-0)</f>
        <v>0</v>
      </c>
      <c r="AQ145" s="10" t="s">
        <v>88</v>
      </c>
      <c r="AV145" s="9">
        <f>ROUND(AW145+AX145,2)</f>
        <v>0</v>
      </c>
      <c r="AW145" s="9">
        <f>ROUND(G145*AO145,2)</f>
        <v>0</v>
      </c>
      <c r="AX145" s="9">
        <f>ROUND(G145*AP145,2)</f>
        <v>0</v>
      </c>
      <c r="AY145" s="10" t="s">
        <v>196</v>
      </c>
      <c r="AZ145" s="10" t="s">
        <v>332</v>
      </c>
      <c r="BA145" s="7" t="s">
        <v>288</v>
      </c>
      <c r="BC145" s="9">
        <f>AW145+AX145</f>
        <v>0</v>
      </c>
      <c r="BD145" s="9">
        <f>H145/(100-BE145)*100</f>
        <v>0</v>
      </c>
      <c r="BE145" s="9">
        <v>0</v>
      </c>
      <c r="BF145" s="9">
        <f>O145</f>
        <v>0.14738399999999999</v>
      </c>
      <c r="BH145" s="9">
        <f>G145*AO145</f>
        <v>0</v>
      </c>
      <c r="BI145" s="9">
        <f>G145*AP145</f>
        <v>0</v>
      </c>
      <c r="BJ145" s="9">
        <f>G145*H145</f>
        <v>0</v>
      </c>
      <c r="BK145" s="9"/>
      <c r="BL145" s="9">
        <v>764</v>
      </c>
      <c r="BW145" s="9">
        <f>I145</f>
        <v>0</v>
      </c>
      <c r="BX145" s="2" t="s">
        <v>209</v>
      </c>
    </row>
    <row r="146" spans="1:76" x14ac:dyDescent="0.25">
      <c r="A146" s="38" t="s">
        <v>339</v>
      </c>
      <c r="B146" s="38" t="s">
        <v>284</v>
      </c>
      <c r="C146" s="38" t="s">
        <v>205</v>
      </c>
      <c r="D146" s="52" t="s">
        <v>206</v>
      </c>
      <c r="E146" s="53"/>
      <c r="F146" s="38" t="s">
        <v>112</v>
      </c>
      <c r="G146" s="39">
        <v>41.4</v>
      </c>
      <c r="H146" s="39"/>
      <c r="I146" s="40"/>
      <c r="J146" s="39"/>
      <c r="K146" s="39"/>
      <c r="L146" s="39"/>
      <c r="M146" s="39"/>
      <c r="N146" s="39">
        <v>6.0000000000000002E-5</v>
      </c>
      <c r="O146" s="39">
        <f>G146*N146</f>
        <v>2.4840000000000001E-3</v>
      </c>
      <c r="P146" s="41"/>
      <c r="Z146" s="9">
        <f>ROUND(IF(AQ146="5",BJ146,0),2)</f>
        <v>0</v>
      </c>
      <c r="AB146" s="9">
        <f>ROUND(IF(AQ146="1",BH146,0),2)</f>
        <v>0</v>
      </c>
      <c r="AC146" s="9">
        <f>ROUND(IF(AQ146="1",BI146,0),2)</f>
        <v>0</v>
      </c>
      <c r="AD146" s="9">
        <f>ROUND(IF(AQ146="7",BH146,0),2)</f>
        <v>0</v>
      </c>
      <c r="AE146" s="9">
        <f>ROUND(IF(AQ146="7",BI146,0),2)</f>
        <v>0</v>
      </c>
      <c r="AF146" s="9">
        <f>ROUND(IF(AQ146="2",BH146,0),2)</f>
        <v>0</v>
      </c>
      <c r="AG146" s="9">
        <f>ROUND(IF(AQ146="2",BI146,0),2)</f>
        <v>0</v>
      </c>
      <c r="AH146" s="9">
        <f>ROUND(IF(AQ146="0",BJ146,0),2)</f>
        <v>0</v>
      </c>
      <c r="AI146" s="7" t="s">
        <v>284</v>
      </c>
      <c r="AJ146" s="9">
        <f>IF(AN146=0,L146,0)</f>
        <v>0</v>
      </c>
      <c r="AK146" s="9">
        <f>IF(AN146=12,L146,0)</f>
        <v>0</v>
      </c>
      <c r="AL146" s="9">
        <f>IF(AN146=21,L146,0)</f>
        <v>0</v>
      </c>
      <c r="AN146" s="9">
        <v>21</v>
      </c>
      <c r="AO146" s="9">
        <f>H146*0.113665498</f>
        <v>0</v>
      </c>
      <c r="AP146" s="9">
        <f>H146*(1-0.113665498)</f>
        <v>0</v>
      </c>
      <c r="AQ146" s="10" t="s">
        <v>88</v>
      </c>
      <c r="AV146" s="9">
        <f>ROUND(AW146+AX146,2)</f>
        <v>0</v>
      </c>
      <c r="AW146" s="9">
        <f>ROUND(G146*AO146,2)</f>
        <v>0</v>
      </c>
      <c r="AX146" s="9">
        <f>ROUND(G146*AP146,2)</f>
        <v>0</v>
      </c>
      <c r="AY146" s="10" t="s">
        <v>196</v>
      </c>
      <c r="AZ146" s="10" t="s">
        <v>332</v>
      </c>
      <c r="BA146" s="7" t="s">
        <v>288</v>
      </c>
      <c r="BC146" s="9">
        <f>AW146+AX146</f>
        <v>0</v>
      </c>
      <c r="BD146" s="9">
        <f>H146/(100-BE146)*100</f>
        <v>0</v>
      </c>
      <c r="BE146" s="9">
        <v>0</v>
      </c>
      <c r="BF146" s="9">
        <f>O146</f>
        <v>2.4840000000000001E-3</v>
      </c>
      <c r="BH146" s="9">
        <f>G146*AO146</f>
        <v>0</v>
      </c>
      <c r="BI146" s="9">
        <f>G146*AP146</f>
        <v>0</v>
      </c>
      <c r="BJ146" s="9">
        <f>G146*H146</f>
        <v>0</v>
      </c>
      <c r="BK146" s="9"/>
      <c r="BL146" s="9">
        <v>764</v>
      </c>
      <c r="BW146" s="9">
        <f>I146</f>
        <v>0</v>
      </c>
      <c r="BX146" s="2" t="s">
        <v>206</v>
      </c>
    </row>
    <row r="147" spans="1:76" x14ac:dyDescent="0.25">
      <c r="A147" s="38" t="s">
        <v>340</v>
      </c>
      <c r="B147" s="38" t="s">
        <v>284</v>
      </c>
      <c r="C147" s="38" t="s">
        <v>211</v>
      </c>
      <c r="D147" s="52" t="s">
        <v>212</v>
      </c>
      <c r="E147" s="53"/>
      <c r="F147" s="38" t="s">
        <v>105</v>
      </c>
      <c r="G147" s="39">
        <v>0.5</v>
      </c>
      <c r="H147" s="39"/>
      <c r="I147" s="40"/>
      <c r="J147" s="39"/>
      <c r="K147" s="39"/>
      <c r="L147" s="39"/>
      <c r="M147" s="39"/>
      <c r="N147" s="39">
        <v>0</v>
      </c>
      <c r="O147" s="39">
        <f>G147*N147</f>
        <v>0</v>
      </c>
      <c r="P147" s="41"/>
      <c r="Z147" s="9">
        <f>ROUND(IF(AQ147="5",BJ147,0),2)</f>
        <v>0</v>
      </c>
      <c r="AB147" s="9">
        <f>ROUND(IF(AQ147="1",BH147,0),2)</f>
        <v>0</v>
      </c>
      <c r="AC147" s="9">
        <f>ROUND(IF(AQ147="1",BI147,0),2)</f>
        <v>0</v>
      </c>
      <c r="AD147" s="9">
        <f>ROUND(IF(AQ147="7",BH147,0),2)</f>
        <v>0</v>
      </c>
      <c r="AE147" s="9">
        <f>ROUND(IF(AQ147="7",BI147,0),2)</f>
        <v>0</v>
      </c>
      <c r="AF147" s="9">
        <f>ROUND(IF(AQ147="2",BH147,0),2)</f>
        <v>0</v>
      </c>
      <c r="AG147" s="9">
        <f>ROUND(IF(AQ147="2",BI147,0),2)</f>
        <v>0</v>
      </c>
      <c r="AH147" s="9">
        <f>ROUND(IF(AQ147="0",BJ147,0),2)</f>
        <v>0</v>
      </c>
      <c r="AI147" s="7" t="s">
        <v>284</v>
      </c>
      <c r="AJ147" s="9">
        <f>IF(AN147=0,L147,0)</f>
        <v>0</v>
      </c>
      <c r="AK147" s="9">
        <f>IF(AN147=12,L147,0)</f>
        <v>0</v>
      </c>
      <c r="AL147" s="9">
        <f>IF(AN147=21,L147,0)</f>
        <v>0</v>
      </c>
      <c r="AN147" s="9">
        <v>21</v>
      </c>
      <c r="AO147" s="9">
        <f>H147*0</f>
        <v>0</v>
      </c>
      <c r="AP147" s="9">
        <f>H147*(1-0)</f>
        <v>0</v>
      </c>
      <c r="AQ147" s="10" t="s">
        <v>80</v>
      </c>
      <c r="AV147" s="9">
        <f>ROUND(AW147+AX147,2)</f>
        <v>0</v>
      </c>
      <c r="AW147" s="9">
        <f>ROUND(G147*AO147,2)</f>
        <v>0</v>
      </c>
      <c r="AX147" s="9">
        <f>ROUND(G147*AP147,2)</f>
        <v>0</v>
      </c>
      <c r="AY147" s="10" t="s">
        <v>196</v>
      </c>
      <c r="AZ147" s="10" t="s">
        <v>332</v>
      </c>
      <c r="BA147" s="7" t="s">
        <v>288</v>
      </c>
      <c r="BC147" s="9">
        <f>AW147+AX147</f>
        <v>0</v>
      </c>
      <c r="BD147" s="9">
        <f>H147/(100-BE147)*100</f>
        <v>0</v>
      </c>
      <c r="BE147" s="9">
        <v>0</v>
      </c>
      <c r="BF147" s="9">
        <f>O147</f>
        <v>0</v>
      </c>
      <c r="BH147" s="9">
        <f>G147*AO147</f>
        <v>0</v>
      </c>
      <c r="BI147" s="9">
        <f>G147*AP147</f>
        <v>0</v>
      </c>
      <c r="BJ147" s="9">
        <f>G147*H147</f>
        <v>0</v>
      </c>
      <c r="BK147" s="9"/>
      <c r="BL147" s="9">
        <v>764</v>
      </c>
      <c r="BW147" s="9">
        <f>I147</f>
        <v>0</v>
      </c>
      <c r="BX147" s="2" t="s">
        <v>212</v>
      </c>
    </row>
    <row r="148" spans="1:76" x14ac:dyDescent="0.25">
      <c r="A148" s="34" t="s">
        <v>56</v>
      </c>
      <c r="B148" s="35" t="s">
        <v>284</v>
      </c>
      <c r="C148" s="35" t="s">
        <v>341</v>
      </c>
      <c r="D148" s="57" t="s">
        <v>342</v>
      </c>
      <c r="E148" s="58"/>
      <c r="F148" s="34" t="s">
        <v>4</v>
      </c>
      <c r="G148" s="34" t="s">
        <v>4</v>
      </c>
      <c r="H148" s="34"/>
      <c r="I148" s="34"/>
      <c r="J148" s="36"/>
      <c r="K148" s="36"/>
      <c r="L148" s="36"/>
      <c r="M148" s="36"/>
      <c r="N148" s="37" t="s">
        <v>56</v>
      </c>
      <c r="O148" s="36">
        <f>SUM(O149:O152)</f>
        <v>6.436259999999999</v>
      </c>
      <c r="P148" s="37"/>
      <c r="AI148" s="7" t="s">
        <v>284</v>
      </c>
      <c r="AS148" s="1">
        <f>SUM(AJ149:AJ152)</f>
        <v>0</v>
      </c>
      <c r="AT148" s="1">
        <f>SUM(AK149:AK152)</f>
        <v>0</v>
      </c>
      <c r="AU148" s="1">
        <f>SUM(AL149:AL152)</f>
        <v>0</v>
      </c>
    </row>
    <row r="149" spans="1:76" x14ac:dyDescent="0.25">
      <c r="A149" s="38" t="s">
        <v>343</v>
      </c>
      <c r="B149" s="38" t="s">
        <v>284</v>
      </c>
      <c r="C149" s="38" t="s">
        <v>344</v>
      </c>
      <c r="D149" s="52" t="s">
        <v>345</v>
      </c>
      <c r="E149" s="53"/>
      <c r="F149" s="38" t="s">
        <v>64</v>
      </c>
      <c r="G149" s="39">
        <v>261</v>
      </c>
      <c r="H149" s="39"/>
      <c r="I149" s="40"/>
      <c r="J149" s="39"/>
      <c r="K149" s="39"/>
      <c r="L149" s="39"/>
      <c r="M149" s="39"/>
      <c r="N149" s="39">
        <v>1.7999999999999999E-2</v>
      </c>
      <c r="O149" s="39">
        <f>G149*N149</f>
        <v>4.6979999999999995</v>
      </c>
      <c r="P149" s="41"/>
      <c r="Z149" s="9">
        <f>ROUND(IF(AQ149="5",BJ149,0),2)</f>
        <v>0</v>
      </c>
      <c r="AB149" s="9">
        <f>ROUND(IF(AQ149="1",BH149,0),2)</f>
        <v>0</v>
      </c>
      <c r="AC149" s="9">
        <f>ROUND(IF(AQ149="1",BI149,0),2)</f>
        <v>0</v>
      </c>
      <c r="AD149" s="9">
        <f>ROUND(IF(AQ149="7",BH149,0),2)</f>
        <v>0</v>
      </c>
      <c r="AE149" s="9">
        <f>ROUND(IF(AQ149="7",BI149,0),2)</f>
        <v>0</v>
      </c>
      <c r="AF149" s="9">
        <f>ROUND(IF(AQ149="2",BH149,0),2)</f>
        <v>0</v>
      </c>
      <c r="AG149" s="9">
        <f>ROUND(IF(AQ149="2",BI149,0),2)</f>
        <v>0</v>
      </c>
      <c r="AH149" s="9">
        <f>ROUND(IF(AQ149="0",BJ149,0),2)</f>
        <v>0</v>
      </c>
      <c r="AI149" s="7" t="s">
        <v>284</v>
      </c>
      <c r="AJ149" s="9">
        <f>IF(AN149=0,L149,0)</f>
        <v>0</v>
      </c>
      <c r="AK149" s="9">
        <f>IF(AN149=12,L149,0)</f>
        <v>0</v>
      </c>
      <c r="AL149" s="9">
        <f>IF(AN149=21,L149,0)</f>
        <v>0</v>
      </c>
      <c r="AN149" s="9">
        <v>21</v>
      </c>
      <c r="AO149" s="9">
        <f>H149*0</f>
        <v>0</v>
      </c>
      <c r="AP149" s="9">
        <f>H149*(1-0)</f>
        <v>0</v>
      </c>
      <c r="AQ149" s="10" t="s">
        <v>88</v>
      </c>
      <c r="AV149" s="9">
        <f>ROUND(AW149+AX149,2)</f>
        <v>0</v>
      </c>
      <c r="AW149" s="9">
        <f>ROUND(G149*AO149,2)</f>
        <v>0</v>
      </c>
      <c r="AX149" s="9">
        <f>ROUND(G149*AP149,2)</f>
        <v>0</v>
      </c>
      <c r="AY149" s="10" t="s">
        <v>346</v>
      </c>
      <c r="AZ149" s="10" t="s">
        <v>332</v>
      </c>
      <c r="BA149" s="7" t="s">
        <v>288</v>
      </c>
      <c r="BC149" s="9">
        <f>AW149+AX149</f>
        <v>0</v>
      </c>
      <c r="BD149" s="9">
        <f>H149/(100-BE149)*100</f>
        <v>0</v>
      </c>
      <c r="BE149" s="9">
        <v>0</v>
      </c>
      <c r="BF149" s="9">
        <f>O149</f>
        <v>4.6979999999999995</v>
      </c>
      <c r="BH149" s="9">
        <f>G149*AO149</f>
        <v>0</v>
      </c>
      <c r="BI149" s="9">
        <f>G149*AP149</f>
        <v>0</v>
      </c>
      <c r="BJ149" s="9">
        <f>G149*H149</f>
        <v>0</v>
      </c>
      <c r="BK149" s="9"/>
      <c r="BL149" s="9">
        <v>765</v>
      </c>
      <c r="BW149" s="9">
        <f>I149</f>
        <v>0</v>
      </c>
      <c r="BX149" s="2" t="s">
        <v>345</v>
      </c>
    </row>
    <row r="150" spans="1:76" x14ac:dyDescent="0.25">
      <c r="A150" s="38" t="s">
        <v>347</v>
      </c>
      <c r="B150" s="38" t="s">
        <v>284</v>
      </c>
      <c r="C150" s="38" t="s">
        <v>348</v>
      </c>
      <c r="D150" s="52" t="s">
        <v>349</v>
      </c>
      <c r="E150" s="53"/>
      <c r="F150" s="38" t="s">
        <v>64</v>
      </c>
      <c r="G150" s="39">
        <v>261</v>
      </c>
      <c r="H150" s="39"/>
      <c r="I150" s="40"/>
      <c r="J150" s="39"/>
      <c r="K150" s="39"/>
      <c r="L150" s="39"/>
      <c r="M150" s="39"/>
      <c r="N150" s="39">
        <v>1E-4</v>
      </c>
      <c r="O150" s="39">
        <f>G150*N150</f>
        <v>2.6100000000000002E-2</v>
      </c>
      <c r="P150" s="41"/>
      <c r="Z150" s="9">
        <f>ROUND(IF(AQ150="5",BJ150,0),2)</f>
        <v>0</v>
      </c>
      <c r="AB150" s="9">
        <f>ROUND(IF(AQ150="1",BH150,0),2)</f>
        <v>0</v>
      </c>
      <c r="AC150" s="9">
        <f>ROUND(IF(AQ150="1",BI150,0),2)</f>
        <v>0</v>
      </c>
      <c r="AD150" s="9">
        <f>ROUND(IF(AQ150="7",BH150,0),2)</f>
        <v>0</v>
      </c>
      <c r="AE150" s="9">
        <f>ROUND(IF(AQ150="7",BI150,0),2)</f>
        <v>0</v>
      </c>
      <c r="AF150" s="9">
        <f>ROUND(IF(AQ150="2",BH150,0),2)</f>
        <v>0</v>
      </c>
      <c r="AG150" s="9">
        <f>ROUND(IF(AQ150="2",BI150,0),2)</f>
        <v>0</v>
      </c>
      <c r="AH150" s="9">
        <f>ROUND(IF(AQ150="0",BJ150,0),2)</f>
        <v>0</v>
      </c>
      <c r="AI150" s="7" t="s">
        <v>284</v>
      </c>
      <c r="AJ150" s="9">
        <f>IF(AN150=0,L150,0)</f>
        <v>0</v>
      </c>
      <c r="AK150" s="9">
        <f>IF(AN150=12,L150,0)</f>
        <v>0</v>
      </c>
      <c r="AL150" s="9">
        <f>IF(AN150=21,L150,0)</f>
        <v>0</v>
      </c>
      <c r="AN150" s="9">
        <v>21</v>
      </c>
      <c r="AO150" s="9">
        <f>H150*0.014171226</f>
        <v>0</v>
      </c>
      <c r="AP150" s="9">
        <f>H150*(1-0.014171226)</f>
        <v>0</v>
      </c>
      <c r="AQ150" s="10" t="s">
        <v>88</v>
      </c>
      <c r="AV150" s="9">
        <f>ROUND(AW150+AX150,2)</f>
        <v>0</v>
      </c>
      <c r="AW150" s="9">
        <f>ROUND(G150*AO150,2)</f>
        <v>0</v>
      </c>
      <c r="AX150" s="9">
        <f>ROUND(G150*AP150,2)</f>
        <v>0</v>
      </c>
      <c r="AY150" s="10" t="s">
        <v>346</v>
      </c>
      <c r="AZ150" s="10" t="s">
        <v>332</v>
      </c>
      <c r="BA150" s="7" t="s">
        <v>288</v>
      </c>
      <c r="BC150" s="9">
        <f>AW150+AX150</f>
        <v>0</v>
      </c>
      <c r="BD150" s="9">
        <f>H150/(100-BE150)*100</f>
        <v>0</v>
      </c>
      <c r="BE150" s="9">
        <v>0</v>
      </c>
      <c r="BF150" s="9">
        <f>O150</f>
        <v>2.6100000000000002E-2</v>
      </c>
      <c r="BH150" s="9">
        <f>G150*AO150</f>
        <v>0</v>
      </c>
      <c r="BI150" s="9">
        <f>G150*AP150</f>
        <v>0</v>
      </c>
      <c r="BJ150" s="9">
        <f>G150*H150</f>
        <v>0</v>
      </c>
      <c r="BK150" s="9"/>
      <c r="BL150" s="9">
        <v>765</v>
      </c>
      <c r="BW150" s="9">
        <f>I150</f>
        <v>0</v>
      </c>
      <c r="BX150" s="2" t="s">
        <v>349</v>
      </c>
    </row>
    <row r="151" spans="1:76" x14ac:dyDescent="0.25">
      <c r="A151" s="38" t="s">
        <v>350</v>
      </c>
      <c r="B151" s="38" t="s">
        <v>284</v>
      </c>
      <c r="C151" s="38" t="s">
        <v>351</v>
      </c>
      <c r="D151" s="52" t="s">
        <v>352</v>
      </c>
      <c r="E151" s="53"/>
      <c r="F151" s="38" t="s">
        <v>64</v>
      </c>
      <c r="G151" s="39">
        <v>261</v>
      </c>
      <c r="H151" s="39"/>
      <c r="I151" s="40"/>
      <c r="J151" s="39"/>
      <c r="K151" s="39"/>
      <c r="L151" s="39"/>
      <c r="M151" s="39"/>
      <c r="N151" s="39">
        <v>6.0999999999999997E-4</v>
      </c>
      <c r="O151" s="39">
        <f>G151*N151</f>
        <v>0.15920999999999999</v>
      </c>
      <c r="P151" s="41"/>
      <c r="Z151" s="9">
        <f>ROUND(IF(AQ151="5",BJ151,0),2)</f>
        <v>0</v>
      </c>
      <c r="AB151" s="9">
        <f>ROUND(IF(AQ151="1",BH151,0),2)</f>
        <v>0</v>
      </c>
      <c r="AC151" s="9">
        <f>ROUND(IF(AQ151="1",BI151,0),2)</f>
        <v>0</v>
      </c>
      <c r="AD151" s="9">
        <f>ROUND(IF(AQ151="7",BH151,0),2)</f>
        <v>0</v>
      </c>
      <c r="AE151" s="9">
        <f>ROUND(IF(AQ151="7",BI151,0),2)</f>
        <v>0</v>
      </c>
      <c r="AF151" s="9">
        <f>ROUND(IF(AQ151="2",BH151,0),2)</f>
        <v>0</v>
      </c>
      <c r="AG151" s="9">
        <f>ROUND(IF(AQ151="2",BI151,0),2)</f>
        <v>0</v>
      </c>
      <c r="AH151" s="9">
        <f>ROUND(IF(AQ151="0",BJ151,0),2)</f>
        <v>0</v>
      </c>
      <c r="AI151" s="7" t="s">
        <v>284</v>
      </c>
      <c r="AJ151" s="9">
        <f>IF(AN151=0,L151,0)</f>
        <v>0</v>
      </c>
      <c r="AK151" s="9">
        <f>IF(AN151=12,L151,0)</f>
        <v>0</v>
      </c>
      <c r="AL151" s="9">
        <f>IF(AN151=21,L151,0)</f>
        <v>0</v>
      </c>
      <c r="AN151" s="9">
        <v>21</v>
      </c>
      <c r="AO151" s="9">
        <f>H151*0.628954345</f>
        <v>0</v>
      </c>
      <c r="AP151" s="9">
        <f>H151*(1-0.628954345)</f>
        <v>0</v>
      </c>
      <c r="AQ151" s="10" t="s">
        <v>88</v>
      </c>
      <c r="AV151" s="9">
        <f>ROUND(AW151+AX151,2)</f>
        <v>0</v>
      </c>
      <c r="AW151" s="9">
        <f>ROUND(G151*AO151,2)</f>
        <v>0</v>
      </c>
      <c r="AX151" s="9">
        <f>ROUND(G151*AP151,2)</f>
        <v>0</v>
      </c>
      <c r="AY151" s="10" t="s">
        <v>346</v>
      </c>
      <c r="AZ151" s="10" t="s">
        <v>332</v>
      </c>
      <c r="BA151" s="7" t="s">
        <v>288</v>
      </c>
      <c r="BC151" s="9">
        <f>AW151+AX151</f>
        <v>0</v>
      </c>
      <c r="BD151" s="9">
        <f>H151/(100-BE151)*100</f>
        <v>0</v>
      </c>
      <c r="BE151" s="9">
        <v>0</v>
      </c>
      <c r="BF151" s="9">
        <f>O151</f>
        <v>0.15920999999999999</v>
      </c>
      <c r="BH151" s="9">
        <f>G151*AO151</f>
        <v>0</v>
      </c>
      <c r="BI151" s="9">
        <f>G151*AP151</f>
        <v>0</v>
      </c>
      <c r="BJ151" s="9">
        <f>G151*H151</f>
        <v>0</v>
      </c>
      <c r="BK151" s="9"/>
      <c r="BL151" s="9">
        <v>765</v>
      </c>
      <c r="BW151" s="9">
        <f>I151</f>
        <v>0</v>
      </c>
      <c r="BX151" s="2" t="s">
        <v>353</v>
      </c>
    </row>
    <row r="152" spans="1:76" x14ac:dyDescent="0.25">
      <c r="A152" s="38" t="s">
        <v>354</v>
      </c>
      <c r="B152" s="38" t="s">
        <v>284</v>
      </c>
      <c r="C152" s="38" t="s">
        <v>355</v>
      </c>
      <c r="D152" s="52" t="s">
        <v>356</v>
      </c>
      <c r="E152" s="53"/>
      <c r="F152" s="38" t="s">
        <v>83</v>
      </c>
      <c r="G152" s="39">
        <v>4437</v>
      </c>
      <c r="H152" s="39"/>
      <c r="I152" s="40"/>
      <c r="J152" s="39"/>
      <c r="K152" s="39"/>
      <c r="L152" s="39"/>
      <c r="M152" s="39"/>
      <c r="N152" s="39">
        <v>3.5E-4</v>
      </c>
      <c r="O152" s="39">
        <f>G152*N152</f>
        <v>1.5529500000000001</v>
      </c>
      <c r="P152" s="41"/>
      <c r="Z152" s="9">
        <f>ROUND(IF(AQ152="5",BJ152,0),2)</f>
        <v>0</v>
      </c>
      <c r="AB152" s="9">
        <f>ROUND(IF(AQ152="1",BH152,0),2)</f>
        <v>0</v>
      </c>
      <c r="AC152" s="9">
        <f>ROUND(IF(AQ152="1",BI152,0),2)</f>
        <v>0</v>
      </c>
      <c r="AD152" s="9">
        <f>ROUND(IF(AQ152="7",BH152,0),2)</f>
        <v>0</v>
      </c>
      <c r="AE152" s="9">
        <f>ROUND(IF(AQ152="7",BI152,0),2)</f>
        <v>0</v>
      </c>
      <c r="AF152" s="9">
        <f>ROUND(IF(AQ152="2",BH152,0),2)</f>
        <v>0</v>
      </c>
      <c r="AG152" s="9">
        <f>ROUND(IF(AQ152="2",BI152,0),2)</f>
        <v>0</v>
      </c>
      <c r="AH152" s="9">
        <f>ROUND(IF(AQ152="0",BJ152,0),2)</f>
        <v>0</v>
      </c>
      <c r="AI152" s="7" t="s">
        <v>284</v>
      </c>
      <c r="AJ152" s="9">
        <f>IF(AN152=0,L152,0)</f>
        <v>0</v>
      </c>
      <c r="AK152" s="9">
        <f>IF(AN152=12,L152,0)</f>
        <v>0</v>
      </c>
      <c r="AL152" s="9">
        <f>IF(AN152=21,L152,0)</f>
        <v>0</v>
      </c>
      <c r="AN152" s="9">
        <v>21</v>
      </c>
      <c r="AO152" s="9">
        <f>H152*1</f>
        <v>0</v>
      </c>
      <c r="AP152" s="9">
        <f>H152*(1-1)</f>
        <v>0</v>
      </c>
      <c r="AQ152" s="10" t="s">
        <v>88</v>
      </c>
      <c r="AV152" s="9">
        <f>ROUND(AW152+AX152,2)</f>
        <v>0</v>
      </c>
      <c r="AW152" s="9">
        <f>ROUND(G152*AO152,2)</f>
        <v>0</v>
      </c>
      <c r="AX152" s="9">
        <f>ROUND(G152*AP152,2)</f>
        <v>0</v>
      </c>
      <c r="AY152" s="10" t="s">
        <v>346</v>
      </c>
      <c r="AZ152" s="10" t="s">
        <v>332</v>
      </c>
      <c r="BA152" s="7" t="s">
        <v>288</v>
      </c>
      <c r="BC152" s="9">
        <f>AW152+AX152</f>
        <v>0</v>
      </c>
      <c r="BD152" s="9">
        <f>H152/(100-BE152)*100</f>
        <v>0</v>
      </c>
      <c r="BE152" s="9">
        <v>0</v>
      </c>
      <c r="BF152" s="9">
        <f>O152</f>
        <v>1.5529500000000001</v>
      </c>
      <c r="BH152" s="9">
        <f>G152*AO152</f>
        <v>0</v>
      </c>
      <c r="BI152" s="9">
        <f>G152*AP152</f>
        <v>0</v>
      </c>
      <c r="BJ152" s="9">
        <f>G152*H152</f>
        <v>0</v>
      </c>
      <c r="BK152" s="9"/>
      <c r="BL152" s="9">
        <v>765</v>
      </c>
      <c r="BW152" s="9">
        <f>I152</f>
        <v>0</v>
      </c>
      <c r="BX152" s="2" t="s">
        <v>357</v>
      </c>
    </row>
    <row r="153" spans="1:76" x14ac:dyDescent="0.25">
      <c r="A153" s="34" t="s">
        <v>56</v>
      </c>
      <c r="B153" s="35" t="s">
        <v>284</v>
      </c>
      <c r="C153" s="35" t="s">
        <v>358</v>
      </c>
      <c r="D153" s="57" t="s">
        <v>359</v>
      </c>
      <c r="E153" s="58"/>
      <c r="F153" s="34" t="s">
        <v>4</v>
      </c>
      <c r="G153" s="34" t="s">
        <v>4</v>
      </c>
      <c r="H153" s="34"/>
      <c r="I153" s="34"/>
      <c r="J153" s="36"/>
      <c r="K153" s="36"/>
      <c r="L153" s="36"/>
      <c r="M153" s="36"/>
      <c r="N153" s="37" t="s">
        <v>56</v>
      </c>
      <c r="O153" s="36">
        <f>SUM(O154:O154)</f>
        <v>0.63025200000000003</v>
      </c>
      <c r="P153" s="37"/>
      <c r="AI153" s="7" t="s">
        <v>284</v>
      </c>
      <c r="AS153" s="1">
        <f>SUM(AJ154:AJ154)</f>
        <v>0</v>
      </c>
      <c r="AT153" s="1">
        <f>SUM(AK154:AK154)</f>
        <v>0</v>
      </c>
      <c r="AU153" s="1">
        <f>SUM(AL154:AL154)</f>
        <v>0</v>
      </c>
    </row>
    <row r="154" spans="1:76" x14ac:dyDescent="0.25">
      <c r="A154" s="38" t="s">
        <v>360</v>
      </c>
      <c r="B154" s="38" t="s">
        <v>284</v>
      </c>
      <c r="C154" s="38" t="s">
        <v>361</v>
      </c>
      <c r="D154" s="52" t="s">
        <v>362</v>
      </c>
      <c r="E154" s="53"/>
      <c r="F154" s="38" t="s">
        <v>64</v>
      </c>
      <c r="G154" s="39">
        <v>57.4</v>
      </c>
      <c r="H154" s="39"/>
      <c r="I154" s="40"/>
      <c r="J154" s="39"/>
      <c r="K154" s="39"/>
      <c r="L154" s="39"/>
      <c r="M154" s="39"/>
      <c r="N154" s="39">
        <v>1.098E-2</v>
      </c>
      <c r="O154" s="39">
        <f>G154*N154</f>
        <v>0.63025200000000003</v>
      </c>
      <c r="P154" s="41"/>
      <c r="Z154" s="9">
        <f>ROUND(IF(AQ154="5",BJ154,0),2)</f>
        <v>0</v>
      </c>
      <c r="AB154" s="9">
        <f>ROUND(IF(AQ154="1",BH154,0),2)</f>
        <v>0</v>
      </c>
      <c r="AC154" s="9">
        <f>ROUND(IF(AQ154="1",BI154,0),2)</f>
        <v>0</v>
      </c>
      <c r="AD154" s="9">
        <f>ROUND(IF(AQ154="7",BH154,0),2)</f>
        <v>0</v>
      </c>
      <c r="AE154" s="9">
        <f>ROUND(IF(AQ154="7",BI154,0),2)</f>
        <v>0</v>
      </c>
      <c r="AF154" s="9">
        <f>ROUND(IF(AQ154="2",BH154,0),2)</f>
        <v>0</v>
      </c>
      <c r="AG154" s="9">
        <f>ROUND(IF(AQ154="2",BI154,0),2)</f>
        <v>0</v>
      </c>
      <c r="AH154" s="9">
        <f>ROUND(IF(AQ154="0",BJ154,0),2)</f>
        <v>0</v>
      </c>
      <c r="AI154" s="7" t="s">
        <v>284</v>
      </c>
      <c r="AJ154" s="9">
        <f>IF(AN154=0,L154,0)</f>
        <v>0</v>
      </c>
      <c r="AK154" s="9">
        <f>IF(AN154=12,L154,0)</f>
        <v>0</v>
      </c>
      <c r="AL154" s="9">
        <f>IF(AN154=21,L154,0)</f>
        <v>0</v>
      </c>
      <c r="AN154" s="9">
        <v>21</v>
      </c>
      <c r="AO154" s="9">
        <f>H154*0</f>
        <v>0</v>
      </c>
      <c r="AP154" s="9">
        <f>H154*(1-0)</f>
        <v>0</v>
      </c>
      <c r="AQ154" s="10" t="s">
        <v>88</v>
      </c>
      <c r="AV154" s="9">
        <f>ROUND(AW154+AX154,2)</f>
        <v>0</v>
      </c>
      <c r="AW154" s="9">
        <f>ROUND(G154*AO154,2)</f>
        <v>0</v>
      </c>
      <c r="AX154" s="9">
        <f>ROUND(G154*AP154,2)</f>
        <v>0</v>
      </c>
      <c r="AY154" s="10" t="s">
        <v>363</v>
      </c>
      <c r="AZ154" s="10" t="s">
        <v>332</v>
      </c>
      <c r="BA154" s="7" t="s">
        <v>288</v>
      </c>
      <c r="BC154" s="9">
        <f>AW154+AX154</f>
        <v>0</v>
      </c>
      <c r="BD154" s="9">
        <f>H154/(100-BE154)*100</f>
        <v>0</v>
      </c>
      <c r="BE154" s="9">
        <v>0</v>
      </c>
      <c r="BF154" s="9">
        <f>O154</f>
        <v>0.63025200000000003</v>
      </c>
      <c r="BH154" s="9">
        <f>G154*AO154</f>
        <v>0</v>
      </c>
      <c r="BI154" s="9">
        <f>G154*AP154</f>
        <v>0</v>
      </c>
      <c r="BJ154" s="9">
        <f>G154*H154</f>
        <v>0</v>
      </c>
      <c r="BK154" s="9"/>
      <c r="BL154" s="9">
        <v>766</v>
      </c>
      <c r="BW154" s="9">
        <f>I154</f>
        <v>0</v>
      </c>
      <c r="BX154" s="2" t="s">
        <v>362</v>
      </c>
    </row>
    <row r="155" spans="1:76" x14ac:dyDescent="0.25">
      <c r="A155" s="34" t="s">
        <v>56</v>
      </c>
      <c r="B155" s="35" t="s">
        <v>284</v>
      </c>
      <c r="C155" s="35" t="s">
        <v>364</v>
      </c>
      <c r="D155" s="57" t="s">
        <v>365</v>
      </c>
      <c r="E155" s="58"/>
      <c r="F155" s="34" t="s">
        <v>4</v>
      </c>
      <c r="G155" s="34" t="s">
        <v>4</v>
      </c>
      <c r="H155" s="34"/>
      <c r="I155" s="34"/>
      <c r="J155" s="36"/>
      <c r="K155" s="36"/>
      <c r="L155" s="36"/>
      <c r="M155" s="36"/>
      <c r="N155" s="37" t="s">
        <v>56</v>
      </c>
      <c r="O155" s="36">
        <f>SUM(O156:O156)</f>
        <v>3.3374999999999999</v>
      </c>
      <c r="P155" s="37"/>
      <c r="AI155" s="7" t="s">
        <v>284</v>
      </c>
      <c r="AS155" s="1">
        <f>SUM(AJ156:AJ156)</f>
        <v>0</v>
      </c>
      <c r="AT155" s="1">
        <f>SUM(AK156:AK156)</f>
        <v>0</v>
      </c>
      <c r="AU155" s="1">
        <f>SUM(AL156:AL156)</f>
        <v>0</v>
      </c>
    </row>
    <row r="156" spans="1:76" x14ac:dyDescent="0.25">
      <c r="A156" s="38" t="s">
        <v>366</v>
      </c>
      <c r="B156" s="38" t="s">
        <v>284</v>
      </c>
      <c r="C156" s="38" t="s">
        <v>367</v>
      </c>
      <c r="D156" s="52" t="s">
        <v>368</v>
      </c>
      <c r="E156" s="53"/>
      <c r="F156" s="38" t="s">
        <v>64</v>
      </c>
      <c r="G156" s="39">
        <v>37.5</v>
      </c>
      <c r="H156" s="39"/>
      <c r="I156" s="40"/>
      <c r="J156" s="39"/>
      <c r="K156" s="39"/>
      <c r="L156" s="39"/>
      <c r="M156" s="39"/>
      <c r="N156" s="39">
        <v>8.8999999999999996E-2</v>
      </c>
      <c r="O156" s="39">
        <f>G156*N156</f>
        <v>3.3374999999999999</v>
      </c>
      <c r="P156" s="41"/>
      <c r="Z156" s="9">
        <f>ROUND(IF(AQ156="5",BJ156,0),2)</f>
        <v>0</v>
      </c>
      <c r="AB156" s="9">
        <f>ROUND(IF(AQ156="1",BH156,0),2)</f>
        <v>0</v>
      </c>
      <c r="AC156" s="9">
        <f>ROUND(IF(AQ156="1",BI156,0),2)</f>
        <v>0</v>
      </c>
      <c r="AD156" s="9">
        <f>ROUND(IF(AQ156="7",BH156,0),2)</f>
        <v>0</v>
      </c>
      <c r="AE156" s="9">
        <f>ROUND(IF(AQ156="7",BI156,0),2)</f>
        <v>0</v>
      </c>
      <c r="AF156" s="9">
        <f>ROUND(IF(AQ156="2",BH156,0),2)</f>
        <v>0</v>
      </c>
      <c r="AG156" s="9">
        <f>ROUND(IF(AQ156="2",BI156,0),2)</f>
        <v>0</v>
      </c>
      <c r="AH156" s="9">
        <f>ROUND(IF(AQ156="0",BJ156,0),2)</f>
        <v>0</v>
      </c>
      <c r="AI156" s="7" t="s">
        <v>284</v>
      </c>
      <c r="AJ156" s="9">
        <f>IF(AN156=0,L156,0)</f>
        <v>0</v>
      </c>
      <c r="AK156" s="9">
        <f>IF(AN156=12,L156,0)</f>
        <v>0</v>
      </c>
      <c r="AL156" s="9">
        <f>IF(AN156=21,L156,0)</f>
        <v>0</v>
      </c>
      <c r="AN156" s="9">
        <v>21</v>
      </c>
      <c r="AO156" s="9">
        <f>H156*0</f>
        <v>0</v>
      </c>
      <c r="AP156" s="9">
        <f>H156*(1-0)</f>
        <v>0</v>
      </c>
      <c r="AQ156" s="10" t="s">
        <v>88</v>
      </c>
      <c r="AV156" s="9">
        <f>ROUND(AW156+AX156,2)</f>
        <v>0</v>
      </c>
      <c r="AW156" s="9">
        <f>ROUND(G156*AO156,2)</f>
        <v>0</v>
      </c>
      <c r="AX156" s="9">
        <f>ROUND(G156*AP156,2)</f>
        <v>0</v>
      </c>
      <c r="AY156" s="10" t="s">
        <v>369</v>
      </c>
      <c r="AZ156" s="10" t="s">
        <v>370</v>
      </c>
      <c r="BA156" s="7" t="s">
        <v>288</v>
      </c>
      <c r="BC156" s="9">
        <f>AW156+AX156</f>
        <v>0</v>
      </c>
      <c r="BD156" s="9">
        <f>H156/(100-BE156)*100</f>
        <v>0</v>
      </c>
      <c r="BE156" s="9">
        <v>0</v>
      </c>
      <c r="BF156" s="9">
        <f>O156</f>
        <v>3.3374999999999999</v>
      </c>
      <c r="BH156" s="9">
        <f>G156*AO156</f>
        <v>0</v>
      </c>
      <c r="BI156" s="9">
        <f>G156*AP156</f>
        <v>0</v>
      </c>
      <c r="BJ156" s="9">
        <f>G156*H156</f>
        <v>0</v>
      </c>
      <c r="BK156" s="9"/>
      <c r="BL156" s="9">
        <v>781</v>
      </c>
      <c r="BW156" s="9">
        <f>I156</f>
        <v>0</v>
      </c>
      <c r="BX156" s="2" t="s">
        <v>368</v>
      </c>
    </row>
    <row r="157" spans="1:76" x14ac:dyDescent="0.25">
      <c r="A157" s="34" t="s">
        <v>56</v>
      </c>
      <c r="B157" s="35" t="s">
        <v>284</v>
      </c>
      <c r="C157" s="35" t="s">
        <v>371</v>
      </c>
      <c r="D157" s="57" t="s">
        <v>372</v>
      </c>
      <c r="E157" s="58"/>
      <c r="F157" s="34" t="s">
        <v>4</v>
      </c>
      <c r="G157" s="34" t="s">
        <v>4</v>
      </c>
      <c r="H157" s="34"/>
      <c r="I157" s="34"/>
      <c r="J157" s="36"/>
      <c r="K157" s="36"/>
      <c r="L157" s="36"/>
      <c r="M157" s="36"/>
      <c r="N157" s="37" t="s">
        <v>56</v>
      </c>
      <c r="O157" s="36">
        <f>SUM(O158:O159)</f>
        <v>0.13336499999999998</v>
      </c>
      <c r="P157" s="37"/>
      <c r="AI157" s="7" t="s">
        <v>284</v>
      </c>
      <c r="AS157" s="1">
        <f>SUM(AJ158:AJ159)</f>
        <v>0</v>
      </c>
      <c r="AT157" s="1">
        <f>SUM(AK158:AK159)</f>
        <v>0</v>
      </c>
      <c r="AU157" s="1">
        <f>SUM(AL158:AL159)</f>
        <v>0</v>
      </c>
    </row>
    <row r="158" spans="1:76" x14ac:dyDescent="0.25">
      <c r="A158" s="38" t="s">
        <v>373</v>
      </c>
      <c r="B158" s="38" t="s">
        <v>284</v>
      </c>
      <c r="C158" s="38" t="s">
        <v>374</v>
      </c>
      <c r="D158" s="52" t="s">
        <v>375</v>
      </c>
      <c r="E158" s="53"/>
      <c r="F158" s="38" t="s">
        <v>64</v>
      </c>
      <c r="G158" s="39">
        <v>37.5</v>
      </c>
      <c r="H158" s="39"/>
      <c r="I158" s="40"/>
      <c r="J158" s="39"/>
      <c r="K158" s="39"/>
      <c r="L158" s="39"/>
      <c r="M158" s="39"/>
      <c r="N158" s="39">
        <v>1.4999999999999999E-4</v>
      </c>
      <c r="O158" s="39">
        <f>G158*N158</f>
        <v>5.6249999999999998E-3</v>
      </c>
      <c r="P158" s="41"/>
      <c r="Z158" s="9">
        <f>ROUND(IF(AQ158="5",BJ158,0),2)</f>
        <v>0</v>
      </c>
      <c r="AB158" s="9">
        <f>ROUND(IF(AQ158="1",BH158,0),2)</f>
        <v>0</v>
      </c>
      <c r="AC158" s="9">
        <f>ROUND(IF(AQ158="1",BI158,0),2)</f>
        <v>0</v>
      </c>
      <c r="AD158" s="9">
        <f>ROUND(IF(AQ158="7",BH158,0),2)</f>
        <v>0</v>
      </c>
      <c r="AE158" s="9">
        <f>ROUND(IF(AQ158="7",BI158,0),2)</f>
        <v>0</v>
      </c>
      <c r="AF158" s="9">
        <f>ROUND(IF(AQ158="2",BH158,0),2)</f>
        <v>0</v>
      </c>
      <c r="AG158" s="9">
        <f>ROUND(IF(AQ158="2",BI158,0),2)</f>
        <v>0</v>
      </c>
      <c r="AH158" s="9">
        <f>ROUND(IF(AQ158="0",BJ158,0),2)</f>
        <v>0</v>
      </c>
      <c r="AI158" s="7" t="s">
        <v>284</v>
      </c>
      <c r="AJ158" s="9">
        <f>IF(AN158=0,L158,0)</f>
        <v>0</v>
      </c>
      <c r="AK158" s="9">
        <f>IF(AN158=12,L158,0)</f>
        <v>0</v>
      </c>
      <c r="AL158" s="9">
        <f>IF(AN158=21,L158,0)</f>
        <v>0</v>
      </c>
      <c r="AN158" s="9">
        <v>21</v>
      </c>
      <c r="AO158" s="9">
        <f>H158*0.402395892</f>
        <v>0</v>
      </c>
      <c r="AP158" s="9">
        <f>H158*(1-0.402395892)</f>
        <v>0</v>
      </c>
      <c r="AQ158" s="10" t="s">
        <v>88</v>
      </c>
      <c r="AV158" s="9">
        <f>ROUND(AW158+AX158,2)</f>
        <v>0</v>
      </c>
      <c r="AW158" s="9">
        <f>ROUND(G158*AO158,2)</f>
        <v>0</v>
      </c>
      <c r="AX158" s="9">
        <f>ROUND(G158*AP158,2)</f>
        <v>0</v>
      </c>
      <c r="AY158" s="10" t="s">
        <v>376</v>
      </c>
      <c r="AZ158" s="10" t="s">
        <v>370</v>
      </c>
      <c r="BA158" s="7" t="s">
        <v>288</v>
      </c>
      <c r="BC158" s="9">
        <f>AW158+AX158</f>
        <v>0</v>
      </c>
      <c r="BD158" s="9">
        <f>H158/(100-BE158)*100</f>
        <v>0</v>
      </c>
      <c r="BE158" s="9">
        <v>0</v>
      </c>
      <c r="BF158" s="9">
        <f>O158</f>
        <v>5.6249999999999998E-3</v>
      </c>
      <c r="BH158" s="9">
        <f>G158*AO158</f>
        <v>0</v>
      </c>
      <c r="BI158" s="9">
        <f>G158*AP158</f>
        <v>0</v>
      </c>
      <c r="BJ158" s="9">
        <f>G158*H158</f>
        <v>0</v>
      </c>
      <c r="BK158" s="9"/>
      <c r="BL158" s="9">
        <v>784</v>
      </c>
      <c r="BW158" s="9">
        <f>I158</f>
        <v>0</v>
      </c>
      <c r="BX158" s="2" t="s">
        <v>375</v>
      </c>
    </row>
    <row r="159" spans="1:76" x14ac:dyDescent="0.25">
      <c r="A159" s="38" t="s">
        <v>377</v>
      </c>
      <c r="B159" s="38" t="s">
        <v>284</v>
      </c>
      <c r="C159" s="38" t="s">
        <v>374</v>
      </c>
      <c r="D159" s="52" t="s">
        <v>378</v>
      </c>
      <c r="E159" s="53"/>
      <c r="F159" s="38" t="s">
        <v>64</v>
      </c>
      <c r="G159" s="39">
        <v>851.6</v>
      </c>
      <c r="H159" s="39"/>
      <c r="I159" s="40"/>
      <c r="J159" s="39"/>
      <c r="K159" s="39"/>
      <c r="L159" s="39"/>
      <c r="M159" s="39"/>
      <c r="N159" s="39">
        <v>1.4999999999999999E-4</v>
      </c>
      <c r="O159" s="39">
        <f>G159*N159</f>
        <v>0.12773999999999999</v>
      </c>
      <c r="P159" s="41"/>
      <c r="Z159" s="9">
        <f>ROUND(IF(AQ159="5",BJ159,0),2)</f>
        <v>0</v>
      </c>
      <c r="AB159" s="9">
        <f>ROUND(IF(AQ159="1",BH159,0),2)</f>
        <v>0</v>
      </c>
      <c r="AC159" s="9">
        <f>ROUND(IF(AQ159="1",BI159,0),2)</f>
        <v>0</v>
      </c>
      <c r="AD159" s="9">
        <f>ROUND(IF(AQ159="7",BH159,0),2)</f>
        <v>0</v>
      </c>
      <c r="AE159" s="9">
        <f>ROUND(IF(AQ159="7",BI159,0),2)</f>
        <v>0</v>
      </c>
      <c r="AF159" s="9">
        <f>ROUND(IF(AQ159="2",BH159,0),2)</f>
        <v>0</v>
      </c>
      <c r="AG159" s="9">
        <f>ROUND(IF(AQ159="2",BI159,0),2)</f>
        <v>0</v>
      </c>
      <c r="AH159" s="9">
        <f>ROUND(IF(AQ159="0",BJ159,0),2)</f>
        <v>0</v>
      </c>
      <c r="AI159" s="7" t="s">
        <v>284</v>
      </c>
      <c r="AJ159" s="9">
        <f>IF(AN159=0,L159,0)</f>
        <v>0</v>
      </c>
      <c r="AK159" s="9">
        <f>IF(AN159=12,L159,0)</f>
        <v>0</v>
      </c>
      <c r="AL159" s="9">
        <f>IF(AN159=21,L159,0)</f>
        <v>0</v>
      </c>
      <c r="AN159" s="9">
        <v>21</v>
      </c>
      <c r="AO159" s="9">
        <f>H159*0.402397797</f>
        <v>0</v>
      </c>
      <c r="AP159" s="9">
        <f>H159*(1-0.402397797)</f>
        <v>0</v>
      </c>
      <c r="AQ159" s="10" t="s">
        <v>88</v>
      </c>
      <c r="AV159" s="9">
        <f>ROUND(AW159+AX159,2)</f>
        <v>0</v>
      </c>
      <c r="AW159" s="9">
        <f>ROUND(G159*AO159,2)</f>
        <v>0</v>
      </c>
      <c r="AX159" s="9">
        <f>ROUND(G159*AP159,2)</f>
        <v>0</v>
      </c>
      <c r="AY159" s="10" t="s">
        <v>376</v>
      </c>
      <c r="AZ159" s="10" t="s">
        <v>370</v>
      </c>
      <c r="BA159" s="7" t="s">
        <v>288</v>
      </c>
      <c r="BC159" s="9">
        <f>AW159+AX159</f>
        <v>0</v>
      </c>
      <c r="BD159" s="9">
        <f>H159/(100-BE159)*100</f>
        <v>0</v>
      </c>
      <c r="BE159" s="9">
        <v>0</v>
      </c>
      <c r="BF159" s="9">
        <f>O159</f>
        <v>0.12773999999999999</v>
      </c>
      <c r="BH159" s="9">
        <f>G159*AO159</f>
        <v>0</v>
      </c>
      <c r="BI159" s="9">
        <f>G159*AP159</f>
        <v>0</v>
      </c>
      <c r="BJ159" s="9">
        <f>G159*H159</f>
        <v>0</v>
      </c>
      <c r="BK159" s="9"/>
      <c r="BL159" s="9">
        <v>784</v>
      </c>
      <c r="BW159" s="9">
        <f>I159</f>
        <v>0</v>
      </c>
      <c r="BX159" s="2" t="s">
        <v>378</v>
      </c>
    </row>
    <row r="160" spans="1:76" x14ac:dyDescent="0.25">
      <c r="J160" s="54"/>
      <c r="K160" s="54"/>
      <c r="L160" s="44"/>
      <c r="M160" s="44"/>
    </row>
    <row r="161" spans="1:16" x14ac:dyDescent="0.25">
      <c r="A161" s="11"/>
    </row>
    <row r="162" spans="1:16" ht="54" customHeight="1" x14ac:dyDescent="0.25">
      <c r="A162" s="55" t="s">
        <v>379</v>
      </c>
      <c r="B162" s="56"/>
      <c r="C162" s="56"/>
      <c r="D162" s="56"/>
      <c r="E162" s="56"/>
      <c r="F162" s="56"/>
      <c r="G162" s="56"/>
      <c r="H162" s="56"/>
      <c r="I162" s="56"/>
      <c r="J162" s="56"/>
      <c r="K162" s="56"/>
      <c r="L162" s="56"/>
      <c r="M162" s="56"/>
      <c r="N162" s="56"/>
      <c r="O162" s="56"/>
      <c r="P162" s="56"/>
    </row>
  </sheetData>
  <mergeCells count="179">
    <mergeCell ref="J2:P3"/>
    <mergeCell ref="J4:P5"/>
    <mergeCell ref="J6:P7"/>
    <mergeCell ref="J8:P9"/>
    <mergeCell ref="D8:E9"/>
    <mergeCell ref="H2:H3"/>
    <mergeCell ref="H4:H5"/>
    <mergeCell ref="H6:H7"/>
    <mergeCell ref="H8:H9"/>
    <mergeCell ref="D14:E14"/>
    <mergeCell ref="D15:E15"/>
    <mergeCell ref="D16:E16"/>
    <mergeCell ref="A1:P1"/>
    <mergeCell ref="A2:C3"/>
    <mergeCell ref="A4:C5"/>
    <mergeCell ref="A6:C7"/>
    <mergeCell ref="A8:C9"/>
    <mergeCell ref="F2:G3"/>
    <mergeCell ref="F4:G5"/>
    <mergeCell ref="F6:G7"/>
    <mergeCell ref="F8:G9"/>
    <mergeCell ref="I2:I3"/>
    <mergeCell ref="I4:I5"/>
    <mergeCell ref="I6:I7"/>
    <mergeCell ref="I8:I9"/>
    <mergeCell ref="D2:E3"/>
    <mergeCell ref="D4:E5"/>
    <mergeCell ref="D6:E7"/>
    <mergeCell ref="D17:E17"/>
    <mergeCell ref="D18:E18"/>
    <mergeCell ref="D11:E11"/>
    <mergeCell ref="J10:L10"/>
    <mergeCell ref="N10:O10"/>
    <mergeCell ref="D12:E12"/>
    <mergeCell ref="D13:E13"/>
    <mergeCell ref="D24:E24"/>
    <mergeCell ref="D25:E25"/>
    <mergeCell ref="D10:E10"/>
    <mergeCell ref="D26:E26"/>
    <mergeCell ref="D27:E27"/>
    <mergeCell ref="D28:E28"/>
    <mergeCell ref="D19:E19"/>
    <mergeCell ref="D20:E20"/>
    <mergeCell ref="D21:E21"/>
    <mergeCell ref="D22:E22"/>
    <mergeCell ref="D23:E23"/>
    <mergeCell ref="D34:E34"/>
    <mergeCell ref="D35:E35"/>
    <mergeCell ref="D36:E36"/>
    <mergeCell ref="D37:E37"/>
    <mergeCell ref="D38:E38"/>
    <mergeCell ref="D29:E29"/>
    <mergeCell ref="D30:E30"/>
    <mergeCell ref="D31:E31"/>
    <mergeCell ref="D32:E32"/>
    <mergeCell ref="D33:E33"/>
    <mergeCell ref="D44:E44"/>
    <mergeCell ref="D45:E45"/>
    <mergeCell ref="D46:E46"/>
    <mergeCell ref="D47:E47"/>
    <mergeCell ref="D48:E48"/>
    <mergeCell ref="D39:E39"/>
    <mergeCell ref="D40:E40"/>
    <mergeCell ref="D41:E41"/>
    <mergeCell ref="D42:E42"/>
    <mergeCell ref="D43:E43"/>
    <mergeCell ref="D54:E54"/>
    <mergeCell ref="D55:E55"/>
    <mergeCell ref="D56:E56"/>
    <mergeCell ref="D57:E57"/>
    <mergeCell ref="D58:E58"/>
    <mergeCell ref="D49:E49"/>
    <mergeCell ref="D50:E50"/>
    <mergeCell ref="D51:E51"/>
    <mergeCell ref="D52:E52"/>
    <mergeCell ref="D53:E53"/>
    <mergeCell ref="D64:E64"/>
    <mergeCell ref="D65:E65"/>
    <mergeCell ref="D66:E66"/>
    <mergeCell ref="D67:E67"/>
    <mergeCell ref="D68:E68"/>
    <mergeCell ref="D59:E59"/>
    <mergeCell ref="D60:E60"/>
    <mergeCell ref="D61:E61"/>
    <mergeCell ref="D62:E62"/>
    <mergeCell ref="D63:E63"/>
    <mergeCell ref="D74:E74"/>
    <mergeCell ref="D75:E75"/>
    <mergeCell ref="D76:E76"/>
    <mergeCell ref="D77:E77"/>
    <mergeCell ref="D78:E78"/>
    <mergeCell ref="D69:E69"/>
    <mergeCell ref="D70:E70"/>
    <mergeCell ref="D71:E71"/>
    <mergeCell ref="D72:E72"/>
    <mergeCell ref="D73:E73"/>
    <mergeCell ref="D84:E84"/>
    <mergeCell ref="D85:E85"/>
    <mergeCell ref="D86:E86"/>
    <mergeCell ref="D87:E87"/>
    <mergeCell ref="D88:E88"/>
    <mergeCell ref="D79:E79"/>
    <mergeCell ref="D80:E80"/>
    <mergeCell ref="D81:E81"/>
    <mergeCell ref="D82:E82"/>
    <mergeCell ref="D83:E83"/>
    <mergeCell ref="D94:E94"/>
    <mergeCell ref="D95:E95"/>
    <mergeCell ref="D96:E96"/>
    <mergeCell ref="D97:E97"/>
    <mergeCell ref="D98:E98"/>
    <mergeCell ref="D89:E89"/>
    <mergeCell ref="D90:E90"/>
    <mergeCell ref="D91:E91"/>
    <mergeCell ref="D92:E92"/>
    <mergeCell ref="D93:E93"/>
    <mergeCell ref="D104:E104"/>
    <mergeCell ref="D105:E105"/>
    <mergeCell ref="D106:E106"/>
    <mergeCell ref="D107:E107"/>
    <mergeCell ref="D108:E108"/>
    <mergeCell ref="D99:E99"/>
    <mergeCell ref="D100:E100"/>
    <mergeCell ref="D101:E101"/>
    <mergeCell ref="D102:E102"/>
    <mergeCell ref="D103:E103"/>
    <mergeCell ref="D114:E114"/>
    <mergeCell ref="D115:E115"/>
    <mergeCell ref="D116:E116"/>
    <mergeCell ref="D117:E117"/>
    <mergeCell ref="D118:E118"/>
    <mergeCell ref="D109:E109"/>
    <mergeCell ref="D110:E110"/>
    <mergeCell ref="D111:E111"/>
    <mergeCell ref="D112:E112"/>
    <mergeCell ref="D113:E113"/>
    <mergeCell ref="D124:E124"/>
    <mergeCell ref="D125:E125"/>
    <mergeCell ref="D126:E126"/>
    <mergeCell ref="D127:E127"/>
    <mergeCell ref="D128:E128"/>
    <mergeCell ref="D119:E119"/>
    <mergeCell ref="D120:E120"/>
    <mergeCell ref="D121:E121"/>
    <mergeCell ref="D122:E122"/>
    <mergeCell ref="D123:E123"/>
    <mergeCell ref="D134:E134"/>
    <mergeCell ref="D135:E135"/>
    <mergeCell ref="D136:E136"/>
    <mergeCell ref="D137:E137"/>
    <mergeCell ref="D138:E138"/>
    <mergeCell ref="D129:E129"/>
    <mergeCell ref="D130:E130"/>
    <mergeCell ref="D131:E131"/>
    <mergeCell ref="D132:E132"/>
    <mergeCell ref="D133:E133"/>
    <mergeCell ref="D144:E144"/>
    <mergeCell ref="D145:E145"/>
    <mergeCell ref="D146:E146"/>
    <mergeCell ref="D147:E147"/>
    <mergeCell ref="D148:E148"/>
    <mergeCell ref="D139:E139"/>
    <mergeCell ref="D140:E140"/>
    <mergeCell ref="D141:E141"/>
    <mergeCell ref="D142:E142"/>
    <mergeCell ref="D143:E143"/>
    <mergeCell ref="D159:E159"/>
    <mergeCell ref="J160:K160"/>
    <mergeCell ref="A162:P162"/>
    <mergeCell ref="D154:E154"/>
    <mergeCell ref="D155:E155"/>
    <mergeCell ref="D156:E156"/>
    <mergeCell ref="D157:E157"/>
    <mergeCell ref="D158:E158"/>
    <mergeCell ref="D149:E149"/>
    <mergeCell ref="D150:E150"/>
    <mergeCell ref="D151:E151"/>
    <mergeCell ref="D152:E152"/>
    <mergeCell ref="D153:E153"/>
  </mergeCells>
  <pageMargins left="0.393999993801117" right="0.393999993801117" top="0.59100002050399802" bottom="0.59100002050399802" header="0" footer="0"/>
  <pageSetup fitToHeight="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37"/>
  <sheetViews>
    <sheetView tabSelected="1" workbookViewId="0">
      <selection activeCell="F6" sqref="F6:G7"/>
    </sheetView>
  </sheetViews>
  <sheetFormatPr defaultColWidth="12.140625" defaultRowHeight="15" customHeight="1" x14ac:dyDescent="0.25"/>
  <cols>
    <col min="1" max="1" width="9.140625" customWidth="1"/>
    <col min="2" max="2" width="12.85546875" customWidth="1"/>
    <col min="3" max="3" width="27.140625" customWidth="1"/>
    <col min="4" max="4" width="10" customWidth="1"/>
    <col min="5" max="5" width="14" customWidth="1"/>
    <col min="6" max="6" width="27.140625" customWidth="1"/>
    <col min="7" max="7" width="9.140625" customWidth="1"/>
    <col min="8" max="8" width="12.85546875" customWidth="1"/>
    <col min="9" max="9" width="27.140625" customWidth="1"/>
  </cols>
  <sheetData>
    <row r="1" spans="1:9" ht="54.75" customHeight="1" x14ac:dyDescent="0.25">
      <c r="A1" s="109" t="s">
        <v>380</v>
      </c>
      <c r="B1" s="67"/>
      <c r="C1" s="67"/>
      <c r="D1" s="67"/>
      <c r="E1" s="67"/>
      <c r="F1" s="67"/>
      <c r="G1" s="67"/>
      <c r="H1" s="67"/>
      <c r="I1" s="67"/>
    </row>
    <row r="2" spans="1:9" x14ac:dyDescent="0.25">
      <c r="A2" s="68" t="s">
        <v>1</v>
      </c>
      <c r="B2" s="66"/>
      <c r="C2" s="72" t="str">
        <f>'Stavební rozpočet'!D2</f>
        <v>Snížení energetické náročnosti výrobního objektu</v>
      </c>
      <c r="D2" s="73"/>
      <c r="E2" s="71" t="s">
        <v>5</v>
      </c>
      <c r="F2" s="71" t="str">
        <f>'Stavební rozpočet'!J2</f>
        <v>Aleš Kastl, dřevovýroba</v>
      </c>
      <c r="G2" s="66"/>
      <c r="H2" s="71" t="s">
        <v>381</v>
      </c>
      <c r="I2" s="75" t="s">
        <v>56</v>
      </c>
    </row>
    <row r="3" spans="1:9" ht="15" customHeight="1" x14ac:dyDescent="0.25">
      <c r="A3" s="69"/>
      <c r="B3" s="56"/>
      <c r="C3" s="74"/>
      <c r="D3" s="74"/>
      <c r="E3" s="56"/>
      <c r="F3" s="56"/>
      <c r="G3" s="56"/>
      <c r="H3" s="56"/>
      <c r="I3" s="76"/>
    </row>
    <row r="4" spans="1:9" x14ac:dyDescent="0.25">
      <c r="A4" s="70" t="s">
        <v>7</v>
      </c>
      <c r="B4" s="56"/>
      <c r="C4" s="55" t="str">
        <f>'Stavební rozpočet'!D4</f>
        <v>Zateplení objektů firmy Kastl</v>
      </c>
      <c r="D4" s="56"/>
      <c r="E4" s="55" t="s">
        <v>10</v>
      </c>
      <c r="F4" s="55" t="str">
        <f>'Stavební rozpočet'!J4</f>
        <v>Voldan s.r.o.</v>
      </c>
      <c r="G4" s="56"/>
      <c r="H4" s="55" t="s">
        <v>381</v>
      </c>
      <c r="I4" s="76" t="s">
        <v>56</v>
      </c>
    </row>
    <row r="5" spans="1:9" ht="15" customHeight="1" x14ac:dyDescent="0.25">
      <c r="A5" s="69"/>
      <c r="B5" s="56"/>
      <c r="C5" s="56"/>
      <c r="D5" s="56"/>
      <c r="E5" s="56"/>
      <c r="F5" s="56"/>
      <c r="G5" s="56"/>
      <c r="H5" s="56"/>
      <c r="I5" s="76"/>
    </row>
    <row r="6" spans="1:9" x14ac:dyDescent="0.25">
      <c r="A6" s="70" t="s">
        <v>12</v>
      </c>
      <c r="B6" s="56"/>
      <c r="C6" s="55" t="str">
        <f>'Stavební rozpočet'!D6</f>
        <v>Nový Kostel</v>
      </c>
      <c r="D6" s="56"/>
      <c r="E6" s="55" t="s">
        <v>15</v>
      </c>
      <c r="F6" s="55" t="str">
        <f>'Stavební rozpočet'!J6</f>
        <v>bude vybrán ve výběrovém řízen</v>
      </c>
      <c r="G6" s="56"/>
      <c r="H6" s="55" t="s">
        <v>381</v>
      </c>
      <c r="I6" s="76" t="s">
        <v>56</v>
      </c>
    </row>
    <row r="7" spans="1:9" ht="15" customHeight="1" x14ac:dyDescent="0.25">
      <c r="A7" s="69"/>
      <c r="B7" s="56"/>
      <c r="C7" s="56"/>
      <c r="D7" s="56"/>
      <c r="E7" s="56"/>
      <c r="F7" s="56"/>
      <c r="G7" s="56"/>
      <c r="H7" s="56"/>
      <c r="I7" s="76"/>
    </row>
    <row r="8" spans="1:9" x14ac:dyDescent="0.25">
      <c r="A8" s="70" t="s">
        <v>9</v>
      </c>
      <c r="B8" s="56"/>
      <c r="C8" s="55" t="str">
        <f>'Stavební rozpočet'!H4</f>
        <v xml:space="preserve"> </v>
      </c>
      <c r="D8" s="56"/>
      <c r="E8" s="55" t="s">
        <v>14</v>
      </c>
      <c r="F8" s="55" t="str">
        <f>'Stavební rozpočet'!H6</f>
        <v xml:space="preserve"> </v>
      </c>
      <c r="G8" s="56"/>
      <c r="H8" s="56" t="s">
        <v>382</v>
      </c>
      <c r="I8" s="110">
        <v>114</v>
      </c>
    </row>
    <row r="9" spans="1:9" x14ac:dyDescent="0.25">
      <c r="A9" s="69"/>
      <c r="B9" s="56"/>
      <c r="C9" s="56"/>
      <c r="D9" s="56"/>
      <c r="E9" s="56"/>
      <c r="F9" s="56"/>
      <c r="G9" s="56"/>
      <c r="H9" s="56"/>
      <c r="I9" s="76"/>
    </row>
    <row r="10" spans="1:9" x14ac:dyDescent="0.25">
      <c r="A10" s="70" t="s">
        <v>17</v>
      </c>
      <c r="B10" s="56"/>
      <c r="C10" s="55" t="str">
        <f>'Stavební rozpočet'!D8</f>
        <v>801</v>
      </c>
      <c r="D10" s="56"/>
      <c r="E10" s="55" t="s">
        <v>20</v>
      </c>
      <c r="F10" s="55" t="str">
        <f>'Stavební rozpočet'!J8</f>
        <v> </v>
      </c>
      <c r="G10" s="56"/>
      <c r="H10" s="56" t="s">
        <v>383</v>
      </c>
      <c r="I10" s="102" t="str">
        <f>'Stavební rozpočet'!H8</f>
        <v xml:space="preserve"> </v>
      </c>
    </row>
    <row r="11" spans="1:9" x14ac:dyDescent="0.25">
      <c r="A11" s="108"/>
      <c r="B11" s="107"/>
      <c r="C11" s="107"/>
      <c r="D11" s="107"/>
      <c r="E11" s="107"/>
      <c r="F11" s="107"/>
      <c r="G11" s="107"/>
      <c r="H11" s="107"/>
      <c r="I11" s="103"/>
    </row>
    <row r="12" spans="1:9" ht="23.25" x14ac:dyDescent="0.25">
      <c r="A12" s="104" t="s">
        <v>384</v>
      </c>
      <c r="B12" s="104"/>
      <c r="C12" s="104"/>
      <c r="D12" s="104"/>
      <c r="E12" s="104"/>
      <c r="F12" s="104"/>
      <c r="G12" s="104"/>
      <c r="H12" s="104"/>
      <c r="I12" s="104"/>
    </row>
    <row r="13" spans="1:9" ht="26.25" customHeight="1" x14ac:dyDescent="0.25">
      <c r="A13" s="12" t="s">
        <v>385</v>
      </c>
      <c r="B13" s="105" t="s">
        <v>386</v>
      </c>
      <c r="C13" s="106"/>
      <c r="D13" s="13" t="s">
        <v>387</v>
      </c>
      <c r="E13" s="105" t="s">
        <v>388</v>
      </c>
      <c r="F13" s="106"/>
      <c r="G13" s="13" t="s">
        <v>389</v>
      </c>
      <c r="H13" s="105" t="s">
        <v>390</v>
      </c>
      <c r="I13" s="106"/>
    </row>
    <row r="14" spans="1:9" ht="15.75" x14ac:dyDescent="0.25">
      <c r="A14" s="14" t="s">
        <v>391</v>
      </c>
      <c r="B14" s="27" t="s">
        <v>392</v>
      </c>
      <c r="C14" s="45">
        <f>SUM('Stavební rozpočet'!AB12:AB159)</f>
        <v>0</v>
      </c>
      <c r="D14" s="93" t="s">
        <v>393</v>
      </c>
      <c r="E14" s="94"/>
      <c r="F14" s="45">
        <f>VORN!I15</f>
        <v>0</v>
      </c>
      <c r="G14" s="93" t="s">
        <v>394</v>
      </c>
      <c r="H14" s="94"/>
      <c r="I14" s="45">
        <f>VORN!I21</f>
        <v>0</v>
      </c>
    </row>
    <row r="15" spans="1:9" ht="15.75" x14ac:dyDescent="0.25">
      <c r="A15" s="15" t="s">
        <v>56</v>
      </c>
      <c r="B15" s="27" t="s">
        <v>39</v>
      </c>
      <c r="C15" s="45">
        <f>SUM('Stavební rozpočet'!AC12:AC159)</f>
        <v>0</v>
      </c>
      <c r="D15" s="93" t="s">
        <v>395</v>
      </c>
      <c r="E15" s="94"/>
      <c r="F15" s="45">
        <f>VORN!I16</f>
        <v>0</v>
      </c>
      <c r="G15" s="93" t="s">
        <v>396</v>
      </c>
      <c r="H15" s="94"/>
      <c r="I15" s="45">
        <f>VORN!I22</f>
        <v>0</v>
      </c>
    </row>
    <row r="16" spans="1:9" ht="15.75" x14ac:dyDescent="0.25">
      <c r="A16" s="14" t="s">
        <v>397</v>
      </c>
      <c r="B16" s="27" t="s">
        <v>392</v>
      </c>
      <c r="C16" s="45">
        <f>SUM('Stavební rozpočet'!AD12:AD159)</f>
        <v>0</v>
      </c>
      <c r="D16" s="93" t="s">
        <v>398</v>
      </c>
      <c r="E16" s="94"/>
      <c r="F16" s="45">
        <f>VORN!I17</f>
        <v>0</v>
      </c>
      <c r="G16" s="93" t="s">
        <v>399</v>
      </c>
      <c r="H16" s="94"/>
      <c r="I16" s="45">
        <f>VORN!I23</f>
        <v>0</v>
      </c>
    </row>
    <row r="17" spans="1:9" ht="15.75" x14ac:dyDescent="0.25">
      <c r="A17" s="15" t="s">
        <v>56</v>
      </c>
      <c r="B17" s="27" t="s">
        <v>39</v>
      </c>
      <c r="C17" s="45">
        <f>SUM('Stavební rozpočet'!AE12:AE159)</f>
        <v>0</v>
      </c>
      <c r="D17" s="93" t="s">
        <v>56</v>
      </c>
      <c r="E17" s="94"/>
      <c r="F17" s="46" t="s">
        <v>56</v>
      </c>
      <c r="G17" s="93" t="s">
        <v>400</v>
      </c>
      <c r="H17" s="94"/>
      <c r="I17" s="45">
        <f>VORN!I24</f>
        <v>0</v>
      </c>
    </row>
    <row r="18" spans="1:9" ht="15.75" x14ac:dyDescent="0.25">
      <c r="A18" s="14" t="s">
        <v>401</v>
      </c>
      <c r="B18" s="27" t="s">
        <v>392</v>
      </c>
      <c r="C18" s="45">
        <f>SUM('Stavební rozpočet'!AF12:AF159)</f>
        <v>0</v>
      </c>
      <c r="D18" s="93" t="s">
        <v>56</v>
      </c>
      <c r="E18" s="94"/>
      <c r="F18" s="46" t="s">
        <v>56</v>
      </c>
      <c r="G18" s="93" t="s">
        <v>402</v>
      </c>
      <c r="H18" s="94"/>
      <c r="I18" s="45">
        <f>VORN!I25</f>
        <v>0</v>
      </c>
    </row>
    <row r="19" spans="1:9" ht="15.75" x14ac:dyDescent="0.25">
      <c r="A19" s="15" t="s">
        <v>56</v>
      </c>
      <c r="B19" s="27" t="s">
        <v>39</v>
      </c>
      <c r="C19" s="45">
        <f>SUM('Stavební rozpočet'!AG12:AG159)</f>
        <v>0</v>
      </c>
      <c r="D19" s="93" t="s">
        <v>56</v>
      </c>
      <c r="E19" s="94"/>
      <c r="F19" s="46" t="s">
        <v>56</v>
      </c>
      <c r="G19" s="93" t="s">
        <v>403</v>
      </c>
      <c r="H19" s="94"/>
      <c r="I19" s="45">
        <f>VORN!I26</f>
        <v>0</v>
      </c>
    </row>
    <row r="20" spans="1:9" ht="15.75" x14ac:dyDescent="0.25">
      <c r="A20" s="87" t="s">
        <v>271</v>
      </c>
      <c r="B20" s="88"/>
      <c r="C20" s="45">
        <f>SUM('Stavební rozpočet'!AH12:AH159)</f>
        <v>0</v>
      </c>
      <c r="D20" s="93" t="s">
        <v>56</v>
      </c>
      <c r="E20" s="94"/>
      <c r="F20" s="46" t="s">
        <v>56</v>
      </c>
      <c r="G20" s="93" t="s">
        <v>56</v>
      </c>
      <c r="H20" s="94"/>
      <c r="I20" s="46" t="s">
        <v>56</v>
      </c>
    </row>
    <row r="21" spans="1:9" ht="15.75" x14ac:dyDescent="0.25">
      <c r="A21" s="99" t="s">
        <v>404</v>
      </c>
      <c r="B21" s="100"/>
      <c r="C21" s="47">
        <f>SUM('Stavební rozpočet'!Z12:Z159)</f>
        <v>0</v>
      </c>
      <c r="D21" s="79" t="s">
        <v>56</v>
      </c>
      <c r="E21" s="95"/>
      <c r="F21" s="48" t="s">
        <v>56</v>
      </c>
      <c r="G21" s="79" t="s">
        <v>56</v>
      </c>
      <c r="H21" s="95"/>
      <c r="I21" s="48" t="s">
        <v>56</v>
      </c>
    </row>
    <row r="22" spans="1:9" ht="16.5" customHeight="1" x14ac:dyDescent="0.25">
      <c r="A22" s="101" t="s">
        <v>405</v>
      </c>
      <c r="B22" s="97"/>
      <c r="C22" s="16">
        <f>ROUND(SUM(C14:C21),2)</f>
        <v>0</v>
      </c>
      <c r="D22" s="96" t="s">
        <v>406</v>
      </c>
      <c r="E22" s="97"/>
      <c r="F22" s="16">
        <f>SUM(F14:F21)</f>
        <v>0</v>
      </c>
      <c r="G22" s="96" t="s">
        <v>407</v>
      </c>
      <c r="H22" s="97"/>
      <c r="I22" s="16">
        <f>SUM(I14:I21)</f>
        <v>0</v>
      </c>
    </row>
    <row r="23" spans="1:9" ht="15.75" x14ac:dyDescent="0.25">
      <c r="D23" s="87" t="s">
        <v>408</v>
      </c>
      <c r="E23" s="88"/>
      <c r="F23" s="17">
        <v>0</v>
      </c>
      <c r="G23" s="98" t="s">
        <v>409</v>
      </c>
      <c r="H23" s="88"/>
      <c r="I23" s="45">
        <v>0</v>
      </c>
    </row>
    <row r="24" spans="1:9" ht="15.75" x14ac:dyDescent="0.25">
      <c r="G24" s="87" t="s">
        <v>410</v>
      </c>
      <c r="H24" s="88"/>
      <c r="I24" s="45">
        <f>vorn_sum</f>
        <v>0</v>
      </c>
    </row>
    <row r="25" spans="1:9" ht="15.75" x14ac:dyDescent="0.25">
      <c r="G25" s="87" t="s">
        <v>411</v>
      </c>
      <c r="H25" s="88"/>
      <c r="I25" s="45">
        <v>0</v>
      </c>
    </row>
    <row r="27" spans="1:9" ht="15.75" x14ac:dyDescent="0.25">
      <c r="A27" s="89" t="s">
        <v>412</v>
      </c>
      <c r="B27" s="90"/>
      <c r="C27" s="49">
        <f>ROUND(SUM('Stavební rozpočet'!AJ12:AJ159),2)</f>
        <v>0</v>
      </c>
    </row>
    <row r="28" spans="1:9" ht="15.75" x14ac:dyDescent="0.25">
      <c r="A28" s="91" t="s">
        <v>413</v>
      </c>
      <c r="B28" s="92"/>
      <c r="C28" s="18">
        <f>ROUND(SUM('Stavební rozpočet'!AK12:AK159),2)</f>
        <v>0</v>
      </c>
      <c r="D28" s="90" t="s">
        <v>414</v>
      </c>
      <c r="E28" s="90"/>
      <c r="F28" s="49">
        <f>ROUND(C28*(12/100),2)</f>
        <v>0</v>
      </c>
      <c r="G28" s="90" t="s">
        <v>415</v>
      </c>
      <c r="H28" s="90"/>
      <c r="I28" s="49">
        <f>ROUND(SUM(C27:C29),2)</f>
        <v>0</v>
      </c>
    </row>
    <row r="29" spans="1:9" ht="15.75" x14ac:dyDescent="0.25">
      <c r="A29" s="91" t="s">
        <v>416</v>
      </c>
      <c r="B29" s="92"/>
      <c r="C29" s="18">
        <f>ROUND(SUM('Stavební rozpočet'!AL12:AL159)+(F22+I22+F23+I23+I24+I25),2)</f>
        <v>0</v>
      </c>
      <c r="D29" s="92" t="s">
        <v>417</v>
      </c>
      <c r="E29" s="92"/>
      <c r="F29" s="18">
        <f>ROUND(C29*(21/100),2)</f>
        <v>0</v>
      </c>
      <c r="G29" s="92" t="s">
        <v>418</v>
      </c>
      <c r="H29" s="92"/>
      <c r="I29" s="18">
        <f>ROUND(SUM(F28:F29)+I28,2)</f>
        <v>0</v>
      </c>
    </row>
    <row r="31" spans="1:9" x14ac:dyDescent="0.25">
      <c r="A31" s="84" t="s">
        <v>419</v>
      </c>
      <c r="B31" s="77"/>
      <c r="C31" s="78"/>
      <c r="D31" s="77" t="s">
        <v>420</v>
      </c>
      <c r="E31" s="77"/>
      <c r="F31" s="78"/>
      <c r="G31" s="77" t="s">
        <v>421</v>
      </c>
      <c r="H31" s="77"/>
      <c r="I31" s="78"/>
    </row>
    <row r="32" spans="1:9" x14ac:dyDescent="0.25">
      <c r="A32" s="85" t="s">
        <v>56</v>
      </c>
      <c r="B32" s="80"/>
      <c r="C32" s="81"/>
      <c r="D32" s="79" t="s">
        <v>56</v>
      </c>
      <c r="E32" s="80"/>
      <c r="F32" s="81"/>
      <c r="G32" s="79" t="s">
        <v>56</v>
      </c>
      <c r="H32" s="80"/>
      <c r="I32" s="81"/>
    </row>
    <row r="33" spans="1:9" x14ac:dyDescent="0.25">
      <c r="A33" s="85" t="s">
        <v>56</v>
      </c>
      <c r="B33" s="80"/>
      <c r="C33" s="81"/>
      <c r="D33" s="79" t="s">
        <v>56</v>
      </c>
      <c r="E33" s="80"/>
      <c r="F33" s="81"/>
      <c r="G33" s="79" t="s">
        <v>56</v>
      </c>
      <c r="H33" s="80"/>
      <c r="I33" s="81"/>
    </row>
    <row r="34" spans="1:9" x14ac:dyDescent="0.25">
      <c r="A34" s="85" t="s">
        <v>56</v>
      </c>
      <c r="B34" s="80"/>
      <c r="C34" s="81"/>
      <c r="D34" s="79" t="s">
        <v>56</v>
      </c>
      <c r="E34" s="80"/>
      <c r="F34" s="81"/>
      <c r="G34" s="79" t="s">
        <v>56</v>
      </c>
      <c r="H34" s="80"/>
      <c r="I34" s="81"/>
    </row>
    <row r="35" spans="1:9" x14ac:dyDescent="0.25">
      <c r="A35" s="86" t="s">
        <v>422</v>
      </c>
      <c r="B35" s="82"/>
      <c r="C35" s="83"/>
      <c r="D35" s="82" t="s">
        <v>422</v>
      </c>
      <c r="E35" s="82"/>
      <c r="F35" s="83"/>
      <c r="G35" s="82" t="s">
        <v>422</v>
      </c>
      <c r="H35" s="82"/>
      <c r="I35" s="83"/>
    </row>
    <row r="36" spans="1:9" x14ac:dyDescent="0.25">
      <c r="A36" s="50" t="s">
        <v>423</v>
      </c>
    </row>
    <row r="37" spans="1:9" ht="81" customHeight="1" x14ac:dyDescent="0.25">
      <c r="A37" s="55" t="s">
        <v>424</v>
      </c>
      <c r="B37" s="56"/>
      <c r="C37" s="56"/>
      <c r="D37" s="56"/>
      <c r="E37" s="56"/>
      <c r="F37" s="56"/>
      <c r="G37" s="56"/>
      <c r="H37" s="56"/>
      <c r="I37" s="56"/>
    </row>
  </sheetData>
  <mergeCells count="83">
    <mergeCell ref="A1:I1"/>
    <mergeCell ref="A2:B3"/>
    <mergeCell ref="A4:B5"/>
    <mergeCell ref="A6:B7"/>
    <mergeCell ref="A8:B9"/>
    <mergeCell ref="F2:G3"/>
    <mergeCell ref="F4:G5"/>
    <mergeCell ref="F6:G7"/>
    <mergeCell ref="F8:G9"/>
    <mergeCell ref="I2:I3"/>
    <mergeCell ref="I4:I5"/>
    <mergeCell ref="I6:I7"/>
    <mergeCell ref="I8:I9"/>
    <mergeCell ref="C2:D3"/>
    <mergeCell ref="C4:D5"/>
    <mergeCell ref="C6:D7"/>
    <mergeCell ref="C8:D9"/>
    <mergeCell ref="C10:D11"/>
    <mergeCell ref="E2:E3"/>
    <mergeCell ref="E4:E5"/>
    <mergeCell ref="E6:E7"/>
    <mergeCell ref="E8:E9"/>
    <mergeCell ref="E10:E11"/>
    <mergeCell ref="H2:H3"/>
    <mergeCell ref="H4:H5"/>
    <mergeCell ref="H6:H7"/>
    <mergeCell ref="H8:H9"/>
    <mergeCell ref="H10:H11"/>
    <mergeCell ref="I10:I11"/>
    <mergeCell ref="A12:I12"/>
    <mergeCell ref="B13:C13"/>
    <mergeCell ref="E13:F13"/>
    <mergeCell ref="H13:I13"/>
    <mergeCell ref="F10:G11"/>
    <mergeCell ref="A10:B11"/>
    <mergeCell ref="A20:B20"/>
    <mergeCell ref="A21:B21"/>
    <mergeCell ref="A22:B22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G14:H14"/>
    <mergeCell ref="G15:H15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A27:B27"/>
    <mergeCell ref="A28:B28"/>
    <mergeCell ref="A29:B29"/>
    <mergeCell ref="D28:E28"/>
    <mergeCell ref="D29:E29"/>
    <mergeCell ref="G28:H28"/>
    <mergeCell ref="G29:H29"/>
    <mergeCell ref="A37:I37"/>
    <mergeCell ref="G31:I31"/>
    <mergeCell ref="G32:I32"/>
    <mergeCell ref="G33:I33"/>
    <mergeCell ref="G34:I34"/>
    <mergeCell ref="G35:I35"/>
    <mergeCell ref="D31:F31"/>
    <mergeCell ref="D32:F32"/>
    <mergeCell ref="D33:F33"/>
    <mergeCell ref="D34:F34"/>
    <mergeCell ref="D35:F35"/>
    <mergeCell ref="A31:C31"/>
    <mergeCell ref="A32:C32"/>
    <mergeCell ref="A33:C33"/>
    <mergeCell ref="A34:C34"/>
    <mergeCell ref="A35:C35"/>
  </mergeCells>
  <pageMargins left="0.393999993801117" right="0.393999993801117" top="0.59100002050399802" bottom="0.59100002050399802" header="0" footer="0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36"/>
  <sheetViews>
    <sheetView workbookViewId="0">
      <selection activeCell="A36" sqref="A36:E36"/>
    </sheetView>
  </sheetViews>
  <sheetFormatPr defaultColWidth="12.140625" defaultRowHeight="15" customHeight="1" x14ac:dyDescent="0.25"/>
  <cols>
    <col min="1" max="1" width="9.140625" customWidth="1"/>
    <col min="2" max="2" width="12.85546875" customWidth="1"/>
    <col min="3" max="3" width="22.85546875" customWidth="1"/>
    <col min="4" max="4" width="10" customWidth="1"/>
    <col min="5" max="5" width="14" customWidth="1"/>
    <col min="6" max="6" width="22.85546875" customWidth="1"/>
    <col min="7" max="7" width="9.140625" customWidth="1"/>
    <col min="8" max="8" width="17.140625" customWidth="1"/>
    <col min="9" max="9" width="22.85546875" customWidth="1"/>
  </cols>
  <sheetData>
    <row r="1" spans="1:9" ht="54.75" customHeight="1" x14ac:dyDescent="0.25">
      <c r="A1" s="109" t="s">
        <v>425</v>
      </c>
      <c r="B1" s="67"/>
      <c r="C1" s="67"/>
      <c r="D1" s="67"/>
      <c r="E1" s="67"/>
      <c r="F1" s="67"/>
      <c r="G1" s="67"/>
      <c r="H1" s="67"/>
      <c r="I1" s="67"/>
    </row>
    <row r="2" spans="1:9" x14ac:dyDescent="0.25">
      <c r="A2" s="68" t="s">
        <v>1</v>
      </c>
      <c r="B2" s="66"/>
      <c r="C2" s="72" t="str">
        <f>'Stavební rozpočet'!D2</f>
        <v>Snížení energetické náročnosti výrobního objektu</v>
      </c>
      <c r="D2" s="73"/>
      <c r="E2" s="71" t="s">
        <v>5</v>
      </c>
      <c r="F2" s="71" t="str">
        <f>'Stavební rozpočet'!J2</f>
        <v>Aleš Kastl, dřevovýroba</v>
      </c>
      <c r="G2" s="66"/>
      <c r="H2" s="71" t="s">
        <v>381</v>
      </c>
      <c r="I2" s="75" t="s">
        <v>56</v>
      </c>
    </row>
    <row r="3" spans="1:9" ht="15" customHeight="1" x14ac:dyDescent="0.25">
      <c r="A3" s="69"/>
      <c r="B3" s="56"/>
      <c r="C3" s="74"/>
      <c r="D3" s="74"/>
      <c r="E3" s="56"/>
      <c r="F3" s="56"/>
      <c r="G3" s="56"/>
      <c r="H3" s="56"/>
      <c r="I3" s="76"/>
    </row>
    <row r="4" spans="1:9" x14ac:dyDescent="0.25">
      <c r="A4" s="70" t="s">
        <v>7</v>
      </c>
      <c r="B4" s="56"/>
      <c r="C4" s="55" t="str">
        <f>'Stavební rozpočet'!D4</f>
        <v>Zateplení objektů firmy Kastl</v>
      </c>
      <c r="D4" s="56"/>
      <c r="E4" s="55" t="s">
        <v>10</v>
      </c>
      <c r="F4" s="55" t="str">
        <f>'Stavební rozpočet'!J4</f>
        <v>Voldan s.r.o.</v>
      </c>
      <c r="G4" s="56"/>
      <c r="H4" s="55" t="s">
        <v>381</v>
      </c>
      <c r="I4" s="76" t="s">
        <v>56</v>
      </c>
    </row>
    <row r="5" spans="1:9" ht="15" customHeight="1" x14ac:dyDescent="0.25">
      <c r="A5" s="69"/>
      <c r="B5" s="56"/>
      <c r="C5" s="56"/>
      <c r="D5" s="56"/>
      <c r="E5" s="56"/>
      <c r="F5" s="56"/>
      <c r="G5" s="56"/>
      <c r="H5" s="56"/>
      <c r="I5" s="76"/>
    </row>
    <row r="6" spans="1:9" x14ac:dyDescent="0.25">
      <c r="A6" s="70" t="s">
        <v>12</v>
      </c>
      <c r="B6" s="56"/>
      <c r="C6" s="55" t="str">
        <f>'Stavební rozpočet'!D6</f>
        <v>Nový Kostel</v>
      </c>
      <c r="D6" s="56"/>
      <c r="E6" s="55" t="s">
        <v>15</v>
      </c>
      <c r="F6" s="55" t="str">
        <f>'Stavební rozpočet'!J6</f>
        <v>bude vybrán ve výběrovém řízen</v>
      </c>
      <c r="G6" s="56"/>
      <c r="H6" s="55" t="s">
        <v>381</v>
      </c>
      <c r="I6" s="76" t="s">
        <v>56</v>
      </c>
    </row>
    <row r="7" spans="1:9" ht="15" customHeight="1" x14ac:dyDescent="0.25">
      <c r="A7" s="69"/>
      <c r="B7" s="56"/>
      <c r="C7" s="56"/>
      <c r="D7" s="56"/>
      <c r="E7" s="56"/>
      <c r="F7" s="56"/>
      <c r="G7" s="56"/>
      <c r="H7" s="56"/>
      <c r="I7" s="76"/>
    </row>
    <row r="8" spans="1:9" x14ac:dyDescent="0.25">
      <c r="A8" s="70" t="s">
        <v>9</v>
      </c>
      <c r="B8" s="56"/>
      <c r="C8" s="55" t="str">
        <f>'Stavební rozpočet'!H4</f>
        <v xml:space="preserve"> </v>
      </c>
      <c r="D8" s="56"/>
      <c r="E8" s="55" t="s">
        <v>14</v>
      </c>
      <c r="F8" s="55" t="str">
        <f>'Stavební rozpočet'!H6</f>
        <v xml:space="preserve"> </v>
      </c>
      <c r="G8" s="56"/>
      <c r="H8" s="56" t="s">
        <v>382</v>
      </c>
      <c r="I8" s="110">
        <v>114</v>
      </c>
    </row>
    <row r="9" spans="1:9" x14ac:dyDescent="0.25">
      <c r="A9" s="69"/>
      <c r="B9" s="56"/>
      <c r="C9" s="56"/>
      <c r="D9" s="56"/>
      <c r="E9" s="56"/>
      <c r="F9" s="56"/>
      <c r="G9" s="56"/>
      <c r="H9" s="56"/>
      <c r="I9" s="76"/>
    </row>
    <row r="10" spans="1:9" x14ac:dyDescent="0.25">
      <c r="A10" s="70" t="s">
        <v>17</v>
      </c>
      <c r="B10" s="56"/>
      <c r="C10" s="55" t="str">
        <f>'Stavební rozpočet'!D8</f>
        <v>801</v>
      </c>
      <c r="D10" s="56"/>
      <c r="E10" s="55" t="s">
        <v>20</v>
      </c>
      <c r="F10" s="55" t="str">
        <f>'Stavební rozpočet'!J8</f>
        <v> </v>
      </c>
      <c r="G10" s="56"/>
      <c r="H10" s="56" t="s">
        <v>383</v>
      </c>
      <c r="I10" s="102" t="str">
        <f>'Stavební rozpočet'!H8</f>
        <v xml:space="preserve"> </v>
      </c>
    </row>
    <row r="11" spans="1:9" x14ac:dyDescent="0.25">
      <c r="A11" s="108"/>
      <c r="B11" s="107"/>
      <c r="C11" s="107"/>
      <c r="D11" s="107"/>
      <c r="E11" s="107"/>
      <c r="F11" s="107"/>
      <c r="G11" s="107"/>
      <c r="H11" s="107"/>
      <c r="I11" s="103"/>
    </row>
    <row r="13" spans="1:9" ht="15.75" x14ac:dyDescent="0.25">
      <c r="A13" s="120" t="s">
        <v>426</v>
      </c>
      <c r="B13" s="120"/>
      <c r="C13" s="120"/>
      <c r="D13" s="120"/>
      <c r="E13" s="120"/>
    </row>
    <row r="14" spans="1:9" x14ac:dyDescent="0.25">
      <c r="A14" s="121" t="s">
        <v>427</v>
      </c>
      <c r="B14" s="122"/>
      <c r="C14" s="122"/>
      <c r="D14" s="122"/>
      <c r="E14" s="123"/>
      <c r="F14" s="19" t="s">
        <v>428</v>
      </c>
      <c r="G14" s="19" t="s">
        <v>429</v>
      </c>
      <c r="H14" s="19" t="s">
        <v>430</v>
      </c>
      <c r="I14" s="19" t="s">
        <v>428</v>
      </c>
    </row>
    <row r="15" spans="1:9" x14ac:dyDescent="0.25">
      <c r="A15" s="108" t="s">
        <v>393</v>
      </c>
      <c r="B15" s="107"/>
      <c r="C15" s="107"/>
      <c r="D15" s="107"/>
      <c r="E15" s="103"/>
      <c r="F15" s="51">
        <v>0</v>
      </c>
      <c r="G15" s="28" t="s">
        <v>56</v>
      </c>
      <c r="H15" s="28" t="s">
        <v>56</v>
      </c>
      <c r="I15" s="51">
        <f>F15</f>
        <v>0</v>
      </c>
    </row>
    <row r="16" spans="1:9" x14ac:dyDescent="0.25">
      <c r="A16" s="108" t="s">
        <v>395</v>
      </c>
      <c r="B16" s="107"/>
      <c r="C16" s="107"/>
      <c r="D16" s="107"/>
      <c r="E16" s="103"/>
      <c r="F16" s="51">
        <v>0</v>
      </c>
      <c r="G16" s="28" t="s">
        <v>56</v>
      </c>
      <c r="H16" s="28" t="s">
        <v>56</v>
      </c>
      <c r="I16" s="51">
        <f>F16</f>
        <v>0</v>
      </c>
    </row>
    <row r="17" spans="1:9" x14ac:dyDescent="0.25">
      <c r="A17" s="69" t="s">
        <v>398</v>
      </c>
      <c r="B17" s="65"/>
      <c r="C17" s="65"/>
      <c r="D17" s="65"/>
      <c r="E17" s="76"/>
      <c r="F17" s="20">
        <v>0</v>
      </c>
      <c r="G17" s="21" t="s">
        <v>56</v>
      </c>
      <c r="H17" s="21" t="s">
        <v>56</v>
      </c>
      <c r="I17" s="20">
        <f>F17</f>
        <v>0</v>
      </c>
    </row>
    <row r="18" spans="1:9" x14ac:dyDescent="0.25">
      <c r="A18" s="111" t="s">
        <v>431</v>
      </c>
      <c r="B18" s="112"/>
      <c r="C18" s="112"/>
      <c r="D18" s="112"/>
      <c r="E18" s="113"/>
      <c r="F18" s="22" t="s">
        <v>56</v>
      </c>
      <c r="G18" s="23" t="s">
        <v>56</v>
      </c>
      <c r="H18" s="23" t="s">
        <v>56</v>
      </c>
      <c r="I18" s="24">
        <f>SUM(I15:I17)</f>
        <v>0</v>
      </c>
    </row>
    <row r="20" spans="1:9" x14ac:dyDescent="0.25">
      <c r="A20" s="121" t="s">
        <v>390</v>
      </c>
      <c r="B20" s="122"/>
      <c r="C20" s="122"/>
      <c r="D20" s="122"/>
      <c r="E20" s="123"/>
      <c r="F20" s="19" t="s">
        <v>428</v>
      </c>
      <c r="G20" s="19" t="s">
        <v>429</v>
      </c>
      <c r="H20" s="19" t="s">
        <v>430</v>
      </c>
      <c r="I20" s="19" t="s">
        <v>428</v>
      </c>
    </row>
    <row r="21" spans="1:9" x14ac:dyDescent="0.25">
      <c r="A21" s="108" t="s">
        <v>394</v>
      </c>
      <c r="B21" s="107"/>
      <c r="C21" s="107"/>
      <c r="D21" s="107"/>
      <c r="E21" s="103"/>
      <c r="F21" s="51">
        <v>0</v>
      </c>
      <c r="G21" s="28" t="s">
        <v>56</v>
      </c>
      <c r="H21" s="28" t="s">
        <v>56</v>
      </c>
      <c r="I21" s="51">
        <f t="shared" ref="I21:I26" si="0">F21</f>
        <v>0</v>
      </c>
    </row>
    <row r="22" spans="1:9" x14ac:dyDescent="0.25">
      <c r="A22" s="108" t="s">
        <v>396</v>
      </c>
      <c r="B22" s="107"/>
      <c r="C22" s="107"/>
      <c r="D22" s="107"/>
      <c r="E22" s="103"/>
      <c r="F22" s="51">
        <v>0</v>
      </c>
      <c r="G22" s="28" t="s">
        <v>56</v>
      </c>
      <c r="H22" s="28" t="s">
        <v>56</v>
      </c>
      <c r="I22" s="51">
        <f t="shared" si="0"/>
        <v>0</v>
      </c>
    </row>
    <row r="23" spans="1:9" x14ac:dyDescent="0.25">
      <c r="A23" s="108" t="s">
        <v>399</v>
      </c>
      <c r="B23" s="107"/>
      <c r="C23" s="107"/>
      <c r="D23" s="107"/>
      <c r="E23" s="103"/>
      <c r="F23" s="51">
        <v>0</v>
      </c>
      <c r="G23" s="28" t="s">
        <v>56</v>
      </c>
      <c r="H23" s="28" t="s">
        <v>56</v>
      </c>
      <c r="I23" s="51">
        <f t="shared" si="0"/>
        <v>0</v>
      </c>
    </row>
    <row r="24" spans="1:9" x14ac:dyDescent="0.25">
      <c r="A24" s="108" t="s">
        <v>400</v>
      </c>
      <c r="B24" s="107"/>
      <c r="C24" s="107"/>
      <c r="D24" s="107"/>
      <c r="E24" s="103"/>
      <c r="F24" s="51">
        <v>0</v>
      </c>
      <c r="G24" s="28" t="s">
        <v>56</v>
      </c>
      <c r="H24" s="28" t="s">
        <v>56</v>
      </c>
      <c r="I24" s="51">
        <f t="shared" si="0"/>
        <v>0</v>
      </c>
    </row>
    <row r="25" spans="1:9" x14ac:dyDescent="0.25">
      <c r="A25" s="108" t="s">
        <v>402</v>
      </c>
      <c r="B25" s="107"/>
      <c r="C25" s="107"/>
      <c r="D25" s="107"/>
      <c r="E25" s="103"/>
      <c r="F25" s="51">
        <v>0</v>
      </c>
      <c r="G25" s="28" t="s">
        <v>56</v>
      </c>
      <c r="H25" s="28" t="s">
        <v>56</v>
      </c>
      <c r="I25" s="51">
        <f t="shared" si="0"/>
        <v>0</v>
      </c>
    </row>
    <row r="26" spans="1:9" x14ac:dyDescent="0.25">
      <c r="A26" s="69" t="s">
        <v>403</v>
      </c>
      <c r="B26" s="65"/>
      <c r="C26" s="65"/>
      <c r="D26" s="65"/>
      <c r="E26" s="76"/>
      <c r="F26" s="20">
        <v>0</v>
      </c>
      <c r="G26" s="21" t="s">
        <v>56</v>
      </c>
      <c r="H26" s="21" t="s">
        <v>56</v>
      </c>
      <c r="I26" s="20">
        <f t="shared" si="0"/>
        <v>0</v>
      </c>
    </row>
    <row r="27" spans="1:9" x14ac:dyDescent="0.25">
      <c r="A27" s="111" t="s">
        <v>432</v>
      </c>
      <c r="B27" s="112"/>
      <c r="C27" s="112"/>
      <c r="D27" s="112"/>
      <c r="E27" s="113"/>
      <c r="F27" s="22" t="s">
        <v>56</v>
      </c>
      <c r="G27" s="23" t="s">
        <v>56</v>
      </c>
      <c r="H27" s="23" t="s">
        <v>56</v>
      </c>
      <c r="I27" s="24">
        <f>SUM(I21:I26)</f>
        <v>0</v>
      </c>
    </row>
    <row r="29" spans="1:9" ht="15.75" x14ac:dyDescent="0.25">
      <c r="A29" s="114" t="s">
        <v>433</v>
      </c>
      <c r="B29" s="115"/>
      <c r="C29" s="115"/>
      <c r="D29" s="115"/>
      <c r="E29" s="116"/>
      <c r="F29" s="117">
        <f>I18+I27</f>
        <v>0</v>
      </c>
      <c r="G29" s="118"/>
      <c r="H29" s="118"/>
      <c r="I29" s="119"/>
    </row>
    <row r="33" spans="1:9" ht="15.75" x14ac:dyDescent="0.25">
      <c r="A33" s="120" t="s">
        <v>434</v>
      </c>
      <c r="B33" s="120"/>
      <c r="C33" s="120"/>
      <c r="D33" s="120"/>
      <c r="E33" s="120"/>
    </row>
    <row r="34" spans="1:9" x14ac:dyDescent="0.25">
      <c r="A34" s="121" t="s">
        <v>435</v>
      </c>
      <c r="B34" s="122"/>
      <c r="C34" s="122"/>
      <c r="D34" s="122"/>
      <c r="E34" s="123"/>
      <c r="F34" s="19" t="s">
        <v>428</v>
      </c>
      <c r="G34" s="19" t="s">
        <v>429</v>
      </c>
      <c r="H34" s="19" t="s">
        <v>430</v>
      </c>
      <c r="I34" s="19" t="s">
        <v>428</v>
      </c>
    </row>
    <row r="35" spans="1:9" x14ac:dyDescent="0.25">
      <c r="A35" s="69" t="s">
        <v>56</v>
      </c>
      <c r="B35" s="65"/>
      <c r="C35" s="65"/>
      <c r="D35" s="65"/>
      <c r="E35" s="76"/>
      <c r="F35" s="20">
        <v>0</v>
      </c>
      <c r="G35" s="21" t="s">
        <v>56</v>
      </c>
      <c r="H35" s="21" t="s">
        <v>56</v>
      </c>
      <c r="I35" s="20">
        <f>F35</f>
        <v>0</v>
      </c>
    </row>
    <row r="36" spans="1:9" x14ac:dyDescent="0.25">
      <c r="A36" s="111" t="s">
        <v>436</v>
      </c>
      <c r="B36" s="112"/>
      <c r="C36" s="112"/>
      <c r="D36" s="112"/>
      <c r="E36" s="113"/>
      <c r="F36" s="22" t="s">
        <v>56</v>
      </c>
      <c r="G36" s="23" t="s">
        <v>56</v>
      </c>
      <c r="H36" s="23" t="s">
        <v>56</v>
      </c>
      <c r="I36" s="24">
        <f>SUM(I35:I35)</f>
        <v>0</v>
      </c>
    </row>
  </sheetData>
  <mergeCells count="51">
    <mergeCell ref="A1:I1"/>
    <mergeCell ref="A2:B3"/>
    <mergeCell ref="A4:B5"/>
    <mergeCell ref="A6:B7"/>
    <mergeCell ref="A8:B9"/>
    <mergeCell ref="H2:H3"/>
    <mergeCell ref="H4:H5"/>
    <mergeCell ref="H6:H7"/>
    <mergeCell ref="H8:H9"/>
    <mergeCell ref="I2:I3"/>
    <mergeCell ref="I4:I5"/>
    <mergeCell ref="I6:I7"/>
    <mergeCell ref="I8:I9"/>
    <mergeCell ref="E2:E3"/>
    <mergeCell ref="E4:E5"/>
    <mergeCell ref="E6:E7"/>
    <mergeCell ref="E8:E9"/>
    <mergeCell ref="E10:E11"/>
    <mergeCell ref="F2:G3"/>
    <mergeCell ref="F4:G5"/>
    <mergeCell ref="F6:G7"/>
    <mergeCell ref="F8:G9"/>
    <mergeCell ref="F10:G11"/>
    <mergeCell ref="C2:D3"/>
    <mergeCell ref="C4:D5"/>
    <mergeCell ref="C6:D7"/>
    <mergeCell ref="C8:D9"/>
    <mergeCell ref="C10:D11"/>
    <mergeCell ref="I10:I11"/>
    <mergeCell ref="A13:E13"/>
    <mergeCell ref="A14:E14"/>
    <mergeCell ref="A15:E15"/>
    <mergeCell ref="A16:E16"/>
    <mergeCell ref="H10:H11"/>
    <mergeCell ref="A10:B11"/>
    <mergeCell ref="A17:E17"/>
    <mergeCell ref="A18:E18"/>
    <mergeCell ref="A20:E20"/>
    <mergeCell ref="A21:E21"/>
    <mergeCell ref="A22:E22"/>
    <mergeCell ref="A23:E23"/>
    <mergeCell ref="A24:E24"/>
    <mergeCell ref="A25:E25"/>
    <mergeCell ref="A26:E26"/>
    <mergeCell ref="A27:E27"/>
    <mergeCell ref="A36:E36"/>
    <mergeCell ref="A29:E29"/>
    <mergeCell ref="F29:I29"/>
    <mergeCell ref="A33:E33"/>
    <mergeCell ref="A34:E34"/>
    <mergeCell ref="A35:E35"/>
  </mergeCells>
  <pageMargins left="0.393999993801117" right="0.393999993801117" top="0.59100002050399802" bottom="0.59100002050399802" header="0" footer="0"/>
  <pageSetup fitToHeight="0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Stavební rozpočet</vt:lpstr>
      <vt:lpstr>Krycí list rozpočtu</vt:lpstr>
      <vt:lpstr>VORN</vt:lpstr>
      <vt:lpstr>vorn_sum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HP</dc:creator>
  <cp:keywords/>
  <dc:description/>
  <cp:lastModifiedBy>Marek Ivičič</cp:lastModifiedBy>
  <cp:revision/>
  <dcterms:created xsi:type="dcterms:W3CDTF">2021-06-10T20:06:38Z</dcterms:created>
  <dcterms:modified xsi:type="dcterms:W3CDTF">2025-03-31T08:48:27Z</dcterms:modified>
  <cp:category/>
  <cp:contentStatus/>
</cp:coreProperties>
</file>