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Stavební rozpočet" sheetId="1" r:id="rId1"/>
    <sheet name="Stavební rozpočet - součet" sheetId="2" r:id="rId2"/>
    <sheet name="Krycí list rozpočtu" sheetId="3" r:id="rId3"/>
    <sheet name="VORN" sheetId="4" state="hidden" r:id="rId4"/>
  </sheets>
  <definedNames>
    <definedName name="vorn_sum">VORN!$I$36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4"/>
  <c r="I36" s="1"/>
  <c r="I24" i="3" s="1"/>
  <c r="I26" i="4"/>
  <c r="I19" i="3" s="1"/>
  <c r="I25" i="4"/>
  <c r="I24"/>
  <c r="I23"/>
  <c r="I22"/>
  <c r="I15" i="3" s="1"/>
  <c r="I21" i="4"/>
  <c r="I27" s="1"/>
  <c r="I17"/>
  <c r="I16"/>
  <c r="I15"/>
  <c r="F14" i="3" s="1"/>
  <c r="I10" i="4"/>
  <c r="F10"/>
  <c r="C10"/>
  <c r="F8"/>
  <c r="C8"/>
  <c r="F6"/>
  <c r="C6"/>
  <c r="F4"/>
  <c r="C4"/>
  <c r="F2"/>
  <c r="C2"/>
  <c r="I18" i="3"/>
  <c r="I17"/>
  <c r="I16"/>
  <c r="F16"/>
  <c r="F15"/>
  <c r="I10"/>
  <c r="F10"/>
  <c r="C10"/>
  <c r="F8"/>
  <c r="C8"/>
  <c r="F6"/>
  <c r="C6"/>
  <c r="F4"/>
  <c r="C4"/>
  <c r="F2"/>
  <c r="C2"/>
  <c r="G8" i="2"/>
  <c r="C8"/>
  <c r="G6"/>
  <c r="C6"/>
  <c r="G4"/>
  <c r="C4"/>
  <c r="G2"/>
  <c r="C2"/>
  <c r="BJ194" i="1"/>
  <c r="BH194"/>
  <c r="BF194"/>
  <c r="BD194"/>
  <c r="AP194"/>
  <c r="BI194" s="1"/>
  <c r="AO194"/>
  <c r="AW194" s="1"/>
  <c r="AK194"/>
  <c r="AJ194"/>
  <c r="AH194"/>
  <c r="AG194"/>
  <c r="AF194"/>
  <c r="AE194"/>
  <c r="AD194"/>
  <c r="AC194"/>
  <c r="AB194"/>
  <c r="Z194"/>
  <c r="J194"/>
  <c r="AL194" s="1"/>
  <c r="BJ193"/>
  <c r="AH193" s="1"/>
  <c r="BF193"/>
  <c r="BD193"/>
  <c r="AW193"/>
  <c r="BC193" s="1"/>
  <c r="AP193"/>
  <c r="AX193" s="1"/>
  <c r="AO193"/>
  <c r="BH193" s="1"/>
  <c r="AL193"/>
  <c r="AK193"/>
  <c r="AJ193"/>
  <c r="AG193"/>
  <c r="AF193"/>
  <c r="AE193"/>
  <c r="AD193"/>
  <c r="AC193"/>
  <c r="AB193"/>
  <c r="Z193"/>
  <c r="J193"/>
  <c r="H193"/>
  <c r="BJ192"/>
  <c r="BF192"/>
  <c r="BD192"/>
  <c r="AP192"/>
  <c r="BI192" s="1"/>
  <c r="AO192"/>
  <c r="AK192"/>
  <c r="AJ192"/>
  <c r="AH192"/>
  <c r="AG192"/>
  <c r="AF192"/>
  <c r="AE192"/>
  <c r="AD192"/>
  <c r="AC192"/>
  <c r="AB192"/>
  <c r="Z192"/>
  <c r="J192"/>
  <c r="AL192" s="1"/>
  <c r="BJ191"/>
  <c r="BF191"/>
  <c r="BD191"/>
  <c r="AP191"/>
  <c r="AO191"/>
  <c r="H191" s="1"/>
  <c r="AL191"/>
  <c r="AK191"/>
  <c r="AJ191"/>
  <c r="AH191"/>
  <c r="AG191"/>
  <c r="AF191"/>
  <c r="AE191"/>
  <c r="AD191"/>
  <c r="AC191"/>
  <c r="AB191"/>
  <c r="Z191"/>
  <c r="J191"/>
  <c r="BJ190"/>
  <c r="AH190" s="1"/>
  <c r="BF190"/>
  <c r="BD190"/>
  <c r="AX190"/>
  <c r="AP190"/>
  <c r="I190" s="1"/>
  <c r="AO190"/>
  <c r="AW190" s="1"/>
  <c r="AV190" s="1"/>
  <c r="AK190"/>
  <c r="AJ190"/>
  <c r="AG190"/>
  <c r="AF190"/>
  <c r="AE190"/>
  <c r="AD190"/>
  <c r="AC190"/>
  <c r="AB190"/>
  <c r="Z190"/>
  <c r="J190"/>
  <c r="AL190" s="1"/>
  <c r="BJ189"/>
  <c r="AH189" s="1"/>
  <c r="BF189"/>
  <c r="BD189"/>
  <c r="AW189"/>
  <c r="AP189"/>
  <c r="AX189" s="1"/>
  <c r="AO189"/>
  <c r="BH189" s="1"/>
  <c r="AK189"/>
  <c r="AJ189"/>
  <c r="AG189"/>
  <c r="AF189"/>
  <c r="AE189"/>
  <c r="AD189"/>
  <c r="AC189"/>
  <c r="AB189"/>
  <c r="Z189"/>
  <c r="J189"/>
  <c r="AL189" s="1"/>
  <c r="H189"/>
  <c r="BJ188"/>
  <c r="AH188" s="1"/>
  <c r="BF188"/>
  <c r="BD188"/>
  <c r="AP188"/>
  <c r="BI188" s="1"/>
  <c r="AO188"/>
  <c r="AK188"/>
  <c r="AJ188"/>
  <c r="AG188"/>
  <c r="AF188"/>
  <c r="AE188"/>
  <c r="AD188"/>
  <c r="AC188"/>
  <c r="AB188"/>
  <c r="Z188"/>
  <c r="J188"/>
  <c r="AL188" s="1"/>
  <c r="I188"/>
  <c r="H188"/>
  <c r="BJ187"/>
  <c r="AH187" s="1"/>
  <c r="BF187"/>
  <c r="BD187"/>
  <c r="AW187"/>
  <c r="AP187"/>
  <c r="AO187"/>
  <c r="H187" s="1"/>
  <c r="AL187"/>
  <c r="AK187"/>
  <c r="AJ187"/>
  <c r="AG187"/>
  <c r="AF187"/>
  <c r="AE187"/>
  <c r="AD187"/>
  <c r="AC187"/>
  <c r="AB187"/>
  <c r="Z187"/>
  <c r="J187"/>
  <c r="BJ186"/>
  <c r="BH186"/>
  <c r="BF186"/>
  <c r="BD186"/>
  <c r="AP186"/>
  <c r="I186" s="1"/>
  <c r="AO186"/>
  <c r="AW186" s="1"/>
  <c r="AK186"/>
  <c r="AJ186"/>
  <c r="AH186"/>
  <c r="AG186"/>
  <c r="AF186"/>
  <c r="AE186"/>
  <c r="AD186"/>
  <c r="AC186"/>
  <c r="AB186"/>
  <c r="Z186"/>
  <c r="J186"/>
  <c r="AL186" s="1"/>
  <c r="H186"/>
  <c r="BJ185"/>
  <c r="AH185" s="1"/>
  <c r="BF185"/>
  <c r="BD185"/>
  <c r="AP185"/>
  <c r="AO185"/>
  <c r="BH185" s="1"/>
  <c r="AL185"/>
  <c r="AK185"/>
  <c r="AJ185"/>
  <c r="AG185"/>
  <c r="AF185"/>
  <c r="AE185"/>
  <c r="AD185"/>
  <c r="AC185"/>
  <c r="AB185"/>
  <c r="Z185"/>
  <c r="J185"/>
  <c r="H185"/>
  <c r="BJ184"/>
  <c r="AH184" s="1"/>
  <c r="BF184"/>
  <c r="BD184"/>
  <c r="AP184"/>
  <c r="BI184" s="1"/>
  <c r="AO184"/>
  <c r="AW184" s="1"/>
  <c r="AK184"/>
  <c r="AJ184"/>
  <c r="AG184"/>
  <c r="AF184"/>
  <c r="AE184"/>
  <c r="AD184"/>
  <c r="AC184"/>
  <c r="AB184"/>
  <c r="Z184"/>
  <c r="J184"/>
  <c r="AL184" s="1"/>
  <c r="I184"/>
  <c r="H184"/>
  <c r="BJ183"/>
  <c r="AH183" s="1"/>
  <c r="BF183"/>
  <c r="BD183"/>
  <c r="AW183"/>
  <c r="BC183" s="1"/>
  <c r="AP183"/>
  <c r="AX183" s="1"/>
  <c r="AO183"/>
  <c r="H183" s="1"/>
  <c r="AL183"/>
  <c r="AK183"/>
  <c r="AJ183"/>
  <c r="AG183"/>
  <c r="AF183"/>
  <c r="AE183"/>
  <c r="AD183"/>
  <c r="AC183"/>
  <c r="AB183"/>
  <c r="Z183"/>
  <c r="J183"/>
  <c r="BJ182"/>
  <c r="BF182"/>
  <c r="BD182"/>
  <c r="AP182"/>
  <c r="I182" s="1"/>
  <c r="AO182"/>
  <c r="AK182"/>
  <c r="AJ182"/>
  <c r="AH182"/>
  <c r="AG182"/>
  <c r="AF182"/>
  <c r="AE182"/>
  <c r="AD182"/>
  <c r="AC182"/>
  <c r="AB182"/>
  <c r="Z182"/>
  <c r="J182"/>
  <c r="H182"/>
  <c r="BJ180"/>
  <c r="BF180"/>
  <c r="BD180"/>
  <c r="AP180"/>
  <c r="AX180" s="1"/>
  <c r="AO180"/>
  <c r="H180" s="1"/>
  <c r="AK180"/>
  <c r="AJ180"/>
  <c r="AH180"/>
  <c r="AG180"/>
  <c r="AF180"/>
  <c r="AE180"/>
  <c r="AD180"/>
  <c r="AC180"/>
  <c r="AB180"/>
  <c r="Z180"/>
  <c r="J180"/>
  <c r="AL180" s="1"/>
  <c r="BJ179"/>
  <c r="Z179" s="1"/>
  <c r="BF179"/>
  <c r="BD179"/>
  <c r="AP179"/>
  <c r="I179" s="1"/>
  <c r="AO179"/>
  <c r="AK179"/>
  <c r="AJ179"/>
  <c r="AH179"/>
  <c r="AG179"/>
  <c r="AF179"/>
  <c r="AE179"/>
  <c r="AD179"/>
  <c r="AC179"/>
  <c r="AB179"/>
  <c r="J179"/>
  <c r="AL179" s="1"/>
  <c r="BJ178"/>
  <c r="BF178"/>
  <c r="BD178"/>
  <c r="AW178"/>
  <c r="BC178" s="1"/>
  <c r="AP178"/>
  <c r="AX178" s="1"/>
  <c r="AO178"/>
  <c r="BH178" s="1"/>
  <c r="AL178"/>
  <c r="AK178"/>
  <c r="AJ178"/>
  <c r="AS176" s="1"/>
  <c r="AH178"/>
  <c r="AG178"/>
  <c r="AF178"/>
  <c r="AE178"/>
  <c r="AD178"/>
  <c r="AC178"/>
  <c r="AB178"/>
  <c r="Z178"/>
  <c r="J178"/>
  <c r="H178"/>
  <c r="BJ177"/>
  <c r="Z177" s="1"/>
  <c r="BF177"/>
  <c r="BD177"/>
  <c r="AX177"/>
  <c r="AP177"/>
  <c r="BI177" s="1"/>
  <c r="AO177"/>
  <c r="AW177" s="1"/>
  <c r="AV177" s="1"/>
  <c r="AK177"/>
  <c r="AJ177"/>
  <c r="AH177"/>
  <c r="AG177"/>
  <c r="AF177"/>
  <c r="AE177"/>
  <c r="AD177"/>
  <c r="AC177"/>
  <c r="AB177"/>
  <c r="J177"/>
  <c r="AL177" s="1"/>
  <c r="I177"/>
  <c r="H177"/>
  <c r="BJ175"/>
  <c r="BF175"/>
  <c r="BD175"/>
  <c r="AW175"/>
  <c r="AP175"/>
  <c r="AO175"/>
  <c r="BH175" s="1"/>
  <c r="AF175" s="1"/>
  <c r="AK175"/>
  <c r="AJ175"/>
  <c r="AS174" s="1"/>
  <c r="AH175"/>
  <c r="AE175"/>
  <c r="AD175"/>
  <c r="AC175"/>
  <c r="AB175"/>
  <c r="Z175"/>
  <c r="J175"/>
  <c r="AT174"/>
  <c r="BJ173"/>
  <c r="BF173"/>
  <c r="BD173"/>
  <c r="AX173"/>
  <c r="AP173"/>
  <c r="BI173" s="1"/>
  <c r="AG173" s="1"/>
  <c r="AO173"/>
  <c r="H173" s="1"/>
  <c r="AK173"/>
  <c r="AJ173"/>
  <c r="AH173"/>
  <c r="AE173"/>
  <c r="AD173"/>
  <c r="AC173"/>
  <c r="AB173"/>
  <c r="Z173"/>
  <c r="J173"/>
  <c r="AL173" s="1"/>
  <c r="BJ172"/>
  <c r="BH172"/>
  <c r="AF172" s="1"/>
  <c r="BF172"/>
  <c r="BD172"/>
  <c r="AP172"/>
  <c r="I172" s="1"/>
  <c r="AO172"/>
  <c r="AK172"/>
  <c r="AJ172"/>
  <c r="AH172"/>
  <c r="AE172"/>
  <c r="AD172"/>
  <c r="AC172"/>
  <c r="AB172"/>
  <c r="Z172"/>
  <c r="J172"/>
  <c r="AL172" s="1"/>
  <c r="BJ171"/>
  <c r="BF171"/>
  <c r="BD171"/>
  <c r="AP171"/>
  <c r="AO171"/>
  <c r="BH171" s="1"/>
  <c r="AK171"/>
  <c r="AJ171"/>
  <c r="AH171"/>
  <c r="AF171"/>
  <c r="AE171"/>
  <c r="AD171"/>
  <c r="AC171"/>
  <c r="AB171"/>
  <c r="Z171"/>
  <c r="J171"/>
  <c r="AL171" s="1"/>
  <c r="BJ170"/>
  <c r="BF170"/>
  <c r="BD170"/>
  <c r="AP170"/>
  <c r="BI170" s="1"/>
  <c r="AG170" s="1"/>
  <c r="AO170"/>
  <c r="BH170" s="1"/>
  <c r="AF170" s="1"/>
  <c r="AK170"/>
  <c r="AJ170"/>
  <c r="AH170"/>
  <c r="AE170"/>
  <c r="AD170"/>
  <c r="AC170"/>
  <c r="AB170"/>
  <c r="Z170"/>
  <c r="J170"/>
  <c r="AL170" s="1"/>
  <c r="I170"/>
  <c r="BJ169"/>
  <c r="BF169"/>
  <c r="BD169"/>
  <c r="AP169"/>
  <c r="BI169" s="1"/>
  <c r="AO169"/>
  <c r="AL169"/>
  <c r="AK169"/>
  <c r="AJ169"/>
  <c r="AH169"/>
  <c r="AG169"/>
  <c r="AE169"/>
  <c r="AD169"/>
  <c r="AC169"/>
  <c r="AB169"/>
  <c r="Z169"/>
  <c r="J169"/>
  <c r="I169"/>
  <c r="BJ167"/>
  <c r="BF167"/>
  <c r="BD167"/>
  <c r="AW167"/>
  <c r="AP167"/>
  <c r="BI167" s="1"/>
  <c r="AG167" s="1"/>
  <c r="AO167"/>
  <c r="BH167" s="1"/>
  <c r="AK167"/>
  <c r="AJ167"/>
  <c r="AH167"/>
  <c r="AF167"/>
  <c r="AE167"/>
  <c r="AD167"/>
  <c r="AC167"/>
  <c r="AB167"/>
  <c r="Z167"/>
  <c r="J167"/>
  <c r="AL167" s="1"/>
  <c r="H167"/>
  <c r="BJ166"/>
  <c r="BF166"/>
  <c r="BD166"/>
  <c r="AP166"/>
  <c r="BI166" s="1"/>
  <c r="AG166" s="1"/>
  <c r="AO166"/>
  <c r="AK166"/>
  <c r="AJ166"/>
  <c r="AH166"/>
  <c r="AE166"/>
  <c r="AD166"/>
  <c r="AC166"/>
  <c r="AB166"/>
  <c r="Z166"/>
  <c r="J166"/>
  <c r="AL166" s="1"/>
  <c r="I166"/>
  <c r="BJ165"/>
  <c r="BF165"/>
  <c r="BD165"/>
  <c r="AP165"/>
  <c r="AO165"/>
  <c r="AK165"/>
  <c r="AJ165"/>
  <c r="AH165"/>
  <c r="AE165"/>
  <c r="AD165"/>
  <c r="AC165"/>
  <c r="AB165"/>
  <c r="Z165"/>
  <c r="J165"/>
  <c r="AL165" s="1"/>
  <c r="BJ164"/>
  <c r="BF164"/>
  <c r="BD164"/>
  <c r="AP164"/>
  <c r="AO164"/>
  <c r="BH164" s="1"/>
  <c r="AK164"/>
  <c r="AJ164"/>
  <c r="AH164"/>
  <c r="AF164"/>
  <c r="AE164"/>
  <c r="AD164"/>
  <c r="AC164"/>
  <c r="AB164"/>
  <c r="Z164"/>
  <c r="J164"/>
  <c r="AL164" s="1"/>
  <c r="BJ163"/>
  <c r="BF163"/>
  <c r="BD163"/>
  <c r="AP163"/>
  <c r="BI163" s="1"/>
  <c r="AG163" s="1"/>
  <c r="AO163"/>
  <c r="BH163" s="1"/>
  <c r="AF163" s="1"/>
  <c r="AK163"/>
  <c r="AJ163"/>
  <c r="AH163"/>
  <c r="AE163"/>
  <c r="AD163"/>
  <c r="AC163"/>
  <c r="AB163"/>
  <c r="Z163"/>
  <c r="J163"/>
  <c r="AL163" s="1"/>
  <c r="I163"/>
  <c r="BJ162"/>
  <c r="BH162"/>
  <c r="AF162" s="1"/>
  <c r="BF162"/>
  <c r="BD162"/>
  <c r="AW162"/>
  <c r="AP162"/>
  <c r="BI162" s="1"/>
  <c r="AG162" s="1"/>
  <c r="AO162"/>
  <c r="H162" s="1"/>
  <c r="AK162"/>
  <c r="AJ162"/>
  <c r="AH162"/>
  <c r="AE162"/>
  <c r="AD162"/>
  <c r="AC162"/>
  <c r="AB162"/>
  <c r="Z162"/>
  <c r="J162"/>
  <c r="AL162" s="1"/>
  <c r="BJ161"/>
  <c r="BF161"/>
  <c r="BD161"/>
  <c r="AP161"/>
  <c r="I161" s="1"/>
  <c r="AO161"/>
  <c r="BH161" s="1"/>
  <c r="AF161" s="1"/>
  <c r="AK161"/>
  <c r="AJ161"/>
  <c r="AH161"/>
  <c r="AE161"/>
  <c r="AD161"/>
  <c r="AC161"/>
  <c r="AB161"/>
  <c r="Z161"/>
  <c r="J161"/>
  <c r="AL161" s="1"/>
  <c r="BJ160"/>
  <c r="BF160"/>
  <c r="BD160"/>
  <c r="AP160"/>
  <c r="AO160"/>
  <c r="BH160" s="1"/>
  <c r="AK160"/>
  <c r="AJ160"/>
  <c r="AH160"/>
  <c r="AF160"/>
  <c r="AE160"/>
  <c r="AD160"/>
  <c r="AC160"/>
  <c r="AB160"/>
  <c r="Z160"/>
  <c r="J160"/>
  <c r="AL160" s="1"/>
  <c r="H160"/>
  <c r="BJ159"/>
  <c r="BF159"/>
  <c r="BD159"/>
  <c r="AW159"/>
  <c r="AP159"/>
  <c r="BI159" s="1"/>
  <c r="AG159" s="1"/>
  <c r="AO159"/>
  <c r="BH159" s="1"/>
  <c r="AL159"/>
  <c r="AK159"/>
  <c r="AJ159"/>
  <c r="AH159"/>
  <c r="AF159"/>
  <c r="AE159"/>
  <c r="AD159"/>
  <c r="AC159"/>
  <c r="AB159"/>
  <c r="Z159"/>
  <c r="J159"/>
  <c r="I159"/>
  <c r="H159"/>
  <c r="BJ158"/>
  <c r="BF158"/>
  <c r="BD158"/>
  <c r="AP158"/>
  <c r="BI158" s="1"/>
  <c r="AG158" s="1"/>
  <c r="AO158"/>
  <c r="AK158"/>
  <c r="AJ158"/>
  <c r="AH158"/>
  <c r="AE158"/>
  <c r="AD158"/>
  <c r="AC158"/>
  <c r="AB158"/>
  <c r="Z158"/>
  <c r="J158"/>
  <c r="AL158" s="1"/>
  <c r="BJ157"/>
  <c r="BF157"/>
  <c r="BD157"/>
  <c r="AP157"/>
  <c r="AO157"/>
  <c r="AK157"/>
  <c r="AJ157"/>
  <c r="AH157"/>
  <c r="AE157"/>
  <c r="AD157"/>
  <c r="AC157"/>
  <c r="AB157"/>
  <c r="Z157"/>
  <c r="J157"/>
  <c r="AL157" s="1"/>
  <c r="BJ156"/>
  <c r="BF156"/>
  <c r="BD156"/>
  <c r="AP156"/>
  <c r="AO156"/>
  <c r="BH156" s="1"/>
  <c r="AK156"/>
  <c r="AJ156"/>
  <c r="AH156"/>
  <c r="AF156"/>
  <c r="AE156"/>
  <c r="AD156"/>
  <c r="AC156"/>
  <c r="AB156"/>
  <c r="Z156"/>
  <c r="J156"/>
  <c r="AL156" s="1"/>
  <c r="BJ155"/>
  <c r="BF155"/>
  <c r="BD155"/>
  <c r="AW155"/>
  <c r="AP155"/>
  <c r="BI155" s="1"/>
  <c r="AG155" s="1"/>
  <c r="AO155"/>
  <c r="BH155" s="1"/>
  <c r="AF155" s="1"/>
  <c r="AK155"/>
  <c r="AJ155"/>
  <c r="AH155"/>
  <c r="AE155"/>
  <c r="AD155"/>
  <c r="AC155"/>
  <c r="AB155"/>
  <c r="Z155"/>
  <c r="J155"/>
  <c r="AL155" s="1"/>
  <c r="H155"/>
  <c r="BJ154"/>
  <c r="BH154"/>
  <c r="AF154" s="1"/>
  <c r="BF154"/>
  <c r="BD154"/>
  <c r="AX154"/>
  <c r="AW154"/>
  <c r="AP154"/>
  <c r="BI154" s="1"/>
  <c r="AG154" s="1"/>
  <c r="AO154"/>
  <c r="H154" s="1"/>
  <c r="AK154"/>
  <c r="AJ154"/>
  <c r="AH154"/>
  <c r="AE154"/>
  <c r="AD154"/>
  <c r="AC154"/>
  <c r="AB154"/>
  <c r="Z154"/>
  <c r="J154"/>
  <c r="I154"/>
  <c r="BJ152"/>
  <c r="BF152"/>
  <c r="BD152"/>
  <c r="AW152"/>
  <c r="BC152" s="1"/>
  <c r="AP152"/>
  <c r="AX152" s="1"/>
  <c r="AO152"/>
  <c r="BH152" s="1"/>
  <c r="AB152" s="1"/>
  <c r="AK152"/>
  <c r="AJ152"/>
  <c r="AH152"/>
  <c r="AG152"/>
  <c r="AF152"/>
  <c r="AE152"/>
  <c r="AD152"/>
  <c r="Z152"/>
  <c r="J152"/>
  <c r="AL152" s="1"/>
  <c r="H152"/>
  <c r="BJ151"/>
  <c r="BH151"/>
  <c r="AB151" s="1"/>
  <c r="BF151"/>
  <c r="BD151"/>
  <c r="AX151"/>
  <c r="AW151"/>
  <c r="BC151" s="1"/>
  <c r="AP151"/>
  <c r="BI151" s="1"/>
  <c r="AO151"/>
  <c r="H151" s="1"/>
  <c r="AL151"/>
  <c r="AK151"/>
  <c r="AJ151"/>
  <c r="AH151"/>
  <c r="AG151"/>
  <c r="AF151"/>
  <c r="AE151"/>
  <c r="AD151"/>
  <c r="AC151"/>
  <c r="Z151"/>
  <c r="J151"/>
  <c r="I151"/>
  <c r="BJ150"/>
  <c r="BI150"/>
  <c r="BH150"/>
  <c r="AB150" s="1"/>
  <c r="BF150"/>
  <c r="BD150"/>
  <c r="AX150"/>
  <c r="AW150"/>
  <c r="AP150"/>
  <c r="AO150"/>
  <c r="H150" s="1"/>
  <c r="AL150"/>
  <c r="AK150"/>
  <c r="AJ150"/>
  <c r="AH150"/>
  <c r="AG150"/>
  <c r="AF150"/>
  <c r="AE150"/>
  <c r="AD150"/>
  <c r="AC150"/>
  <c r="Z150"/>
  <c r="J150"/>
  <c r="I150"/>
  <c r="BJ149"/>
  <c r="BF149"/>
  <c r="BD149"/>
  <c r="AP149"/>
  <c r="AO149"/>
  <c r="AK149"/>
  <c r="AJ149"/>
  <c r="AH149"/>
  <c r="AG149"/>
  <c r="AF149"/>
  <c r="AE149"/>
  <c r="AD149"/>
  <c r="Z149"/>
  <c r="J149"/>
  <c r="AL149" s="1"/>
  <c r="BJ148"/>
  <c r="BF148"/>
  <c r="BD148"/>
  <c r="AW148"/>
  <c r="AP148"/>
  <c r="AO148"/>
  <c r="BH148" s="1"/>
  <c r="AB148" s="1"/>
  <c r="AK148"/>
  <c r="AJ148"/>
  <c r="AH148"/>
  <c r="AG148"/>
  <c r="AF148"/>
  <c r="AE148"/>
  <c r="AD148"/>
  <c r="Z148"/>
  <c r="J148"/>
  <c r="AL148" s="1"/>
  <c r="BJ147"/>
  <c r="BF147"/>
  <c r="BD147"/>
  <c r="AP147"/>
  <c r="BI147" s="1"/>
  <c r="AO147"/>
  <c r="AL147"/>
  <c r="AK147"/>
  <c r="AJ147"/>
  <c r="AH147"/>
  <c r="AG147"/>
  <c r="AF147"/>
  <c r="AE147"/>
  <c r="AD147"/>
  <c r="AC147"/>
  <c r="Z147"/>
  <c r="J147"/>
  <c r="I147"/>
  <c r="BJ146"/>
  <c r="BF146"/>
  <c r="BD146"/>
  <c r="AX146"/>
  <c r="AP146"/>
  <c r="BI146" s="1"/>
  <c r="AC146" s="1"/>
  <c r="AO146"/>
  <c r="AL146"/>
  <c r="AK146"/>
  <c r="AJ146"/>
  <c r="AH146"/>
  <c r="AG146"/>
  <c r="AF146"/>
  <c r="AE146"/>
  <c r="AD146"/>
  <c r="Z146"/>
  <c r="J146"/>
  <c r="I146"/>
  <c r="BJ144"/>
  <c r="BH144"/>
  <c r="BF144"/>
  <c r="BD144"/>
  <c r="AW144"/>
  <c r="AP144"/>
  <c r="BI144" s="1"/>
  <c r="AC144" s="1"/>
  <c r="AO144"/>
  <c r="AL144"/>
  <c r="AK144"/>
  <c r="AJ144"/>
  <c r="AH144"/>
  <c r="AG144"/>
  <c r="AF144"/>
  <c r="AE144"/>
  <c r="AD144"/>
  <c r="AB144"/>
  <c r="Z144"/>
  <c r="J144"/>
  <c r="I144"/>
  <c r="H144"/>
  <c r="BJ143"/>
  <c r="BH143"/>
  <c r="AB143" s="1"/>
  <c r="BF143"/>
  <c r="BD143"/>
  <c r="AP143"/>
  <c r="AO143"/>
  <c r="H143" s="1"/>
  <c r="AK143"/>
  <c r="AJ143"/>
  <c r="AH143"/>
  <c r="AG143"/>
  <c r="AF143"/>
  <c r="AE143"/>
  <c r="AD143"/>
  <c r="Z143"/>
  <c r="J143"/>
  <c r="AL143" s="1"/>
  <c r="BJ142"/>
  <c r="BI142"/>
  <c r="AC142" s="1"/>
  <c r="BF142"/>
  <c r="BD142"/>
  <c r="AX142"/>
  <c r="AP142"/>
  <c r="I142" s="1"/>
  <c r="AO142"/>
  <c r="BH142" s="1"/>
  <c r="AB142" s="1"/>
  <c r="AK142"/>
  <c r="AJ142"/>
  <c r="AH142"/>
  <c r="AG142"/>
  <c r="AF142"/>
  <c r="AE142"/>
  <c r="AD142"/>
  <c r="Z142"/>
  <c r="J142"/>
  <c r="AL142" s="1"/>
  <c r="BJ141"/>
  <c r="BF141"/>
  <c r="BD141"/>
  <c r="AP141"/>
  <c r="AX141" s="1"/>
  <c r="AO141"/>
  <c r="BH141" s="1"/>
  <c r="AB141" s="1"/>
  <c r="AK141"/>
  <c r="AJ141"/>
  <c r="AH141"/>
  <c r="AG141"/>
  <c r="AF141"/>
  <c r="AE141"/>
  <c r="AD141"/>
  <c r="Z141"/>
  <c r="J141"/>
  <c r="AL141" s="1"/>
  <c r="I141"/>
  <c r="H141"/>
  <c r="BJ140"/>
  <c r="BH140"/>
  <c r="BF140"/>
  <c r="BD140"/>
  <c r="AW140"/>
  <c r="AP140"/>
  <c r="BI140" s="1"/>
  <c r="AC140" s="1"/>
  <c r="AO140"/>
  <c r="AL140"/>
  <c r="AK140"/>
  <c r="AJ140"/>
  <c r="AH140"/>
  <c r="AG140"/>
  <c r="AF140"/>
  <c r="AE140"/>
  <c r="AD140"/>
  <c r="AB140"/>
  <c r="Z140"/>
  <c r="J140"/>
  <c r="H140"/>
  <c r="BJ139"/>
  <c r="BF139"/>
  <c r="BD139"/>
  <c r="AP139"/>
  <c r="BI139" s="1"/>
  <c r="AC139" s="1"/>
  <c r="AO139"/>
  <c r="H139" s="1"/>
  <c r="AK139"/>
  <c r="AJ139"/>
  <c r="AH139"/>
  <c r="AG139"/>
  <c r="AF139"/>
  <c r="AE139"/>
  <c r="AD139"/>
  <c r="Z139"/>
  <c r="J139"/>
  <c r="AL139" s="1"/>
  <c r="I139"/>
  <c r="BJ138"/>
  <c r="BI138"/>
  <c r="AC138" s="1"/>
  <c r="BF138"/>
  <c r="BD138"/>
  <c r="AP138"/>
  <c r="AO138"/>
  <c r="H138" s="1"/>
  <c r="AK138"/>
  <c r="AJ138"/>
  <c r="AH138"/>
  <c r="AG138"/>
  <c r="AF138"/>
  <c r="AE138"/>
  <c r="AD138"/>
  <c r="Z138"/>
  <c r="J138"/>
  <c r="AL138" s="1"/>
  <c r="BJ137"/>
  <c r="BF137"/>
  <c r="BD137"/>
  <c r="AW137"/>
  <c r="AP137"/>
  <c r="AO137"/>
  <c r="BH137" s="1"/>
  <c r="AB137" s="1"/>
  <c r="AL137"/>
  <c r="AK137"/>
  <c r="AJ137"/>
  <c r="AS136" s="1"/>
  <c r="AH137"/>
  <c r="AG137"/>
  <c r="AF137"/>
  <c r="AE137"/>
  <c r="AD137"/>
  <c r="Z137"/>
  <c r="J137"/>
  <c r="H137"/>
  <c r="BJ135"/>
  <c r="BF135"/>
  <c r="BD135"/>
  <c r="AP135"/>
  <c r="AO135"/>
  <c r="AK135"/>
  <c r="AT134" s="1"/>
  <c r="AJ135"/>
  <c r="AS134" s="1"/>
  <c r="AH135"/>
  <c r="AG135"/>
  <c r="AF135"/>
  <c r="AE135"/>
  <c r="AD135"/>
  <c r="Z135"/>
  <c r="J135"/>
  <c r="AL135" s="1"/>
  <c r="AU134"/>
  <c r="J134"/>
  <c r="G36" i="2" s="1"/>
  <c r="I36" s="1"/>
  <c r="BJ133" i="1"/>
  <c r="BI133"/>
  <c r="BF133"/>
  <c r="BD133"/>
  <c r="AX133"/>
  <c r="AP133"/>
  <c r="AO133"/>
  <c r="BH133" s="1"/>
  <c r="AB133" s="1"/>
  <c r="AL133"/>
  <c r="AK133"/>
  <c r="AJ133"/>
  <c r="AH133"/>
  <c r="AG133"/>
  <c r="AF133"/>
  <c r="AE133"/>
  <c r="AD133"/>
  <c r="AC133"/>
  <c r="Z133"/>
  <c r="J133"/>
  <c r="I133"/>
  <c r="BJ132"/>
  <c r="BH132"/>
  <c r="AB132" s="1"/>
  <c r="BF132"/>
  <c r="BD132"/>
  <c r="AW132"/>
  <c r="AP132"/>
  <c r="BI132" s="1"/>
  <c r="AC132" s="1"/>
  <c r="AO132"/>
  <c r="H132" s="1"/>
  <c r="AK132"/>
  <c r="AJ132"/>
  <c r="AH132"/>
  <c r="AG132"/>
  <c r="AF132"/>
  <c r="AE132"/>
  <c r="AD132"/>
  <c r="Z132"/>
  <c r="J132"/>
  <c r="AL132" s="1"/>
  <c r="BJ131"/>
  <c r="BH131"/>
  <c r="AB131" s="1"/>
  <c r="BF131"/>
  <c r="BD131"/>
  <c r="AP131"/>
  <c r="I131" s="1"/>
  <c r="AO131"/>
  <c r="AK131"/>
  <c r="AT130" s="1"/>
  <c r="AJ131"/>
  <c r="AH131"/>
  <c r="AG131"/>
  <c r="AF131"/>
  <c r="AE131"/>
  <c r="AD131"/>
  <c r="Z131"/>
  <c r="J131"/>
  <c r="BJ129"/>
  <c r="BF129"/>
  <c r="BD129"/>
  <c r="AP129"/>
  <c r="BI129" s="1"/>
  <c r="AO129"/>
  <c r="AL129"/>
  <c r="AU128" s="1"/>
  <c r="AK129"/>
  <c r="AJ129"/>
  <c r="AH129"/>
  <c r="AG129"/>
  <c r="AF129"/>
  <c r="AE129"/>
  <c r="AD129"/>
  <c r="AC129"/>
  <c r="AB129"/>
  <c r="Z129"/>
  <c r="J129"/>
  <c r="J128" s="1"/>
  <c r="G34" i="2" s="1"/>
  <c r="I34" s="1"/>
  <c r="I129" i="1"/>
  <c r="I128" s="1"/>
  <c r="F34" i="2" s="1"/>
  <c r="AT128" i="1"/>
  <c r="AS128"/>
  <c r="BJ127"/>
  <c r="BF127"/>
  <c r="BD127"/>
  <c r="AW127"/>
  <c r="AP127"/>
  <c r="BI127" s="1"/>
  <c r="AE127" s="1"/>
  <c r="AO127"/>
  <c r="BH127" s="1"/>
  <c r="AD127" s="1"/>
  <c r="AL127"/>
  <c r="AK127"/>
  <c r="AJ127"/>
  <c r="AH127"/>
  <c r="AG127"/>
  <c r="AF127"/>
  <c r="AC127"/>
  <c r="AB127"/>
  <c r="Z127"/>
  <c r="J127"/>
  <c r="I127"/>
  <c r="H127"/>
  <c r="BJ126"/>
  <c r="BF126"/>
  <c r="BD126"/>
  <c r="AP126"/>
  <c r="BI126" s="1"/>
  <c r="AE126" s="1"/>
  <c r="AO126"/>
  <c r="AL126"/>
  <c r="AK126"/>
  <c r="AJ126"/>
  <c r="AH126"/>
  <c r="AG126"/>
  <c r="AF126"/>
  <c r="AC126"/>
  <c r="AB126"/>
  <c r="Z126"/>
  <c r="J126"/>
  <c r="I126"/>
  <c r="BJ125"/>
  <c r="BF125"/>
  <c r="BD125"/>
  <c r="AP125"/>
  <c r="AO125"/>
  <c r="AK125"/>
  <c r="AT124" s="1"/>
  <c r="AJ125"/>
  <c r="AH125"/>
  <c r="AG125"/>
  <c r="AF125"/>
  <c r="AC125"/>
  <c r="AB125"/>
  <c r="Z125"/>
  <c r="J125"/>
  <c r="BJ123"/>
  <c r="BF123"/>
  <c r="BD123"/>
  <c r="AP123"/>
  <c r="BI123" s="1"/>
  <c r="AE123" s="1"/>
  <c r="AO123"/>
  <c r="AL123"/>
  <c r="AU122" s="1"/>
  <c r="AK123"/>
  <c r="AJ123"/>
  <c r="AH123"/>
  <c r="AG123"/>
  <c r="AF123"/>
  <c r="AC123"/>
  <c r="AB123"/>
  <c r="Z123"/>
  <c r="J123"/>
  <c r="J122" s="1"/>
  <c r="G32" i="2" s="1"/>
  <c r="I32" s="1"/>
  <c r="I123" i="1"/>
  <c r="I122" s="1"/>
  <c r="F32" i="2" s="1"/>
  <c r="AT122" i="1"/>
  <c r="AS122"/>
  <c r="BJ121"/>
  <c r="BF121"/>
  <c r="BD121"/>
  <c r="AX121"/>
  <c r="AP121"/>
  <c r="BI121" s="1"/>
  <c r="AE121" s="1"/>
  <c r="AO121"/>
  <c r="BH121" s="1"/>
  <c r="AD121" s="1"/>
  <c r="AK121"/>
  <c r="AJ121"/>
  <c r="AH121"/>
  <c r="AG121"/>
  <c r="AF121"/>
  <c r="AC121"/>
  <c r="AB121"/>
  <c r="Z121"/>
  <c r="J121"/>
  <c r="AL121" s="1"/>
  <c r="I121"/>
  <c r="H121"/>
  <c r="BJ120"/>
  <c r="BF120"/>
  <c r="BD120"/>
  <c r="AX120"/>
  <c r="AP120"/>
  <c r="BI120" s="1"/>
  <c r="AE120" s="1"/>
  <c r="AO120"/>
  <c r="H120" s="1"/>
  <c r="AK120"/>
  <c r="AJ120"/>
  <c r="AH120"/>
  <c r="AG120"/>
  <c r="AF120"/>
  <c r="AC120"/>
  <c r="AB120"/>
  <c r="Z120"/>
  <c r="J120"/>
  <c r="AL120" s="1"/>
  <c r="I120"/>
  <c r="BJ119"/>
  <c r="BF119"/>
  <c r="BD119"/>
  <c r="AP119"/>
  <c r="I119" s="1"/>
  <c r="AO119"/>
  <c r="AK119"/>
  <c r="AJ119"/>
  <c r="AH119"/>
  <c r="AG119"/>
  <c r="AF119"/>
  <c r="AC119"/>
  <c r="AB119"/>
  <c r="Z119"/>
  <c r="J119"/>
  <c r="AL119" s="1"/>
  <c r="BJ118"/>
  <c r="BF118"/>
  <c r="BD118"/>
  <c r="AP118"/>
  <c r="BI118" s="1"/>
  <c r="AE118" s="1"/>
  <c r="AO118"/>
  <c r="BH118" s="1"/>
  <c r="AD118" s="1"/>
  <c r="AL118"/>
  <c r="AK118"/>
  <c r="AJ118"/>
  <c r="AH118"/>
  <c r="AG118"/>
  <c r="AF118"/>
  <c r="AC118"/>
  <c r="AB118"/>
  <c r="Z118"/>
  <c r="J118"/>
  <c r="H118"/>
  <c r="BJ117"/>
  <c r="BF117"/>
  <c r="BD117"/>
  <c r="AX117"/>
  <c r="AW117"/>
  <c r="AP117"/>
  <c r="BI117" s="1"/>
  <c r="AE117" s="1"/>
  <c r="AO117"/>
  <c r="BH117" s="1"/>
  <c r="AD117" s="1"/>
  <c r="AL117"/>
  <c r="AK117"/>
  <c r="AJ117"/>
  <c r="AH117"/>
  <c r="AG117"/>
  <c r="AF117"/>
  <c r="AC117"/>
  <c r="AB117"/>
  <c r="Z117"/>
  <c r="J117"/>
  <c r="I117"/>
  <c r="H117"/>
  <c r="BJ116"/>
  <c r="BF116"/>
  <c r="BD116"/>
  <c r="AP116"/>
  <c r="BI116" s="1"/>
  <c r="AE116" s="1"/>
  <c r="AO116"/>
  <c r="AL116"/>
  <c r="AK116"/>
  <c r="AJ116"/>
  <c r="AH116"/>
  <c r="AG116"/>
  <c r="AF116"/>
  <c r="AC116"/>
  <c r="AB116"/>
  <c r="Z116"/>
  <c r="J116"/>
  <c r="I116"/>
  <c r="BJ115"/>
  <c r="BF115"/>
  <c r="BD115"/>
  <c r="AP115"/>
  <c r="AO115"/>
  <c r="AK115"/>
  <c r="AJ115"/>
  <c r="AH115"/>
  <c r="AG115"/>
  <c r="AF115"/>
  <c r="AC115"/>
  <c r="AB115"/>
  <c r="Z115"/>
  <c r="J115"/>
  <c r="BJ113"/>
  <c r="BF113"/>
  <c r="BD113"/>
  <c r="AX113"/>
  <c r="AP113"/>
  <c r="BI113" s="1"/>
  <c r="AE113" s="1"/>
  <c r="AO113"/>
  <c r="AL113"/>
  <c r="AK113"/>
  <c r="AJ113"/>
  <c r="AH113"/>
  <c r="AG113"/>
  <c r="AF113"/>
  <c r="AC113"/>
  <c r="AB113"/>
  <c r="Z113"/>
  <c r="J113"/>
  <c r="I113"/>
  <c r="BJ112"/>
  <c r="BF112"/>
  <c r="BD112"/>
  <c r="AP112"/>
  <c r="AO112"/>
  <c r="AK112"/>
  <c r="AT111" s="1"/>
  <c r="AJ112"/>
  <c r="AS111" s="1"/>
  <c r="AH112"/>
  <c r="AG112"/>
  <c r="AF112"/>
  <c r="AC112"/>
  <c r="AB112"/>
  <c r="Z112"/>
  <c r="J112"/>
  <c r="BJ110"/>
  <c r="BF110"/>
  <c r="BD110"/>
  <c r="AX110"/>
  <c r="AP110"/>
  <c r="BI110" s="1"/>
  <c r="AE110" s="1"/>
  <c r="AO110"/>
  <c r="AL110"/>
  <c r="AU109" s="1"/>
  <c r="AK110"/>
  <c r="AJ110"/>
  <c r="AH110"/>
  <c r="AG110"/>
  <c r="AF110"/>
  <c r="AC110"/>
  <c r="AB110"/>
  <c r="Z110"/>
  <c r="J110"/>
  <c r="J109" s="1"/>
  <c r="G29" i="2" s="1"/>
  <c r="I29" s="1"/>
  <c r="I110" i="1"/>
  <c r="I109" s="1"/>
  <c r="F29" i="2" s="1"/>
  <c r="AT109" i="1"/>
  <c r="AS109"/>
  <c r="BJ108"/>
  <c r="BF108"/>
  <c r="BD108"/>
  <c r="AW108"/>
  <c r="AP108"/>
  <c r="BI108" s="1"/>
  <c r="AE108" s="1"/>
  <c r="AO108"/>
  <c r="BH108" s="1"/>
  <c r="AD108" s="1"/>
  <c r="AL108"/>
  <c r="AU107" s="1"/>
  <c r="AK108"/>
  <c r="AT107" s="1"/>
  <c r="AJ108"/>
  <c r="AH108"/>
  <c r="AG108"/>
  <c r="AF108"/>
  <c r="AC108"/>
  <c r="AB108"/>
  <c r="Z108"/>
  <c r="J108"/>
  <c r="I108"/>
  <c r="I107" s="1"/>
  <c r="F28" i="2" s="1"/>
  <c r="H108" i="1"/>
  <c r="H107" s="1"/>
  <c r="E28" i="2" s="1"/>
  <c r="AS107" i="1"/>
  <c r="J107"/>
  <c r="G28" i="2" s="1"/>
  <c r="I28" s="1"/>
  <c r="BJ106" i="1"/>
  <c r="BF106"/>
  <c r="BD106"/>
  <c r="AW106"/>
  <c r="AP106"/>
  <c r="AO106"/>
  <c r="BH106" s="1"/>
  <c r="AD106" s="1"/>
  <c r="AL106"/>
  <c r="AK106"/>
  <c r="AJ106"/>
  <c r="AH106"/>
  <c r="AG106"/>
  <c r="AF106"/>
  <c r="AC106"/>
  <c r="AB106"/>
  <c r="Z106"/>
  <c r="J106"/>
  <c r="H106"/>
  <c r="BJ105"/>
  <c r="BF105"/>
  <c r="BD105"/>
  <c r="AW105"/>
  <c r="AP105"/>
  <c r="BI105" s="1"/>
  <c r="AE105" s="1"/>
  <c r="AO105"/>
  <c r="BH105" s="1"/>
  <c r="AD105" s="1"/>
  <c r="AK105"/>
  <c r="AJ105"/>
  <c r="AH105"/>
  <c r="AG105"/>
  <c r="AF105"/>
  <c r="AC105"/>
  <c r="AB105"/>
  <c r="Z105"/>
  <c r="J105"/>
  <c r="AL105" s="1"/>
  <c r="I105"/>
  <c r="H105"/>
  <c r="BJ104"/>
  <c r="BF104"/>
  <c r="BD104"/>
  <c r="AP104"/>
  <c r="BI104" s="1"/>
  <c r="AE104" s="1"/>
  <c r="AO104"/>
  <c r="AK104"/>
  <c r="AJ104"/>
  <c r="AH104"/>
  <c r="AG104"/>
  <c r="AF104"/>
  <c r="AC104"/>
  <c r="AB104"/>
  <c r="Z104"/>
  <c r="J104"/>
  <c r="AL104" s="1"/>
  <c r="I104"/>
  <c r="BJ103"/>
  <c r="BF103"/>
  <c r="BD103"/>
  <c r="AP103"/>
  <c r="AX103" s="1"/>
  <c r="AO103"/>
  <c r="BH103" s="1"/>
  <c r="AD103" s="1"/>
  <c r="AK103"/>
  <c r="AJ103"/>
  <c r="AH103"/>
  <c r="AG103"/>
  <c r="AF103"/>
  <c r="AC103"/>
  <c r="AB103"/>
  <c r="Z103"/>
  <c r="J103"/>
  <c r="AL103" s="1"/>
  <c r="BJ102"/>
  <c r="BF102"/>
  <c r="BD102"/>
  <c r="AP102"/>
  <c r="AO102"/>
  <c r="BH102" s="1"/>
  <c r="AD102" s="1"/>
  <c r="AL102"/>
  <c r="AK102"/>
  <c r="AJ102"/>
  <c r="AH102"/>
  <c r="AG102"/>
  <c r="AF102"/>
  <c r="AC102"/>
  <c r="AB102"/>
  <c r="Z102"/>
  <c r="J102"/>
  <c r="BJ101"/>
  <c r="BF101"/>
  <c r="BD101"/>
  <c r="AX101"/>
  <c r="AW101"/>
  <c r="BC101" s="1"/>
  <c r="AP101"/>
  <c r="BI101" s="1"/>
  <c r="AE101" s="1"/>
  <c r="AO101"/>
  <c r="BH101" s="1"/>
  <c r="AD101" s="1"/>
  <c r="AL101"/>
  <c r="AK101"/>
  <c r="AJ101"/>
  <c r="AH101"/>
  <c r="AG101"/>
  <c r="AF101"/>
  <c r="AC101"/>
  <c r="AB101"/>
  <c r="Z101"/>
  <c r="J101"/>
  <c r="I101"/>
  <c r="H101"/>
  <c r="BJ100"/>
  <c r="BH100"/>
  <c r="BF100"/>
  <c r="BD100"/>
  <c r="AX100"/>
  <c r="AW100"/>
  <c r="AP100"/>
  <c r="BI100" s="1"/>
  <c r="AE100" s="1"/>
  <c r="AO100"/>
  <c r="H100" s="1"/>
  <c r="AK100"/>
  <c r="AJ100"/>
  <c r="AH100"/>
  <c r="AG100"/>
  <c r="AF100"/>
  <c r="AD100"/>
  <c r="AC100"/>
  <c r="AB100"/>
  <c r="Z100"/>
  <c r="J100"/>
  <c r="AL100" s="1"/>
  <c r="I100"/>
  <c r="BJ99"/>
  <c r="BI99"/>
  <c r="AE99" s="1"/>
  <c r="BH99"/>
  <c r="AD99" s="1"/>
  <c r="BF99"/>
  <c r="BD99"/>
  <c r="AX99"/>
  <c r="AP99"/>
  <c r="I99" s="1"/>
  <c r="AO99"/>
  <c r="AK99"/>
  <c r="AJ99"/>
  <c r="AH99"/>
  <c r="AG99"/>
  <c r="AF99"/>
  <c r="AC99"/>
  <c r="AB99"/>
  <c r="Z99"/>
  <c r="J99"/>
  <c r="AT98"/>
  <c r="BJ97"/>
  <c r="BF97"/>
  <c r="BD97"/>
  <c r="AX97"/>
  <c r="AP97"/>
  <c r="BI97" s="1"/>
  <c r="AE97" s="1"/>
  <c r="AO97"/>
  <c r="H97" s="1"/>
  <c r="AK97"/>
  <c r="AJ97"/>
  <c r="AH97"/>
  <c r="AG97"/>
  <c r="AF97"/>
  <c r="AC97"/>
  <c r="AB97"/>
  <c r="Z97"/>
  <c r="J97"/>
  <c r="AL97" s="1"/>
  <c r="I97"/>
  <c r="BJ96"/>
  <c r="BI96"/>
  <c r="AE96" s="1"/>
  <c r="BH96"/>
  <c r="AD96" s="1"/>
  <c r="BF96"/>
  <c r="BD96"/>
  <c r="AX96"/>
  <c r="AP96"/>
  <c r="I96" s="1"/>
  <c r="AO96"/>
  <c r="AK96"/>
  <c r="AJ96"/>
  <c r="AH96"/>
  <c r="AG96"/>
  <c r="AF96"/>
  <c r="AC96"/>
  <c r="AB96"/>
  <c r="Z96"/>
  <c r="J96"/>
  <c r="AL96" s="1"/>
  <c r="BJ95"/>
  <c r="BF95"/>
  <c r="BD95"/>
  <c r="AW95"/>
  <c r="AP95"/>
  <c r="BI95" s="1"/>
  <c r="AE95" s="1"/>
  <c r="AO95"/>
  <c r="BH95" s="1"/>
  <c r="AD95" s="1"/>
  <c r="AL95"/>
  <c r="AU94" s="1"/>
  <c r="AK95"/>
  <c r="AJ95"/>
  <c r="AH95"/>
  <c r="AG95"/>
  <c r="AF95"/>
  <c r="AC95"/>
  <c r="AB95"/>
  <c r="Z95"/>
  <c r="J95"/>
  <c r="H95"/>
  <c r="J94"/>
  <c r="G26" i="2" s="1"/>
  <c r="I26" s="1"/>
  <c r="BJ93" i="1"/>
  <c r="BF93"/>
  <c r="BD93"/>
  <c r="AX93"/>
  <c r="AP93"/>
  <c r="I93" s="1"/>
  <c r="AO93"/>
  <c r="BH93" s="1"/>
  <c r="AD93" s="1"/>
  <c r="AK93"/>
  <c r="AJ93"/>
  <c r="AH93"/>
  <c r="AG93"/>
  <c r="AF93"/>
  <c r="AC93"/>
  <c r="AB93"/>
  <c r="Z93"/>
  <c r="J93"/>
  <c r="AL93" s="1"/>
  <c r="BJ92"/>
  <c r="BF92"/>
  <c r="BD92"/>
  <c r="AP92"/>
  <c r="BI92" s="1"/>
  <c r="AE92" s="1"/>
  <c r="AO92"/>
  <c r="BH92" s="1"/>
  <c r="AD92" s="1"/>
  <c r="AL92"/>
  <c r="AK92"/>
  <c r="AJ92"/>
  <c r="AH92"/>
  <c r="AG92"/>
  <c r="AF92"/>
  <c r="AC92"/>
  <c r="AB92"/>
  <c r="Z92"/>
  <c r="J92"/>
  <c r="BJ91"/>
  <c r="BF91"/>
  <c r="BD91"/>
  <c r="AW91"/>
  <c r="AP91"/>
  <c r="BI91" s="1"/>
  <c r="AE91" s="1"/>
  <c r="AO91"/>
  <c r="BH91" s="1"/>
  <c r="AD91" s="1"/>
  <c r="AL91"/>
  <c r="AK91"/>
  <c r="AJ91"/>
  <c r="AH91"/>
  <c r="AG91"/>
  <c r="AF91"/>
  <c r="AC91"/>
  <c r="AB91"/>
  <c r="Z91"/>
  <c r="J91"/>
  <c r="I91"/>
  <c r="H91"/>
  <c r="BJ90"/>
  <c r="BH90"/>
  <c r="AD90" s="1"/>
  <c r="BF90"/>
  <c r="BD90"/>
  <c r="AX90"/>
  <c r="AW90"/>
  <c r="AP90"/>
  <c r="BI90" s="1"/>
  <c r="AE90" s="1"/>
  <c r="AO90"/>
  <c r="H90" s="1"/>
  <c r="AL90"/>
  <c r="AK90"/>
  <c r="AJ90"/>
  <c r="AH90"/>
  <c r="AG90"/>
  <c r="AF90"/>
  <c r="AC90"/>
  <c r="AB90"/>
  <c r="Z90"/>
  <c r="J90"/>
  <c r="I90"/>
  <c r="BJ89"/>
  <c r="BF89"/>
  <c r="BD89"/>
  <c r="AP89"/>
  <c r="AO89"/>
  <c r="AK89"/>
  <c r="AJ89"/>
  <c r="AH89"/>
  <c r="AG89"/>
  <c r="AF89"/>
  <c r="AC89"/>
  <c r="AB89"/>
  <c r="Z89"/>
  <c r="J89"/>
  <c r="AL89" s="1"/>
  <c r="BJ88"/>
  <c r="BF88"/>
  <c r="BD88"/>
  <c r="AW88"/>
  <c r="AP88"/>
  <c r="AO88"/>
  <c r="BH88" s="1"/>
  <c r="AD88" s="1"/>
  <c r="AK88"/>
  <c r="AJ88"/>
  <c r="AH88"/>
  <c r="AG88"/>
  <c r="AF88"/>
  <c r="AC88"/>
  <c r="AB88"/>
  <c r="Z88"/>
  <c r="J88"/>
  <c r="AL88" s="1"/>
  <c r="H88"/>
  <c r="BJ87"/>
  <c r="BF87"/>
  <c r="BD87"/>
  <c r="AX87"/>
  <c r="AP87"/>
  <c r="BI87" s="1"/>
  <c r="AE87" s="1"/>
  <c r="AO87"/>
  <c r="BH87" s="1"/>
  <c r="AD87" s="1"/>
  <c r="AL87"/>
  <c r="AK87"/>
  <c r="AJ87"/>
  <c r="AH87"/>
  <c r="AG87"/>
  <c r="AF87"/>
  <c r="AC87"/>
  <c r="AB87"/>
  <c r="Z87"/>
  <c r="J87"/>
  <c r="I87"/>
  <c r="H87"/>
  <c r="BJ86"/>
  <c r="BF86"/>
  <c r="BD86"/>
  <c r="AP86"/>
  <c r="BI86" s="1"/>
  <c r="AE86" s="1"/>
  <c r="AO86"/>
  <c r="H86" s="1"/>
  <c r="AK86"/>
  <c r="AJ86"/>
  <c r="AH86"/>
  <c r="AG86"/>
  <c r="AF86"/>
  <c r="AC86"/>
  <c r="AB86"/>
  <c r="Z86"/>
  <c r="J86"/>
  <c r="AL86" s="1"/>
  <c r="BJ85"/>
  <c r="BF85"/>
  <c r="BD85"/>
  <c r="AP85"/>
  <c r="I85" s="1"/>
  <c r="AO85"/>
  <c r="BH85" s="1"/>
  <c r="AD85" s="1"/>
  <c r="AK85"/>
  <c r="AJ85"/>
  <c r="AH85"/>
  <c r="AG85"/>
  <c r="AF85"/>
  <c r="AC85"/>
  <c r="AB85"/>
  <c r="Z85"/>
  <c r="J85"/>
  <c r="AL85" s="1"/>
  <c r="BJ84"/>
  <c r="BF84"/>
  <c r="BD84"/>
  <c r="AP84"/>
  <c r="AO84"/>
  <c r="BH84" s="1"/>
  <c r="AD84" s="1"/>
  <c r="AK84"/>
  <c r="AJ84"/>
  <c r="AH84"/>
  <c r="AG84"/>
  <c r="AF84"/>
  <c r="AC84"/>
  <c r="AB84"/>
  <c r="Z84"/>
  <c r="J84"/>
  <c r="AL84" s="1"/>
  <c r="H84"/>
  <c r="BJ83"/>
  <c r="BF83"/>
  <c r="BD83"/>
  <c r="AX83"/>
  <c r="AP83"/>
  <c r="BI83" s="1"/>
  <c r="AE83" s="1"/>
  <c r="AO83"/>
  <c r="BH83" s="1"/>
  <c r="AD83" s="1"/>
  <c r="AL83"/>
  <c r="AK83"/>
  <c r="AJ83"/>
  <c r="AH83"/>
  <c r="AG83"/>
  <c r="AF83"/>
  <c r="AC83"/>
  <c r="AB83"/>
  <c r="Z83"/>
  <c r="J83"/>
  <c r="I83"/>
  <c r="H83"/>
  <c r="BJ82"/>
  <c r="BF82"/>
  <c r="BD82"/>
  <c r="AX82"/>
  <c r="AP82"/>
  <c r="BI82" s="1"/>
  <c r="AE82" s="1"/>
  <c r="AO82"/>
  <c r="H82" s="1"/>
  <c r="AK82"/>
  <c r="AJ82"/>
  <c r="AH82"/>
  <c r="AG82"/>
  <c r="AF82"/>
  <c r="AC82"/>
  <c r="AB82"/>
  <c r="Z82"/>
  <c r="J82"/>
  <c r="AL82" s="1"/>
  <c r="I82"/>
  <c r="BJ81"/>
  <c r="BI81"/>
  <c r="BF81"/>
  <c r="BD81"/>
  <c r="AX81"/>
  <c r="AP81"/>
  <c r="I81" s="1"/>
  <c r="AO81"/>
  <c r="BH81" s="1"/>
  <c r="AD81" s="1"/>
  <c r="AK81"/>
  <c r="AT80" s="1"/>
  <c r="AJ81"/>
  <c r="AH81"/>
  <c r="AG81"/>
  <c r="AF81"/>
  <c r="AE81"/>
  <c r="AC81"/>
  <c r="AB81"/>
  <c r="Z81"/>
  <c r="J81"/>
  <c r="BJ79"/>
  <c r="BH79"/>
  <c r="BF79"/>
  <c r="BD79"/>
  <c r="AW79"/>
  <c r="AP79"/>
  <c r="BI79" s="1"/>
  <c r="AE79" s="1"/>
  <c r="AO79"/>
  <c r="H79" s="1"/>
  <c r="AK79"/>
  <c r="AJ79"/>
  <c r="AH79"/>
  <c r="AG79"/>
  <c r="AF79"/>
  <c r="AD79"/>
  <c r="AC79"/>
  <c r="AB79"/>
  <c r="Z79"/>
  <c r="J79"/>
  <c r="AL79" s="1"/>
  <c r="I79"/>
  <c r="BJ78"/>
  <c r="BH78"/>
  <c r="AD78" s="1"/>
  <c r="BF78"/>
  <c r="BD78"/>
  <c r="AP78"/>
  <c r="I78" s="1"/>
  <c r="AO78"/>
  <c r="AK78"/>
  <c r="AJ78"/>
  <c r="AH78"/>
  <c r="AG78"/>
  <c r="AF78"/>
  <c r="AC78"/>
  <c r="AB78"/>
  <c r="Z78"/>
  <c r="J78"/>
  <c r="AL78" s="1"/>
  <c r="BJ77"/>
  <c r="BF77"/>
  <c r="BD77"/>
  <c r="AW77"/>
  <c r="AP77"/>
  <c r="BI77" s="1"/>
  <c r="AE77" s="1"/>
  <c r="AO77"/>
  <c r="BH77" s="1"/>
  <c r="AD77" s="1"/>
  <c r="AK77"/>
  <c r="AJ77"/>
  <c r="AH77"/>
  <c r="AG77"/>
  <c r="AF77"/>
  <c r="AC77"/>
  <c r="AB77"/>
  <c r="Z77"/>
  <c r="J77"/>
  <c r="AL77" s="1"/>
  <c r="H77"/>
  <c r="BJ76"/>
  <c r="BF76"/>
  <c r="BD76"/>
  <c r="AP76"/>
  <c r="BI76" s="1"/>
  <c r="AE76" s="1"/>
  <c r="AO76"/>
  <c r="BH76" s="1"/>
  <c r="AD76" s="1"/>
  <c r="AK76"/>
  <c r="AJ76"/>
  <c r="AH76"/>
  <c r="AG76"/>
  <c r="AF76"/>
  <c r="AC76"/>
  <c r="AB76"/>
  <c r="Z76"/>
  <c r="J76"/>
  <c r="AL76" s="1"/>
  <c r="I76"/>
  <c r="H76"/>
  <c r="BJ75"/>
  <c r="BF75"/>
  <c r="BD75"/>
  <c r="AP75"/>
  <c r="BI75" s="1"/>
  <c r="AE75" s="1"/>
  <c r="AO75"/>
  <c r="H75" s="1"/>
  <c r="AK75"/>
  <c r="AJ75"/>
  <c r="AH75"/>
  <c r="AG75"/>
  <c r="AF75"/>
  <c r="AC75"/>
  <c r="AB75"/>
  <c r="Z75"/>
  <c r="J75"/>
  <c r="AL75" s="1"/>
  <c r="I75"/>
  <c r="BJ74"/>
  <c r="BF74"/>
  <c r="BD74"/>
  <c r="AP74"/>
  <c r="I74" s="1"/>
  <c r="AO74"/>
  <c r="AK74"/>
  <c r="AJ74"/>
  <c r="AH74"/>
  <c r="AG74"/>
  <c r="AF74"/>
  <c r="AC74"/>
  <c r="AB74"/>
  <c r="Z74"/>
  <c r="J74"/>
  <c r="AL74" s="1"/>
  <c r="BJ73"/>
  <c r="BF73"/>
  <c r="BD73"/>
  <c r="AW73"/>
  <c r="AP73"/>
  <c r="BI73" s="1"/>
  <c r="AE73" s="1"/>
  <c r="AO73"/>
  <c r="BH73" s="1"/>
  <c r="AD73" s="1"/>
  <c r="AK73"/>
  <c r="AJ73"/>
  <c r="AH73"/>
  <c r="AG73"/>
  <c r="AF73"/>
  <c r="AC73"/>
  <c r="AB73"/>
  <c r="Z73"/>
  <c r="J73"/>
  <c r="AL73" s="1"/>
  <c r="H73"/>
  <c r="BJ72"/>
  <c r="BF72"/>
  <c r="BD72"/>
  <c r="AX72"/>
  <c r="AP72"/>
  <c r="BI72" s="1"/>
  <c r="AE72" s="1"/>
  <c r="AO72"/>
  <c r="BH72" s="1"/>
  <c r="AD72" s="1"/>
  <c r="AL72"/>
  <c r="AK72"/>
  <c r="AJ72"/>
  <c r="AH72"/>
  <c r="AG72"/>
  <c r="AF72"/>
  <c r="AC72"/>
  <c r="AB72"/>
  <c r="Z72"/>
  <c r="J72"/>
  <c r="I72"/>
  <c r="H72"/>
  <c r="BJ71"/>
  <c r="BF71"/>
  <c r="BD71"/>
  <c r="AX71"/>
  <c r="AP71"/>
  <c r="BI71" s="1"/>
  <c r="AE71" s="1"/>
  <c r="AO71"/>
  <c r="H71" s="1"/>
  <c r="AK71"/>
  <c r="AT70" s="1"/>
  <c r="AJ71"/>
  <c r="AH71"/>
  <c r="AG71"/>
  <c r="AF71"/>
  <c r="AC71"/>
  <c r="AB71"/>
  <c r="Z71"/>
  <c r="J71"/>
  <c r="AL71" s="1"/>
  <c r="I71"/>
  <c r="BJ69"/>
  <c r="BF69"/>
  <c r="BD69"/>
  <c r="AP69"/>
  <c r="BI69" s="1"/>
  <c r="AE69" s="1"/>
  <c r="AO69"/>
  <c r="BH69" s="1"/>
  <c r="AD69" s="1"/>
  <c r="AK69"/>
  <c r="AJ69"/>
  <c r="AH69"/>
  <c r="AG69"/>
  <c r="AF69"/>
  <c r="AC69"/>
  <c r="AB69"/>
  <c r="Z69"/>
  <c r="J69"/>
  <c r="AL69" s="1"/>
  <c r="I69"/>
  <c r="H69"/>
  <c r="BJ68"/>
  <c r="BH68"/>
  <c r="AD68" s="1"/>
  <c r="BF68"/>
  <c r="BD68"/>
  <c r="AW68"/>
  <c r="AP68"/>
  <c r="BI68" s="1"/>
  <c r="AE68" s="1"/>
  <c r="AO68"/>
  <c r="H68" s="1"/>
  <c r="AK68"/>
  <c r="AJ68"/>
  <c r="AH68"/>
  <c r="AG68"/>
  <c r="AF68"/>
  <c r="AC68"/>
  <c r="AB68"/>
  <c r="Z68"/>
  <c r="J68"/>
  <c r="AL68" s="1"/>
  <c r="I68"/>
  <c r="BJ67"/>
  <c r="BF67"/>
  <c r="BD67"/>
  <c r="AP67"/>
  <c r="I67" s="1"/>
  <c r="AO67"/>
  <c r="AK67"/>
  <c r="AJ67"/>
  <c r="AH67"/>
  <c r="AG67"/>
  <c r="AF67"/>
  <c r="AC67"/>
  <c r="AB67"/>
  <c r="Z67"/>
  <c r="J67"/>
  <c r="AL67" s="1"/>
  <c r="BJ66"/>
  <c r="BF66"/>
  <c r="BD66"/>
  <c r="AW66"/>
  <c r="AP66"/>
  <c r="BI66" s="1"/>
  <c r="AE66" s="1"/>
  <c r="AO66"/>
  <c r="BH66" s="1"/>
  <c r="AD66" s="1"/>
  <c r="AL66"/>
  <c r="AK66"/>
  <c r="AJ66"/>
  <c r="AH66"/>
  <c r="AG66"/>
  <c r="AF66"/>
  <c r="AC66"/>
  <c r="AB66"/>
  <c r="Z66"/>
  <c r="J66"/>
  <c r="H66"/>
  <c r="BJ65"/>
  <c r="BF65"/>
  <c r="BD65"/>
  <c r="AP65"/>
  <c r="BI65" s="1"/>
  <c r="AE65" s="1"/>
  <c r="AO65"/>
  <c r="BH65" s="1"/>
  <c r="AD65" s="1"/>
  <c r="AK65"/>
  <c r="AJ65"/>
  <c r="AH65"/>
  <c r="AG65"/>
  <c r="AF65"/>
  <c r="AC65"/>
  <c r="AB65"/>
  <c r="Z65"/>
  <c r="J65"/>
  <c r="AL65" s="1"/>
  <c r="I65"/>
  <c r="H65"/>
  <c r="BJ64"/>
  <c r="BF64"/>
  <c r="BD64"/>
  <c r="AX64"/>
  <c r="AP64"/>
  <c r="BI64" s="1"/>
  <c r="AE64" s="1"/>
  <c r="AO64"/>
  <c r="H64" s="1"/>
  <c r="AL64"/>
  <c r="AK64"/>
  <c r="AJ64"/>
  <c r="AH64"/>
  <c r="AG64"/>
  <c r="AF64"/>
  <c r="AC64"/>
  <c r="AB64"/>
  <c r="Z64"/>
  <c r="J64"/>
  <c r="I64"/>
  <c r="BJ63"/>
  <c r="BF63"/>
  <c r="BD63"/>
  <c r="AP63"/>
  <c r="I63" s="1"/>
  <c r="AO63"/>
  <c r="BH63" s="1"/>
  <c r="AD63" s="1"/>
  <c r="AK63"/>
  <c r="AJ63"/>
  <c r="AH63"/>
  <c r="AG63"/>
  <c r="AF63"/>
  <c r="AC63"/>
  <c r="AB63"/>
  <c r="Z63"/>
  <c r="J63"/>
  <c r="AL63" s="1"/>
  <c r="BJ62"/>
  <c r="BF62"/>
  <c r="BD62"/>
  <c r="AW62"/>
  <c r="AP62"/>
  <c r="AO62"/>
  <c r="BH62" s="1"/>
  <c r="AD62" s="1"/>
  <c r="AK62"/>
  <c r="AJ62"/>
  <c r="AH62"/>
  <c r="AG62"/>
  <c r="AF62"/>
  <c r="AC62"/>
  <c r="AB62"/>
  <c r="Z62"/>
  <c r="J62"/>
  <c r="AL62" s="1"/>
  <c r="H62"/>
  <c r="BJ61"/>
  <c r="BF61"/>
  <c r="BD61"/>
  <c r="AP61"/>
  <c r="BI61" s="1"/>
  <c r="AE61" s="1"/>
  <c r="AO61"/>
  <c r="BH61" s="1"/>
  <c r="AD61" s="1"/>
  <c r="AK61"/>
  <c r="AJ61"/>
  <c r="AH61"/>
  <c r="AG61"/>
  <c r="AF61"/>
  <c r="AC61"/>
  <c r="AB61"/>
  <c r="Z61"/>
  <c r="J61"/>
  <c r="AL61" s="1"/>
  <c r="I61"/>
  <c r="H61"/>
  <c r="BJ60"/>
  <c r="BF60"/>
  <c r="BD60"/>
  <c r="AX60"/>
  <c r="AP60"/>
  <c r="BI60" s="1"/>
  <c r="AE60" s="1"/>
  <c r="AO60"/>
  <c r="H60" s="1"/>
  <c r="AK60"/>
  <c r="AJ60"/>
  <c r="AH60"/>
  <c r="AG60"/>
  <c r="AF60"/>
  <c r="AC60"/>
  <c r="AB60"/>
  <c r="Z60"/>
  <c r="J60"/>
  <c r="AL60" s="1"/>
  <c r="I60"/>
  <c r="BJ59"/>
  <c r="BF59"/>
  <c r="BD59"/>
  <c r="AP59"/>
  <c r="I59" s="1"/>
  <c r="AO59"/>
  <c r="BH59" s="1"/>
  <c r="AD59" s="1"/>
  <c r="AK59"/>
  <c r="AJ59"/>
  <c r="AH59"/>
  <c r="AG59"/>
  <c r="AF59"/>
  <c r="AC59"/>
  <c r="AB59"/>
  <c r="Z59"/>
  <c r="J59"/>
  <c r="BJ57"/>
  <c r="BF57"/>
  <c r="BD57"/>
  <c r="AX57"/>
  <c r="AP57"/>
  <c r="BI57" s="1"/>
  <c r="AE57" s="1"/>
  <c r="AO57"/>
  <c r="H57" s="1"/>
  <c r="AK57"/>
  <c r="AJ57"/>
  <c r="AH57"/>
  <c r="AG57"/>
  <c r="AF57"/>
  <c r="AC57"/>
  <c r="AB57"/>
  <c r="Z57"/>
  <c r="J57"/>
  <c r="AL57" s="1"/>
  <c r="I57"/>
  <c r="BJ56"/>
  <c r="BF56"/>
  <c r="BD56"/>
  <c r="AP56"/>
  <c r="I56" s="1"/>
  <c r="AO56"/>
  <c r="BH56" s="1"/>
  <c r="AD56" s="1"/>
  <c r="AK56"/>
  <c r="AT55" s="1"/>
  <c r="AJ56"/>
  <c r="AS55" s="1"/>
  <c r="AH56"/>
  <c r="AG56"/>
  <c r="AF56"/>
  <c r="AC56"/>
  <c r="AB56"/>
  <c r="Z56"/>
  <c r="J56"/>
  <c r="BJ54"/>
  <c r="BF54"/>
  <c r="BD54"/>
  <c r="AX54"/>
  <c r="AP54"/>
  <c r="BI54" s="1"/>
  <c r="AC54" s="1"/>
  <c r="AO54"/>
  <c r="H54" s="1"/>
  <c r="AK54"/>
  <c r="AJ54"/>
  <c r="AH54"/>
  <c r="AG54"/>
  <c r="AF54"/>
  <c r="AE54"/>
  <c r="AD54"/>
  <c r="Z54"/>
  <c r="J54"/>
  <c r="AL54" s="1"/>
  <c r="I54"/>
  <c r="BJ53"/>
  <c r="BF53"/>
  <c r="BD53"/>
  <c r="AP53"/>
  <c r="I53" s="1"/>
  <c r="AO53"/>
  <c r="BH53" s="1"/>
  <c r="AB53" s="1"/>
  <c r="AK53"/>
  <c r="AJ53"/>
  <c r="AH53"/>
  <c r="AG53"/>
  <c r="AF53"/>
  <c r="AE53"/>
  <c r="AD53"/>
  <c r="Z53"/>
  <c r="J53"/>
  <c r="AL53" s="1"/>
  <c r="BJ52"/>
  <c r="BF52"/>
  <c r="BD52"/>
  <c r="AP52"/>
  <c r="BI52" s="1"/>
  <c r="AC52" s="1"/>
  <c r="AO52"/>
  <c r="BH52" s="1"/>
  <c r="AB52" s="1"/>
  <c r="AL52"/>
  <c r="AK52"/>
  <c r="AJ52"/>
  <c r="AH52"/>
  <c r="AG52"/>
  <c r="AF52"/>
  <c r="AE52"/>
  <c r="AD52"/>
  <c r="Z52"/>
  <c r="J52"/>
  <c r="H52"/>
  <c r="BJ51"/>
  <c r="BF51"/>
  <c r="BD51"/>
  <c r="AX51"/>
  <c r="AW51"/>
  <c r="AP51"/>
  <c r="BI51" s="1"/>
  <c r="AO51"/>
  <c r="BH51" s="1"/>
  <c r="AB51" s="1"/>
  <c r="AL51"/>
  <c r="AK51"/>
  <c r="AJ51"/>
  <c r="AH51"/>
  <c r="AG51"/>
  <c r="AF51"/>
  <c r="AE51"/>
  <c r="AD51"/>
  <c r="AC51"/>
  <c r="Z51"/>
  <c r="J51"/>
  <c r="I51"/>
  <c r="H51"/>
  <c r="BJ50"/>
  <c r="BF50"/>
  <c r="BD50"/>
  <c r="AX50"/>
  <c r="AP50"/>
  <c r="BI50" s="1"/>
  <c r="AC50" s="1"/>
  <c r="AO50"/>
  <c r="H50" s="1"/>
  <c r="AK50"/>
  <c r="AJ50"/>
  <c r="AH50"/>
  <c r="AG50"/>
  <c r="AF50"/>
  <c r="AE50"/>
  <c r="AD50"/>
  <c r="Z50"/>
  <c r="J50"/>
  <c r="AL50" s="1"/>
  <c r="I50"/>
  <c r="BJ49"/>
  <c r="BI49"/>
  <c r="AC49" s="1"/>
  <c r="BH49"/>
  <c r="AB49" s="1"/>
  <c r="BF49"/>
  <c r="BD49"/>
  <c r="AX49"/>
  <c r="AP49"/>
  <c r="I49" s="1"/>
  <c r="AO49"/>
  <c r="AK49"/>
  <c r="AJ49"/>
  <c r="AS48" s="1"/>
  <c r="AH49"/>
  <c r="AG49"/>
  <c r="AF49"/>
  <c r="AE49"/>
  <c r="AD49"/>
  <c r="Z49"/>
  <c r="J49"/>
  <c r="AT48"/>
  <c r="BJ47"/>
  <c r="BF47"/>
  <c r="BD47"/>
  <c r="AX47"/>
  <c r="AP47"/>
  <c r="BI47" s="1"/>
  <c r="AC47" s="1"/>
  <c r="AO47"/>
  <c r="H47" s="1"/>
  <c r="H46" s="1"/>
  <c r="E20" i="2" s="1"/>
  <c r="AK47" i="1"/>
  <c r="AT46" s="1"/>
  <c r="AJ47"/>
  <c r="AH47"/>
  <c r="AG47"/>
  <c r="AF47"/>
  <c r="AE47"/>
  <c r="AD47"/>
  <c r="Z47"/>
  <c r="J47"/>
  <c r="J46" s="1"/>
  <c r="G20" i="2" s="1"/>
  <c r="I20" s="1"/>
  <c r="AS46" i="1"/>
  <c r="BJ45"/>
  <c r="BF45"/>
  <c r="BD45"/>
  <c r="AX45"/>
  <c r="AP45"/>
  <c r="BI45" s="1"/>
  <c r="AO45"/>
  <c r="BH45" s="1"/>
  <c r="AB45" s="1"/>
  <c r="AK45"/>
  <c r="AJ45"/>
  <c r="AH45"/>
  <c r="AG45"/>
  <c r="AF45"/>
  <c r="AE45"/>
  <c r="AD45"/>
  <c r="AC45"/>
  <c r="Z45"/>
  <c r="J45"/>
  <c r="AL45" s="1"/>
  <c r="I45"/>
  <c r="BJ44"/>
  <c r="BF44"/>
  <c r="BD44"/>
  <c r="AP44"/>
  <c r="BI44" s="1"/>
  <c r="AC44" s="1"/>
  <c r="AO44"/>
  <c r="H44" s="1"/>
  <c r="AK44"/>
  <c r="AJ44"/>
  <c r="AH44"/>
  <c r="AG44"/>
  <c r="AF44"/>
  <c r="AE44"/>
  <c r="AD44"/>
  <c r="Z44"/>
  <c r="J44"/>
  <c r="AL44" s="1"/>
  <c r="I44"/>
  <c r="BJ43"/>
  <c r="BF43"/>
  <c r="BD43"/>
  <c r="AP43"/>
  <c r="I43" s="1"/>
  <c r="AO43"/>
  <c r="BH43" s="1"/>
  <c r="AB43" s="1"/>
  <c r="AK43"/>
  <c r="AJ43"/>
  <c r="AH43"/>
  <c r="AG43"/>
  <c r="AF43"/>
  <c r="AE43"/>
  <c r="AD43"/>
  <c r="Z43"/>
  <c r="J43"/>
  <c r="AL43" s="1"/>
  <c r="BJ42"/>
  <c r="BF42"/>
  <c r="BD42"/>
  <c r="AP42"/>
  <c r="BI42" s="1"/>
  <c r="AC42" s="1"/>
  <c r="AO42"/>
  <c r="BH42" s="1"/>
  <c r="AB42" s="1"/>
  <c r="AL42"/>
  <c r="AK42"/>
  <c r="AJ42"/>
  <c r="AH42"/>
  <c r="AG42"/>
  <c r="AF42"/>
  <c r="AE42"/>
  <c r="AD42"/>
  <c r="Z42"/>
  <c r="J42"/>
  <c r="H42"/>
  <c r="BJ40"/>
  <c r="BF40"/>
  <c r="BD40"/>
  <c r="AP40"/>
  <c r="I40" s="1"/>
  <c r="AO40"/>
  <c r="AK40"/>
  <c r="AJ40"/>
  <c r="AH40"/>
  <c r="AG40"/>
  <c r="AF40"/>
  <c r="AE40"/>
  <c r="AD40"/>
  <c r="Z40"/>
  <c r="J40"/>
  <c r="AL40" s="1"/>
  <c r="BJ39"/>
  <c r="BF39"/>
  <c r="BD39"/>
  <c r="AP39"/>
  <c r="AO39"/>
  <c r="BH39" s="1"/>
  <c r="AB39" s="1"/>
  <c r="AK39"/>
  <c r="AJ39"/>
  <c r="AH39"/>
  <c r="AG39"/>
  <c r="AF39"/>
  <c r="AE39"/>
  <c r="AD39"/>
  <c r="Z39"/>
  <c r="J39"/>
  <c r="AL39" s="1"/>
  <c r="H39"/>
  <c r="BJ38"/>
  <c r="BF38"/>
  <c r="BD38"/>
  <c r="AP38"/>
  <c r="BI38" s="1"/>
  <c r="AC38" s="1"/>
  <c r="AO38"/>
  <c r="BH38" s="1"/>
  <c r="AB38" s="1"/>
  <c r="AK38"/>
  <c r="AT37" s="1"/>
  <c r="AJ38"/>
  <c r="AS37" s="1"/>
  <c r="AH38"/>
  <c r="AG38"/>
  <c r="AF38"/>
  <c r="AE38"/>
  <c r="AD38"/>
  <c r="Z38"/>
  <c r="J38"/>
  <c r="AL38" s="1"/>
  <c r="BJ36"/>
  <c r="BF36"/>
  <c r="BD36"/>
  <c r="AW36"/>
  <c r="AP36"/>
  <c r="BI36" s="1"/>
  <c r="AC36" s="1"/>
  <c r="AO36"/>
  <c r="BH36" s="1"/>
  <c r="AK36"/>
  <c r="AJ36"/>
  <c r="AH36"/>
  <c r="AG36"/>
  <c r="AF36"/>
  <c r="AE36"/>
  <c r="AD36"/>
  <c r="AB36"/>
  <c r="Z36"/>
  <c r="J36"/>
  <c r="AL36" s="1"/>
  <c r="H36"/>
  <c r="BJ35"/>
  <c r="BF35"/>
  <c r="BD35"/>
  <c r="AW35"/>
  <c r="AP35"/>
  <c r="BI35" s="1"/>
  <c r="AC35" s="1"/>
  <c r="AO35"/>
  <c r="BH35" s="1"/>
  <c r="AK35"/>
  <c r="AT33" s="1"/>
  <c r="AJ35"/>
  <c r="AH35"/>
  <c r="AG35"/>
  <c r="AF35"/>
  <c r="AE35"/>
  <c r="AD35"/>
  <c r="AB35"/>
  <c r="Z35"/>
  <c r="J35"/>
  <c r="AL35" s="1"/>
  <c r="H35"/>
  <c r="H33" s="1"/>
  <c r="E17" i="2" s="1"/>
  <c r="BJ34" i="1"/>
  <c r="BF34"/>
  <c r="BD34"/>
  <c r="AP34"/>
  <c r="BI34" s="1"/>
  <c r="AC34" s="1"/>
  <c r="AO34"/>
  <c r="H34" s="1"/>
  <c r="AK34"/>
  <c r="AJ34"/>
  <c r="AH34"/>
  <c r="AG34"/>
  <c r="AF34"/>
  <c r="AE34"/>
  <c r="AD34"/>
  <c r="Z34"/>
  <c r="J34"/>
  <c r="AL34" s="1"/>
  <c r="AS33"/>
  <c r="BJ32"/>
  <c r="BF32"/>
  <c r="BD32"/>
  <c r="AX32"/>
  <c r="AP32"/>
  <c r="BI32" s="1"/>
  <c r="AC32" s="1"/>
  <c r="AO32"/>
  <c r="BH32" s="1"/>
  <c r="AB32" s="1"/>
  <c r="AK32"/>
  <c r="AJ32"/>
  <c r="AH32"/>
  <c r="AG32"/>
  <c r="AF32"/>
  <c r="AE32"/>
  <c r="AD32"/>
  <c r="Z32"/>
  <c r="J32"/>
  <c r="AL32" s="1"/>
  <c r="I32"/>
  <c r="BJ31"/>
  <c r="BF31"/>
  <c r="BD31"/>
  <c r="AP31"/>
  <c r="AX31" s="1"/>
  <c r="AO31"/>
  <c r="H31" s="1"/>
  <c r="AK31"/>
  <c r="AJ31"/>
  <c r="AH31"/>
  <c r="AG31"/>
  <c r="AF31"/>
  <c r="AE31"/>
  <c r="AD31"/>
  <c r="Z31"/>
  <c r="J31"/>
  <c r="AL31" s="1"/>
  <c r="I31"/>
  <c r="BJ30"/>
  <c r="BF30"/>
  <c r="BD30"/>
  <c r="AP30"/>
  <c r="I30" s="1"/>
  <c r="AO30"/>
  <c r="AW30" s="1"/>
  <c r="AK30"/>
  <c r="AJ30"/>
  <c r="AH30"/>
  <c r="AG30"/>
  <c r="AF30"/>
  <c r="AE30"/>
  <c r="AD30"/>
  <c r="Z30"/>
  <c r="J30"/>
  <c r="AL30" s="1"/>
  <c r="AU29" s="1"/>
  <c r="AT29"/>
  <c r="J29"/>
  <c r="G16" i="2" s="1"/>
  <c r="I16" s="1"/>
  <c r="BJ28" i="1"/>
  <c r="BF28"/>
  <c r="BD28"/>
  <c r="AP28"/>
  <c r="AX28" s="1"/>
  <c r="AO28"/>
  <c r="H28" s="1"/>
  <c r="H27" s="1"/>
  <c r="E15" i="2" s="1"/>
  <c r="AK28" i="1"/>
  <c r="AJ28"/>
  <c r="AS27" s="1"/>
  <c r="AH28"/>
  <c r="AG28"/>
  <c r="AF28"/>
  <c r="AE28"/>
  <c r="AD28"/>
  <c r="Z28"/>
  <c r="J28"/>
  <c r="J27" s="1"/>
  <c r="G15" i="2" s="1"/>
  <c r="I15" s="1"/>
  <c r="I28" i="1"/>
  <c r="I27" s="1"/>
  <c r="F15" i="2" s="1"/>
  <c r="AT27" i="1"/>
  <c r="BJ26"/>
  <c r="BF26"/>
  <c r="BD26"/>
  <c r="AX26"/>
  <c r="AP26"/>
  <c r="BI26" s="1"/>
  <c r="AO26"/>
  <c r="H26" s="1"/>
  <c r="H25" s="1"/>
  <c r="E14" i="2" s="1"/>
  <c r="AK26" i="1"/>
  <c r="AT25" s="1"/>
  <c r="AJ26"/>
  <c r="AH26"/>
  <c r="AG26"/>
  <c r="AF26"/>
  <c r="AE26"/>
  <c r="AD26"/>
  <c r="AC26"/>
  <c r="Z26"/>
  <c r="J26"/>
  <c r="AL26" s="1"/>
  <c r="AU25" s="1"/>
  <c r="I26"/>
  <c r="I25" s="1"/>
  <c r="F14" i="2" s="1"/>
  <c r="AS25" i="1"/>
  <c r="J25"/>
  <c r="G14" i="2" s="1"/>
  <c r="I14" s="1"/>
  <c r="BJ24" i="1"/>
  <c r="BF24"/>
  <c r="BD24"/>
  <c r="AW24"/>
  <c r="AP24"/>
  <c r="AX24" s="1"/>
  <c r="AO24"/>
  <c r="BH24" s="1"/>
  <c r="AB24" s="1"/>
  <c r="AK24"/>
  <c r="AJ24"/>
  <c r="AH24"/>
  <c r="AG24"/>
  <c r="AF24"/>
  <c r="AE24"/>
  <c r="AD24"/>
  <c r="Z24"/>
  <c r="J24"/>
  <c r="AL24" s="1"/>
  <c r="H24"/>
  <c r="BJ23"/>
  <c r="BF23"/>
  <c r="BD23"/>
  <c r="AP23"/>
  <c r="BI23" s="1"/>
  <c r="AC23" s="1"/>
  <c r="AO23"/>
  <c r="BH23" s="1"/>
  <c r="AB23" s="1"/>
  <c r="AK23"/>
  <c r="AJ23"/>
  <c r="AH23"/>
  <c r="AG23"/>
  <c r="AF23"/>
  <c r="AE23"/>
  <c r="AD23"/>
  <c r="Z23"/>
  <c r="J23"/>
  <c r="AL23" s="1"/>
  <c r="AU22" s="1"/>
  <c r="I23"/>
  <c r="H23"/>
  <c r="H22" s="1"/>
  <c r="E13" i="2" s="1"/>
  <c r="BJ21" i="1"/>
  <c r="BF21"/>
  <c r="BD21"/>
  <c r="AP21"/>
  <c r="AX21" s="1"/>
  <c r="AO21"/>
  <c r="BH21" s="1"/>
  <c r="AB21" s="1"/>
  <c r="AL21"/>
  <c r="AK21"/>
  <c r="AJ21"/>
  <c r="AH21"/>
  <c r="AG21"/>
  <c r="AF21"/>
  <c r="AE21"/>
  <c r="AD21"/>
  <c r="Z21"/>
  <c r="J21"/>
  <c r="BJ20"/>
  <c r="BF20"/>
  <c r="BD20"/>
  <c r="AW20"/>
  <c r="AP20"/>
  <c r="BI20" s="1"/>
  <c r="AC20" s="1"/>
  <c r="AO20"/>
  <c r="BH20" s="1"/>
  <c r="AB20" s="1"/>
  <c r="AL20"/>
  <c r="AK20"/>
  <c r="AJ20"/>
  <c r="AH20"/>
  <c r="AG20"/>
  <c r="AF20"/>
  <c r="AE20"/>
  <c r="AD20"/>
  <c r="Z20"/>
  <c r="J20"/>
  <c r="I20"/>
  <c r="H20"/>
  <c r="BJ19"/>
  <c r="BF19"/>
  <c r="BD19"/>
  <c r="AW19"/>
  <c r="AP19"/>
  <c r="BI19" s="1"/>
  <c r="AC19" s="1"/>
  <c r="AO19"/>
  <c r="H19" s="1"/>
  <c r="AK19"/>
  <c r="AJ19"/>
  <c r="AH19"/>
  <c r="AG19"/>
  <c r="AF19"/>
  <c r="AE19"/>
  <c r="AD19"/>
  <c r="Z19"/>
  <c r="J19"/>
  <c r="AL19" s="1"/>
  <c r="I19"/>
  <c r="BJ18"/>
  <c r="BF18"/>
  <c r="BD18"/>
  <c r="AX18"/>
  <c r="AP18"/>
  <c r="I18" s="1"/>
  <c r="AO18"/>
  <c r="AW18" s="1"/>
  <c r="AK18"/>
  <c r="AJ18"/>
  <c r="AH18"/>
  <c r="AG18"/>
  <c r="AF18"/>
  <c r="AE18"/>
  <c r="AD18"/>
  <c r="Z18"/>
  <c r="J18"/>
  <c r="AL18" s="1"/>
  <c r="BJ17"/>
  <c r="BF17"/>
  <c r="BD17"/>
  <c r="AW17"/>
  <c r="AP17"/>
  <c r="AX17" s="1"/>
  <c r="AO17"/>
  <c r="BH17" s="1"/>
  <c r="AB17" s="1"/>
  <c r="AK17"/>
  <c r="AT16" s="1"/>
  <c r="AJ17"/>
  <c r="AS16" s="1"/>
  <c r="AH17"/>
  <c r="AG17"/>
  <c r="AF17"/>
  <c r="AE17"/>
  <c r="AD17"/>
  <c r="Z17"/>
  <c r="J17"/>
  <c r="AL17" s="1"/>
  <c r="H17"/>
  <c r="BJ15"/>
  <c r="BF15"/>
  <c r="BD15"/>
  <c r="AX15"/>
  <c r="AP15"/>
  <c r="I15" s="1"/>
  <c r="AO15"/>
  <c r="AW15" s="1"/>
  <c r="AK15"/>
  <c r="AJ15"/>
  <c r="AH15"/>
  <c r="AG15"/>
  <c r="AF15"/>
  <c r="AE15"/>
  <c r="AD15"/>
  <c r="Z15"/>
  <c r="J15"/>
  <c r="AL15" s="1"/>
  <c r="BJ14"/>
  <c r="BF14"/>
  <c r="BD14"/>
  <c r="AW14"/>
  <c r="AP14"/>
  <c r="AX14" s="1"/>
  <c r="AO14"/>
  <c r="BH14" s="1"/>
  <c r="AB14" s="1"/>
  <c r="AK14"/>
  <c r="AJ14"/>
  <c r="AH14"/>
  <c r="AG14"/>
  <c r="AF14"/>
  <c r="AE14"/>
  <c r="AD14"/>
  <c r="Z14"/>
  <c r="J14"/>
  <c r="AL14" s="1"/>
  <c r="H14"/>
  <c r="BJ13"/>
  <c r="BF13"/>
  <c r="BD13"/>
  <c r="AP13"/>
  <c r="BI13" s="1"/>
  <c r="AC13" s="1"/>
  <c r="AO13"/>
  <c r="BH13" s="1"/>
  <c r="AB13" s="1"/>
  <c r="AK13"/>
  <c r="AJ13"/>
  <c r="AH13"/>
  <c r="AG13"/>
  <c r="AF13"/>
  <c r="AE13"/>
  <c r="AD13"/>
  <c r="Z13"/>
  <c r="J13"/>
  <c r="AL13" s="1"/>
  <c r="I13"/>
  <c r="AU1"/>
  <c r="AT1"/>
  <c r="AS1"/>
  <c r="AU12" l="1"/>
  <c r="AU33"/>
  <c r="AS22"/>
  <c r="AW26"/>
  <c r="BH26"/>
  <c r="AB26" s="1"/>
  <c r="I34"/>
  <c r="I38"/>
  <c r="AX38"/>
  <c r="AU41"/>
  <c r="AW45"/>
  <c r="BC51"/>
  <c r="AS58"/>
  <c r="AX61"/>
  <c r="AS70"/>
  <c r="AX76"/>
  <c r="AS80"/>
  <c r="AW83"/>
  <c r="AT94"/>
  <c r="AV101"/>
  <c r="BI119"/>
  <c r="AE119" s="1"/>
  <c r="AW121"/>
  <c r="AX123"/>
  <c r="AS124"/>
  <c r="AX126"/>
  <c r="AX129"/>
  <c r="AS130"/>
  <c r="AX131"/>
  <c r="BI131"/>
  <c r="AC131" s="1"/>
  <c r="H133"/>
  <c r="AW133"/>
  <c r="AX139"/>
  <c r="AX140"/>
  <c r="BC140" s="1"/>
  <c r="AW143"/>
  <c r="AX147"/>
  <c r="H148"/>
  <c r="AS145"/>
  <c r="AV151"/>
  <c r="I152"/>
  <c r="I155"/>
  <c r="I158"/>
  <c r="AS153"/>
  <c r="AX161"/>
  <c r="BI161"/>
  <c r="AG161" s="1"/>
  <c r="H163"/>
  <c r="I167"/>
  <c r="AX169"/>
  <c r="H170"/>
  <c r="I173"/>
  <c r="AW173"/>
  <c r="BH173"/>
  <c r="AF173" s="1"/>
  <c r="BH177"/>
  <c r="AX179"/>
  <c r="I180"/>
  <c r="BH184"/>
  <c r="AW185"/>
  <c r="BC186"/>
  <c r="AX188"/>
  <c r="BH190"/>
  <c r="AW191"/>
  <c r="I192"/>
  <c r="I194"/>
  <c r="I14" i="3"/>
  <c r="AU16" i="1"/>
  <c r="AX23"/>
  <c r="J12"/>
  <c r="AW13"/>
  <c r="AW21"/>
  <c r="J22"/>
  <c r="G13" i="2" s="1"/>
  <c r="I13" s="1"/>
  <c r="AW23" i="1"/>
  <c r="BI28"/>
  <c r="AC28" s="1"/>
  <c r="AX30"/>
  <c r="BC30" s="1"/>
  <c r="BI30"/>
  <c r="AC30" s="1"/>
  <c r="BI31"/>
  <c r="AC31" s="1"/>
  <c r="AX34"/>
  <c r="AX35"/>
  <c r="AV35" s="1"/>
  <c r="H38"/>
  <c r="AW38"/>
  <c r="BI40"/>
  <c r="AC40" s="1"/>
  <c r="AW42"/>
  <c r="AX44"/>
  <c r="H45"/>
  <c r="I47"/>
  <c r="I46" s="1"/>
  <c r="F20" i="2" s="1"/>
  <c r="AW50" i="1"/>
  <c r="BH50"/>
  <c r="AB50" s="1"/>
  <c r="AW52"/>
  <c r="I55"/>
  <c r="F22" i="2" s="1"/>
  <c r="AW61" i="1"/>
  <c r="AX65"/>
  <c r="AX69"/>
  <c r="AW72"/>
  <c r="BC72" s="1"/>
  <c r="BI74"/>
  <c r="AE74" s="1"/>
  <c r="AX75"/>
  <c r="AW76"/>
  <c r="AW82"/>
  <c r="BH82"/>
  <c r="AD82" s="1"/>
  <c r="AW92"/>
  <c r="BI93"/>
  <c r="AE93" s="1"/>
  <c r="AW97"/>
  <c r="BH97"/>
  <c r="AD97" s="1"/>
  <c r="AW102"/>
  <c r="AX104"/>
  <c r="AX105"/>
  <c r="AV105" s="1"/>
  <c r="AW120"/>
  <c r="BH120"/>
  <c r="AD120" s="1"/>
  <c r="AT114"/>
  <c r="AX127"/>
  <c r="AX132"/>
  <c r="AW139"/>
  <c r="BH139"/>
  <c r="AB139" s="1"/>
  <c r="I140"/>
  <c r="AU136"/>
  <c r="AW141"/>
  <c r="AV141" s="1"/>
  <c r="AT153"/>
  <c r="AX162"/>
  <c r="AW163"/>
  <c r="H164"/>
  <c r="AX166"/>
  <c r="AT168"/>
  <c r="AW170"/>
  <c r="H171"/>
  <c r="I176"/>
  <c r="F42" i="2" s="1"/>
  <c r="I178" i="1"/>
  <c r="AW180"/>
  <c r="BI180"/>
  <c r="AX182"/>
  <c r="I183"/>
  <c r="AX186"/>
  <c r="AV186" s="1"/>
  <c r="H190"/>
  <c r="I193"/>
  <c r="AX194"/>
  <c r="AV194" s="1"/>
  <c r="I18" i="4"/>
  <c r="H13" i="1"/>
  <c r="H12" s="1"/>
  <c r="E11" i="2" s="1"/>
  <c r="AX13" i="1"/>
  <c r="AS12"/>
  <c r="C28" i="3"/>
  <c r="F28" s="1"/>
  <c r="AX19" i="1"/>
  <c r="AV19" s="1"/>
  <c r="AX20"/>
  <c r="BC20" s="1"/>
  <c r="H21"/>
  <c r="AT22"/>
  <c r="AS29"/>
  <c r="BH30"/>
  <c r="AB30" s="1"/>
  <c r="AW34"/>
  <c r="AV34" s="1"/>
  <c r="BH34"/>
  <c r="AB34" s="1"/>
  <c r="I35"/>
  <c r="AW39"/>
  <c r="AL47"/>
  <c r="AU46" s="1"/>
  <c r="AW65"/>
  <c r="BC65" s="1"/>
  <c r="BI67"/>
  <c r="AE67" s="1"/>
  <c r="AX68"/>
  <c r="BC68" s="1"/>
  <c r="AW69"/>
  <c r="AW75"/>
  <c r="BH75"/>
  <c r="AD75" s="1"/>
  <c r="AX78"/>
  <c r="BI78"/>
  <c r="AE78" s="1"/>
  <c r="AX79"/>
  <c r="AW84"/>
  <c r="I86"/>
  <c r="AX86"/>
  <c r="AX91"/>
  <c r="AV91" s="1"/>
  <c r="H92"/>
  <c r="H102"/>
  <c r="BC105"/>
  <c r="AS114"/>
  <c r="AX116"/>
  <c r="AW118"/>
  <c r="I132"/>
  <c r="AV140"/>
  <c r="BI141"/>
  <c r="AC141" s="1"/>
  <c r="AX144"/>
  <c r="BC144" s="1"/>
  <c r="AV152"/>
  <c r="BI152"/>
  <c r="AC152" s="1"/>
  <c r="H156"/>
  <c r="AX158"/>
  <c r="I162"/>
  <c r="AS168"/>
  <c r="AX172"/>
  <c r="BI172"/>
  <c r="AG172" s="1"/>
  <c r="BC177"/>
  <c r="AV178"/>
  <c r="BI178"/>
  <c r="AV183"/>
  <c r="BI183"/>
  <c r="AX192"/>
  <c r="AV193"/>
  <c r="BI193"/>
  <c r="I29"/>
  <c r="F16" i="2" s="1"/>
  <c r="AT58" i="1"/>
  <c r="BC91"/>
  <c r="I130"/>
  <c r="F35" i="2" s="1"/>
  <c r="AT145" i="1"/>
  <c r="AT176"/>
  <c r="BI189"/>
  <c r="F22" i="3"/>
  <c r="AX184" i="1"/>
  <c r="AV184" s="1"/>
  <c r="AV24"/>
  <c r="BC24"/>
  <c r="AV14"/>
  <c r="BC14"/>
  <c r="AV17"/>
  <c r="BC17"/>
  <c r="AV15"/>
  <c r="BC15"/>
  <c r="BC18"/>
  <c r="AV18"/>
  <c r="AV21"/>
  <c r="BC21"/>
  <c r="BI24"/>
  <c r="AC24" s="1"/>
  <c r="BI14"/>
  <c r="AC14" s="1"/>
  <c r="BI21"/>
  <c r="AC21" s="1"/>
  <c r="AX39"/>
  <c r="I39"/>
  <c r="AX84"/>
  <c r="I84"/>
  <c r="H110"/>
  <c r="H109" s="1"/>
  <c r="E29" i="2" s="1"/>
  <c r="BH110" i="1"/>
  <c r="AD110" s="1"/>
  <c r="AW110"/>
  <c r="I112"/>
  <c r="I111" s="1"/>
  <c r="F30" i="2" s="1"/>
  <c r="BI112" i="1"/>
  <c r="AE112" s="1"/>
  <c r="AX112"/>
  <c r="AW125"/>
  <c r="H125"/>
  <c r="H124" s="1"/>
  <c r="E33" i="2" s="1"/>
  <c r="BH125" i="1"/>
  <c r="AD125" s="1"/>
  <c r="H126"/>
  <c r="BH126"/>
  <c r="AD126" s="1"/>
  <c r="AW126"/>
  <c r="BC127"/>
  <c r="AV127"/>
  <c r="AV132"/>
  <c r="BC132"/>
  <c r="AX148"/>
  <c r="BI148"/>
  <c r="AC148" s="1"/>
  <c r="I148"/>
  <c r="AW157"/>
  <c r="H157"/>
  <c r="BH157"/>
  <c r="AF157" s="1"/>
  <c r="BI15"/>
  <c r="AC15" s="1"/>
  <c r="BI18"/>
  <c r="AC18" s="1"/>
  <c r="BH19"/>
  <c r="AB19" s="1"/>
  <c r="AW40"/>
  <c r="H40"/>
  <c r="AX43"/>
  <c r="AL49"/>
  <c r="AU48" s="1"/>
  <c r="J48"/>
  <c r="G21" i="2" s="1"/>
  <c r="I21" s="1"/>
  <c r="AX53" i="1"/>
  <c r="AX56"/>
  <c r="AX59"/>
  <c r="AV82"/>
  <c r="BC82"/>
  <c r="AX85"/>
  <c r="AX88"/>
  <c r="AV88" s="1"/>
  <c r="I88"/>
  <c r="BI88"/>
  <c r="AE88" s="1"/>
  <c r="H104"/>
  <c r="BH104"/>
  <c r="AD104" s="1"/>
  <c r="AW104"/>
  <c r="H116"/>
  <c r="BH116"/>
  <c r="AD116" s="1"/>
  <c r="AW116"/>
  <c r="AU145"/>
  <c r="AW192"/>
  <c r="H192"/>
  <c r="BH192"/>
  <c r="G11" i="2"/>
  <c r="I11" s="1"/>
  <c r="C20" i="3"/>
  <c r="H15" i="1"/>
  <c r="H18"/>
  <c r="H16" s="1"/>
  <c r="E12" i="2" s="1"/>
  <c r="BC19" i="1"/>
  <c r="I21"/>
  <c r="I24"/>
  <c r="I22" s="1"/>
  <c r="F13" i="2" s="1"/>
  <c r="AW28" i="1"/>
  <c r="AW31"/>
  <c r="H32"/>
  <c r="BC34"/>
  <c r="I37"/>
  <c r="F18" i="2" s="1"/>
  <c r="AU37" i="1"/>
  <c r="BI39"/>
  <c r="AC39" s="1"/>
  <c r="AS41"/>
  <c r="AX42"/>
  <c r="I42"/>
  <c r="I41" s="1"/>
  <c r="F19" i="2" s="1"/>
  <c r="BI43" i="1"/>
  <c r="AC43" s="1"/>
  <c r="AW44"/>
  <c r="BH44"/>
  <c r="AB44" s="1"/>
  <c r="AW49"/>
  <c r="H49"/>
  <c r="AX52"/>
  <c r="I52"/>
  <c r="I48" s="1"/>
  <c r="F21" i="2" s="1"/>
  <c r="BI53" i="1"/>
  <c r="AC53" s="1"/>
  <c r="AW54"/>
  <c r="BH54"/>
  <c r="AB54" s="1"/>
  <c r="BI56"/>
  <c r="AE56" s="1"/>
  <c r="AW57"/>
  <c r="BH57"/>
  <c r="AD57" s="1"/>
  <c r="BI59"/>
  <c r="AE59" s="1"/>
  <c r="AW60"/>
  <c r="BH60"/>
  <c r="AD60" s="1"/>
  <c r="AX63"/>
  <c r="AX66"/>
  <c r="I66"/>
  <c r="J70"/>
  <c r="G24" i="2" s="1"/>
  <c r="I24" s="1"/>
  <c r="AX73" i="1"/>
  <c r="I73"/>
  <c r="AW78"/>
  <c r="H78"/>
  <c r="AW81"/>
  <c r="H81"/>
  <c r="BI84"/>
  <c r="AE84" s="1"/>
  <c r="BI85"/>
  <c r="AE85" s="1"/>
  <c r="AW86"/>
  <c r="BH86"/>
  <c r="AD86" s="1"/>
  <c r="AW87"/>
  <c r="AW89"/>
  <c r="BH89"/>
  <c r="AD89" s="1"/>
  <c r="AV90"/>
  <c r="BC90"/>
  <c r="AX102"/>
  <c r="I102"/>
  <c r="BI102"/>
  <c r="AE102" s="1"/>
  <c r="I115"/>
  <c r="BI115"/>
  <c r="AE115" s="1"/>
  <c r="AX115"/>
  <c r="AW119"/>
  <c r="H119"/>
  <c r="BH119"/>
  <c r="AD119" s="1"/>
  <c r="AV120"/>
  <c r="BC120"/>
  <c r="AL125"/>
  <c r="AU124" s="1"/>
  <c r="J124"/>
  <c r="G33" i="2" s="1"/>
  <c r="I33" s="1"/>
  <c r="AL131" i="1"/>
  <c r="AU130" s="1"/>
  <c r="J130"/>
  <c r="G35" i="2" s="1"/>
  <c r="I35" s="1"/>
  <c r="I138" i="1"/>
  <c r="AX138"/>
  <c r="BI143"/>
  <c r="AC143" s="1"/>
  <c r="I143"/>
  <c r="AX143"/>
  <c r="AV143" s="1"/>
  <c r="H147"/>
  <c r="BH147"/>
  <c r="AB147" s="1"/>
  <c r="AW147"/>
  <c r="AV154"/>
  <c r="BC154"/>
  <c r="AX164"/>
  <c r="I164"/>
  <c r="BI164"/>
  <c r="AG164" s="1"/>
  <c r="I165"/>
  <c r="BI165"/>
  <c r="AG165" s="1"/>
  <c r="AX165"/>
  <c r="H166"/>
  <c r="BH166"/>
  <c r="AF166" s="1"/>
  <c r="AW166"/>
  <c r="BH15"/>
  <c r="AB15" s="1"/>
  <c r="BI17"/>
  <c r="AC17" s="1"/>
  <c r="BH18"/>
  <c r="AB18" s="1"/>
  <c r="AL56"/>
  <c r="AU55" s="1"/>
  <c r="J55"/>
  <c r="G22" i="2" s="1"/>
  <c r="I22" s="1"/>
  <c r="AL59" i="1"/>
  <c r="AU58" s="1"/>
  <c r="J58"/>
  <c r="G23" i="2" s="1"/>
  <c r="I23" s="1"/>
  <c r="AW63" i="1"/>
  <c r="H63"/>
  <c r="AU70"/>
  <c r="AV75"/>
  <c r="BC75"/>
  <c r="I103"/>
  <c r="BI103"/>
  <c r="AE103" s="1"/>
  <c r="AX106"/>
  <c r="I106"/>
  <c r="BI106"/>
  <c r="AE106" s="1"/>
  <c r="J16"/>
  <c r="G12" i="2" s="1"/>
  <c r="I12" s="1"/>
  <c r="H37" i="1"/>
  <c r="E18" i="2" s="1"/>
  <c r="AV50" i="1"/>
  <c r="BC50"/>
  <c r="AX62"/>
  <c r="I62"/>
  <c r="I58" s="1"/>
  <c r="F23" i="2" s="1"/>
  <c r="AW67" i="1"/>
  <c r="H67"/>
  <c r="AW74"/>
  <c r="H74"/>
  <c r="H70" s="1"/>
  <c r="E24" i="2" s="1"/>
  <c r="AV79" i="1"/>
  <c r="BC79"/>
  <c r="AL112"/>
  <c r="AU111" s="1"/>
  <c r="J111"/>
  <c r="G30" i="2" s="1"/>
  <c r="I30" s="1"/>
  <c r="AW115" i="1"/>
  <c r="H115"/>
  <c r="H114" s="1"/>
  <c r="E31" i="2" s="1"/>
  <c r="BH115" i="1"/>
  <c r="AD115" s="1"/>
  <c r="BC117"/>
  <c r="AV117"/>
  <c r="H123"/>
  <c r="H122" s="1"/>
  <c r="E32" i="2" s="1"/>
  <c r="BH123" i="1"/>
  <c r="AD123" s="1"/>
  <c r="AW123"/>
  <c r="I125"/>
  <c r="I124" s="1"/>
  <c r="F33" i="2" s="1"/>
  <c r="BI125" i="1"/>
  <c r="AE125" s="1"/>
  <c r="AX125"/>
  <c r="H129"/>
  <c r="H128" s="1"/>
  <c r="E34" i="2" s="1"/>
  <c r="BH129" i="1"/>
  <c r="AW129"/>
  <c r="AW138"/>
  <c r="BH138"/>
  <c r="AB138" s="1"/>
  <c r="AV139"/>
  <c r="BC139"/>
  <c r="AT12"/>
  <c r="I14"/>
  <c r="I12" s="1"/>
  <c r="F11" i="2" s="1"/>
  <c r="I17" i="1"/>
  <c r="I16" s="1"/>
  <c r="F12" i="2" s="1"/>
  <c r="C21" i="3"/>
  <c r="C27"/>
  <c r="AL28" i="1"/>
  <c r="AU27" s="1"/>
  <c r="BH28"/>
  <c r="AB28" s="1"/>
  <c r="H30"/>
  <c r="H29" s="1"/>
  <c r="E16" i="2" s="1"/>
  <c r="BH31" i="1"/>
  <c r="AB31" s="1"/>
  <c r="AW32"/>
  <c r="J33"/>
  <c r="G17" i="2" s="1"/>
  <c r="I17" s="1"/>
  <c r="AX36" i="1"/>
  <c r="I36"/>
  <c r="I33" s="1"/>
  <c r="F17" i="2" s="1"/>
  <c r="J37" i="1"/>
  <c r="G18" i="2" s="1"/>
  <c r="I18" s="1"/>
  <c r="AX40" i="1"/>
  <c r="BH40"/>
  <c r="AB40" s="1"/>
  <c r="J41"/>
  <c r="G19" i="2" s="1"/>
  <c r="I19" s="1"/>
  <c r="AT41" i="1"/>
  <c r="AW43"/>
  <c r="H43"/>
  <c r="H41" s="1"/>
  <c r="E19" i="2" s="1"/>
  <c r="AW47" i="1"/>
  <c r="BH47"/>
  <c r="AB47" s="1"/>
  <c r="AV51"/>
  <c r="AW53"/>
  <c r="H53"/>
  <c r="AW56"/>
  <c r="H56"/>
  <c r="H55" s="1"/>
  <c r="E22" i="2" s="1"/>
  <c r="AW59" i="1"/>
  <c r="H59"/>
  <c r="H58" s="1"/>
  <c r="E23" i="2" s="1"/>
  <c r="BI62" i="1"/>
  <c r="AE62" s="1"/>
  <c r="BI63"/>
  <c r="AE63" s="1"/>
  <c r="AW64"/>
  <c r="BH64"/>
  <c r="AD64" s="1"/>
  <c r="AV65"/>
  <c r="AX67"/>
  <c r="BH67"/>
  <c r="AD67" s="1"/>
  <c r="AW71"/>
  <c r="BH71"/>
  <c r="AD71" s="1"/>
  <c r="AV72"/>
  <c r="AX74"/>
  <c r="BH74"/>
  <c r="AD74" s="1"/>
  <c r="AX77"/>
  <c r="I77"/>
  <c r="I70" s="1"/>
  <c r="F24" i="2" s="1"/>
  <c r="AL81" i="1"/>
  <c r="AU80" s="1"/>
  <c r="J80"/>
  <c r="G25" i="2" s="1"/>
  <c r="I25" s="1"/>
  <c r="AW85" i="1"/>
  <c r="H85"/>
  <c r="BC88"/>
  <c r="H89"/>
  <c r="I89"/>
  <c r="AX89"/>
  <c r="BI89"/>
  <c r="AE89" s="1"/>
  <c r="AV97"/>
  <c r="BC97"/>
  <c r="AS98"/>
  <c r="AV100"/>
  <c r="BC100"/>
  <c r="AW112"/>
  <c r="H112"/>
  <c r="BH112"/>
  <c r="AD112" s="1"/>
  <c r="H113"/>
  <c r="BH113"/>
  <c r="AD113" s="1"/>
  <c r="AW113"/>
  <c r="AL115"/>
  <c r="AU114" s="1"/>
  <c r="J114"/>
  <c r="G31" i="2" s="1"/>
  <c r="I31" s="1"/>
  <c r="H146" i="1"/>
  <c r="AW146"/>
  <c r="BH146"/>
  <c r="AB146" s="1"/>
  <c r="AV173"/>
  <c r="BC173"/>
  <c r="AW93"/>
  <c r="H93"/>
  <c r="H94"/>
  <c r="E26" i="2" s="1"/>
  <c r="AW96" i="1"/>
  <c r="H96"/>
  <c r="AW99"/>
  <c r="H99"/>
  <c r="H98" s="1"/>
  <c r="E27" i="2" s="1"/>
  <c r="AX118" i="1"/>
  <c r="I118"/>
  <c r="AW131"/>
  <c r="H131"/>
  <c r="H130" s="1"/>
  <c r="E35" i="2" s="1"/>
  <c r="AW135" i="1"/>
  <c r="BH135"/>
  <c r="AB135" s="1"/>
  <c r="AW142"/>
  <c r="H142"/>
  <c r="AW149"/>
  <c r="BH149"/>
  <c r="AB149" s="1"/>
  <c r="J153"/>
  <c r="G39" i="2" s="1"/>
  <c r="I39" s="1"/>
  <c r="AL154" i="1"/>
  <c r="AU153" s="1"/>
  <c r="AX156"/>
  <c r="I156"/>
  <c r="BI156"/>
  <c r="AG156" s="1"/>
  <c r="C19" i="3" s="1"/>
  <c r="I157" i="1"/>
  <c r="BI157"/>
  <c r="AG157" s="1"/>
  <c r="AX157"/>
  <c r="H158"/>
  <c r="H153" s="1"/>
  <c r="E39" i="2" s="1"/>
  <c r="BH158" i="1"/>
  <c r="AF158" s="1"/>
  <c r="AW158"/>
  <c r="AU168"/>
  <c r="I175"/>
  <c r="I174" s="1"/>
  <c r="F41" i="2" s="1"/>
  <c r="BI175" i="1"/>
  <c r="AG175" s="1"/>
  <c r="AX175"/>
  <c r="AX187"/>
  <c r="BC187" s="1"/>
  <c r="I187"/>
  <c r="BI187"/>
  <c r="AX92"/>
  <c r="I92"/>
  <c r="AS94"/>
  <c r="AX95"/>
  <c r="I95"/>
  <c r="I94" s="1"/>
  <c r="F26" i="2" s="1"/>
  <c r="AL99" i="1"/>
  <c r="AU98" s="1"/>
  <c r="J98"/>
  <c r="G27" i="2" s="1"/>
  <c r="I27" s="1"/>
  <c r="AW103" i="1"/>
  <c r="H103"/>
  <c r="AX119"/>
  <c r="AV133"/>
  <c r="BC133"/>
  <c r="H135"/>
  <c r="H134" s="1"/>
  <c r="E36" i="2" s="1"/>
  <c r="I135" i="1"/>
  <c r="I134" s="1"/>
  <c r="F36" i="2" s="1"/>
  <c r="AX135" i="1"/>
  <c r="BI135"/>
  <c r="AC135" s="1"/>
  <c r="AX137"/>
  <c r="BI137"/>
  <c r="AC137" s="1"/>
  <c r="I137"/>
  <c r="BC141"/>
  <c r="H149"/>
  <c r="I149"/>
  <c r="I145" s="1"/>
  <c r="F38" i="2" s="1"/>
  <c r="AX149" i="1"/>
  <c r="BI149"/>
  <c r="AC149" s="1"/>
  <c r="AV150"/>
  <c r="BC150"/>
  <c r="AV162"/>
  <c r="BC162"/>
  <c r="AW165"/>
  <c r="H165"/>
  <c r="BH165"/>
  <c r="AF165" s="1"/>
  <c r="H169"/>
  <c r="BH169"/>
  <c r="AF169" s="1"/>
  <c r="AW169"/>
  <c r="AW179"/>
  <c r="BH179"/>
  <c r="H179"/>
  <c r="H176" s="1"/>
  <c r="E42" i="2" s="1"/>
  <c r="AW182" i="1"/>
  <c r="BH182"/>
  <c r="AX185"/>
  <c r="BC185" s="1"/>
  <c r="I185"/>
  <c r="BI185"/>
  <c r="AW188"/>
  <c r="BH188"/>
  <c r="AV189"/>
  <c r="BC189"/>
  <c r="AX108"/>
  <c r="AV108" s="1"/>
  <c r="H136"/>
  <c r="E37" i="2" s="1"/>
  <c r="AT136" i="1"/>
  <c r="J145"/>
  <c r="G38" i="2" s="1"/>
  <c r="I38" s="1"/>
  <c r="AX160" i="1"/>
  <c r="I160"/>
  <c r="AW161"/>
  <c r="H161"/>
  <c r="BC167"/>
  <c r="J168"/>
  <c r="G40" i="2" s="1"/>
  <c r="I40" s="1"/>
  <c r="AX171" i="1"/>
  <c r="I171"/>
  <c r="I168" s="1"/>
  <c r="F40" i="2" s="1"/>
  <c r="AW172" i="1"/>
  <c r="H172"/>
  <c r="AV175"/>
  <c r="BC175"/>
  <c r="AU176"/>
  <c r="AL182"/>
  <c r="AU181" s="1"/>
  <c r="J181"/>
  <c r="G43" i="2" s="1"/>
  <c r="I43" s="1"/>
  <c r="F29" i="4"/>
  <c r="J136" i="1"/>
  <c r="G37" i="2" s="1"/>
  <c r="I37" s="1"/>
  <c r="BI160" i="1"/>
  <c r="AG160" s="1"/>
  <c r="BI171"/>
  <c r="AG171" s="1"/>
  <c r="AL175"/>
  <c r="AU174" s="1"/>
  <c r="J174"/>
  <c r="G41" i="2" s="1"/>
  <c r="I41" s="1"/>
  <c r="J176" i="1"/>
  <c r="G42" i="2" s="1"/>
  <c r="I42" s="1"/>
  <c r="AT181" i="1"/>
  <c r="AX191"/>
  <c r="BC191" s="1"/>
  <c r="I191"/>
  <c r="BI191"/>
  <c r="AX155"/>
  <c r="AV155" s="1"/>
  <c r="AW156"/>
  <c r="AX159"/>
  <c r="AV159" s="1"/>
  <c r="AW160"/>
  <c r="AX163"/>
  <c r="BC163" s="1"/>
  <c r="AW164"/>
  <c r="AX167"/>
  <c r="AV167" s="1"/>
  <c r="AX170"/>
  <c r="AV170" s="1"/>
  <c r="AW171"/>
  <c r="H175"/>
  <c r="H174" s="1"/>
  <c r="E41" i="2" s="1"/>
  <c r="AS181" i="1"/>
  <c r="BC184"/>
  <c r="I189"/>
  <c r="BC190"/>
  <c r="H194"/>
  <c r="I22" i="3"/>
  <c r="BI179" i="1"/>
  <c r="BH180"/>
  <c r="BI182"/>
  <c r="BH183"/>
  <c r="BI186"/>
  <c r="BH187"/>
  <c r="BI190"/>
  <c r="BH191"/>
  <c r="AV180" l="1"/>
  <c r="BC180"/>
  <c r="BC121"/>
  <c r="AV121"/>
  <c r="BC83"/>
  <c r="AV83"/>
  <c r="C29" i="3"/>
  <c r="F29" s="1"/>
  <c r="I114" i="1"/>
  <c r="F31" i="2" s="1"/>
  <c r="C17" i="3"/>
  <c r="AV68" i="1"/>
  <c r="C15" i="3"/>
  <c r="AV30" i="1"/>
  <c r="BC76"/>
  <c r="AV76"/>
  <c r="BC38"/>
  <c r="AV38"/>
  <c r="BC23"/>
  <c r="AV23"/>
  <c r="BC45"/>
  <c r="AV45"/>
  <c r="I181"/>
  <c r="F43" i="2" s="1"/>
  <c r="AV185" i="1"/>
  <c r="I153"/>
  <c r="F39" i="2" s="1"/>
  <c r="BC35" i="1"/>
  <c r="AV20"/>
  <c r="BC194"/>
  <c r="BC13"/>
  <c r="AV13"/>
  <c r="BC26"/>
  <c r="AV26"/>
  <c r="C16" i="3"/>
  <c r="AV144" i="1"/>
  <c r="BC69"/>
  <c r="AV69"/>
  <c r="BC61"/>
  <c r="AV61"/>
  <c r="H168"/>
  <c r="E40" i="2" s="1"/>
  <c r="C18" i="3"/>
  <c r="BC155" i="1"/>
  <c r="C14" i="3"/>
  <c r="H181" i="1"/>
  <c r="E43" i="2" s="1"/>
  <c r="C22" i="3"/>
  <c r="BC164" i="1"/>
  <c r="AV164"/>
  <c r="AV149"/>
  <c r="BC149"/>
  <c r="AV112"/>
  <c r="BC112"/>
  <c r="AV85"/>
  <c r="BC85"/>
  <c r="AV56"/>
  <c r="BC56"/>
  <c r="AV129"/>
  <c r="BC129"/>
  <c r="BC62"/>
  <c r="AV62"/>
  <c r="AV166"/>
  <c r="BC166"/>
  <c r="AV60"/>
  <c r="BC60"/>
  <c r="AV157"/>
  <c r="BC157"/>
  <c r="AV126"/>
  <c r="BC126"/>
  <c r="I80"/>
  <c r="F25" i="2" s="1"/>
  <c r="J195" i="1"/>
  <c r="AV187"/>
  <c r="AV171"/>
  <c r="BC171"/>
  <c r="BC159"/>
  <c r="AV165"/>
  <c r="BC165"/>
  <c r="AV137"/>
  <c r="BC137"/>
  <c r="AV158"/>
  <c r="BC158"/>
  <c r="BC143"/>
  <c r="AV47"/>
  <c r="BC47"/>
  <c r="AV163"/>
  <c r="BC147"/>
  <c r="AV147"/>
  <c r="AV119"/>
  <c r="BC119"/>
  <c r="AV104"/>
  <c r="BC104"/>
  <c r="AV40"/>
  <c r="BC40"/>
  <c r="AV125"/>
  <c r="BC125"/>
  <c r="AV110"/>
  <c r="BC110"/>
  <c r="BC84"/>
  <c r="AV84"/>
  <c r="BC39"/>
  <c r="AV39"/>
  <c r="BC156"/>
  <c r="AV156"/>
  <c r="AV142"/>
  <c r="BC142"/>
  <c r="AV131"/>
  <c r="BC131"/>
  <c r="BC77"/>
  <c r="AV77"/>
  <c r="BC32"/>
  <c r="AV32"/>
  <c r="BC87"/>
  <c r="AV87"/>
  <c r="AV78"/>
  <c r="BC78"/>
  <c r="AV42"/>
  <c r="BC42"/>
  <c r="BC92"/>
  <c r="AV92"/>
  <c r="AV99"/>
  <c r="BC99"/>
  <c r="AV71"/>
  <c r="BC71"/>
  <c r="I28" i="3"/>
  <c r="I29" s="1"/>
  <c r="AV115" i="1"/>
  <c r="BC115"/>
  <c r="H80"/>
  <c r="E25" i="2" s="1"/>
  <c r="AV66" i="1"/>
  <c r="BC66"/>
  <c r="AV52"/>
  <c r="BC52"/>
  <c r="AV44"/>
  <c r="BC44"/>
  <c r="AV160"/>
  <c r="BC160"/>
  <c r="BC170"/>
  <c r="AV161"/>
  <c r="BC161"/>
  <c r="BC188"/>
  <c r="AV188"/>
  <c r="BC179"/>
  <c r="AV179"/>
  <c r="AV103"/>
  <c r="BC103"/>
  <c r="BC95"/>
  <c r="AV95"/>
  <c r="AV135"/>
  <c r="BC135"/>
  <c r="AV118"/>
  <c r="BC118"/>
  <c r="AV93"/>
  <c r="BC93"/>
  <c r="AV146"/>
  <c r="BC146"/>
  <c r="AV64"/>
  <c r="BC64"/>
  <c r="AV59"/>
  <c r="BC59"/>
  <c r="AV53"/>
  <c r="BC53"/>
  <c r="AV36"/>
  <c r="BC36"/>
  <c r="AV123"/>
  <c r="BC123"/>
  <c r="AV67"/>
  <c r="BC67"/>
  <c r="I98"/>
  <c r="F27" i="2" s="1"/>
  <c r="AV86" i="1"/>
  <c r="BC86"/>
  <c r="AV81"/>
  <c r="BC81"/>
  <c r="AV73"/>
  <c r="BC73"/>
  <c r="AV54"/>
  <c r="BC54"/>
  <c r="H48"/>
  <c r="E21" i="2" s="1"/>
  <c r="BC192" i="1"/>
  <c r="AV192"/>
  <c r="AV116"/>
  <c r="BC116"/>
  <c r="AV106"/>
  <c r="BC106"/>
  <c r="AV28"/>
  <c r="BC28"/>
  <c r="AV191"/>
  <c r="AV172"/>
  <c r="BC172"/>
  <c r="BC182"/>
  <c r="AV182"/>
  <c r="AV169"/>
  <c r="BC169"/>
  <c r="I136"/>
  <c r="F37" i="2" s="1"/>
  <c r="BC108" i="1"/>
  <c r="AV96"/>
  <c r="BC96"/>
  <c r="H145"/>
  <c r="E38" i="2" s="1"/>
  <c r="AV113" i="1"/>
  <c r="BC113"/>
  <c r="H111"/>
  <c r="E30" i="2" s="1"/>
  <c r="AV43" i="1"/>
  <c r="BC43"/>
  <c r="AV138"/>
  <c r="BC138"/>
  <c r="AV74"/>
  <c r="BC74"/>
  <c r="AV63"/>
  <c r="BC63"/>
  <c r="BC102"/>
  <c r="AV102"/>
  <c r="AV89"/>
  <c r="BC89"/>
  <c r="AV57"/>
  <c r="BC57"/>
  <c r="AV49"/>
  <c r="BC49"/>
  <c r="AV31"/>
  <c r="BC31"/>
  <c r="G44" i="2"/>
  <c r="AV148" i="1"/>
  <c r="BC148"/>
</calcChain>
</file>

<file path=xl/sharedStrings.xml><?xml version="1.0" encoding="utf-8"?>
<sst xmlns="http://schemas.openxmlformats.org/spreadsheetml/2006/main" count="2153" uniqueCount="669">
  <si>
    <t>Slepý stavební rozpočet</t>
  </si>
  <si>
    <t>Název stavby:</t>
  </si>
  <si>
    <t>Oprava objektu</t>
  </si>
  <si>
    <t>Doba výstavby:</t>
  </si>
  <si>
    <t xml:space="preserve"> </t>
  </si>
  <si>
    <t>Objednatel:</t>
  </si>
  <si>
    <t>obec Povrly, Mírová 165/7, 403 32</t>
  </si>
  <si>
    <t>Druh stavby:</t>
  </si>
  <si>
    <t>sběrného dvora druhotných sorovin</t>
  </si>
  <si>
    <t>Začátek výstavby:</t>
  </si>
  <si>
    <t>Projektant:</t>
  </si>
  <si>
    <t>Ing. Kříž Jiří</t>
  </si>
  <si>
    <t>Lokalita:</t>
  </si>
  <si>
    <t>ulice Mládeže ev.č.557, Povrly</t>
  </si>
  <si>
    <t>Konec výstavby:</t>
  </si>
  <si>
    <t>Zhotovitel:</t>
  </si>
  <si>
    <t> </t>
  </si>
  <si>
    <t>JKSO:</t>
  </si>
  <si>
    <t>Zpracováno dne:</t>
  </si>
  <si>
    <t>24.04.2024</t>
  </si>
  <si>
    <t>Zpracoval:</t>
  </si>
  <si>
    <t>Ing. Jiří Kříž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</si>
  <si>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</si>
  <si>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</si>
  <si>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</si>
  <si>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</si>
  <si>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</si>
  <si>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</si>
  <si>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</si>
  <si>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</si>
  <si>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</si>
  <si>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</si>
  <si>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</si>
  <si>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</si>
  <si>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</si>
  <si>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</si>
  <si>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</si>
  <si>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</si>
  <si>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</si>
  <si>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</si>
  <si>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</si>
  <si>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</si>
  <si>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</si>
  <si>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</si>
  <si>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</si>
  <si>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</si>
  <si>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</si>
  <si>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</si>
  <si>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</si>
  <si>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</si>
  <si>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</si>
  <si>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</si>
  <si>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0</t>
  </si>
  <si>
    <t>Všeobecné konstrukce a práce</t>
  </si>
  <si>
    <t>1</t>
  </si>
  <si>
    <t>073877111R00</t>
  </si>
  <si>
    <t>Montáž hromosvodů, v. 30 m, 3 jímače, při zdění</t>
  </si>
  <si>
    <t>kus</t>
  </si>
  <si>
    <t>RTS I / 2022</t>
  </si>
  <si>
    <t>0_</t>
  </si>
  <si>
    <t>_</t>
  </si>
  <si>
    <t>2</t>
  </si>
  <si>
    <t>073877119R00</t>
  </si>
  <si>
    <t>Demontáž hontáž hromosvodů, v. 10 m,</t>
  </si>
  <si>
    <t>3</t>
  </si>
  <si>
    <t>073877122R00</t>
  </si>
  <si>
    <t>Revize hromosvodu, 3 jímače</t>
  </si>
  <si>
    <t>Zemní práce</t>
  </si>
  <si>
    <t>4</t>
  </si>
  <si>
    <t>181101102R00</t>
  </si>
  <si>
    <t>Úprava pláně v zářezech v hor. 1-4, se zhutněním</t>
  </si>
  <si>
    <t>m2</t>
  </si>
  <si>
    <t>RTS II / 2023</t>
  </si>
  <si>
    <t>1_</t>
  </si>
  <si>
    <t>5</t>
  </si>
  <si>
    <t>122302202R00</t>
  </si>
  <si>
    <t>Odkopávky pro silnice v hor. 4 do 1000 m3</t>
  </si>
  <si>
    <t>m3</t>
  </si>
  <si>
    <t>6</t>
  </si>
  <si>
    <t>162701105R00</t>
  </si>
  <si>
    <t>Vodorovné přemístění výkopku z hor.1-4 do 10000 m</t>
  </si>
  <si>
    <t>7</t>
  </si>
  <si>
    <t>167101101R00</t>
  </si>
  <si>
    <t>Nakládání výkopku z hor.1-4 v množství do 100 m3</t>
  </si>
  <si>
    <t>8</t>
  </si>
  <si>
    <t>171201201RT1</t>
  </si>
  <si>
    <t>Uložení sypaniny na skládku včetně poplatku za skládku</t>
  </si>
  <si>
    <t>34</t>
  </si>
  <si>
    <t>Stěny a příčky</t>
  </si>
  <si>
    <t>9</t>
  </si>
  <si>
    <t>340239211R00</t>
  </si>
  <si>
    <t>Zazdívka otvorů pl.4 m2,cihlami tl.zdi do 10 cm</t>
  </si>
  <si>
    <t>34_</t>
  </si>
  <si>
    <t>3_</t>
  </si>
  <si>
    <t>10</t>
  </si>
  <si>
    <t>342012221R00</t>
  </si>
  <si>
    <t>Příčka SDK tl.100 mm,ocel.kce,1x oplášť.,RB 12,5mm</t>
  </si>
  <si>
    <t>41</t>
  </si>
  <si>
    <t>Stropy a stropní konstrukce (pro pozemní stavby)</t>
  </si>
  <si>
    <t>11</t>
  </si>
  <si>
    <t>416021124R00</t>
  </si>
  <si>
    <t>Podhledy SDK, kovová.kce CD. 1x deska RFI 12,5 mm, včetně telení a broušení</t>
  </si>
  <si>
    <t>41_</t>
  </si>
  <si>
    <t>4_</t>
  </si>
  <si>
    <t>45</t>
  </si>
  <si>
    <t>Podkladní a vedlejší konstrukce (kromě vozovek a železničního svršku)</t>
  </si>
  <si>
    <t>12</t>
  </si>
  <si>
    <t>451311811R00</t>
  </si>
  <si>
    <t>Podklad pro vyrovnání podlahy z betonu C 25/30 XA1,do 10 cm</t>
  </si>
  <si>
    <t>45_</t>
  </si>
  <si>
    <t>56</t>
  </si>
  <si>
    <t>Podkladní vrstvy komunikací a zpevněných ploch</t>
  </si>
  <si>
    <t>13</t>
  </si>
  <si>
    <t>564762111R00</t>
  </si>
  <si>
    <t>Podklad z kam.drceného 32-63 s výplň.kamen. 20 cm  (MZK)</t>
  </si>
  <si>
    <t>56_</t>
  </si>
  <si>
    <t>5_</t>
  </si>
  <si>
    <t>14</t>
  </si>
  <si>
    <t>569903311R00</t>
  </si>
  <si>
    <t>Zřízení zemních krajnic se zhutněním</t>
  </si>
  <si>
    <t>15</t>
  </si>
  <si>
    <t>569831111R00</t>
  </si>
  <si>
    <t>Zpevnění krajnic štěrkodrtí tloušťky  10 cm</t>
  </si>
  <si>
    <t>57</t>
  </si>
  <si>
    <t>Kryty štěrkových a živičných pozemních komunikací a zpevněných ploch</t>
  </si>
  <si>
    <t>16</t>
  </si>
  <si>
    <t>565141211R00</t>
  </si>
  <si>
    <t>Podklad z obal kam.ACP 16+,ACP 22+,nad 3 m,tl.6 cm</t>
  </si>
  <si>
    <t>57_</t>
  </si>
  <si>
    <t>17</t>
  </si>
  <si>
    <t>577142212R00</t>
  </si>
  <si>
    <t>Beton asfalt. ACO 8,ACO 11,ACO 16, š.nad 3 m, 5 cm</t>
  </si>
  <si>
    <t>18</t>
  </si>
  <si>
    <t>577142312R00</t>
  </si>
  <si>
    <t>Beton asfalt. ACO 8 CH obrusný, nad 3 m, 5 cm</t>
  </si>
  <si>
    <t>61</t>
  </si>
  <si>
    <t>Úprava povrchů vnitřní</t>
  </si>
  <si>
    <t>19</t>
  </si>
  <si>
    <t>612403385R00</t>
  </si>
  <si>
    <t>Hrubá výplň rýh ve stěnách do 10x5 cm maltou z SMS</t>
  </si>
  <si>
    <t>m</t>
  </si>
  <si>
    <t>61_</t>
  </si>
  <si>
    <t>6_</t>
  </si>
  <si>
    <t>20</t>
  </si>
  <si>
    <t>612403393R00</t>
  </si>
  <si>
    <t>Hrubá výplň rýh ve stěnách do 15x5 cm maltou z SMS</t>
  </si>
  <si>
    <t>21</t>
  </si>
  <si>
    <t>612421431R00</t>
  </si>
  <si>
    <t>Oprava vápen.omítek stěn do 50 % pl. - štukových</t>
  </si>
  <si>
    <t>62</t>
  </si>
  <si>
    <t>Úprava povrchů vnější</t>
  </si>
  <si>
    <t>22</t>
  </si>
  <si>
    <t>620451121R00</t>
  </si>
  <si>
    <t>Omítka cementová stěn zatřená dř.hladítkem, hladká</t>
  </si>
  <si>
    <t>62_</t>
  </si>
  <si>
    <t>23</t>
  </si>
  <si>
    <t>622476313R00</t>
  </si>
  <si>
    <t>Omítka vnější silikonová, probarvená mnichovská , slož.1-2</t>
  </si>
  <si>
    <t>24</t>
  </si>
  <si>
    <t>622904112R00</t>
  </si>
  <si>
    <t>Očištění fasád tlakovou vodou složitost 1 - 2</t>
  </si>
  <si>
    <t>25</t>
  </si>
  <si>
    <t>622401971R00</t>
  </si>
  <si>
    <t>Příplatek k omítce vnějš. stěn, sokl z mozaikové omítky</t>
  </si>
  <si>
    <t>63</t>
  </si>
  <si>
    <t>Podlahy a podlahové konstrukce</t>
  </si>
  <si>
    <t>26</t>
  </si>
  <si>
    <t>632411105RT1</t>
  </si>
  <si>
    <t>Samonivelační stěrka podlahová, ruč.zpracování tl.5 mm</t>
  </si>
  <si>
    <t>63_</t>
  </si>
  <si>
    <t>64</t>
  </si>
  <si>
    <t>Výplně otvorů</t>
  </si>
  <si>
    <t>27</t>
  </si>
  <si>
    <t>641941111R00</t>
  </si>
  <si>
    <t>Osazení rámů okenních plastových, plocha do 1,2 m2</t>
  </si>
  <si>
    <t>64_</t>
  </si>
  <si>
    <t>28</t>
  </si>
  <si>
    <t>641941312R00</t>
  </si>
  <si>
    <t>Osazení rámů okenních plastových, plocha do 4 m2</t>
  </si>
  <si>
    <t>29</t>
  </si>
  <si>
    <t>641960000R00</t>
  </si>
  <si>
    <t>Těsnění spár otvorových prvků PU pěnou</t>
  </si>
  <si>
    <t>30</t>
  </si>
  <si>
    <t>642942111RU5</t>
  </si>
  <si>
    <t>Osazení včetně dodávky zárubní dveřních ocelových, pl. do 2,5 m2</t>
  </si>
  <si>
    <t>31</t>
  </si>
  <si>
    <t>642942331R00</t>
  </si>
  <si>
    <t>Osazení dveří dvoukřídlových plastových, pl. do 10 m2</t>
  </si>
  <si>
    <t>32</t>
  </si>
  <si>
    <t>642942441R00</t>
  </si>
  <si>
    <t>Osazení sekčních  vrat automatických pl. nad 10 m2</t>
  </si>
  <si>
    <t>713</t>
  </si>
  <si>
    <t>Izolace tepelné</t>
  </si>
  <si>
    <t>33</t>
  </si>
  <si>
    <t>713111111RV3</t>
  </si>
  <si>
    <t>Izolace tepelné stropů vrchem kladené volně</t>
  </si>
  <si>
    <t>713_</t>
  </si>
  <si>
    <t>71_</t>
  </si>
  <si>
    <t>713111221RK4</t>
  </si>
  <si>
    <t>Montáž parozábrany, zavěšené podhl., přelep. spojů</t>
  </si>
  <si>
    <t>721</t>
  </si>
  <si>
    <t>Vnitřní kanalizace</t>
  </si>
  <si>
    <t>35</t>
  </si>
  <si>
    <t>721176102R00</t>
  </si>
  <si>
    <t>Potrubí HT připojovací D 40 x 1,8 mm</t>
  </si>
  <si>
    <t>721_</t>
  </si>
  <si>
    <t>72_</t>
  </si>
  <si>
    <t>36</t>
  </si>
  <si>
    <t>721176105R00</t>
  </si>
  <si>
    <t>Potrubí HT připojovací D 110 x 2,7 mm</t>
  </si>
  <si>
    <t>37</t>
  </si>
  <si>
    <t>721176115R00</t>
  </si>
  <si>
    <t>Potrubí HT odpadní svislé D 110 x 2,7 mm</t>
  </si>
  <si>
    <t>38</t>
  </si>
  <si>
    <t>721177125R00</t>
  </si>
  <si>
    <t>Čisticí kus pro HT, odpadní svislé D 110</t>
  </si>
  <si>
    <t>39</t>
  </si>
  <si>
    <t>721194104R00</t>
  </si>
  <si>
    <t>Vyvedení odpadních výpustek D 40 x 1,8</t>
  </si>
  <si>
    <t>40</t>
  </si>
  <si>
    <t>721194109R00</t>
  </si>
  <si>
    <t>Vyvedení odpadních výpustek D 110 x 2,3</t>
  </si>
  <si>
    <t>721213216R00</t>
  </si>
  <si>
    <t>Žlab odtokový přímý,ke zdi,pro dlažbu, dl.1000mm</t>
  </si>
  <si>
    <t>42</t>
  </si>
  <si>
    <t>721223422RT1</t>
  </si>
  <si>
    <t>Vpusť podlahová se zápachovou uzávěrkou HL 304</t>
  </si>
  <si>
    <t>43</t>
  </si>
  <si>
    <t>721290111R00</t>
  </si>
  <si>
    <t>Zkouška těsnosti kanalizace vodou DN 125</t>
  </si>
  <si>
    <t>44</t>
  </si>
  <si>
    <t>721300922R00</t>
  </si>
  <si>
    <t>Pročištění ležatých svodů do DN 300</t>
  </si>
  <si>
    <t>721300942R00</t>
  </si>
  <si>
    <t>Pročistění lapačů střešních splavenin</t>
  </si>
  <si>
    <t>722</t>
  </si>
  <si>
    <t>Vnitřní vodovod</t>
  </si>
  <si>
    <t>46</t>
  </si>
  <si>
    <t>722172311R00</t>
  </si>
  <si>
    <t>Potrubí z PPR, D 20x2,8 mm, PN 16, vč.zed.výpom.</t>
  </si>
  <si>
    <t>722_</t>
  </si>
  <si>
    <t>47</t>
  </si>
  <si>
    <t>722172351R00</t>
  </si>
  <si>
    <t>Křížení potrubí z PPR, D 20 x 3,4 mm, PN 20</t>
  </si>
  <si>
    <t>48</t>
  </si>
  <si>
    <t>722172962R00</t>
  </si>
  <si>
    <t>Vsaz.odboč.do plast.potrubí polyf.D 20 mm, vodovod</t>
  </si>
  <si>
    <t>49</t>
  </si>
  <si>
    <t>722181211RT7</t>
  </si>
  <si>
    <t>Izolace návleková tl. stěny 6 mm, vnitřní průměr 22 mm</t>
  </si>
  <si>
    <t>50</t>
  </si>
  <si>
    <t>722190402R00</t>
  </si>
  <si>
    <t>Vyvedení a upevnění výpustek DN 20</t>
  </si>
  <si>
    <t>51</t>
  </si>
  <si>
    <t>722202216R00</t>
  </si>
  <si>
    <t>Nástěnka MZD PP-R  D 25xR1/2</t>
  </si>
  <si>
    <t>52</t>
  </si>
  <si>
    <t>722202413R00</t>
  </si>
  <si>
    <t>Kohout kulový nerozebíratelný PP-R  D 25</t>
  </si>
  <si>
    <t>53</t>
  </si>
  <si>
    <t>722280106R00</t>
  </si>
  <si>
    <t>Tlaková zkouška vodovodního potrubí DN 32</t>
  </si>
  <si>
    <t>54</t>
  </si>
  <si>
    <t>722290234R00</t>
  </si>
  <si>
    <t>Proplach a dezinfekce vodovod.potrubí DN 80</t>
  </si>
  <si>
    <t>725</t>
  </si>
  <si>
    <t>Zařizovací předměty</t>
  </si>
  <si>
    <t>55</t>
  </si>
  <si>
    <t>725110811R00</t>
  </si>
  <si>
    <t>Demontáž klozetů splachovacích</t>
  </si>
  <si>
    <t>soubor</t>
  </si>
  <si>
    <t>725_</t>
  </si>
  <si>
    <t>725210821R00</t>
  </si>
  <si>
    <t>Demontáž umyvadel bez výtokových armatur</t>
  </si>
  <si>
    <t>725219401R00</t>
  </si>
  <si>
    <t>Montáž umyvadel na šrouby do zdiva</t>
  </si>
  <si>
    <t>58</t>
  </si>
  <si>
    <t>725240811R00</t>
  </si>
  <si>
    <t>Demontáž sprchových kabin bez výtokových armatur</t>
  </si>
  <si>
    <t>59</t>
  </si>
  <si>
    <t>725249103R00</t>
  </si>
  <si>
    <t>Montáž sprchových koutů</t>
  </si>
  <si>
    <t>60</t>
  </si>
  <si>
    <t>725530823R00</t>
  </si>
  <si>
    <t>Demontáž, zásobník elektrický tlakový  200 l</t>
  </si>
  <si>
    <t>725534226R00</t>
  </si>
  <si>
    <t>Ohřívač elek. zásob. závěsný 160 L</t>
  </si>
  <si>
    <t>725823111R00</t>
  </si>
  <si>
    <t>Baterie umyvadlová stoján. ruční, bez otvír.odpadu</t>
  </si>
  <si>
    <t>725845111RT1</t>
  </si>
  <si>
    <t>Baterie sprchová nástěnná ruční, bez příslušenství</t>
  </si>
  <si>
    <t>725849302R00</t>
  </si>
  <si>
    <t>Montáž držáku sprchy</t>
  </si>
  <si>
    <t>65</t>
  </si>
  <si>
    <t>725860211R00</t>
  </si>
  <si>
    <t>Sifon umyvadlový HL133, 5/4 " přípoj pračka</t>
  </si>
  <si>
    <t>66</t>
  </si>
  <si>
    <t>725860226R00</t>
  </si>
  <si>
    <t>Sifon ke sprchové vaničce PP HL 524, D 40/50 mm</t>
  </si>
  <si>
    <t>67</t>
  </si>
  <si>
    <t>725980113R00</t>
  </si>
  <si>
    <t>Dvířka vanová 300 x 300 mm</t>
  </si>
  <si>
    <t>762</t>
  </si>
  <si>
    <t>Konstrukce tesařské</t>
  </si>
  <si>
    <t>68</t>
  </si>
  <si>
    <t>762342205RT4</t>
  </si>
  <si>
    <t>Montáž kontralatí na vruty, s těsnicí pěnou</t>
  </si>
  <si>
    <t>762_</t>
  </si>
  <si>
    <t>76_</t>
  </si>
  <si>
    <t>69</t>
  </si>
  <si>
    <t>762342203RT4</t>
  </si>
  <si>
    <t>Montáž laťování střech, vzdálenost latí 22 - 36 cm</t>
  </si>
  <si>
    <t>70</t>
  </si>
  <si>
    <t>762341811R00</t>
  </si>
  <si>
    <t>Demontáž bednění střech do sklobu 30 st z prken hrubých</t>
  </si>
  <si>
    <t>764</t>
  </si>
  <si>
    <t>Konstrukce klempířské</t>
  </si>
  <si>
    <t>71</t>
  </si>
  <si>
    <t>764510450RT2</t>
  </si>
  <si>
    <t>Oplechování parapetů včetně rohů Ti Zn, rš 330 mm</t>
  </si>
  <si>
    <t>764_</t>
  </si>
  <si>
    <t>72</t>
  </si>
  <si>
    <t>764521440RT2</t>
  </si>
  <si>
    <t>Oplechování říms z Ti Zn plechu, rš 250 mm</t>
  </si>
  <si>
    <t>73</t>
  </si>
  <si>
    <t>764211444R00</t>
  </si>
  <si>
    <t>Krytina hladká z Ti Zn, svitky š. 500 mm, do 30°</t>
  </si>
  <si>
    <t>74</t>
  </si>
  <si>
    <t>764814361R00</t>
  </si>
  <si>
    <t>Lemování trub,lak.Pz,vl.kryt,2díly,D 800 mm,do 30°</t>
  </si>
  <si>
    <t>75</t>
  </si>
  <si>
    <t>764551603R00</t>
  </si>
  <si>
    <t>Svod z Ti Zn, kruhový, D 100 mm</t>
  </si>
  <si>
    <t>76</t>
  </si>
  <si>
    <t>764551613R00</t>
  </si>
  <si>
    <t>Koleno z Ti Zn  72°, kruhové, D 100 mm</t>
  </si>
  <si>
    <t>77</t>
  </si>
  <si>
    <t>764252403R00</t>
  </si>
  <si>
    <t>Žlaby Ti Zn plech, podokapní půlkruhové, rš 330 mm</t>
  </si>
  <si>
    <t>78</t>
  </si>
  <si>
    <t>764312822R00</t>
  </si>
  <si>
    <t>Demontáž krytiny z PZ plechu, nad 25 m2, do 30°</t>
  </si>
  <si>
    <t>765</t>
  </si>
  <si>
    <t>Krytina tvrdá</t>
  </si>
  <si>
    <t>79</t>
  </si>
  <si>
    <t>765799311RO8</t>
  </si>
  <si>
    <t>Montáž fólie na krokve přibitím se slepením spojů, včetně folie 140g</t>
  </si>
  <si>
    <t>765_</t>
  </si>
  <si>
    <t>767</t>
  </si>
  <si>
    <t>Konstrukce doplňkové stavební (zámečnické)</t>
  </si>
  <si>
    <t>80</t>
  </si>
  <si>
    <t>767662120R00</t>
  </si>
  <si>
    <t>Montáž mříží pevných - svařováním</t>
  </si>
  <si>
    <t>767_</t>
  </si>
  <si>
    <t>771</t>
  </si>
  <si>
    <t>Podlahy z dlaždic</t>
  </si>
  <si>
    <t>81</t>
  </si>
  <si>
    <t>771575109R00</t>
  </si>
  <si>
    <t>Montáž podlah keram.,hladké, tmel, 30x30 cm</t>
  </si>
  <si>
    <t>771_</t>
  </si>
  <si>
    <t>77_</t>
  </si>
  <si>
    <t>82</t>
  </si>
  <si>
    <t>771471012R00</t>
  </si>
  <si>
    <t>Obklad soklíků keram.rovných do MC,15x7,5,H 7,5 cm</t>
  </si>
  <si>
    <t>781</t>
  </si>
  <si>
    <t>Obklady (keramické)</t>
  </si>
  <si>
    <t>83</t>
  </si>
  <si>
    <t>781101111R00</t>
  </si>
  <si>
    <t>Vyrovnání podkladu maltou ze SMS tl. do 7 mm</t>
  </si>
  <si>
    <t>781_</t>
  </si>
  <si>
    <t>78_</t>
  </si>
  <si>
    <t>84</t>
  </si>
  <si>
    <t>781101121R00</t>
  </si>
  <si>
    <t>Provedení penetrace podkladu - práce</t>
  </si>
  <si>
    <t>85</t>
  </si>
  <si>
    <t>781101141R00</t>
  </si>
  <si>
    <t>Hydroizolační stěrka jednovrstvá pod obklady</t>
  </si>
  <si>
    <t>86</t>
  </si>
  <si>
    <t>781230121R00</t>
  </si>
  <si>
    <t>Obkládání stěn vnitř.keram. do tmele do 300x300 mm</t>
  </si>
  <si>
    <t>87</t>
  </si>
  <si>
    <t>781419706R00</t>
  </si>
  <si>
    <t>Příplatek za spárovací vodotěsnou hmotu - plošně</t>
  </si>
  <si>
    <t>88</t>
  </si>
  <si>
    <t>781479701R00</t>
  </si>
  <si>
    <t>Přípl.za práci v omez.prostoru,vnitř.obkl.keram.</t>
  </si>
  <si>
    <t>89</t>
  </si>
  <si>
    <t>781491001R00</t>
  </si>
  <si>
    <t>Montáž a dodávka lišt k obkladům</t>
  </si>
  <si>
    <t>783</t>
  </si>
  <si>
    <t>Nátěry</t>
  </si>
  <si>
    <t>90</t>
  </si>
  <si>
    <t>783222100R00</t>
  </si>
  <si>
    <t>Nátěr syntetický kovových konstrukcí zárubní dvojnásobný</t>
  </si>
  <si>
    <t>783_</t>
  </si>
  <si>
    <t>784</t>
  </si>
  <si>
    <t>Malby</t>
  </si>
  <si>
    <t>91</t>
  </si>
  <si>
    <t>784011121R00</t>
  </si>
  <si>
    <t>Broušení štuků a nových omítek</t>
  </si>
  <si>
    <t>784_</t>
  </si>
  <si>
    <t>92</t>
  </si>
  <si>
    <t>784111101R00</t>
  </si>
  <si>
    <t>Penetrace podkladu nátěrem V1307  1 x</t>
  </si>
  <si>
    <t>93</t>
  </si>
  <si>
    <t>784115212R00</t>
  </si>
  <si>
    <t>Malba standard, bílá, bez penetr.,2 x</t>
  </si>
  <si>
    <t>Doplňující konstrukce a práce na pozemních komunikacích a zpevněných plochách</t>
  </si>
  <si>
    <t>94</t>
  </si>
  <si>
    <t>998225111R00</t>
  </si>
  <si>
    <t>Přesun hmot, pozemní komunikace, kryt živičný</t>
  </si>
  <si>
    <t>t</t>
  </si>
  <si>
    <t>91_</t>
  </si>
  <si>
    <t>9_</t>
  </si>
  <si>
    <t>Lešení a stavební výtahy</t>
  </si>
  <si>
    <t>95</t>
  </si>
  <si>
    <t>941941031R00</t>
  </si>
  <si>
    <t>Montáž lešení leh.řad.s podlahami,š.do 1 m, H 10 m</t>
  </si>
  <si>
    <t>94_</t>
  </si>
  <si>
    <t>96</t>
  </si>
  <si>
    <t>941941111R00</t>
  </si>
  <si>
    <t>Pronájem lešení za den</t>
  </si>
  <si>
    <t>97</t>
  </si>
  <si>
    <t>941941831R00</t>
  </si>
  <si>
    <t>Demontáž lešení leh.řad.s podlahami,š.1 m, H 10 m</t>
  </si>
  <si>
    <t>Různé dokončovací konstrukce a práce na pozemních stavbách</t>
  </si>
  <si>
    <t>98</t>
  </si>
  <si>
    <t>952901114R00</t>
  </si>
  <si>
    <t>Vyčištění budov o výšce podlaží nad 4 m</t>
  </si>
  <si>
    <t>95_</t>
  </si>
  <si>
    <t>Bourání konstrukcí</t>
  </si>
  <si>
    <t>99</t>
  </si>
  <si>
    <t>967031733R00</t>
  </si>
  <si>
    <t>Přisekání plošné zdiva cihelného na MVC tl. 15 cm</t>
  </si>
  <si>
    <t>96_</t>
  </si>
  <si>
    <t>100</t>
  </si>
  <si>
    <t>968062245R00</t>
  </si>
  <si>
    <t>Vybourání dřevěných rámů oken jednoduch. pl. 2 m2</t>
  </si>
  <si>
    <t>101</t>
  </si>
  <si>
    <t>968061112R00</t>
  </si>
  <si>
    <t>Vyvěšení dřevěných okenních křídel pl. do 1,5 m2</t>
  </si>
  <si>
    <t>102</t>
  </si>
  <si>
    <t>968071125R00</t>
  </si>
  <si>
    <t>Vyvěšení, zavěšení kovových křídel dveří pl. 2 m2</t>
  </si>
  <si>
    <t>103</t>
  </si>
  <si>
    <t>968072356R00</t>
  </si>
  <si>
    <t>Vybourání kovových rámů oken zdvojených pl. 4 m2</t>
  </si>
  <si>
    <t>104</t>
  </si>
  <si>
    <t>968072355R00</t>
  </si>
  <si>
    <t>Vybourání kovových rámů oken zdvojených pl. 2 m2</t>
  </si>
  <si>
    <t>105</t>
  </si>
  <si>
    <t>968072746R00</t>
  </si>
  <si>
    <t>Vybourání skleněných stěn výkladních LUXFERY pl. do 4 m2</t>
  </si>
  <si>
    <t>106</t>
  </si>
  <si>
    <t>965081713RT2</t>
  </si>
  <si>
    <t>Bourání dlažeb keramických tl.10 mm, nad 1 m2</t>
  </si>
  <si>
    <t>Prorážení otvorů a ostatní bourací práce</t>
  </si>
  <si>
    <t>107</t>
  </si>
  <si>
    <t>971033631R00</t>
  </si>
  <si>
    <t>Vybourání otv. zeď cihel. pl.4 m2, tl.15 cm, MVC</t>
  </si>
  <si>
    <t>97_</t>
  </si>
  <si>
    <t>108</t>
  </si>
  <si>
    <t>973031334R00</t>
  </si>
  <si>
    <t>Vysekání kapes zeď cih, MVC pl. 0,16 m2, hl. 15 cm</t>
  </si>
  <si>
    <t>109</t>
  </si>
  <si>
    <t>974031122R00</t>
  </si>
  <si>
    <t>Vysekání rýh ve zdi cihelné 3 x 7 cm</t>
  </si>
  <si>
    <t>110</t>
  </si>
  <si>
    <t>974031134R00</t>
  </si>
  <si>
    <t>Vysekání rýh ve zdi cihelné 5 x 15 cm</t>
  </si>
  <si>
    <t>111</t>
  </si>
  <si>
    <t>978059531R00</t>
  </si>
  <si>
    <t>Odsekání vnitřních obkladů stěn nad 2 m2</t>
  </si>
  <si>
    <t>112</t>
  </si>
  <si>
    <t>978021161R00</t>
  </si>
  <si>
    <t>Otlučení cementových omítek vnitřních stěn do 50 %</t>
  </si>
  <si>
    <t>113</t>
  </si>
  <si>
    <t>978059631R00</t>
  </si>
  <si>
    <t>Odsekání vnějších obkladů stěn nad 2 m2</t>
  </si>
  <si>
    <t>M21</t>
  </si>
  <si>
    <t>Elektromontáže</t>
  </si>
  <si>
    <t>114</t>
  </si>
  <si>
    <t>210800105RT1</t>
  </si>
  <si>
    <t>Kabel CYKY 750 V 3x1,5 mm2 uložený pod omítkou</t>
  </si>
  <si>
    <t>M21_</t>
  </si>
  <si>
    <t>115</t>
  </si>
  <si>
    <t>210800106RT1</t>
  </si>
  <si>
    <t>Kabel CYKY 750 V 3x2,5 mm2 uložený pod omítkou</t>
  </si>
  <si>
    <t>116</t>
  </si>
  <si>
    <t>210800116RT1</t>
  </si>
  <si>
    <t>Kabel CYKY 750 V 5x2,5 mm2 uložený pod omítkou</t>
  </si>
  <si>
    <t>117</t>
  </si>
  <si>
    <t>210200212R00</t>
  </si>
  <si>
    <t>Svítidlo žárovkové stropní přisazené, 2 zdroje, dodávka včetně montáže</t>
  </si>
  <si>
    <t>118</t>
  </si>
  <si>
    <t>210201321R00</t>
  </si>
  <si>
    <t>Svítidlo zářivkové technické zavěšené, 1 zdroj, dodávka včetně montáže</t>
  </si>
  <si>
    <t>119</t>
  </si>
  <si>
    <t>210110001RT2</t>
  </si>
  <si>
    <t>Spínač nástěnný jednopól.- řaz. 1, obyč.prostředí</t>
  </si>
  <si>
    <t>120</t>
  </si>
  <si>
    <t>210111011RT6</t>
  </si>
  <si>
    <t>Zásuvka domovní zapuštěná - provedení 2P+PE</t>
  </si>
  <si>
    <t>121</t>
  </si>
  <si>
    <t>210111061R00</t>
  </si>
  <si>
    <t>Zásuvka domovní nástěnná 16A,380V 3P+PE</t>
  </si>
  <si>
    <t>122</t>
  </si>
  <si>
    <t>210190431R00</t>
  </si>
  <si>
    <t>Montáž rozvaděče vn/vnitřní/za 1 pole, do 400 kg, včetně dodávky</t>
  </si>
  <si>
    <t>123</t>
  </si>
  <si>
    <t>210120823R00</t>
  </si>
  <si>
    <t>Chránič proudový čtyřpólový do 40 A, včetně dodávky</t>
  </si>
  <si>
    <t>124</t>
  </si>
  <si>
    <t>210120561R00</t>
  </si>
  <si>
    <t>Jistič jednopólový do 25 A se zapojením</t>
  </si>
  <si>
    <t>125</t>
  </si>
  <si>
    <t>210120569R00</t>
  </si>
  <si>
    <t>Jistič trojpólový do 25 A se zapojením</t>
  </si>
  <si>
    <t>126</t>
  </si>
  <si>
    <t>210120901R00</t>
  </si>
  <si>
    <t>Hlavní vypínač v rozvaděči</t>
  </si>
  <si>
    <t>127</t>
  </si>
  <si>
    <t>210173552R00</t>
  </si>
  <si>
    <t>Montáž radiátorů elektrických</t>
  </si>
  <si>
    <t>M22</t>
  </si>
  <si>
    <t>Montáže sdělovací a zabezpečovací techniky</t>
  </si>
  <si>
    <t>128</t>
  </si>
  <si>
    <t>220060674R00</t>
  </si>
  <si>
    <t>Uložení kabelu TCEKEE(Y) po povrchu</t>
  </si>
  <si>
    <t>M22_</t>
  </si>
  <si>
    <t>129</t>
  </si>
  <si>
    <t>220410702R00</t>
  </si>
  <si>
    <t>Montáž zabezpečovací ústředny + materiál</t>
  </si>
  <si>
    <t>130</t>
  </si>
  <si>
    <t>220410721R00</t>
  </si>
  <si>
    <t>Dodávka a montáž bezpečnostního čidla</t>
  </si>
  <si>
    <t>131</t>
  </si>
  <si>
    <t>222731102R00</t>
  </si>
  <si>
    <t>Vnitřní dome kamera na úchytné body</t>
  </si>
  <si>
    <t>132</t>
  </si>
  <si>
    <t>222731106R00</t>
  </si>
  <si>
    <t>Venkovní kompaktní kamera na úchytné body</t>
  </si>
  <si>
    <t>M65</t>
  </si>
  <si>
    <t>Elektroinstalace</t>
  </si>
  <si>
    <t>133</t>
  </si>
  <si>
    <t>650516813R00</t>
  </si>
  <si>
    <t>Revize elektro zařízení pro budovy jednopodlažní</t>
  </si>
  <si>
    <t>M65_</t>
  </si>
  <si>
    <t>S</t>
  </si>
  <si>
    <t>Přesuny sutí</t>
  </si>
  <si>
    <t>134</t>
  </si>
  <si>
    <t>979081111RT2</t>
  </si>
  <si>
    <t>Odvoz suti a vybour. hmot na skládku do 1 km</t>
  </si>
  <si>
    <t>S_</t>
  </si>
  <si>
    <t>135</t>
  </si>
  <si>
    <t>979081121RT2</t>
  </si>
  <si>
    <t>Příplatek k odvozu za každý další 1 km</t>
  </si>
  <si>
    <t>136</t>
  </si>
  <si>
    <t>979082111R00</t>
  </si>
  <si>
    <t>Vnitrostaveništní doprava suti do 10 m</t>
  </si>
  <si>
    <t>137</t>
  </si>
  <si>
    <t>979990101R00</t>
  </si>
  <si>
    <t>Poplatek za sklád.suti-směs bet.a cihel do 30x30cm</t>
  </si>
  <si>
    <t>Ostatní materiál</t>
  </si>
  <si>
    <t>138</t>
  </si>
  <si>
    <t>61143067</t>
  </si>
  <si>
    <t>Okno plastové jednodílné  max.120 x 150 cm OS</t>
  </si>
  <si>
    <t>Z99999_</t>
  </si>
  <si>
    <t>Z_</t>
  </si>
  <si>
    <t>139</t>
  </si>
  <si>
    <t>61143131</t>
  </si>
  <si>
    <t>Okno plastové 2dílné se sloupkem  max 210 x 150 cm OS/O</t>
  </si>
  <si>
    <t>140</t>
  </si>
  <si>
    <t>61143036</t>
  </si>
  <si>
    <t>Okno plastové jednodílné max 90 x 150 cm O, S</t>
  </si>
  <si>
    <t>141</t>
  </si>
  <si>
    <t>61160507</t>
  </si>
  <si>
    <t>Dveře vnitřní hladké 1kříd. 1/3sklo 80x197 lak C</t>
  </si>
  <si>
    <t>142</t>
  </si>
  <si>
    <t>61174006</t>
  </si>
  <si>
    <t>Dveře vstupní dvoukřídlové bezpečnopstní</t>
  </si>
  <si>
    <t>143</t>
  </si>
  <si>
    <t>5534451331</t>
  </si>
  <si>
    <t>Vrata lamelová průmyslová bílá, š 4800, h 4220 mm</t>
  </si>
  <si>
    <t>RTS II / 2020</t>
  </si>
  <si>
    <t>144</t>
  </si>
  <si>
    <t>597813664</t>
  </si>
  <si>
    <t>Obkládačka 20x25 světle šedá lesk</t>
  </si>
  <si>
    <t>145</t>
  </si>
  <si>
    <t>64214360</t>
  </si>
  <si>
    <t>Umyvadlo standart s otv. bater. bílé 600x490x195 mm</t>
  </si>
  <si>
    <t>146</t>
  </si>
  <si>
    <t>64232404</t>
  </si>
  <si>
    <t>Klozet kombi standart vodorov. odpad</t>
  </si>
  <si>
    <t>147</t>
  </si>
  <si>
    <t>64271103</t>
  </si>
  <si>
    <t>Výlevka závěsná plastová DN 70 mm bez mřížky, bílá</t>
  </si>
  <si>
    <t>148</t>
  </si>
  <si>
    <t>642938005</t>
  </si>
  <si>
    <t>Vanička sprch. keram. čtverec 900x900 mm</t>
  </si>
  <si>
    <t>149</t>
  </si>
  <si>
    <t>37501307</t>
  </si>
  <si>
    <t>Mřížová výplň pevná, ocelová svařovaná</t>
  </si>
  <si>
    <t>150</t>
  </si>
  <si>
    <t>484566211</t>
  </si>
  <si>
    <t>Přímotopný konvektor 500 W</t>
  </si>
  <si>
    <t>Celkem:</t>
  </si>
  <si>
    <t>Poznámka:</t>
  </si>
  <si>
    <t>Slepý stavební rozpočet - rekapitulace</t>
  </si>
  <si>
    <t>Objekt</t>
  </si>
  <si>
    <t>Náklady (Kč) - dodávka</t>
  </si>
  <si>
    <t>Náklady (Kč) - Montáž</t>
  </si>
  <si>
    <t>Náklady (Kč) - celkem</t>
  </si>
  <si>
    <t>T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</si>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</sst>
</file>

<file path=xl/styles.xml><?xml version="1.0" encoding="utf-8"?>
<styleSheet xmlns="http://schemas.openxmlformats.org/spreadsheetml/2006/main">
  <fonts count="10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CCFFFF"/>
      </patternFill>
    </fill>
  </fills>
  <borders count="8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8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0" fillId="0" borderId="19" xfId="0" applyBorder="1"/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29" xfId="0" applyBorder="1"/>
    <xf numFmtId="0" fontId="3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4" borderId="31" xfId="0" applyFont="1" applyFill="1" applyBorder="1" applyAlignment="1" applyProtection="1">
      <alignment horizontal="left" vertical="center"/>
      <protection locked="0"/>
    </xf>
    <xf numFmtId="4" fontId="2" fillId="2" borderId="31" xfId="0" applyNumberFormat="1" applyFont="1" applyFill="1" applyBorder="1" applyAlignment="1">
      <alignment horizontal="right" vertical="center"/>
    </xf>
    <xf numFmtId="0" fontId="2" fillId="2" borderId="31" xfId="0" applyFont="1" applyFill="1" applyBorder="1" applyAlignment="1">
      <alignment horizontal="right" vertical="center"/>
    </xf>
    <xf numFmtId="0" fontId="0" fillId="0" borderId="6" xfId="0" applyBorder="1"/>
    <xf numFmtId="4" fontId="3" fillId="0" borderId="0" xfId="0" applyNumberFormat="1" applyFont="1" applyAlignment="1">
      <alignment horizontal="right" vertical="center"/>
    </xf>
    <xf numFmtId="4" fontId="3" fillId="3" borderId="0" xfId="0" applyNumberFormat="1" applyFont="1" applyFill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4" fontId="3" fillId="0" borderId="33" xfId="0" applyNumberFormat="1" applyFont="1" applyBorder="1" applyAlignment="1">
      <alignment horizontal="right" vertical="center"/>
    </xf>
    <xf numFmtId="4" fontId="3" fillId="3" borderId="33" xfId="0" applyNumberFormat="1" applyFont="1" applyFill="1" applyBorder="1" applyAlignment="1" applyProtection="1">
      <alignment horizontal="right" vertical="center"/>
      <protection locked="0"/>
    </xf>
    <xf numFmtId="0" fontId="3" fillId="0" borderId="33" xfId="0" applyFont="1" applyBorder="1" applyAlignment="1">
      <alignment horizontal="right" vertical="center"/>
    </xf>
    <xf numFmtId="0" fontId="0" fillId="0" borderId="9" xfId="0" applyBorder="1"/>
    <xf numFmtId="4" fontId="2" fillId="0" borderId="34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4" fontId="3" fillId="0" borderId="31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4" fontId="9" fillId="0" borderId="47" xfId="0" applyNumberFormat="1" applyFont="1" applyBorder="1" applyAlignment="1">
      <alignment horizontal="right" vertical="center"/>
    </xf>
    <xf numFmtId="0" fontId="9" fillId="0" borderId="47" xfId="0" applyFont="1" applyBorder="1" applyAlignment="1">
      <alignment horizontal="right" vertical="center"/>
    </xf>
    <xf numFmtId="0" fontId="8" fillId="0" borderId="50" xfId="0" applyFont="1" applyBorder="1" applyAlignment="1">
      <alignment horizontal="left" vertical="center"/>
    </xf>
    <xf numFmtId="4" fontId="9" fillId="0" borderId="54" xfId="0" applyNumberFormat="1" applyFont="1" applyBorder="1" applyAlignment="1">
      <alignment horizontal="right" vertical="center"/>
    </xf>
    <xf numFmtId="0" fontId="9" fillId="0" borderId="54" xfId="0" applyFont="1" applyBorder="1" applyAlignment="1">
      <alignment horizontal="right" vertical="center"/>
    </xf>
    <xf numFmtId="4" fontId="9" fillId="0" borderId="45" xfId="0" applyNumberFormat="1" applyFont="1" applyBorder="1" applyAlignment="1">
      <alignment horizontal="right" vertical="center"/>
    </xf>
    <xf numFmtId="4" fontId="9" fillId="0" borderId="26" xfId="0" applyNumberFormat="1" applyFont="1" applyBorder="1" applyAlignment="1">
      <alignment horizontal="right" vertical="center"/>
    </xf>
    <xf numFmtId="4" fontId="8" fillId="2" borderId="44" xfId="0" applyNumberFormat="1" applyFont="1" applyFill="1" applyBorder="1" applyAlignment="1">
      <alignment horizontal="right" vertical="center"/>
    </xf>
    <xf numFmtId="4" fontId="8" fillId="2" borderId="49" xfId="0" applyNumberFormat="1" applyFont="1" applyFill="1" applyBorder="1" applyAlignment="1">
      <alignment horizontal="right" vertical="center"/>
    </xf>
    <xf numFmtId="0" fontId="4" fillId="0" borderId="31" xfId="0" applyFont="1" applyBorder="1" applyAlignment="1">
      <alignment horizontal="left" vertical="center"/>
    </xf>
    <xf numFmtId="0" fontId="2" fillId="0" borderId="70" xfId="0" applyFont="1" applyBorder="1" applyAlignment="1">
      <alignment horizontal="right" vertical="center"/>
    </xf>
    <xf numFmtId="4" fontId="3" fillId="0" borderId="47" xfId="0" applyNumberFormat="1" applyFont="1" applyBorder="1" applyAlignment="1">
      <alignment horizontal="right" vertical="center"/>
    </xf>
    <xf numFmtId="0" fontId="3" fillId="0" borderId="47" xfId="0" applyFont="1" applyBorder="1" applyAlignment="1">
      <alignment horizontal="left" vertical="center"/>
    </xf>
    <xf numFmtId="4" fontId="3" fillId="0" borderId="74" xfId="0" applyNumberFormat="1" applyFont="1" applyBorder="1" applyAlignment="1">
      <alignment horizontal="right" vertical="center"/>
    </xf>
    <xf numFmtId="0" fontId="3" fillId="0" borderId="74" xfId="0" applyFont="1" applyBorder="1" applyAlignment="1">
      <alignment horizontal="left" vertical="center"/>
    </xf>
    <xf numFmtId="0" fontId="2" fillId="0" borderId="78" xfId="0" applyFont="1" applyBorder="1" applyAlignment="1">
      <alignment horizontal="left" vertical="center"/>
    </xf>
    <xf numFmtId="0" fontId="2" fillId="0" borderId="78" xfId="0" applyFont="1" applyBorder="1" applyAlignment="1">
      <alignment horizontal="right" vertical="center"/>
    </xf>
    <xf numFmtId="4" fontId="2" fillId="0" borderId="78" xfId="0" applyNumberFormat="1" applyFont="1" applyBorder="1" applyAlignment="1">
      <alignment horizontal="right" vertical="center"/>
    </xf>
    <xf numFmtId="0" fontId="2" fillId="0" borderId="34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6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64" xfId="0" applyFont="1" applyBorder="1" applyAlignment="1">
      <alignment horizontal="left" vertical="center"/>
    </xf>
    <xf numFmtId="0" fontId="9" fillId="0" borderId="69" xfId="0" applyFont="1" applyBorder="1" applyAlignment="1">
      <alignment horizontal="left" vertical="center"/>
    </xf>
    <xf numFmtId="0" fontId="9" fillId="0" borderId="67" xfId="0" applyFont="1" applyBorder="1" applyAlignment="1">
      <alignment horizontal="left" vertical="center"/>
    </xf>
    <xf numFmtId="0" fontId="9" fillId="0" borderId="68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0" fontId="9" fillId="0" borderId="66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2" borderId="56" xfId="0" applyFont="1" applyFill="1" applyBorder="1" applyAlignment="1">
      <alignment horizontal="left" vertical="center"/>
    </xf>
    <xf numFmtId="0" fontId="8" fillId="2" borderId="57" xfId="0" applyFont="1" applyFill="1" applyBorder="1" applyAlignment="1">
      <alignment horizontal="left" vertical="center"/>
    </xf>
    <xf numFmtId="0" fontId="8" fillId="2" borderId="51" xfId="0" applyFont="1" applyFill="1" applyBorder="1" applyAlignment="1">
      <alignment horizontal="left" vertical="center"/>
    </xf>
    <xf numFmtId="0" fontId="8" fillId="2" borderId="58" xfId="0" applyFont="1" applyFill="1" applyBorder="1" applyAlignment="1">
      <alignment horizontal="left" vertical="center"/>
    </xf>
    <xf numFmtId="0" fontId="8" fillId="2" borderId="43" xfId="0" applyFont="1" applyFill="1" applyBorder="1" applyAlignment="1">
      <alignment horizontal="left" vertical="center"/>
    </xf>
    <xf numFmtId="0" fontId="8" fillId="2" borderId="48" xfId="0" applyFont="1" applyFill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left" vertical="center"/>
    </xf>
    <xf numFmtId="0" fontId="2" fillId="0" borderId="75" xfId="0" applyFont="1" applyBorder="1" applyAlignment="1">
      <alignment horizontal="left" vertical="center"/>
    </xf>
    <xf numFmtId="0" fontId="2" fillId="0" borderId="76" xfId="0" applyFont="1" applyBorder="1" applyAlignment="1">
      <alignment horizontal="left" vertical="center"/>
    </xf>
    <xf numFmtId="0" fontId="2" fillId="0" borderId="77" xfId="0" applyFont="1" applyBorder="1" applyAlignment="1">
      <alignment horizontal="left" vertical="center"/>
    </xf>
    <xf numFmtId="0" fontId="8" fillId="0" borderId="75" xfId="0" applyFont="1" applyBorder="1" applyAlignment="1">
      <alignment horizontal="left" vertical="center"/>
    </xf>
    <xf numFmtId="0" fontId="8" fillId="0" borderId="76" xfId="0" applyFont="1" applyBorder="1" applyAlignment="1">
      <alignment horizontal="left" vertical="center"/>
    </xf>
    <xf numFmtId="0" fontId="8" fillId="0" borderId="77" xfId="0" applyFont="1" applyBorder="1" applyAlignment="1">
      <alignment horizontal="left" vertical="center"/>
    </xf>
    <xf numFmtId="4" fontId="8" fillId="0" borderId="79" xfId="0" applyNumberFormat="1" applyFont="1" applyBorder="1" applyAlignment="1">
      <alignment horizontal="right" vertical="center"/>
    </xf>
    <xf numFmtId="0" fontId="8" fillId="0" borderId="76" xfId="0" applyFont="1" applyBorder="1" applyAlignment="1">
      <alignment horizontal="right" vertical="center"/>
    </xf>
    <xf numFmtId="0" fontId="8" fillId="0" borderId="77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W197"/>
  <sheetViews>
    <sheetView tabSelected="1" workbookViewId="0">
      <pane ySplit="11" topLeftCell="A60" activePane="bottomLeft" state="frozen"/>
      <selection pane="bottomLeft" activeCell="K2" sqref="K2:L3"/>
    </sheetView>
  </sheetViews>
  <sheetFormatPr defaultColWidth="12.140625" defaultRowHeight="15" customHeight="1"/>
  <cols>
    <col min="1" max="1" width="4" customWidth="1"/>
    <col min="2" max="2" width="17.85546875" customWidth="1"/>
    <col min="3" max="3" width="1.42578125" customWidth="1"/>
    <col min="4" max="4" width="35.7109375" customWidth="1"/>
    <col min="5" max="5" width="6.42578125" customWidth="1"/>
    <col min="6" max="6" width="12.85546875" customWidth="1"/>
    <col min="7" max="7" width="12" customWidth="1"/>
    <col min="8" max="10" width="15.7109375" customWidth="1"/>
    <col min="11" max="11" width="13.42578125" customWidth="1"/>
    <col min="25" max="75" width="12.140625" hidden="1"/>
  </cols>
  <sheetData>
    <row r="1" spans="1:75" ht="54.75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5">
      <c r="A2" s="101" t="s">
        <v>1</v>
      </c>
      <c r="B2" s="102"/>
      <c r="C2" s="106" t="s">
        <v>2</v>
      </c>
      <c r="D2" s="107"/>
      <c r="E2" s="107"/>
      <c r="F2" s="107"/>
      <c r="G2" s="99" t="s">
        <v>3</v>
      </c>
      <c r="H2" s="102"/>
      <c r="I2" s="99" t="s">
        <v>4</v>
      </c>
      <c r="J2" s="88" t="s">
        <v>5</v>
      </c>
      <c r="K2" s="88" t="s">
        <v>6</v>
      </c>
      <c r="L2" s="89"/>
    </row>
    <row r="3" spans="1:75">
      <c r="A3" s="103"/>
      <c r="B3" s="76"/>
      <c r="C3" s="108"/>
      <c r="D3" s="108"/>
      <c r="E3" s="108"/>
      <c r="F3" s="108"/>
      <c r="G3" s="91"/>
      <c r="H3" s="76"/>
      <c r="I3" s="91"/>
      <c r="J3" s="76"/>
      <c r="K3" s="76"/>
      <c r="L3" s="90"/>
    </row>
    <row r="4" spans="1:75">
      <c r="A4" s="104" t="s">
        <v>7</v>
      </c>
      <c r="B4" s="76"/>
      <c r="C4" s="75" t="s">
        <v>8</v>
      </c>
      <c r="D4" s="76"/>
      <c r="E4" s="76"/>
      <c r="F4" s="76"/>
      <c r="G4" s="91" t="s">
        <v>9</v>
      </c>
      <c r="H4" s="76"/>
      <c r="I4" s="91" t="s">
        <v>4</v>
      </c>
      <c r="J4" s="75" t="s">
        <v>10</v>
      </c>
      <c r="K4" s="75" t="s">
        <v>11</v>
      </c>
      <c r="L4" s="90"/>
    </row>
    <row r="5" spans="1:75">
      <c r="A5" s="103"/>
      <c r="B5" s="76"/>
      <c r="C5" s="76"/>
      <c r="D5" s="76"/>
      <c r="E5" s="76"/>
      <c r="F5" s="76"/>
      <c r="G5" s="91"/>
      <c r="H5" s="76"/>
      <c r="I5" s="91"/>
      <c r="J5" s="76"/>
      <c r="K5" s="76"/>
      <c r="L5" s="90"/>
    </row>
    <row r="6" spans="1:75">
      <c r="A6" s="104" t="s">
        <v>12</v>
      </c>
      <c r="B6" s="76"/>
      <c r="C6" s="75" t="s">
        <v>13</v>
      </c>
      <c r="D6" s="76"/>
      <c r="E6" s="76"/>
      <c r="F6" s="76"/>
      <c r="G6" s="91" t="s">
        <v>14</v>
      </c>
      <c r="H6" s="76"/>
      <c r="I6" s="91" t="s">
        <v>4</v>
      </c>
      <c r="J6" s="75" t="s">
        <v>15</v>
      </c>
      <c r="K6" s="91" t="s">
        <v>16</v>
      </c>
      <c r="L6" s="92"/>
    </row>
    <row r="7" spans="1:75">
      <c r="A7" s="103"/>
      <c r="B7" s="76"/>
      <c r="C7" s="76"/>
      <c r="D7" s="76"/>
      <c r="E7" s="76"/>
      <c r="F7" s="76"/>
      <c r="G7" s="91"/>
      <c r="H7" s="76"/>
      <c r="I7" s="91"/>
      <c r="J7" s="76"/>
      <c r="K7" s="91"/>
      <c r="L7" s="92"/>
    </row>
    <row r="8" spans="1:75">
      <c r="A8" s="104" t="s">
        <v>17</v>
      </c>
      <c r="B8" s="76"/>
      <c r="C8" s="75" t="s">
        <v>4</v>
      </c>
      <c r="D8" s="76"/>
      <c r="E8" s="76"/>
      <c r="F8" s="76"/>
      <c r="G8" s="91" t="s">
        <v>18</v>
      </c>
      <c r="H8" s="76"/>
      <c r="I8" s="91" t="s">
        <v>19</v>
      </c>
      <c r="J8" s="75" t="s">
        <v>20</v>
      </c>
      <c r="K8" s="93" t="s">
        <v>21</v>
      </c>
      <c r="L8" s="92"/>
    </row>
    <row r="9" spans="1:75">
      <c r="A9" s="105"/>
      <c r="B9" s="98"/>
      <c r="C9" s="98"/>
      <c r="D9" s="98"/>
      <c r="E9" s="98"/>
      <c r="F9" s="98"/>
      <c r="G9" s="94"/>
      <c r="H9" s="98"/>
      <c r="I9" s="94"/>
      <c r="J9" s="98"/>
      <c r="K9" s="94"/>
      <c r="L9" s="95"/>
    </row>
    <row r="10" spans="1:75">
      <c r="A10" s="5" t="s">
        <v>22</v>
      </c>
      <c r="B10" s="6" t="s">
        <v>23</v>
      </c>
      <c r="C10" s="96" t="s">
        <v>24</v>
      </c>
      <c r="D10" s="97"/>
      <c r="E10" s="6" t="s">
        <v>25</v>
      </c>
      <c r="F10" s="7" t="s">
        <v>26</v>
      </c>
      <c r="G10" s="8" t="s">
        <v>27</v>
      </c>
      <c r="H10" s="83" t="s">
        <v>28</v>
      </c>
      <c r="I10" s="84"/>
      <c r="J10" s="85"/>
      <c r="K10" s="9" t="s">
        <v>29</v>
      </c>
      <c r="L10" s="10"/>
      <c r="BK10" s="11" t="s">
        <v>30</v>
      </c>
      <c r="BL10" s="12" t="s">
        <v>31</v>
      </c>
      <c r="BW10" s="12" t="s">
        <v>32</v>
      </c>
    </row>
    <row r="11" spans="1:75">
      <c r="A11" s="13" t="s">
        <v>4</v>
      </c>
      <c r="B11" s="14" t="s">
        <v>4</v>
      </c>
      <c r="C11" s="81" t="s">
        <v>33</v>
      </c>
      <c r="D11" s="82"/>
      <c r="E11" s="14" t="s">
        <v>4</v>
      </c>
      <c r="F11" s="14" t="s">
        <v>4</v>
      </c>
      <c r="G11" s="15" t="s">
        <v>34</v>
      </c>
      <c r="H11" s="16" t="s">
        <v>35</v>
      </c>
      <c r="I11" s="17" t="s">
        <v>36</v>
      </c>
      <c r="J11" s="18" t="s">
        <v>37</v>
      </c>
      <c r="K11" s="19" t="s">
        <v>38</v>
      </c>
      <c r="L11" s="20"/>
      <c r="Z11" s="11" t="s">
        <v>39</v>
      </c>
      <c r="AA11" s="11" t="s">
        <v>40</v>
      </c>
      <c r="AB11" s="11" t="s">
        <v>41</v>
      </c>
      <c r="AC11" s="11" t="s">
        <v>42</v>
      </c>
      <c r="AD11" s="11" t="s">
        <v>43</v>
      </c>
      <c r="AE11" s="11" t="s">
        <v>44</v>
      </c>
      <c r="AF11" s="11" t="s">
        <v>45</v>
      </c>
      <c r="AG11" s="11" t="s">
        <v>46</v>
      </c>
      <c r="AH11" s="11" t="s">
        <v>47</v>
      </c>
      <c r="BH11" s="11" t="s">
        <v>48</v>
      </c>
      <c r="BI11" s="11" t="s">
        <v>49</v>
      </c>
      <c r="BJ11" s="11" t="s">
        <v>50</v>
      </c>
    </row>
    <row r="12" spans="1:75">
      <c r="A12" s="21" t="s">
        <v>51</v>
      </c>
      <c r="B12" s="22" t="s">
        <v>52</v>
      </c>
      <c r="C12" s="86" t="s">
        <v>53</v>
      </c>
      <c r="D12" s="87"/>
      <c r="E12" s="23" t="s">
        <v>4</v>
      </c>
      <c r="F12" s="23" t="s">
        <v>4</v>
      </c>
      <c r="G12" s="24" t="s">
        <v>4</v>
      </c>
      <c r="H12" s="25">
        <f>SUM(H13:H15)</f>
        <v>0</v>
      </c>
      <c r="I12" s="25">
        <f>SUM(I13:I15)</f>
        <v>0</v>
      </c>
      <c r="J12" s="25">
        <f>SUM(J13:J15)</f>
        <v>0</v>
      </c>
      <c r="K12" s="26" t="s">
        <v>51</v>
      </c>
      <c r="L12" s="27"/>
      <c r="AI12" s="11" t="s">
        <v>51</v>
      </c>
      <c r="AS12" s="1">
        <f>SUM(AJ13:AJ15)</f>
        <v>0</v>
      </c>
      <c r="AT12" s="1">
        <f>SUM(AK13:AK15)</f>
        <v>0</v>
      </c>
      <c r="AU12" s="1">
        <f>SUM(AL13:AL15)</f>
        <v>0</v>
      </c>
    </row>
    <row r="13" spans="1:75" ht="27" customHeight="1">
      <c r="A13" s="2" t="s">
        <v>54</v>
      </c>
      <c r="B13" s="3" t="s">
        <v>55</v>
      </c>
      <c r="C13" s="75" t="s">
        <v>56</v>
      </c>
      <c r="D13" s="76"/>
      <c r="E13" s="3" t="s">
        <v>57</v>
      </c>
      <c r="F13" s="28">
        <v>1</v>
      </c>
      <c r="G13" s="29">
        <v>0</v>
      </c>
      <c r="H13" s="28">
        <f>F13*AO13</f>
        <v>0</v>
      </c>
      <c r="I13" s="28">
        <f>F13*AP13</f>
        <v>0</v>
      </c>
      <c r="J13" s="28">
        <f>F13*G13</f>
        <v>0</v>
      </c>
      <c r="K13" s="30" t="s">
        <v>58</v>
      </c>
      <c r="L13" s="27"/>
      <c r="Z13" s="28">
        <f>IF(AQ13="5",BJ13,0)</f>
        <v>0</v>
      </c>
      <c r="AB13" s="28">
        <f>IF(AQ13="1",BH13,0)</f>
        <v>0</v>
      </c>
      <c r="AC13" s="28">
        <f>IF(AQ13="1",BI13,0)</f>
        <v>0</v>
      </c>
      <c r="AD13" s="28">
        <f>IF(AQ13="7",BH13,0)</f>
        <v>0</v>
      </c>
      <c r="AE13" s="28">
        <f>IF(AQ13="7",BI13,0)</f>
        <v>0</v>
      </c>
      <c r="AF13" s="28">
        <f>IF(AQ13="2",BH13,0)</f>
        <v>0</v>
      </c>
      <c r="AG13" s="28">
        <f>IF(AQ13="2",BI13,0)</f>
        <v>0</v>
      </c>
      <c r="AH13" s="28">
        <f>IF(AQ13="0",BJ13,0)</f>
        <v>0</v>
      </c>
      <c r="AI13" s="11" t="s">
        <v>51</v>
      </c>
      <c r="AJ13" s="28">
        <f>IF(AN13=0,J13,0)</f>
        <v>0</v>
      </c>
      <c r="AK13" s="28">
        <f>IF(AN13=12,J13,0)</f>
        <v>0</v>
      </c>
      <c r="AL13" s="28">
        <f>IF(AN13=21,J13,0)</f>
        <v>0</v>
      </c>
      <c r="AN13" s="28">
        <v>21</v>
      </c>
      <c r="AO13" s="28">
        <f>G13*0</f>
        <v>0</v>
      </c>
      <c r="AP13" s="28">
        <f>G13*(1-0)</f>
        <v>0</v>
      </c>
      <c r="AQ13" s="30" t="s">
        <v>54</v>
      </c>
      <c r="AV13" s="28">
        <f>AW13+AX13</f>
        <v>0</v>
      </c>
      <c r="AW13" s="28">
        <f>F13*AO13</f>
        <v>0</v>
      </c>
      <c r="AX13" s="28">
        <f>F13*AP13</f>
        <v>0</v>
      </c>
      <c r="AY13" s="30" t="s">
        <v>59</v>
      </c>
      <c r="AZ13" s="30" t="s">
        <v>59</v>
      </c>
      <c r="BA13" s="11" t="s">
        <v>60</v>
      </c>
      <c r="BC13" s="28">
        <f>AW13+AX13</f>
        <v>0</v>
      </c>
      <c r="BD13" s="28">
        <f>G13/(100-BE13)*100</f>
        <v>0</v>
      </c>
      <c r="BE13" s="28">
        <v>0</v>
      </c>
      <c r="BF13" s="28">
        <f>13</f>
        <v>13</v>
      </c>
      <c r="BH13" s="28">
        <f>F13*AO13</f>
        <v>0</v>
      </c>
      <c r="BI13" s="28">
        <f>F13*AP13</f>
        <v>0</v>
      </c>
      <c r="BJ13" s="28">
        <f>F13*G13</f>
        <v>0</v>
      </c>
      <c r="BK13" s="28"/>
      <c r="BL13" s="28">
        <v>0</v>
      </c>
      <c r="BW13" s="28">
        <v>21</v>
      </c>
    </row>
    <row r="14" spans="1:75" ht="13.5" customHeight="1">
      <c r="A14" s="2" t="s">
        <v>61</v>
      </c>
      <c r="B14" s="3" t="s">
        <v>62</v>
      </c>
      <c r="C14" s="75" t="s">
        <v>63</v>
      </c>
      <c r="D14" s="76"/>
      <c r="E14" s="3" t="s">
        <v>57</v>
      </c>
      <c r="F14" s="28">
        <v>1</v>
      </c>
      <c r="G14" s="29">
        <v>0</v>
      </c>
      <c r="H14" s="28">
        <f>F14*AO14</f>
        <v>0</v>
      </c>
      <c r="I14" s="28">
        <f>F14*AP14</f>
        <v>0</v>
      </c>
      <c r="J14" s="28">
        <f>F14*G14</f>
        <v>0</v>
      </c>
      <c r="K14" s="30" t="s">
        <v>58</v>
      </c>
      <c r="L14" s="27"/>
      <c r="Z14" s="28">
        <f>IF(AQ14="5",BJ14,0)</f>
        <v>0</v>
      </c>
      <c r="AB14" s="28">
        <f>IF(AQ14="1",BH14,0)</f>
        <v>0</v>
      </c>
      <c r="AC14" s="28">
        <f>IF(AQ14="1",BI14,0)</f>
        <v>0</v>
      </c>
      <c r="AD14" s="28">
        <f>IF(AQ14="7",BH14,0)</f>
        <v>0</v>
      </c>
      <c r="AE14" s="28">
        <f>IF(AQ14="7",BI14,0)</f>
        <v>0</v>
      </c>
      <c r="AF14" s="28">
        <f>IF(AQ14="2",BH14,0)</f>
        <v>0</v>
      </c>
      <c r="AG14" s="28">
        <f>IF(AQ14="2",BI14,0)</f>
        <v>0</v>
      </c>
      <c r="AH14" s="28">
        <f>IF(AQ14="0",BJ14,0)</f>
        <v>0</v>
      </c>
      <c r="AI14" s="11" t="s">
        <v>51</v>
      </c>
      <c r="AJ14" s="28">
        <f>IF(AN14=0,J14,0)</f>
        <v>0</v>
      </c>
      <c r="AK14" s="28">
        <f>IF(AN14=12,J14,0)</f>
        <v>0</v>
      </c>
      <c r="AL14" s="28">
        <f>IF(AN14=21,J14,0)</f>
        <v>0</v>
      </c>
      <c r="AN14" s="28">
        <v>21</v>
      </c>
      <c r="AO14" s="28">
        <f>G14*0</f>
        <v>0</v>
      </c>
      <c r="AP14" s="28">
        <f>G14*(1-0)</f>
        <v>0</v>
      </c>
      <c r="AQ14" s="30" t="s">
        <v>54</v>
      </c>
      <c r="AV14" s="28">
        <f>AW14+AX14</f>
        <v>0</v>
      </c>
      <c r="AW14" s="28">
        <f>F14*AO14</f>
        <v>0</v>
      </c>
      <c r="AX14" s="28">
        <f>F14*AP14</f>
        <v>0</v>
      </c>
      <c r="AY14" s="30" t="s">
        <v>59</v>
      </c>
      <c r="AZ14" s="30" t="s">
        <v>59</v>
      </c>
      <c r="BA14" s="11" t="s">
        <v>60</v>
      </c>
      <c r="BC14" s="28">
        <f>AW14+AX14</f>
        <v>0</v>
      </c>
      <c r="BD14" s="28">
        <f>G14/(100-BE14)*100</f>
        <v>0</v>
      </c>
      <c r="BE14" s="28">
        <v>0</v>
      </c>
      <c r="BF14" s="28">
        <f>14</f>
        <v>14</v>
      </c>
      <c r="BH14" s="28">
        <f>F14*AO14</f>
        <v>0</v>
      </c>
      <c r="BI14" s="28">
        <f>F14*AP14</f>
        <v>0</v>
      </c>
      <c r="BJ14" s="28">
        <f>F14*G14</f>
        <v>0</v>
      </c>
      <c r="BK14" s="28"/>
      <c r="BL14" s="28">
        <v>0</v>
      </c>
      <c r="BW14" s="28">
        <v>21</v>
      </c>
    </row>
    <row r="15" spans="1:75" ht="13.5" customHeight="1">
      <c r="A15" s="2" t="s">
        <v>64</v>
      </c>
      <c r="B15" s="3" t="s">
        <v>65</v>
      </c>
      <c r="C15" s="75" t="s">
        <v>66</v>
      </c>
      <c r="D15" s="76"/>
      <c r="E15" s="3" t="s">
        <v>57</v>
      </c>
      <c r="F15" s="28">
        <v>1</v>
      </c>
      <c r="G15" s="29">
        <v>0</v>
      </c>
      <c r="H15" s="28">
        <f>F15*AO15</f>
        <v>0</v>
      </c>
      <c r="I15" s="28">
        <f>F15*AP15</f>
        <v>0</v>
      </c>
      <c r="J15" s="28">
        <f>F15*G15</f>
        <v>0</v>
      </c>
      <c r="K15" s="30" t="s">
        <v>58</v>
      </c>
      <c r="L15" s="27"/>
      <c r="Z15" s="28">
        <f>IF(AQ15="5",BJ15,0)</f>
        <v>0</v>
      </c>
      <c r="AB15" s="28">
        <f>IF(AQ15="1",BH15,0)</f>
        <v>0</v>
      </c>
      <c r="AC15" s="28">
        <f>IF(AQ15="1",BI15,0)</f>
        <v>0</v>
      </c>
      <c r="AD15" s="28">
        <f>IF(AQ15="7",BH15,0)</f>
        <v>0</v>
      </c>
      <c r="AE15" s="28">
        <f>IF(AQ15="7",BI15,0)</f>
        <v>0</v>
      </c>
      <c r="AF15" s="28">
        <f>IF(AQ15="2",BH15,0)</f>
        <v>0</v>
      </c>
      <c r="AG15" s="28">
        <f>IF(AQ15="2",BI15,0)</f>
        <v>0</v>
      </c>
      <c r="AH15" s="28">
        <f>IF(AQ15="0",BJ15,0)</f>
        <v>0</v>
      </c>
      <c r="AI15" s="11" t="s">
        <v>51</v>
      </c>
      <c r="AJ15" s="28">
        <f>IF(AN15=0,J15,0)</f>
        <v>0</v>
      </c>
      <c r="AK15" s="28">
        <f>IF(AN15=12,J15,0)</f>
        <v>0</v>
      </c>
      <c r="AL15" s="28">
        <f>IF(AN15=21,J15,0)</f>
        <v>0</v>
      </c>
      <c r="AN15" s="28">
        <v>21</v>
      </c>
      <c r="AO15" s="28">
        <f>G15*0</f>
        <v>0</v>
      </c>
      <c r="AP15" s="28">
        <f>G15*(1-0)</f>
        <v>0</v>
      </c>
      <c r="AQ15" s="30" t="s">
        <v>54</v>
      </c>
      <c r="AV15" s="28">
        <f>AW15+AX15</f>
        <v>0</v>
      </c>
      <c r="AW15" s="28">
        <f>F15*AO15</f>
        <v>0</v>
      </c>
      <c r="AX15" s="28">
        <f>F15*AP15</f>
        <v>0</v>
      </c>
      <c r="AY15" s="30" t="s">
        <v>59</v>
      </c>
      <c r="AZ15" s="30" t="s">
        <v>59</v>
      </c>
      <c r="BA15" s="11" t="s">
        <v>60</v>
      </c>
      <c r="BC15" s="28">
        <f>AW15+AX15</f>
        <v>0</v>
      </c>
      <c r="BD15" s="28">
        <f>G15/(100-BE15)*100</f>
        <v>0</v>
      </c>
      <c r="BE15" s="28">
        <v>0</v>
      </c>
      <c r="BF15" s="28">
        <f>15</f>
        <v>15</v>
      </c>
      <c r="BH15" s="28">
        <f>F15*AO15</f>
        <v>0</v>
      </c>
      <c r="BI15" s="28">
        <f>F15*AP15</f>
        <v>0</v>
      </c>
      <c r="BJ15" s="28">
        <f>F15*G15</f>
        <v>0</v>
      </c>
      <c r="BK15" s="28"/>
      <c r="BL15" s="28">
        <v>0</v>
      </c>
      <c r="BW15" s="28">
        <v>21</v>
      </c>
    </row>
    <row r="16" spans="1:75">
      <c r="A16" s="31" t="s">
        <v>51</v>
      </c>
      <c r="B16" s="32" t="s">
        <v>54</v>
      </c>
      <c r="C16" s="79" t="s">
        <v>67</v>
      </c>
      <c r="D16" s="80"/>
      <c r="E16" s="33" t="s">
        <v>4</v>
      </c>
      <c r="F16" s="33" t="s">
        <v>4</v>
      </c>
      <c r="G16" s="34" t="s">
        <v>4</v>
      </c>
      <c r="H16" s="1">
        <f>SUM(H17:H21)</f>
        <v>0</v>
      </c>
      <c r="I16" s="1">
        <f>SUM(I17:I21)</f>
        <v>0</v>
      </c>
      <c r="J16" s="1">
        <f>SUM(J17:J21)</f>
        <v>0</v>
      </c>
      <c r="K16" s="11" t="s">
        <v>51</v>
      </c>
      <c r="L16" s="27"/>
      <c r="AI16" s="11" t="s">
        <v>51</v>
      </c>
      <c r="AS16" s="1">
        <f>SUM(AJ17:AJ21)</f>
        <v>0</v>
      </c>
      <c r="AT16" s="1">
        <f>SUM(AK17:AK21)</f>
        <v>0</v>
      </c>
      <c r="AU16" s="1">
        <f>SUM(AL17:AL21)</f>
        <v>0</v>
      </c>
    </row>
    <row r="17" spans="1:75" ht="27" customHeight="1">
      <c r="A17" s="2" t="s">
        <v>68</v>
      </c>
      <c r="B17" s="3" t="s">
        <v>69</v>
      </c>
      <c r="C17" s="75" t="s">
        <v>70</v>
      </c>
      <c r="D17" s="76"/>
      <c r="E17" s="3" t="s">
        <v>71</v>
      </c>
      <c r="F17" s="28">
        <v>60</v>
      </c>
      <c r="G17" s="29">
        <v>0</v>
      </c>
      <c r="H17" s="28">
        <f>F17*AO17</f>
        <v>0</v>
      </c>
      <c r="I17" s="28">
        <f>F17*AP17</f>
        <v>0</v>
      </c>
      <c r="J17" s="28">
        <f>F17*G17</f>
        <v>0</v>
      </c>
      <c r="K17" s="30" t="s">
        <v>72</v>
      </c>
      <c r="L17" s="27"/>
      <c r="Z17" s="28">
        <f>IF(AQ17="5",BJ17,0)</f>
        <v>0</v>
      </c>
      <c r="AB17" s="28">
        <f>IF(AQ17="1",BH17,0)</f>
        <v>0</v>
      </c>
      <c r="AC17" s="28">
        <f>IF(AQ17="1",BI17,0)</f>
        <v>0</v>
      </c>
      <c r="AD17" s="28">
        <f>IF(AQ17="7",BH17,0)</f>
        <v>0</v>
      </c>
      <c r="AE17" s="28">
        <f>IF(AQ17="7",BI17,0)</f>
        <v>0</v>
      </c>
      <c r="AF17" s="28">
        <f>IF(AQ17="2",BH17,0)</f>
        <v>0</v>
      </c>
      <c r="AG17" s="28">
        <f>IF(AQ17="2",BI17,0)</f>
        <v>0</v>
      </c>
      <c r="AH17" s="28">
        <f>IF(AQ17="0",BJ17,0)</f>
        <v>0</v>
      </c>
      <c r="AI17" s="11" t="s">
        <v>51</v>
      </c>
      <c r="AJ17" s="28">
        <f>IF(AN17=0,J17,0)</f>
        <v>0</v>
      </c>
      <c r="AK17" s="28">
        <f>IF(AN17=12,J17,0)</f>
        <v>0</v>
      </c>
      <c r="AL17" s="28">
        <f>IF(AN17=21,J17,0)</f>
        <v>0</v>
      </c>
      <c r="AN17" s="28">
        <v>21</v>
      </c>
      <c r="AO17" s="28">
        <f>G17*0</f>
        <v>0</v>
      </c>
      <c r="AP17" s="28">
        <f>G17*(1-0)</f>
        <v>0</v>
      </c>
      <c r="AQ17" s="30" t="s">
        <v>54</v>
      </c>
      <c r="AV17" s="28">
        <f>AW17+AX17</f>
        <v>0</v>
      </c>
      <c r="AW17" s="28">
        <f>F17*AO17</f>
        <v>0</v>
      </c>
      <c r="AX17" s="28">
        <f>F17*AP17</f>
        <v>0</v>
      </c>
      <c r="AY17" s="30" t="s">
        <v>73</v>
      </c>
      <c r="AZ17" s="30" t="s">
        <v>73</v>
      </c>
      <c r="BA17" s="11" t="s">
        <v>60</v>
      </c>
      <c r="BC17" s="28">
        <f>AW17+AX17</f>
        <v>0</v>
      </c>
      <c r="BD17" s="28">
        <f>G17/(100-BE17)*100</f>
        <v>0</v>
      </c>
      <c r="BE17" s="28">
        <v>0</v>
      </c>
      <c r="BF17" s="28">
        <f>17</f>
        <v>17</v>
      </c>
      <c r="BH17" s="28">
        <f>F17*AO17</f>
        <v>0</v>
      </c>
      <c r="BI17" s="28">
        <f>F17*AP17</f>
        <v>0</v>
      </c>
      <c r="BJ17" s="28">
        <f>F17*G17</f>
        <v>0</v>
      </c>
      <c r="BK17" s="28"/>
      <c r="BL17" s="28">
        <v>1</v>
      </c>
      <c r="BW17" s="28">
        <v>21</v>
      </c>
    </row>
    <row r="18" spans="1:75" ht="13.5" customHeight="1">
      <c r="A18" s="2" t="s">
        <v>74</v>
      </c>
      <c r="B18" s="3" t="s">
        <v>75</v>
      </c>
      <c r="C18" s="75" t="s">
        <v>76</v>
      </c>
      <c r="D18" s="76"/>
      <c r="E18" s="3" t="s">
        <v>77</v>
      </c>
      <c r="F18" s="28">
        <v>15</v>
      </c>
      <c r="G18" s="29">
        <v>0</v>
      </c>
      <c r="H18" s="28">
        <f>F18*AO18</f>
        <v>0</v>
      </c>
      <c r="I18" s="28">
        <f>F18*AP18</f>
        <v>0</v>
      </c>
      <c r="J18" s="28">
        <f>F18*G18</f>
        <v>0</v>
      </c>
      <c r="K18" s="30" t="s">
        <v>72</v>
      </c>
      <c r="L18" s="27"/>
      <c r="Z18" s="28">
        <f>IF(AQ18="5",BJ18,0)</f>
        <v>0</v>
      </c>
      <c r="AB18" s="28">
        <f>IF(AQ18="1",BH18,0)</f>
        <v>0</v>
      </c>
      <c r="AC18" s="28">
        <f>IF(AQ18="1",BI18,0)</f>
        <v>0</v>
      </c>
      <c r="AD18" s="28">
        <f>IF(AQ18="7",BH18,0)</f>
        <v>0</v>
      </c>
      <c r="AE18" s="28">
        <f>IF(AQ18="7",BI18,0)</f>
        <v>0</v>
      </c>
      <c r="AF18" s="28">
        <f>IF(AQ18="2",BH18,0)</f>
        <v>0</v>
      </c>
      <c r="AG18" s="28">
        <f>IF(AQ18="2",BI18,0)</f>
        <v>0</v>
      </c>
      <c r="AH18" s="28">
        <f>IF(AQ18="0",BJ18,0)</f>
        <v>0</v>
      </c>
      <c r="AI18" s="11" t="s">
        <v>51</v>
      </c>
      <c r="AJ18" s="28">
        <f>IF(AN18=0,J18,0)</f>
        <v>0</v>
      </c>
      <c r="AK18" s="28">
        <f>IF(AN18=12,J18,0)</f>
        <v>0</v>
      </c>
      <c r="AL18" s="28">
        <f>IF(AN18=21,J18,0)</f>
        <v>0</v>
      </c>
      <c r="AN18" s="28">
        <v>21</v>
      </c>
      <c r="AO18" s="28">
        <f>G18*0</f>
        <v>0</v>
      </c>
      <c r="AP18" s="28">
        <f>G18*(1-0)</f>
        <v>0</v>
      </c>
      <c r="AQ18" s="30" t="s">
        <v>54</v>
      </c>
      <c r="AV18" s="28">
        <f>AW18+AX18</f>
        <v>0</v>
      </c>
      <c r="AW18" s="28">
        <f>F18*AO18</f>
        <v>0</v>
      </c>
      <c r="AX18" s="28">
        <f>F18*AP18</f>
        <v>0</v>
      </c>
      <c r="AY18" s="30" t="s">
        <v>73</v>
      </c>
      <c r="AZ18" s="30" t="s">
        <v>73</v>
      </c>
      <c r="BA18" s="11" t="s">
        <v>60</v>
      </c>
      <c r="BC18" s="28">
        <f>AW18+AX18</f>
        <v>0</v>
      </c>
      <c r="BD18" s="28">
        <f>G18/(100-BE18)*100</f>
        <v>0</v>
      </c>
      <c r="BE18" s="28">
        <v>0</v>
      </c>
      <c r="BF18" s="28">
        <f>18</f>
        <v>18</v>
      </c>
      <c r="BH18" s="28">
        <f>F18*AO18</f>
        <v>0</v>
      </c>
      <c r="BI18" s="28">
        <f>F18*AP18</f>
        <v>0</v>
      </c>
      <c r="BJ18" s="28">
        <f>F18*G18</f>
        <v>0</v>
      </c>
      <c r="BK18" s="28"/>
      <c r="BL18" s="28">
        <v>1</v>
      </c>
      <c r="BW18" s="28">
        <v>21</v>
      </c>
    </row>
    <row r="19" spans="1:75" ht="27" customHeight="1">
      <c r="A19" s="2" t="s">
        <v>78</v>
      </c>
      <c r="B19" s="3" t="s">
        <v>79</v>
      </c>
      <c r="C19" s="75" t="s">
        <v>80</v>
      </c>
      <c r="D19" s="76"/>
      <c r="E19" s="3" t="s">
        <v>77</v>
      </c>
      <c r="F19" s="28">
        <v>15</v>
      </c>
      <c r="G19" s="29">
        <v>0</v>
      </c>
      <c r="H19" s="28">
        <f>F19*AO19</f>
        <v>0</v>
      </c>
      <c r="I19" s="28">
        <f>F19*AP19</f>
        <v>0</v>
      </c>
      <c r="J19" s="28">
        <f>F19*G19</f>
        <v>0</v>
      </c>
      <c r="K19" s="30" t="s">
        <v>72</v>
      </c>
      <c r="L19" s="27"/>
      <c r="Z19" s="28">
        <f>IF(AQ19="5",BJ19,0)</f>
        <v>0</v>
      </c>
      <c r="AB19" s="28">
        <f>IF(AQ19="1",BH19,0)</f>
        <v>0</v>
      </c>
      <c r="AC19" s="28">
        <f>IF(AQ19="1",BI19,0)</f>
        <v>0</v>
      </c>
      <c r="AD19" s="28">
        <f>IF(AQ19="7",BH19,0)</f>
        <v>0</v>
      </c>
      <c r="AE19" s="28">
        <f>IF(AQ19="7",BI19,0)</f>
        <v>0</v>
      </c>
      <c r="AF19" s="28">
        <f>IF(AQ19="2",BH19,0)</f>
        <v>0</v>
      </c>
      <c r="AG19" s="28">
        <f>IF(AQ19="2",BI19,0)</f>
        <v>0</v>
      </c>
      <c r="AH19" s="28">
        <f>IF(AQ19="0",BJ19,0)</f>
        <v>0</v>
      </c>
      <c r="AI19" s="11" t="s">
        <v>51</v>
      </c>
      <c r="AJ19" s="28">
        <f>IF(AN19=0,J19,0)</f>
        <v>0</v>
      </c>
      <c r="AK19" s="28">
        <f>IF(AN19=12,J19,0)</f>
        <v>0</v>
      </c>
      <c r="AL19" s="28">
        <f>IF(AN19=21,J19,0)</f>
        <v>0</v>
      </c>
      <c r="AN19" s="28">
        <v>21</v>
      </c>
      <c r="AO19" s="28">
        <f>G19*0</f>
        <v>0</v>
      </c>
      <c r="AP19" s="28">
        <f>G19*(1-0)</f>
        <v>0</v>
      </c>
      <c r="AQ19" s="30" t="s">
        <v>54</v>
      </c>
      <c r="AV19" s="28">
        <f>AW19+AX19</f>
        <v>0</v>
      </c>
      <c r="AW19" s="28">
        <f>F19*AO19</f>
        <v>0</v>
      </c>
      <c r="AX19" s="28">
        <f>F19*AP19</f>
        <v>0</v>
      </c>
      <c r="AY19" s="30" t="s">
        <v>73</v>
      </c>
      <c r="AZ19" s="30" t="s">
        <v>73</v>
      </c>
      <c r="BA19" s="11" t="s">
        <v>60</v>
      </c>
      <c r="BC19" s="28">
        <f>AW19+AX19</f>
        <v>0</v>
      </c>
      <c r="BD19" s="28">
        <f>G19/(100-BE19)*100</f>
        <v>0</v>
      </c>
      <c r="BE19" s="28">
        <v>0</v>
      </c>
      <c r="BF19" s="28">
        <f>19</f>
        <v>19</v>
      </c>
      <c r="BH19" s="28">
        <f>F19*AO19</f>
        <v>0</v>
      </c>
      <c r="BI19" s="28">
        <f>F19*AP19</f>
        <v>0</v>
      </c>
      <c r="BJ19" s="28">
        <f>F19*G19</f>
        <v>0</v>
      </c>
      <c r="BK19" s="28"/>
      <c r="BL19" s="28">
        <v>1</v>
      </c>
      <c r="BW19" s="28">
        <v>21</v>
      </c>
    </row>
    <row r="20" spans="1:75" ht="27" customHeight="1">
      <c r="A20" s="2" t="s">
        <v>81</v>
      </c>
      <c r="B20" s="3" t="s">
        <v>82</v>
      </c>
      <c r="C20" s="75" t="s">
        <v>83</v>
      </c>
      <c r="D20" s="76"/>
      <c r="E20" s="3" t="s">
        <v>77</v>
      </c>
      <c r="F20" s="28">
        <v>15</v>
      </c>
      <c r="G20" s="29">
        <v>0</v>
      </c>
      <c r="H20" s="28">
        <f>F20*AO20</f>
        <v>0</v>
      </c>
      <c r="I20" s="28">
        <f>F20*AP20</f>
        <v>0</v>
      </c>
      <c r="J20" s="28">
        <f>F20*G20</f>
        <v>0</v>
      </c>
      <c r="K20" s="30" t="s">
        <v>72</v>
      </c>
      <c r="L20" s="27"/>
      <c r="Z20" s="28">
        <f>IF(AQ20="5",BJ20,0)</f>
        <v>0</v>
      </c>
      <c r="AB20" s="28">
        <f>IF(AQ20="1",BH20,0)</f>
        <v>0</v>
      </c>
      <c r="AC20" s="28">
        <f>IF(AQ20="1",BI20,0)</f>
        <v>0</v>
      </c>
      <c r="AD20" s="28">
        <f>IF(AQ20="7",BH20,0)</f>
        <v>0</v>
      </c>
      <c r="AE20" s="28">
        <f>IF(AQ20="7",BI20,0)</f>
        <v>0</v>
      </c>
      <c r="AF20" s="28">
        <f>IF(AQ20="2",BH20,0)</f>
        <v>0</v>
      </c>
      <c r="AG20" s="28">
        <f>IF(AQ20="2",BI20,0)</f>
        <v>0</v>
      </c>
      <c r="AH20" s="28">
        <f>IF(AQ20="0",BJ20,0)</f>
        <v>0</v>
      </c>
      <c r="AI20" s="11" t="s">
        <v>51</v>
      </c>
      <c r="AJ20" s="28">
        <f>IF(AN20=0,J20,0)</f>
        <v>0</v>
      </c>
      <c r="AK20" s="28">
        <f>IF(AN20=12,J20,0)</f>
        <v>0</v>
      </c>
      <c r="AL20" s="28">
        <f>IF(AN20=21,J20,0)</f>
        <v>0</v>
      </c>
      <c r="AN20" s="28">
        <v>21</v>
      </c>
      <c r="AO20" s="28">
        <f>G20*0</f>
        <v>0</v>
      </c>
      <c r="AP20" s="28">
        <f>G20*(1-0)</f>
        <v>0</v>
      </c>
      <c r="AQ20" s="30" t="s">
        <v>54</v>
      </c>
      <c r="AV20" s="28">
        <f>AW20+AX20</f>
        <v>0</v>
      </c>
      <c r="AW20" s="28">
        <f>F20*AO20</f>
        <v>0</v>
      </c>
      <c r="AX20" s="28">
        <f>F20*AP20</f>
        <v>0</v>
      </c>
      <c r="AY20" s="30" t="s">
        <v>73</v>
      </c>
      <c r="AZ20" s="30" t="s">
        <v>73</v>
      </c>
      <c r="BA20" s="11" t="s">
        <v>60</v>
      </c>
      <c r="BC20" s="28">
        <f>AW20+AX20</f>
        <v>0</v>
      </c>
      <c r="BD20" s="28">
        <f>G20/(100-BE20)*100</f>
        <v>0</v>
      </c>
      <c r="BE20" s="28">
        <v>0</v>
      </c>
      <c r="BF20" s="28">
        <f>20</f>
        <v>20</v>
      </c>
      <c r="BH20" s="28">
        <f>F20*AO20</f>
        <v>0</v>
      </c>
      <c r="BI20" s="28">
        <f>F20*AP20</f>
        <v>0</v>
      </c>
      <c r="BJ20" s="28">
        <f>F20*G20</f>
        <v>0</v>
      </c>
      <c r="BK20" s="28"/>
      <c r="BL20" s="28">
        <v>1</v>
      </c>
      <c r="BW20" s="28">
        <v>21</v>
      </c>
    </row>
    <row r="21" spans="1:75" ht="27" customHeight="1">
      <c r="A21" s="2" t="s">
        <v>84</v>
      </c>
      <c r="B21" s="3" t="s">
        <v>85</v>
      </c>
      <c r="C21" s="75" t="s">
        <v>86</v>
      </c>
      <c r="D21" s="76"/>
      <c r="E21" s="3" t="s">
        <v>77</v>
      </c>
      <c r="F21" s="28">
        <v>15</v>
      </c>
      <c r="G21" s="29">
        <v>0</v>
      </c>
      <c r="H21" s="28">
        <f>F21*AO21</f>
        <v>0</v>
      </c>
      <c r="I21" s="28">
        <f>F21*AP21</f>
        <v>0</v>
      </c>
      <c r="J21" s="28">
        <f>F21*G21</f>
        <v>0</v>
      </c>
      <c r="K21" s="30" t="s">
        <v>51</v>
      </c>
      <c r="L21" s="27"/>
      <c r="Z21" s="28">
        <f>IF(AQ21="5",BJ21,0)</f>
        <v>0</v>
      </c>
      <c r="AB21" s="28">
        <f>IF(AQ21="1",BH21,0)</f>
        <v>0</v>
      </c>
      <c r="AC21" s="28">
        <f>IF(AQ21="1",BI21,0)</f>
        <v>0</v>
      </c>
      <c r="AD21" s="28">
        <f>IF(AQ21="7",BH21,0)</f>
        <v>0</v>
      </c>
      <c r="AE21" s="28">
        <f>IF(AQ21="7",BI21,0)</f>
        <v>0</v>
      </c>
      <c r="AF21" s="28">
        <f>IF(AQ21="2",BH21,0)</f>
        <v>0</v>
      </c>
      <c r="AG21" s="28">
        <f>IF(AQ21="2",BI21,0)</f>
        <v>0</v>
      </c>
      <c r="AH21" s="28">
        <f>IF(AQ21="0",BJ21,0)</f>
        <v>0</v>
      </c>
      <c r="AI21" s="11" t="s">
        <v>51</v>
      </c>
      <c r="AJ21" s="28">
        <f>IF(AN21=0,J21,0)</f>
        <v>0</v>
      </c>
      <c r="AK21" s="28">
        <f>IF(AN21=12,J21,0)</f>
        <v>0</v>
      </c>
      <c r="AL21" s="28">
        <f>IF(AN21=21,J21,0)</f>
        <v>0</v>
      </c>
      <c r="AN21" s="28">
        <v>21</v>
      </c>
      <c r="AO21" s="28">
        <f>G21*0</f>
        <v>0</v>
      </c>
      <c r="AP21" s="28">
        <f>G21*(1-0)</f>
        <v>0</v>
      </c>
      <c r="AQ21" s="30" t="s">
        <v>54</v>
      </c>
      <c r="AV21" s="28">
        <f>AW21+AX21</f>
        <v>0</v>
      </c>
      <c r="AW21" s="28">
        <f>F21*AO21</f>
        <v>0</v>
      </c>
      <c r="AX21" s="28">
        <f>F21*AP21</f>
        <v>0</v>
      </c>
      <c r="AY21" s="30" t="s">
        <v>73</v>
      </c>
      <c r="AZ21" s="30" t="s">
        <v>73</v>
      </c>
      <c r="BA21" s="11" t="s">
        <v>60</v>
      </c>
      <c r="BC21" s="28">
        <f>AW21+AX21</f>
        <v>0</v>
      </c>
      <c r="BD21" s="28">
        <f>G21/(100-BE21)*100</f>
        <v>0</v>
      </c>
      <c r="BE21" s="28">
        <v>0</v>
      </c>
      <c r="BF21" s="28">
        <f>21</f>
        <v>21</v>
      </c>
      <c r="BH21" s="28">
        <f>F21*AO21</f>
        <v>0</v>
      </c>
      <c r="BI21" s="28">
        <f>F21*AP21</f>
        <v>0</v>
      </c>
      <c r="BJ21" s="28">
        <f>F21*G21</f>
        <v>0</v>
      </c>
      <c r="BK21" s="28"/>
      <c r="BL21" s="28">
        <v>1</v>
      </c>
      <c r="BW21" s="28">
        <v>21</v>
      </c>
    </row>
    <row r="22" spans="1:75">
      <c r="A22" s="31" t="s">
        <v>51</v>
      </c>
      <c r="B22" s="32" t="s">
        <v>87</v>
      </c>
      <c r="C22" s="79" t="s">
        <v>88</v>
      </c>
      <c r="D22" s="80"/>
      <c r="E22" s="33" t="s">
        <v>4</v>
      </c>
      <c r="F22" s="33" t="s">
        <v>4</v>
      </c>
      <c r="G22" s="34" t="s">
        <v>4</v>
      </c>
      <c r="H22" s="1">
        <f>SUM(H23:H24)</f>
        <v>0</v>
      </c>
      <c r="I22" s="1">
        <f>SUM(I23:I24)</f>
        <v>0</v>
      </c>
      <c r="J22" s="1">
        <f>SUM(J23:J24)</f>
        <v>0</v>
      </c>
      <c r="K22" s="11" t="s">
        <v>51</v>
      </c>
      <c r="L22" s="27"/>
      <c r="AI22" s="11" t="s">
        <v>51</v>
      </c>
      <c r="AS22" s="1">
        <f>SUM(AJ23:AJ24)</f>
        <v>0</v>
      </c>
      <c r="AT22" s="1">
        <f>SUM(AK23:AK24)</f>
        <v>0</v>
      </c>
      <c r="AU22" s="1">
        <f>SUM(AL23:AL24)</f>
        <v>0</v>
      </c>
    </row>
    <row r="23" spans="1:75" ht="27" customHeight="1">
      <c r="A23" s="2" t="s">
        <v>89</v>
      </c>
      <c r="B23" s="3" t="s">
        <v>90</v>
      </c>
      <c r="C23" s="75" t="s">
        <v>91</v>
      </c>
      <c r="D23" s="76"/>
      <c r="E23" s="3" t="s">
        <v>71</v>
      </c>
      <c r="F23" s="28">
        <v>8.5</v>
      </c>
      <c r="G23" s="29">
        <v>0</v>
      </c>
      <c r="H23" s="28">
        <f>F23*AO23</f>
        <v>0</v>
      </c>
      <c r="I23" s="28">
        <f>F23*AP23</f>
        <v>0</v>
      </c>
      <c r="J23" s="28">
        <f>F23*G23</f>
        <v>0</v>
      </c>
      <c r="K23" s="30" t="s">
        <v>72</v>
      </c>
      <c r="L23" s="27"/>
      <c r="Z23" s="28">
        <f>IF(AQ23="5",BJ23,0)</f>
        <v>0</v>
      </c>
      <c r="AB23" s="28">
        <f>IF(AQ23="1",BH23,0)</f>
        <v>0</v>
      </c>
      <c r="AC23" s="28">
        <f>IF(AQ23="1",BI23,0)</f>
        <v>0</v>
      </c>
      <c r="AD23" s="28">
        <f>IF(AQ23="7",BH23,0)</f>
        <v>0</v>
      </c>
      <c r="AE23" s="28">
        <f>IF(AQ23="7",BI23,0)</f>
        <v>0</v>
      </c>
      <c r="AF23" s="28">
        <f>IF(AQ23="2",BH23,0)</f>
        <v>0</v>
      </c>
      <c r="AG23" s="28">
        <f>IF(AQ23="2",BI23,0)</f>
        <v>0</v>
      </c>
      <c r="AH23" s="28">
        <f>IF(AQ23="0",BJ23,0)</f>
        <v>0</v>
      </c>
      <c r="AI23" s="11" t="s">
        <v>51</v>
      </c>
      <c r="AJ23" s="28">
        <f>IF(AN23=0,J23,0)</f>
        <v>0</v>
      </c>
      <c r="AK23" s="28">
        <f>IF(AN23=12,J23,0)</f>
        <v>0</v>
      </c>
      <c r="AL23" s="28">
        <f>IF(AN23=21,J23,0)</f>
        <v>0</v>
      </c>
      <c r="AN23" s="28">
        <v>21</v>
      </c>
      <c r="AO23" s="28">
        <f>G23*0.491729171</f>
        <v>0</v>
      </c>
      <c r="AP23" s="28">
        <f>G23*(1-0.491729171)</f>
        <v>0</v>
      </c>
      <c r="AQ23" s="30" t="s">
        <v>54</v>
      </c>
      <c r="AV23" s="28">
        <f>AW23+AX23</f>
        <v>0</v>
      </c>
      <c r="AW23" s="28">
        <f>F23*AO23</f>
        <v>0</v>
      </c>
      <c r="AX23" s="28">
        <f>F23*AP23</f>
        <v>0</v>
      </c>
      <c r="AY23" s="30" t="s">
        <v>92</v>
      </c>
      <c r="AZ23" s="30" t="s">
        <v>93</v>
      </c>
      <c r="BA23" s="11" t="s">
        <v>60</v>
      </c>
      <c r="BC23" s="28">
        <f>AW23+AX23</f>
        <v>0</v>
      </c>
      <c r="BD23" s="28">
        <f>G23/(100-BE23)*100</f>
        <v>0</v>
      </c>
      <c r="BE23" s="28">
        <v>0</v>
      </c>
      <c r="BF23" s="28">
        <f>23</f>
        <v>23</v>
      </c>
      <c r="BH23" s="28">
        <f>F23*AO23</f>
        <v>0</v>
      </c>
      <c r="BI23" s="28">
        <f>F23*AP23</f>
        <v>0</v>
      </c>
      <c r="BJ23" s="28">
        <f>F23*G23</f>
        <v>0</v>
      </c>
      <c r="BK23" s="28"/>
      <c r="BL23" s="28">
        <v>34</v>
      </c>
      <c r="BW23" s="28">
        <v>21</v>
      </c>
    </row>
    <row r="24" spans="1:75" ht="27" customHeight="1">
      <c r="A24" s="2" t="s">
        <v>94</v>
      </c>
      <c r="B24" s="3" t="s">
        <v>95</v>
      </c>
      <c r="C24" s="75" t="s">
        <v>96</v>
      </c>
      <c r="D24" s="76"/>
      <c r="E24" s="3" t="s">
        <v>71</v>
      </c>
      <c r="F24" s="28">
        <v>16.7</v>
      </c>
      <c r="G24" s="29">
        <v>0</v>
      </c>
      <c r="H24" s="28">
        <f>F24*AO24</f>
        <v>0</v>
      </c>
      <c r="I24" s="28">
        <f>F24*AP24</f>
        <v>0</v>
      </c>
      <c r="J24" s="28">
        <f>F24*G24</f>
        <v>0</v>
      </c>
      <c r="K24" s="30" t="s">
        <v>72</v>
      </c>
      <c r="L24" s="27"/>
      <c r="Z24" s="28">
        <f>IF(AQ24="5",BJ24,0)</f>
        <v>0</v>
      </c>
      <c r="AB24" s="28">
        <f>IF(AQ24="1",BH24,0)</f>
        <v>0</v>
      </c>
      <c r="AC24" s="28">
        <f>IF(AQ24="1",BI24,0)</f>
        <v>0</v>
      </c>
      <c r="AD24" s="28">
        <f>IF(AQ24="7",BH24,0)</f>
        <v>0</v>
      </c>
      <c r="AE24" s="28">
        <f>IF(AQ24="7",BI24,0)</f>
        <v>0</v>
      </c>
      <c r="AF24" s="28">
        <f>IF(AQ24="2",BH24,0)</f>
        <v>0</v>
      </c>
      <c r="AG24" s="28">
        <f>IF(AQ24="2",BI24,0)</f>
        <v>0</v>
      </c>
      <c r="AH24" s="28">
        <f>IF(AQ24="0",BJ24,0)</f>
        <v>0</v>
      </c>
      <c r="AI24" s="11" t="s">
        <v>51</v>
      </c>
      <c r="AJ24" s="28">
        <f>IF(AN24=0,J24,0)</f>
        <v>0</v>
      </c>
      <c r="AK24" s="28">
        <f>IF(AN24=12,J24,0)</f>
        <v>0</v>
      </c>
      <c r="AL24" s="28">
        <f>IF(AN24=21,J24,0)</f>
        <v>0</v>
      </c>
      <c r="AN24" s="28">
        <v>21</v>
      </c>
      <c r="AO24" s="28">
        <f>G24*0.517266187</f>
        <v>0</v>
      </c>
      <c r="AP24" s="28">
        <f>G24*(1-0.517266187)</f>
        <v>0</v>
      </c>
      <c r="AQ24" s="30" t="s">
        <v>54</v>
      </c>
      <c r="AV24" s="28">
        <f>AW24+AX24</f>
        <v>0</v>
      </c>
      <c r="AW24" s="28">
        <f>F24*AO24</f>
        <v>0</v>
      </c>
      <c r="AX24" s="28">
        <f>F24*AP24</f>
        <v>0</v>
      </c>
      <c r="AY24" s="30" t="s">
        <v>92</v>
      </c>
      <c r="AZ24" s="30" t="s">
        <v>93</v>
      </c>
      <c r="BA24" s="11" t="s">
        <v>60</v>
      </c>
      <c r="BC24" s="28">
        <f>AW24+AX24</f>
        <v>0</v>
      </c>
      <c r="BD24" s="28">
        <f>G24/(100-BE24)*100</f>
        <v>0</v>
      </c>
      <c r="BE24" s="28">
        <v>0</v>
      </c>
      <c r="BF24" s="28">
        <f>24</f>
        <v>24</v>
      </c>
      <c r="BH24" s="28">
        <f>F24*AO24</f>
        <v>0</v>
      </c>
      <c r="BI24" s="28">
        <f>F24*AP24</f>
        <v>0</v>
      </c>
      <c r="BJ24" s="28">
        <f>F24*G24</f>
        <v>0</v>
      </c>
      <c r="BK24" s="28"/>
      <c r="BL24" s="28">
        <v>34</v>
      </c>
      <c r="BW24" s="28">
        <v>21</v>
      </c>
    </row>
    <row r="25" spans="1:75" ht="24.75" customHeight="1">
      <c r="A25" s="31" t="s">
        <v>51</v>
      </c>
      <c r="B25" s="32" t="s">
        <v>97</v>
      </c>
      <c r="C25" s="79" t="s">
        <v>98</v>
      </c>
      <c r="D25" s="80"/>
      <c r="E25" s="33" t="s">
        <v>4</v>
      </c>
      <c r="F25" s="33" t="s">
        <v>4</v>
      </c>
      <c r="G25" s="34" t="s">
        <v>4</v>
      </c>
      <c r="H25" s="1">
        <f>SUM(H26:H26)</f>
        <v>0</v>
      </c>
      <c r="I25" s="1">
        <f>SUM(I26:I26)</f>
        <v>0</v>
      </c>
      <c r="J25" s="1">
        <f>SUM(J26:J26)</f>
        <v>0</v>
      </c>
      <c r="K25" s="11" t="s">
        <v>51</v>
      </c>
      <c r="L25" s="27"/>
      <c r="AI25" s="11" t="s">
        <v>51</v>
      </c>
      <c r="AS25" s="1">
        <f>SUM(AJ26:AJ26)</f>
        <v>0</v>
      </c>
      <c r="AT25" s="1">
        <f>SUM(AK26:AK26)</f>
        <v>0</v>
      </c>
      <c r="AU25" s="1">
        <f>SUM(AL26:AL26)</f>
        <v>0</v>
      </c>
    </row>
    <row r="26" spans="1:75" ht="27" customHeight="1">
      <c r="A26" s="2" t="s">
        <v>99</v>
      </c>
      <c r="B26" s="3" t="s">
        <v>100</v>
      </c>
      <c r="C26" s="75" t="s">
        <v>101</v>
      </c>
      <c r="D26" s="76"/>
      <c r="E26" s="3" t="s">
        <v>71</v>
      </c>
      <c r="F26" s="28">
        <v>142.5</v>
      </c>
      <c r="G26" s="29">
        <v>0</v>
      </c>
      <c r="H26" s="28">
        <f>F26*AO26</f>
        <v>0</v>
      </c>
      <c r="I26" s="28">
        <f>F26*AP26</f>
        <v>0</v>
      </c>
      <c r="J26" s="28">
        <f>F26*G26</f>
        <v>0</v>
      </c>
      <c r="K26" s="30" t="s">
        <v>72</v>
      </c>
      <c r="L26" s="27"/>
      <c r="Z26" s="28">
        <f>IF(AQ26="5",BJ26,0)</f>
        <v>0</v>
      </c>
      <c r="AB26" s="28">
        <f>IF(AQ26="1",BH26,0)</f>
        <v>0</v>
      </c>
      <c r="AC26" s="28">
        <f>IF(AQ26="1",BI26,0)</f>
        <v>0</v>
      </c>
      <c r="AD26" s="28">
        <f>IF(AQ26="7",BH26,0)</f>
        <v>0</v>
      </c>
      <c r="AE26" s="28">
        <f>IF(AQ26="7",BI26,0)</f>
        <v>0</v>
      </c>
      <c r="AF26" s="28">
        <f>IF(AQ26="2",BH26,0)</f>
        <v>0</v>
      </c>
      <c r="AG26" s="28">
        <f>IF(AQ26="2",BI26,0)</f>
        <v>0</v>
      </c>
      <c r="AH26" s="28">
        <f>IF(AQ26="0",BJ26,0)</f>
        <v>0</v>
      </c>
      <c r="AI26" s="11" t="s">
        <v>51</v>
      </c>
      <c r="AJ26" s="28">
        <f>IF(AN26=0,J26,0)</f>
        <v>0</v>
      </c>
      <c r="AK26" s="28">
        <f>IF(AN26=12,J26,0)</f>
        <v>0</v>
      </c>
      <c r="AL26" s="28">
        <f>IF(AN26=21,J26,0)</f>
        <v>0</v>
      </c>
      <c r="AN26" s="28">
        <v>21</v>
      </c>
      <c r="AO26" s="28">
        <f>G26*0.440637066</f>
        <v>0</v>
      </c>
      <c r="AP26" s="28">
        <f>G26*(1-0.440637066)</f>
        <v>0</v>
      </c>
      <c r="AQ26" s="30" t="s">
        <v>54</v>
      </c>
      <c r="AV26" s="28">
        <f>AW26+AX26</f>
        <v>0</v>
      </c>
      <c r="AW26" s="28">
        <f>F26*AO26</f>
        <v>0</v>
      </c>
      <c r="AX26" s="28">
        <f>F26*AP26</f>
        <v>0</v>
      </c>
      <c r="AY26" s="30" t="s">
        <v>102</v>
      </c>
      <c r="AZ26" s="30" t="s">
        <v>103</v>
      </c>
      <c r="BA26" s="11" t="s">
        <v>60</v>
      </c>
      <c r="BC26" s="28">
        <f>AW26+AX26</f>
        <v>0</v>
      </c>
      <c r="BD26" s="28">
        <f>G26/(100-BE26)*100</f>
        <v>0</v>
      </c>
      <c r="BE26" s="28">
        <v>0</v>
      </c>
      <c r="BF26" s="28">
        <f>26</f>
        <v>26</v>
      </c>
      <c r="BH26" s="28">
        <f>F26*AO26</f>
        <v>0</v>
      </c>
      <c r="BI26" s="28">
        <f>F26*AP26</f>
        <v>0</v>
      </c>
      <c r="BJ26" s="28">
        <f>F26*G26</f>
        <v>0</v>
      </c>
      <c r="BK26" s="28"/>
      <c r="BL26" s="28">
        <v>41</v>
      </c>
      <c r="BW26" s="28">
        <v>21</v>
      </c>
    </row>
    <row r="27" spans="1:75" ht="27.75" customHeight="1">
      <c r="A27" s="31" t="s">
        <v>51</v>
      </c>
      <c r="B27" s="32" t="s">
        <v>104</v>
      </c>
      <c r="C27" s="79" t="s">
        <v>105</v>
      </c>
      <c r="D27" s="80"/>
      <c r="E27" s="33" t="s">
        <v>4</v>
      </c>
      <c r="F27" s="33" t="s">
        <v>4</v>
      </c>
      <c r="G27" s="34" t="s">
        <v>4</v>
      </c>
      <c r="H27" s="1">
        <f>SUM(H28:H28)</f>
        <v>0</v>
      </c>
      <c r="I27" s="1">
        <f>SUM(I28:I28)</f>
        <v>0</v>
      </c>
      <c r="J27" s="1">
        <f>SUM(J28:J28)</f>
        <v>0</v>
      </c>
      <c r="K27" s="11" t="s">
        <v>51</v>
      </c>
      <c r="L27" s="27"/>
      <c r="AI27" s="11" t="s">
        <v>51</v>
      </c>
      <c r="AS27" s="1">
        <f>SUM(AJ28:AJ28)</f>
        <v>0</v>
      </c>
      <c r="AT27" s="1">
        <f>SUM(AK28:AK28)</f>
        <v>0</v>
      </c>
      <c r="AU27" s="1">
        <f>SUM(AL28:AL28)</f>
        <v>0</v>
      </c>
    </row>
    <row r="28" spans="1:75" ht="27" customHeight="1">
      <c r="A28" s="2" t="s">
        <v>106</v>
      </c>
      <c r="B28" s="3" t="s">
        <v>107</v>
      </c>
      <c r="C28" s="75" t="s">
        <v>108</v>
      </c>
      <c r="D28" s="76"/>
      <c r="E28" s="3" t="s">
        <v>71</v>
      </c>
      <c r="F28" s="28">
        <v>36.5</v>
      </c>
      <c r="G28" s="29">
        <v>0</v>
      </c>
      <c r="H28" s="28">
        <f>F28*AO28</f>
        <v>0</v>
      </c>
      <c r="I28" s="28">
        <f>F28*AP28</f>
        <v>0</v>
      </c>
      <c r="J28" s="28">
        <f>F28*G28</f>
        <v>0</v>
      </c>
      <c r="K28" s="30" t="s">
        <v>72</v>
      </c>
      <c r="L28" s="27"/>
      <c r="Z28" s="28">
        <f>IF(AQ28="5",BJ28,0)</f>
        <v>0</v>
      </c>
      <c r="AB28" s="28">
        <f>IF(AQ28="1",BH28,0)</f>
        <v>0</v>
      </c>
      <c r="AC28" s="28">
        <f>IF(AQ28="1",BI28,0)</f>
        <v>0</v>
      </c>
      <c r="AD28" s="28">
        <f>IF(AQ28="7",BH28,0)</f>
        <v>0</v>
      </c>
      <c r="AE28" s="28">
        <f>IF(AQ28="7",BI28,0)</f>
        <v>0</v>
      </c>
      <c r="AF28" s="28">
        <f>IF(AQ28="2",BH28,0)</f>
        <v>0</v>
      </c>
      <c r="AG28" s="28">
        <f>IF(AQ28="2",BI28,0)</f>
        <v>0</v>
      </c>
      <c r="AH28" s="28">
        <f>IF(AQ28="0",BJ28,0)</f>
        <v>0</v>
      </c>
      <c r="AI28" s="11" t="s">
        <v>51</v>
      </c>
      <c r="AJ28" s="28">
        <f>IF(AN28=0,J28,0)</f>
        <v>0</v>
      </c>
      <c r="AK28" s="28">
        <f>IF(AN28=12,J28,0)</f>
        <v>0</v>
      </c>
      <c r="AL28" s="28">
        <f>IF(AN28=21,J28,0)</f>
        <v>0</v>
      </c>
      <c r="AN28" s="28">
        <v>21</v>
      </c>
      <c r="AO28" s="28">
        <f>G28*0.799274194</f>
        <v>0</v>
      </c>
      <c r="AP28" s="28">
        <f>G28*(1-0.799274194)</f>
        <v>0</v>
      </c>
      <c r="AQ28" s="30" t="s">
        <v>54</v>
      </c>
      <c r="AV28" s="28">
        <f>AW28+AX28</f>
        <v>0</v>
      </c>
      <c r="AW28" s="28">
        <f>F28*AO28</f>
        <v>0</v>
      </c>
      <c r="AX28" s="28">
        <f>F28*AP28</f>
        <v>0</v>
      </c>
      <c r="AY28" s="30" t="s">
        <v>109</v>
      </c>
      <c r="AZ28" s="30" t="s">
        <v>103</v>
      </c>
      <c r="BA28" s="11" t="s">
        <v>60</v>
      </c>
      <c r="BC28" s="28">
        <f>AW28+AX28</f>
        <v>0</v>
      </c>
      <c r="BD28" s="28">
        <f>G28/(100-BE28)*100</f>
        <v>0</v>
      </c>
      <c r="BE28" s="28">
        <v>0</v>
      </c>
      <c r="BF28" s="28">
        <f>28</f>
        <v>28</v>
      </c>
      <c r="BH28" s="28">
        <f>F28*AO28</f>
        <v>0</v>
      </c>
      <c r="BI28" s="28">
        <f>F28*AP28</f>
        <v>0</v>
      </c>
      <c r="BJ28" s="28">
        <f>F28*G28</f>
        <v>0</v>
      </c>
      <c r="BK28" s="28"/>
      <c r="BL28" s="28">
        <v>45</v>
      </c>
      <c r="BW28" s="28">
        <v>21</v>
      </c>
    </row>
    <row r="29" spans="1:75">
      <c r="A29" s="31" t="s">
        <v>51</v>
      </c>
      <c r="B29" s="32" t="s">
        <v>110</v>
      </c>
      <c r="C29" s="79" t="s">
        <v>111</v>
      </c>
      <c r="D29" s="80"/>
      <c r="E29" s="33" t="s">
        <v>4</v>
      </c>
      <c r="F29" s="33" t="s">
        <v>4</v>
      </c>
      <c r="G29" s="34" t="s">
        <v>4</v>
      </c>
      <c r="H29" s="1">
        <f>SUM(H30:H32)</f>
        <v>0</v>
      </c>
      <c r="I29" s="1">
        <f>SUM(I30:I32)</f>
        <v>0</v>
      </c>
      <c r="J29" s="1">
        <f>SUM(J30:J32)</f>
        <v>0</v>
      </c>
      <c r="K29" s="11" t="s">
        <v>51</v>
      </c>
      <c r="L29" s="27"/>
      <c r="AI29" s="11" t="s">
        <v>51</v>
      </c>
      <c r="AS29" s="1">
        <f>SUM(AJ30:AJ32)</f>
        <v>0</v>
      </c>
      <c r="AT29" s="1">
        <f>SUM(AK30:AK32)</f>
        <v>0</v>
      </c>
      <c r="AU29" s="1">
        <f>SUM(AL30:AL32)</f>
        <v>0</v>
      </c>
    </row>
    <row r="30" spans="1:75" ht="27" customHeight="1">
      <c r="A30" s="2" t="s">
        <v>112</v>
      </c>
      <c r="B30" s="3" t="s">
        <v>113</v>
      </c>
      <c r="C30" s="75" t="s">
        <v>114</v>
      </c>
      <c r="D30" s="76"/>
      <c r="E30" s="3" t="s">
        <v>71</v>
      </c>
      <c r="F30" s="28">
        <v>60</v>
      </c>
      <c r="G30" s="29">
        <v>0</v>
      </c>
      <c r="H30" s="28">
        <f>F30*AO30</f>
        <v>0</v>
      </c>
      <c r="I30" s="28">
        <f>F30*AP30</f>
        <v>0</v>
      </c>
      <c r="J30" s="28">
        <f>F30*G30</f>
        <v>0</v>
      </c>
      <c r="K30" s="30" t="s">
        <v>72</v>
      </c>
      <c r="L30" s="27"/>
      <c r="Z30" s="28">
        <f>IF(AQ30="5",BJ30,0)</f>
        <v>0</v>
      </c>
      <c r="AB30" s="28">
        <f>IF(AQ30="1",BH30,0)</f>
        <v>0</v>
      </c>
      <c r="AC30" s="28">
        <f>IF(AQ30="1",BI30,0)</f>
        <v>0</v>
      </c>
      <c r="AD30" s="28">
        <f>IF(AQ30="7",BH30,0)</f>
        <v>0</v>
      </c>
      <c r="AE30" s="28">
        <f>IF(AQ30="7",BI30,0)</f>
        <v>0</v>
      </c>
      <c r="AF30" s="28">
        <f>IF(AQ30="2",BH30,0)</f>
        <v>0</v>
      </c>
      <c r="AG30" s="28">
        <f>IF(AQ30="2",BI30,0)</f>
        <v>0</v>
      </c>
      <c r="AH30" s="28">
        <f>IF(AQ30="0",BJ30,0)</f>
        <v>0</v>
      </c>
      <c r="AI30" s="11" t="s">
        <v>51</v>
      </c>
      <c r="AJ30" s="28">
        <f>IF(AN30=0,J30,0)</f>
        <v>0</v>
      </c>
      <c r="AK30" s="28">
        <f>IF(AN30=12,J30,0)</f>
        <v>0</v>
      </c>
      <c r="AL30" s="28">
        <f>IF(AN30=21,J30,0)</f>
        <v>0</v>
      </c>
      <c r="AN30" s="28">
        <v>21</v>
      </c>
      <c r="AO30" s="28">
        <f>G30*0.812875589</f>
        <v>0</v>
      </c>
      <c r="AP30" s="28">
        <f>G30*(1-0.812875589)</f>
        <v>0</v>
      </c>
      <c r="AQ30" s="30" t="s">
        <v>54</v>
      </c>
      <c r="AV30" s="28">
        <f>AW30+AX30</f>
        <v>0</v>
      </c>
      <c r="AW30" s="28">
        <f>F30*AO30</f>
        <v>0</v>
      </c>
      <c r="AX30" s="28">
        <f>F30*AP30</f>
        <v>0</v>
      </c>
      <c r="AY30" s="30" t="s">
        <v>115</v>
      </c>
      <c r="AZ30" s="30" t="s">
        <v>116</v>
      </c>
      <c r="BA30" s="11" t="s">
        <v>60</v>
      </c>
      <c r="BC30" s="28">
        <f>AW30+AX30</f>
        <v>0</v>
      </c>
      <c r="BD30" s="28">
        <f>G30/(100-BE30)*100</f>
        <v>0</v>
      </c>
      <c r="BE30" s="28">
        <v>0</v>
      </c>
      <c r="BF30" s="28">
        <f>30</f>
        <v>30</v>
      </c>
      <c r="BH30" s="28">
        <f>F30*AO30</f>
        <v>0</v>
      </c>
      <c r="BI30" s="28">
        <f>F30*AP30</f>
        <v>0</v>
      </c>
      <c r="BJ30" s="28">
        <f>F30*G30</f>
        <v>0</v>
      </c>
      <c r="BK30" s="28"/>
      <c r="BL30" s="28">
        <v>56</v>
      </c>
      <c r="BW30" s="28">
        <v>21</v>
      </c>
    </row>
    <row r="31" spans="1:75" ht="13.5" customHeight="1">
      <c r="A31" s="2" t="s">
        <v>117</v>
      </c>
      <c r="B31" s="3" t="s">
        <v>118</v>
      </c>
      <c r="C31" s="75" t="s">
        <v>119</v>
      </c>
      <c r="D31" s="76"/>
      <c r="E31" s="3" t="s">
        <v>77</v>
      </c>
      <c r="F31" s="28">
        <v>10</v>
      </c>
      <c r="G31" s="29">
        <v>0</v>
      </c>
      <c r="H31" s="28">
        <f>F31*AO31</f>
        <v>0</v>
      </c>
      <c r="I31" s="28">
        <f>F31*AP31</f>
        <v>0</v>
      </c>
      <c r="J31" s="28">
        <f>F31*G31</f>
        <v>0</v>
      </c>
      <c r="K31" s="30" t="s">
        <v>72</v>
      </c>
      <c r="L31" s="27"/>
      <c r="Z31" s="28">
        <f>IF(AQ31="5",BJ31,0)</f>
        <v>0</v>
      </c>
      <c r="AB31" s="28">
        <f>IF(AQ31="1",BH31,0)</f>
        <v>0</v>
      </c>
      <c r="AC31" s="28">
        <f>IF(AQ31="1",BI31,0)</f>
        <v>0</v>
      </c>
      <c r="AD31" s="28">
        <f>IF(AQ31="7",BH31,0)</f>
        <v>0</v>
      </c>
      <c r="AE31" s="28">
        <f>IF(AQ31="7",BI31,0)</f>
        <v>0</v>
      </c>
      <c r="AF31" s="28">
        <f>IF(AQ31="2",BH31,0)</f>
        <v>0</v>
      </c>
      <c r="AG31" s="28">
        <f>IF(AQ31="2",BI31,0)</f>
        <v>0</v>
      </c>
      <c r="AH31" s="28">
        <f>IF(AQ31="0",BJ31,0)</f>
        <v>0</v>
      </c>
      <c r="AI31" s="11" t="s">
        <v>51</v>
      </c>
      <c r="AJ31" s="28">
        <f>IF(AN31=0,J31,0)</f>
        <v>0</v>
      </c>
      <c r="AK31" s="28">
        <f>IF(AN31=12,J31,0)</f>
        <v>0</v>
      </c>
      <c r="AL31" s="28">
        <f>IF(AN31=21,J31,0)</f>
        <v>0</v>
      </c>
      <c r="AN31" s="28">
        <v>21</v>
      </c>
      <c r="AO31" s="28">
        <f>G31*0</f>
        <v>0</v>
      </c>
      <c r="AP31" s="28">
        <f>G31*(1-0)</f>
        <v>0</v>
      </c>
      <c r="AQ31" s="30" t="s">
        <v>54</v>
      </c>
      <c r="AV31" s="28">
        <f>AW31+AX31</f>
        <v>0</v>
      </c>
      <c r="AW31" s="28">
        <f>F31*AO31</f>
        <v>0</v>
      </c>
      <c r="AX31" s="28">
        <f>F31*AP31</f>
        <v>0</v>
      </c>
      <c r="AY31" s="30" t="s">
        <v>115</v>
      </c>
      <c r="AZ31" s="30" t="s">
        <v>116</v>
      </c>
      <c r="BA31" s="11" t="s">
        <v>60</v>
      </c>
      <c r="BC31" s="28">
        <f>AW31+AX31</f>
        <v>0</v>
      </c>
      <c r="BD31" s="28">
        <f>G31/(100-BE31)*100</f>
        <v>0</v>
      </c>
      <c r="BE31" s="28">
        <v>0</v>
      </c>
      <c r="BF31" s="28">
        <f>31</f>
        <v>31</v>
      </c>
      <c r="BH31" s="28">
        <f>F31*AO31</f>
        <v>0</v>
      </c>
      <c r="BI31" s="28">
        <f>F31*AP31</f>
        <v>0</v>
      </c>
      <c r="BJ31" s="28">
        <f>F31*G31</f>
        <v>0</v>
      </c>
      <c r="BK31" s="28"/>
      <c r="BL31" s="28">
        <v>56</v>
      </c>
      <c r="BW31" s="28">
        <v>21</v>
      </c>
    </row>
    <row r="32" spans="1:75" ht="13.5" customHeight="1">
      <c r="A32" s="2" t="s">
        <v>120</v>
      </c>
      <c r="B32" s="3" t="s">
        <v>121</v>
      </c>
      <c r="C32" s="75" t="s">
        <v>122</v>
      </c>
      <c r="D32" s="76"/>
      <c r="E32" s="3" t="s">
        <v>71</v>
      </c>
      <c r="F32" s="28">
        <v>30</v>
      </c>
      <c r="G32" s="29">
        <v>0</v>
      </c>
      <c r="H32" s="28">
        <f>F32*AO32</f>
        <v>0</v>
      </c>
      <c r="I32" s="28">
        <f>F32*AP32</f>
        <v>0</v>
      </c>
      <c r="J32" s="28">
        <f>F32*G32</f>
        <v>0</v>
      </c>
      <c r="K32" s="30" t="s">
        <v>72</v>
      </c>
      <c r="L32" s="27"/>
      <c r="Z32" s="28">
        <f>IF(AQ32="5",BJ32,0)</f>
        <v>0</v>
      </c>
      <c r="AB32" s="28">
        <f>IF(AQ32="1",BH32,0)</f>
        <v>0</v>
      </c>
      <c r="AC32" s="28">
        <f>IF(AQ32="1",BI32,0)</f>
        <v>0</v>
      </c>
      <c r="AD32" s="28">
        <f>IF(AQ32="7",BH32,0)</f>
        <v>0</v>
      </c>
      <c r="AE32" s="28">
        <f>IF(AQ32="7",BI32,0)</f>
        <v>0</v>
      </c>
      <c r="AF32" s="28">
        <f>IF(AQ32="2",BH32,0)</f>
        <v>0</v>
      </c>
      <c r="AG32" s="28">
        <f>IF(AQ32="2",BI32,0)</f>
        <v>0</v>
      </c>
      <c r="AH32" s="28">
        <f>IF(AQ32="0",BJ32,0)</f>
        <v>0</v>
      </c>
      <c r="AI32" s="11" t="s">
        <v>51</v>
      </c>
      <c r="AJ32" s="28">
        <f>IF(AN32=0,J32,0)</f>
        <v>0</v>
      </c>
      <c r="AK32" s="28">
        <f>IF(AN32=12,J32,0)</f>
        <v>0</v>
      </c>
      <c r="AL32" s="28">
        <f>IF(AN32=21,J32,0)</f>
        <v>0</v>
      </c>
      <c r="AN32" s="28">
        <v>21</v>
      </c>
      <c r="AO32" s="28">
        <f>G32*0.720119615</f>
        <v>0</v>
      </c>
      <c r="AP32" s="28">
        <f>G32*(1-0.720119615)</f>
        <v>0</v>
      </c>
      <c r="AQ32" s="30" t="s">
        <v>54</v>
      </c>
      <c r="AV32" s="28">
        <f>AW32+AX32</f>
        <v>0</v>
      </c>
      <c r="AW32" s="28">
        <f>F32*AO32</f>
        <v>0</v>
      </c>
      <c r="AX32" s="28">
        <f>F32*AP32</f>
        <v>0</v>
      </c>
      <c r="AY32" s="30" t="s">
        <v>115</v>
      </c>
      <c r="AZ32" s="30" t="s">
        <v>116</v>
      </c>
      <c r="BA32" s="11" t="s">
        <v>60</v>
      </c>
      <c r="BC32" s="28">
        <f>AW32+AX32</f>
        <v>0</v>
      </c>
      <c r="BD32" s="28">
        <f>G32/(100-BE32)*100</f>
        <v>0</v>
      </c>
      <c r="BE32" s="28">
        <v>0</v>
      </c>
      <c r="BF32" s="28">
        <f>32</f>
        <v>32</v>
      </c>
      <c r="BH32" s="28">
        <f>F32*AO32</f>
        <v>0</v>
      </c>
      <c r="BI32" s="28">
        <f>F32*AP32</f>
        <v>0</v>
      </c>
      <c r="BJ32" s="28">
        <f>F32*G32</f>
        <v>0</v>
      </c>
      <c r="BK32" s="28"/>
      <c r="BL32" s="28">
        <v>56</v>
      </c>
      <c r="BW32" s="28">
        <v>21</v>
      </c>
    </row>
    <row r="33" spans="1:75" ht="27.75" customHeight="1">
      <c r="A33" s="31" t="s">
        <v>51</v>
      </c>
      <c r="B33" s="32" t="s">
        <v>123</v>
      </c>
      <c r="C33" s="79" t="s">
        <v>124</v>
      </c>
      <c r="D33" s="80"/>
      <c r="E33" s="33" t="s">
        <v>4</v>
      </c>
      <c r="F33" s="33" t="s">
        <v>4</v>
      </c>
      <c r="G33" s="34" t="s">
        <v>4</v>
      </c>
      <c r="H33" s="1">
        <f>SUM(H34:H36)</f>
        <v>0</v>
      </c>
      <c r="I33" s="1">
        <f>SUM(I34:I36)</f>
        <v>0</v>
      </c>
      <c r="J33" s="1">
        <f>SUM(J34:J36)</f>
        <v>0</v>
      </c>
      <c r="K33" s="11" t="s">
        <v>51</v>
      </c>
      <c r="L33" s="27"/>
      <c r="AI33" s="11" t="s">
        <v>51</v>
      </c>
      <c r="AS33" s="1">
        <f>SUM(AJ34:AJ36)</f>
        <v>0</v>
      </c>
      <c r="AT33" s="1">
        <f>SUM(AK34:AK36)</f>
        <v>0</v>
      </c>
      <c r="AU33" s="1">
        <f>SUM(AL34:AL36)</f>
        <v>0</v>
      </c>
    </row>
    <row r="34" spans="1:75" ht="27" customHeight="1">
      <c r="A34" s="2" t="s">
        <v>125</v>
      </c>
      <c r="B34" s="3" t="s">
        <v>126</v>
      </c>
      <c r="C34" s="75" t="s">
        <v>127</v>
      </c>
      <c r="D34" s="76"/>
      <c r="E34" s="3" t="s">
        <v>71</v>
      </c>
      <c r="F34" s="28">
        <v>60</v>
      </c>
      <c r="G34" s="29">
        <v>0</v>
      </c>
      <c r="H34" s="28">
        <f>F34*AO34</f>
        <v>0</v>
      </c>
      <c r="I34" s="28">
        <f>F34*AP34</f>
        <v>0</v>
      </c>
      <c r="J34" s="28">
        <f>F34*G34</f>
        <v>0</v>
      </c>
      <c r="K34" s="30" t="s">
        <v>72</v>
      </c>
      <c r="L34" s="27"/>
      <c r="Z34" s="28">
        <f>IF(AQ34="5",BJ34,0)</f>
        <v>0</v>
      </c>
      <c r="AB34" s="28">
        <f>IF(AQ34="1",BH34,0)</f>
        <v>0</v>
      </c>
      <c r="AC34" s="28">
        <f>IF(AQ34="1",BI34,0)</f>
        <v>0</v>
      </c>
      <c r="AD34" s="28">
        <f>IF(AQ34="7",BH34,0)</f>
        <v>0</v>
      </c>
      <c r="AE34" s="28">
        <f>IF(AQ34="7",BI34,0)</f>
        <v>0</v>
      </c>
      <c r="AF34" s="28">
        <f>IF(AQ34="2",BH34,0)</f>
        <v>0</v>
      </c>
      <c r="AG34" s="28">
        <f>IF(AQ34="2",BI34,0)</f>
        <v>0</v>
      </c>
      <c r="AH34" s="28">
        <f>IF(AQ34="0",BJ34,0)</f>
        <v>0</v>
      </c>
      <c r="AI34" s="11" t="s">
        <v>51</v>
      </c>
      <c r="AJ34" s="28">
        <f>IF(AN34=0,J34,0)</f>
        <v>0</v>
      </c>
      <c r="AK34" s="28">
        <f>IF(AN34=12,J34,0)</f>
        <v>0</v>
      </c>
      <c r="AL34" s="28">
        <f>IF(AN34=21,J34,0)</f>
        <v>0</v>
      </c>
      <c r="AN34" s="28">
        <v>21</v>
      </c>
      <c r="AO34" s="28">
        <f>G34*0.879909194</f>
        <v>0</v>
      </c>
      <c r="AP34" s="28">
        <f>G34*(1-0.879909194)</f>
        <v>0</v>
      </c>
      <c r="AQ34" s="30" t="s">
        <v>54</v>
      </c>
      <c r="AV34" s="28">
        <f>AW34+AX34</f>
        <v>0</v>
      </c>
      <c r="AW34" s="28">
        <f>F34*AO34</f>
        <v>0</v>
      </c>
      <c r="AX34" s="28">
        <f>F34*AP34</f>
        <v>0</v>
      </c>
      <c r="AY34" s="30" t="s">
        <v>128</v>
      </c>
      <c r="AZ34" s="30" t="s">
        <v>116</v>
      </c>
      <c r="BA34" s="11" t="s">
        <v>60</v>
      </c>
      <c r="BC34" s="28">
        <f>AW34+AX34</f>
        <v>0</v>
      </c>
      <c r="BD34" s="28">
        <f>G34/(100-BE34)*100</f>
        <v>0</v>
      </c>
      <c r="BE34" s="28">
        <v>0</v>
      </c>
      <c r="BF34" s="28">
        <f>34</f>
        <v>34</v>
      </c>
      <c r="BH34" s="28">
        <f>F34*AO34</f>
        <v>0</v>
      </c>
      <c r="BI34" s="28">
        <f>F34*AP34</f>
        <v>0</v>
      </c>
      <c r="BJ34" s="28">
        <f>F34*G34</f>
        <v>0</v>
      </c>
      <c r="BK34" s="28"/>
      <c r="BL34" s="28">
        <v>57</v>
      </c>
      <c r="BW34" s="28">
        <v>21</v>
      </c>
    </row>
    <row r="35" spans="1:75" ht="27" customHeight="1">
      <c r="A35" s="2" t="s">
        <v>129</v>
      </c>
      <c r="B35" s="3" t="s">
        <v>130</v>
      </c>
      <c r="C35" s="75" t="s">
        <v>131</v>
      </c>
      <c r="D35" s="76"/>
      <c r="E35" s="3" t="s">
        <v>71</v>
      </c>
      <c r="F35" s="28">
        <v>60</v>
      </c>
      <c r="G35" s="29">
        <v>0</v>
      </c>
      <c r="H35" s="28">
        <f>F35*AO35</f>
        <v>0</v>
      </c>
      <c r="I35" s="28">
        <f>F35*AP35</f>
        <v>0</v>
      </c>
      <c r="J35" s="28">
        <f>F35*G35</f>
        <v>0</v>
      </c>
      <c r="K35" s="30" t="s">
        <v>72</v>
      </c>
      <c r="L35" s="27"/>
      <c r="Z35" s="28">
        <f>IF(AQ35="5",BJ35,0)</f>
        <v>0</v>
      </c>
      <c r="AB35" s="28">
        <f>IF(AQ35="1",BH35,0)</f>
        <v>0</v>
      </c>
      <c r="AC35" s="28">
        <f>IF(AQ35="1",BI35,0)</f>
        <v>0</v>
      </c>
      <c r="AD35" s="28">
        <f>IF(AQ35="7",BH35,0)</f>
        <v>0</v>
      </c>
      <c r="AE35" s="28">
        <f>IF(AQ35="7",BI35,0)</f>
        <v>0</v>
      </c>
      <c r="AF35" s="28">
        <f>IF(AQ35="2",BH35,0)</f>
        <v>0</v>
      </c>
      <c r="AG35" s="28">
        <f>IF(AQ35="2",BI35,0)</f>
        <v>0</v>
      </c>
      <c r="AH35" s="28">
        <f>IF(AQ35="0",BJ35,0)</f>
        <v>0</v>
      </c>
      <c r="AI35" s="11" t="s">
        <v>51</v>
      </c>
      <c r="AJ35" s="28">
        <f>IF(AN35=0,J35,0)</f>
        <v>0</v>
      </c>
      <c r="AK35" s="28">
        <f>IF(AN35=12,J35,0)</f>
        <v>0</v>
      </c>
      <c r="AL35" s="28">
        <f>IF(AN35=21,J35,0)</f>
        <v>0</v>
      </c>
      <c r="AN35" s="28">
        <v>21</v>
      </c>
      <c r="AO35" s="28">
        <f>G35*0.908271955</f>
        <v>0</v>
      </c>
      <c r="AP35" s="28">
        <f>G35*(1-0.908271955)</f>
        <v>0</v>
      </c>
      <c r="AQ35" s="30" t="s">
        <v>54</v>
      </c>
      <c r="AV35" s="28">
        <f>AW35+AX35</f>
        <v>0</v>
      </c>
      <c r="AW35" s="28">
        <f>F35*AO35</f>
        <v>0</v>
      </c>
      <c r="AX35" s="28">
        <f>F35*AP35</f>
        <v>0</v>
      </c>
      <c r="AY35" s="30" t="s">
        <v>128</v>
      </c>
      <c r="AZ35" s="30" t="s">
        <v>116</v>
      </c>
      <c r="BA35" s="11" t="s">
        <v>60</v>
      </c>
      <c r="BC35" s="28">
        <f>AW35+AX35</f>
        <v>0</v>
      </c>
      <c r="BD35" s="28">
        <f>G35/(100-BE35)*100</f>
        <v>0</v>
      </c>
      <c r="BE35" s="28">
        <v>0</v>
      </c>
      <c r="BF35" s="28">
        <f>35</f>
        <v>35</v>
      </c>
      <c r="BH35" s="28">
        <f>F35*AO35</f>
        <v>0</v>
      </c>
      <c r="BI35" s="28">
        <f>F35*AP35</f>
        <v>0</v>
      </c>
      <c r="BJ35" s="28">
        <f>F35*G35</f>
        <v>0</v>
      </c>
      <c r="BK35" s="28"/>
      <c r="BL35" s="28">
        <v>57</v>
      </c>
      <c r="BW35" s="28">
        <v>21</v>
      </c>
    </row>
    <row r="36" spans="1:75" ht="27" customHeight="1">
      <c r="A36" s="2" t="s">
        <v>132</v>
      </c>
      <c r="B36" s="3" t="s">
        <v>133</v>
      </c>
      <c r="C36" s="75" t="s">
        <v>134</v>
      </c>
      <c r="D36" s="76"/>
      <c r="E36" s="3" t="s">
        <v>71</v>
      </c>
      <c r="F36" s="28">
        <v>60</v>
      </c>
      <c r="G36" s="29">
        <v>0</v>
      </c>
      <c r="H36" s="28">
        <f>F36*AO36</f>
        <v>0</v>
      </c>
      <c r="I36" s="28">
        <f>F36*AP36</f>
        <v>0</v>
      </c>
      <c r="J36" s="28">
        <f>F36*G36</f>
        <v>0</v>
      </c>
      <c r="K36" s="30" t="s">
        <v>72</v>
      </c>
      <c r="L36" s="27"/>
      <c r="Z36" s="28">
        <f>IF(AQ36="5",BJ36,0)</f>
        <v>0</v>
      </c>
      <c r="AB36" s="28">
        <f>IF(AQ36="1",BH36,0)</f>
        <v>0</v>
      </c>
      <c r="AC36" s="28">
        <f>IF(AQ36="1",BI36,0)</f>
        <v>0</v>
      </c>
      <c r="AD36" s="28">
        <f>IF(AQ36="7",BH36,0)</f>
        <v>0</v>
      </c>
      <c r="AE36" s="28">
        <f>IF(AQ36="7",BI36,0)</f>
        <v>0</v>
      </c>
      <c r="AF36" s="28">
        <f>IF(AQ36="2",BH36,0)</f>
        <v>0</v>
      </c>
      <c r="AG36" s="28">
        <f>IF(AQ36="2",BI36,0)</f>
        <v>0</v>
      </c>
      <c r="AH36" s="28">
        <f>IF(AQ36="0",BJ36,0)</f>
        <v>0</v>
      </c>
      <c r="AI36" s="11" t="s">
        <v>51</v>
      </c>
      <c r="AJ36" s="28">
        <f>IF(AN36=0,J36,0)</f>
        <v>0</v>
      </c>
      <c r="AK36" s="28">
        <f>IF(AN36=12,J36,0)</f>
        <v>0</v>
      </c>
      <c r="AL36" s="28">
        <f>IF(AN36=21,J36,0)</f>
        <v>0</v>
      </c>
      <c r="AN36" s="28">
        <v>21</v>
      </c>
      <c r="AO36" s="28">
        <f>G36*0.911687874</f>
        <v>0</v>
      </c>
      <c r="AP36" s="28">
        <f>G36*(1-0.911687874)</f>
        <v>0</v>
      </c>
      <c r="AQ36" s="30" t="s">
        <v>54</v>
      </c>
      <c r="AV36" s="28">
        <f>AW36+AX36</f>
        <v>0</v>
      </c>
      <c r="AW36" s="28">
        <f>F36*AO36</f>
        <v>0</v>
      </c>
      <c r="AX36" s="28">
        <f>F36*AP36</f>
        <v>0</v>
      </c>
      <c r="AY36" s="30" t="s">
        <v>128</v>
      </c>
      <c r="AZ36" s="30" t="s">
        <v>116</v>
      </c>
      <c r="BA36" s="11" t="s">
        <v>60</v>
      </c>
      <c r="BC36" s="28">
        <f>AW36+AX36</f>
        <v>0</v>
      </c>
      <c r="BD36" s="28">
        <f>G36/(100-BE36)*100</f>
        <v>0</v>
      </c>
      <c r="BE36" s="28">
        <v>0</v>
      </c>
      <c r="BF36" s="28">
        <f>36</f>
        <v>36</v>
      </c>
      <c r="BH36" s="28">
        <f>F36*AO36</f>
        <v>0</v>
      </c>
      <c r="BI36" s="28">
        <f>F36*AP36</f>
        <v>0</v>
      </c>
      <c r="BJ36" s="28">
        <f>F36*G36</f>
        <v>0</v>
      </c>
      <c r="BK36" s="28"/>
      <c r="BL36" s="28">
        <v>57</v>
      </c>
      <c r="BW36" s="28">
        <v>21</v>
      </c>
    </row>
    <row r="37" spans="1:75">
      <c r="A37" s="31" t="s">
        <v>51</v>
      </c>
      <c r="B37" s="32" t="s">
        <v>135</v>
      </c>
      <c r="C37" s="79" t="s">
        <v>136</v>
      </c>
      <c r="D37" s="80"/>
      <c r="E37" s="33" t="s">
        <v>4</v>
      </c>
      <c r="F37" s="33" t="s">
        <v>4</v>
      </c>
      <c r="G37" s="34" t="s">
        <v>4</v>
      </c>
      <c r="H37" s="1">
        <f>SUM(H38:H40)</f>
        <v>0</v>
      </c>
      <c r="I37" s="1">
        <f>SUM(I38:I40)</f>
        <v>0</v>
      </c>
      <c r="J37" s="1">
        <f>SUM(J38:J40)</f>
        <v>0</v>
      </c>
      <c r="K37" s="11" t="s">
        <v>51</v>
      </c>
      <c r="L37" s="27"/>
      <c r="AI37" s="11" t="s">
        <v>51</v>
      </c>
      <c r="AS37" s="1">
        <f>SUM(AJ38:AJ40)</f>
        <v>0</v>
      </c>
      <c r="AT37" s="1">
        <f>SUM(AK38:AK40)</f>
        <v>0</v>
      </c>
      <c r="AU37" s="1">
        <f>SUM(AL38:AL40)</f>
        <v>0</v>
      </c>
    </row>
    <row r="38" spans="1:75" ht="27" customHeight="1">
      <c r="A38" s="2" t="s">
        <v>137</v>
      </c>
      <c r="B38" s="3" t="s">
        <v>138</v>
      </c>
      <c r="C38" s="75" t="s">
        <v>139</v>
      </c>
      <c r="D38" s="76"/>
      <c r="E38" s="3" t="s">
        <v>140</v>
      </c>
      <c r="F38" s="28">
        <v>65</v>
      </c>
      <c r="G38" s="29">
        <v>0</v>
      </c>
      <c r="H38" s="28">
        <f>F38*AO38</f>
        <v>0</v>
      </c>
      <c r="I38" s="28">
        <f>F38*AP38</f>
        <v>0</v>
      </c>
      <c r="J38" s="28">
        <f>F38*G38</f>
        <v>0</v>
      </c>
      <c r="K38" s="30" t="s">
        <v>72</v>
      </c>
      <c r="L38" s="27"/>
      <c r="Z38" s="28">
        <f>IF(AQ38="5",BJ38,0)</f>
        <v>0</v>
      </c>
      <c r="AB38" s="28">
        <f>IF(AQ38="1",BH38,0)</f>
        <v>0</v>
      </c>
      <c r="AC38" s="28">
        <f>IF(AQ38="1",BI38,0)</f>
        <v>0</v>
      </c>
      <c r="AD38" s="28">
        <f>IF(AQ38="7",BH38,0)</f>
        <v>0</v>
      </c>
      <c r="AE38" s="28">
        <f>IF(AQ38="7",BI38,0)</f>
        <v>0</v>
      </c>
      <c r="AF38" s="28">
        <f>IF(AQ38="2",BH38,0)</f>
        <v>0</v>
      </c>
      <c r="AG38" s="28">
        <f>IF(AQ38="2",BI38,0)</f>
        <v>0</v>
      </c>
      <c r="AH38" s="28">
        <f>IF(AQ38="0",BJ38,0)</f>
        <v>0</v>
      </c>
      <c r="AI38" s="11" t="s">
        <v>51</v>
      </c>
      <c r="AJ38" s="28">
        <f>IF(AN38=0,J38,0)</f>
        <v>0</v>
      </c>
      <c r="AK38" s="28">
        <f>IF(AN38=12,J38,0)</f>
        <v>0</v>
      </c>
      <c r="AL38" s="28">
        <f>IF(AN38=21,J38,0)</f>
        <v>0</v>
      </c>
      <c r="AN38" s="28">
        <v>21</v>
      </c>
      <c r="AO38" s="28">
        <f>G38*0.351378092</f>
        <v>0</v>
      </c>
      <c r="AP38" s="28">
        <f>G38*(1-0.351378092)</f>
        <v>0</v>
      </c>
      <c r="AQ38" s="30" t="s">
        <v>54</v>
      </c>
      <c r="AV38" s="28">
        <f>AW38+AX38</f>
        <v>0</v>
      </c>
      <c r="AW38" s="28">
        <f>F38*AO38</f>
        <v>0</v>
      </c>
      <c r="AX38" s="28">
        <f>F38*AP38</f>
        <v>0</v>
      </c>
      <c r="AY38" s="30" t="s">
        <v>141</v>
      </c>
      <c r="AZ38" s="30" t="s">
        <v>142</v>
      </c>
      <c r="BA38" s="11" t="s">
        <v>60</v>
      </c>
      <c r="BC38" s="28">
        <f>AW38+AX38</f>
        <v>0</v>
      </c>
      <c r="BD38" s="28">
        <f>G38/(100-BE38)*100</f>
        <v>0</v>
      </c>
      <c r="BE38" s="28">
        <v>0</v>
      </c>
      <c r="BF38" s="28">
        <f>38</f>
        <v>38</v>
      </c>
      <c r="BH38" s="28">
        <f>F38*AO38</f>
        <v>0</v>
      </c>
      <c r="BI38" s="28">
        <f>F38*AP38</f>
        <v>0</v>
      </c>
      <c r="BJ38" s="28">
        <f>F38*G38</f>
        <v>0</v>
      </c>
      <c r="BK38" s="28"/>
      <c r="BL38" s="28">
        <v>61</v>
      </c>
      <c r="BW38" s="28">
        <v>21</v>
      </c>
    </row>
    <row r="39" spans="1:75" ht="27" customHeight="1">
      <c r="A39" s="2" t="s">
        <v>143</v>
      </c>
      <c r="B39" s="3" t="s">
        <v>144</v>
      </c>
      <c r="C39" s="75" t="s">
        <v>145</v>
      </c>
      <c r="D39" s="76"/>
      <c r="E39" s="3" t="s">
        <v>140</v>
      </c>
      <c r="F39" s="28">
        <v>14</v>
      </c>
      <c r="G39" s="29">
        <v>0</v>
      </c>
      <c r="H39" s="28">
        <f>F39*AO39</f>
        <v>0</v>
      </c>
      <c r="I39" s="28">
        <f>F39*AP39</f>
        <v>0</v>
      </c>
      <c r="J39" s="28">
        <f>F39*G39</f>
        <v>0</v>
      </c>
      <c r="K39" s="30" t="s">
        <v>72</v>
      </c>
      <c r="L39" s="27"/>
      <c r="Z39" s="28">
        <f>IF(AQ39="5",BJ39,0)</f>
        <v>0</v>
      </c>
      <c r="AB39" s="28">
        <f>IF(AQ39="1",BH39,0)</f>
        <v>0</v>
      </c>
      <c r="AC39" s="28">
        <f>IF(AQ39="1",BI39,0)</f>
        <v>0</v>
      </c>
      <c r="AD39" s="28">
        <f>IF(AQ39="7",BH39,0)</f>
        <v>0</v>
      </c>
      <c r="AE39" s="28">
        <f>IF(AQ39="7",BI39,0)</f>
        <v>0</v>
      </c>
      <c r="AF39" s="28">
        <f>IF(AQ39="2",BH39,0)</f>
        <v>0</v>
      </c>
      <c r="AG39" s="28">
        <f>IF(AQ39="2",BI39,0)</f>
        <v>0</v>
      </c>
      <c r="AH39" s="28">
        <f>IF(AQ39="0",BJ39,0)</f>
        <v>0</v>
      </c>
      <c r="AI39" s="11" t="s">
        <v>51</v>
      </c>
      <c r="AJ39" s="28">
        <f>IF(AN39=0,J39,0)</f>
        <v>0</v>
      </c>
      <c r="AK39" s="28">
        <f>IF(AN39=12,J39,0)</f>
        <v>0</v>
      </c>
      <c r="AL39" s="28">
        <f>IF(AN39=21,J39,0)</f>
        <v>0</v>
      </c>
      <c r="AN39" s="28">
        <v>21</v>
      </c>
      <c r="AO39" s="28">
        <f>G39*0.377099237</f>
        <v>0</v>
      </c>
      <c r="AP39" s="28">
        <f>G39*(1-0.377099237)</f>
        <v>0</v>
      </c>
      <c r="AQ39" s="30" t="s">
        <v>54</v>
      </c>
      <c r="AV39" s="28">
        <f>AW39+AX39</f>
        <v>0</v>
      </c>
      <c r="AW39" s="28">
        <f>F39*AO39</f>
        <v>0</v>
      </c>
      <c r="AX39" s="28">
        <f>F39*AP39</f>
        <v>0</v>
      </c>
      <c r="AY39" s="30" t="s">
        <v>141</v>
      </c>
      <c r="AZ39" s="30" t="s">
        <v>142</v>
      </c>
      <c r="BA39" s="11" t="s">
        <v>60</v>
      </c>
      <c r="BC39" s="28">
        <f>AW39+AX39</f>
        <v>0</v>
      </c>
      <c r="BD39" s="28">
        <f>G39/(100-BE39)*100</f>
        <v>0</v>
      </c>
      <c r="BE39" s="28">
        <v>0</v>
      </c>
      <c r="BF39" s="28">
        <f>39</f>
        <v>39</v>
      </c>
      <c r="BH39" s="28">
        <f>F39*AO39</f>
        <v>0</v>
      </c>
      <c r="BI39" s="28">
        <f>F39*AP39</f>
        <v>0</v>
      </c>
      <c r="BJ39" s="28">
        <f>F39*G39</f>
        <v>0</v>
      </c>
      <c r="BK39" s="28"/>
      <c r="BL39" s="28">
        <v>61</v>
      </c>
      <c r="BW39" s="28">
        <v>21</v>
      </c>
    </row>
    <row r="40" spans="1:75" ht="27" customHeight="1">
      <c r="A40" s="2" t="s">
        <v>146</v>
      </c>
      <c r="B40" s="3" t="s">
        <v>147</v>
      </c>
      <c r="C40" s="75" t="s">
        <v>148</v>
      </c>
      <c r="D40" s="76"/>
      <c r="E40" s="3" t="s">
        <v>71</v>
      </c>
      <c r="F40" s="28">
        <v>236</v>
      </c>
      <c r="G40" s="29">
        <v>0</v>
      </c>
      <c r="H40" s="28">
        <f>F40*AO40</f>
        <v>0</v>
      </c>
      <c r="I40" s="28">
        <f>F40*AP40</f>
        <v>0</v>
      </c>
      <c r="J40" s="28">
        <f>F40*G40</f>
        <v>0</v>
      </c>
      <c r="K40" s="30" t="s">
        <v>72</v>
      </c>
      <c r="L40" s="27"/>
      <c r="Z40" s="28">
        <f>IF(AQ40="5",BJ40,0)</f>
        <v>0</v>
      </c>
      <c r="AB40" s="28">
        <f>IF(AQ40="1",BH40,0)</f>
        <v>0</v>
      </c>
      <c r="AC40" s="28">
        <f>IF(AQ40="1",BI40,0)</f>
        <v>0</v>
      </c>
      <c r="AD40" s="28">
        <f>IF(AQ40="7",BH40,0)</f>
        <v>0</v>
      </c>
      <c r="AE40" s="28">
        <f>IF(AQ40="7",BI40,0)</f>
        <v>0</v>
      </c>
      <c r="AF40" s="28">
        <f>IF(AQ40="2",BH40,0)</f>
        <v>0</v>
      </c>
      <c r="AG40" s="28">
        <f>IF(AQ40="2",BI40,0)</f>
        <v>0</v>
      </c>
      <c r="AH40" s="28">
        <f>IF(AQ40="0",BJ40,0)</f>
        <v>0</v>
      </c>
      <c r="AI40" s="11" t="s">
        <v>51</v>
      </c>
      <c r="AJ40" s="28">
        <f>IF(AN40=0,J40,0)</f>
        <v>0</v>
      </c>
      <c r="AK40" s="28">
        <f>IF(AN40=12,J40,0)</f>
        <v>0</v>
      </c>
      <c r="AL40" s="28">
        <f>IF(AN40=21,J40,0)</f>
        <v>0</v>
      </c>
      <c r="AN40" s="28">
        <v>21</v>
      </c>
      <c r="AO40" s="28">
        <f>G40*0.136880734</f>
        <v>0</v>
      </c>
      <c r="AP40" s="28">
        <f>G40*(1-0.136880734)</f>
        <v>0</v>
      </c>
      <c r="AQ40" s="30" t="s">
        <v>54</v>
      </c>
      <c r="AV40" s="28">
        <f>AW40+AX40</f>
        <v>0</v>
      </c>
      <c r="AW40" s="28">
        <f>F40*AO40</f>
        <v>0</v>
      </c>
      <c r="AX40" s="28">
        <f>F40*AP40</f>
        <v>0</v>
      </c>
      <c r="AY40" s="30" t="s">
        <v>141</v>
      </c>
      <c r="AZ40" s="30" t="s">
        <v>142</v>
      </c>
      <c r="BA40" s="11" t="s">
        <v>60</v>
      </c>
      <c r="BC40" s="28">
        <f>AW40+AX40</f>
        <v>0</v>
      </c>
      <c r="BD40" s="28">
        <f>G40/(100-BE40)*100</f>
        <v>0</v>
      </c>
      <c r="BE40" s="28">
        <v>0</v>
      </c>
      <c r="BF40" s="28">
        <f>40</f>
        <v>40</v>
      </c>
      <c r="BH40" s="28">
        <f>F40*AO40</f>
        <v>0</v>
      </c>
      <c r="BI40" s="28">
        <f>F40*AP40</f>
        <v>0</v>
      </c>
      <c r="BJ40" s="28">
        <f>F40*G40</f>
        <v>0</v>
      </c>
      <c r="BK40" s="28"/>
      <c r="BL40" s="28">
        <v>61</v>
      </c>
      <c r="BW40" s="28">
        <v>21</v>
      </c>
    </row>
    <row r="41" spans="1:75">
      <c r="A41" s="31" t="s">
        <v>51</v>
      </c>
      <c r="B41" s="32" t="s">
        <v>149</v>
      </c>
      <c r="C41" s="79" t="s">
        <v>150</v>
      </c>
      <c r="D41" s="80"/>
      <c r="E41" s="33" t="s">
        <v>4</v>
      </c>
      <c r="F41" s="33" t="s">
        <v>4</v>
      </c>
      <c r="G41" s="34" t="s">
        <v>4</v>
      </c>
      <c r="H41" s="1">
        <f>SUM(H42:H45)</f>
        <v>0</v>
      </c>
      <c r="I41" s="1">
        <f>SUM(I42:I45)</f>
        <v>0</v>
      </c>
      <c r="J41" s="1">
        <f>SUM(J42:J45)</f>
        <v>0</v>
      </c>
      <c r="K41" s="11" t="s">
        <v>51</v>
      </c>
      <c r="L41" s="27"/>
      <c r="AI41" s="11" t="s">
        <v>51</v>
      </c>
      <c r="AS41" s="1">
        <f>SUM(AJ42:AJ45)</f>
        <v>0</v>
      </c>
      <c r="AT41" s="1">
        <f>SUM(AK42:AK45)</f>
        <v>0</v>
      </c>
      <c r="AU41" s="1">
        <f>SUM(AL42:AL45)</f>
        <v>0</v>
      </c>
    </row>
    <row r="42" spans="1:75" ht="27" customHeight="1">
      <c r="A42" s="2" t="s">
        <v>151</v>
      </c>
      <c r="B42" s="3" t="s">
        <v>152</v>
      </c>
      <c r="C42" s="75" t="s">
        <v>153</v>
      </c>
      <c r="D42" s="76"/>
      <c r="E42" s="3" t="s">
        <v>71</v>
      </c>
      <c r="F42" s="28">
        <v>280</v>
      </c>
      <c r="G42" s="29">
        <v>0</v>
      </c>
      <c r="H42" s="28">
        <f>F42*AO42</f>
        <v>0</v>
      </c>
      <c r="I42" s="28">
        <f>F42*AP42</f>
        <v>0</v>
      </c>
      <c r="J42" s="28">
        <f>F42*G42</f>
        <v>0</v>
      </c>
      <c r="K42" s="30" t="s">
        <v>72</v>
      </c>
      <c r="L42" s="27"/>
      <c r="Z42" s="28">
        <f>IF(AQ42="5",BJ42,0)</f>
        <v>0</v>
      </c>
      <c r="AB42" s="28">
        <f>IF(AQ42="1",BH42,0)</f>
        <v>0</v>
      </c>
      <c r="AC42" s="28">
        <f>IF(AQ42="1",BI42,0)</f>
        <v>0</v>
      </c>
      <c r="AD42" s="28">
        <f>IF(AQ42="7",BH42,0)</f>
        <v>0</v>
      </c>
      <c r="AE42" s="28">
        <f>IF(AQ42="7",BI42,0)</f>
        <v>0</v>
      </c>
      <c r="AF42" s="28">
        <f>IF(AQ42="2",BH42,0)</f>
        <v>0</v>
      </c>
      <c r="AG42" s="28">
        <f>IF(AQ42="2",BI42,0)</f>
        <v>0</v>
      </c>
      <c r="AH42" s="28">
        <f>IF(AQ42="0",BJ42,0)</f>
        <v>0</v>
      </c>
      <c r="AI42" s="11" t="s">
        <v>51</v>
      </c>
      <c r="AJ42" s="28">
        <f>IF(AN42=0,J42,0)</f>
        <v>0</v>
      </c>
      <c r="AK42" s="28">
        <f>IF(AN42=12,J42,0)</f>
        <v>0</v>
      </c>
      <c r="AL42" s="28">
        <f>IF(AN42=21,J42,0)</f>
        <v>0</v>
      </c>
      <c r="AN42" s="28">
        <v>21</v>
      </c>
      <c r="AO42" s="28">
        <f>G42*0.220255074</f>
        <v>0</v>
      </c>
      <c r="AP42" s="28">
        <f>G42*(1-0.220255074)</f>
        <v>0</v>
      </c>
      <c r="AQ42" s="30" t="s">
        <v>54</v>
      </c>
      <c r="AV42" s="28">
        <f>AW42+AX42</f>
        <v>0</v>
      </c>
      <c r="AW42" s="28">
        <f>F42*AO42</f>
        <v>0</v>
      </c>
      <c r="AX42" s="28">
        <f>F42*AP42</f>
        <v>0</v>
      </c>
      <c r="AY42" s="30" t="s">
        <v>154</v>
      </c>
      <c r="AZ42" s="30" t="s">
        <v>142</v>
      </c>
      <c r="BA42" s="11" t="s">
        <v>60</v>
      </c>
      <c r="BC42" s="28">
        <f>AW42+AX42</f>
        <v>0</v>
      </c>
      <c r="BD42" s="28">
        <f>G42/(100-BE42)*100</f>
        <v>0</v>
      </c>
      <c r="BE42" s="28">
        <v>0</v>
      </c>
      <c r="BF42" s="28">
        <f>42</f>
        <v>42</v>
      </c>
      <c r="BH42" s="28">
        <f>F42*AO42</f>
        <v>0</v>
      </c>
      <c r="BI42" s="28">
        <f>F42*AP42</f>
        <v>0</v>
      </c>
      <c r="BJ42" s="28">
        <f>F42*G42</f>
        <v>0</v>
      </c>
      <c r="BK42" s="28"/>
      <c r="BL42" s="28">
        <v>62</v>
      </c>
      <c r="BW42" s="28">
        <v>21</v>
      </c>
    </row>
    <row r="43" spans="1:75" ht="27" customHeight="1">
      <c r="A43" s="2" t="s">
        <v>155</v>
      </c>
      <c r="B43" s="3" t="s">
        <v>156</v>
      </c>
      <c r="C43" s="75" t="s">
        <v>157</v>
      </c>
      <c r="D43" s="76"/>
      <c r="E43" s="3" t="s">
        <v>71</v>
      </c>
      <c r="F43" s="28">
        <v>280</v>
      </c>
      <c r="G43" s="29">
        <v>0</v>
      </c>
      <c r="H43" s="28">
        <f>F43*AO43</f>
        <v>0</v>
      </c>
      <c r="I43" s="28">
        <f>F43*AP43</f>
        <v>0</v>
      </c>
      <c r="J43" s="28">
        <f>F43*G43</f>
        <v>0</v>
      </c>
      <c r="K43" s="30" t="s">
        <v>72</v>
      </c>
      <c r="L43" s="27"/>
      <c r="Z43" s="28">
        <f>IF(AQ43="5",BJ43,0)</f>
        <v>0</v>
      </c>
      <c r="AB43" s="28">
        <f>IF(AQ43="1",BH43,0)</f>
        <v>0</v>
      </c>
      <c r="AC43" s="28">
        <f>IF(AQ43="1",BI43,0)</f>
        <v>0</v>
      </c>
      <c r="AD43" s="28">
        <f>IF(AQ43="7",BH43,0)</f>
        <v>0</v>
      </c>
      <c r="AE43" s="28">
        <f>IF(AQ43="7",BI43,0)</f>
        <v>0</v>
      </c>
      <c r="AF43" s="28">
        <f>IF(AQ43="2",BH43,0)</f>
        <v>0</v>
      </c>
      <c r="AG43" s="28">
        <f>IF(AQ43="2",BI43,0)</f>
        <v>0</v>
      </c>
      <c r="AH43" s="28">
        <f>IF(AQ43="0",BJ43,0)</f>
        <v>0</v>
      </c>
      <c r="AI43" s="11" t="s">
        <v>51</v>
      </c>
      <c r="AJ43" s="28">
        <f>IF(AN43=0,J43,0)</f>
        <v>0</v>
      </c>
      <c r="AK43" s="28">
        <f>IF(AN43=12,J43,0)</f>
        <v>0</v>
      </c>
      <c r="AL43" s="28">
        <f>IF(AN43=21,J43,0)</f>
        <v>0</v>
      </c>
      <c r="AN43" s="28">
        <v>21</v>
      </c>
      <c r="AO43" s="28">
        <f>G43*0.581073734</f>
        <v>0</v>
      </c>
      <c r="AP43" s="28">
        <f>G43*(1-0.581073734)</f>
        <v>0</v>
      </c>
      <c r="AQ43" s="30" t="s">
        <v>54</v>
      </c>
      <c r="AV43" s="28">
        <f>AW43+AX43</f>
        <v>0</v>
      </c>
      <c r="AW43" s="28">
        <f>F43*AO43</f>
        <v>0</v>
      </c>
      <c r="AX43" s="28">
        <f>F43*AP43</f>
        <v>0</v>
      </c>
      <c r="AY43" s="30" t="s">
        <v>154</v>
      </c>
      <c r="AZ43" s="30" t="s">
        <v>142</v>
      </c>
      <c r="BA43" s="11" t="s">
        <v>60</v>
      </c>
      <c r="BC43" s="28">
        <f>AW43+AX43</f>
        <v>0</v>
      </c>
      <c r="BD43" s="28">
        <f>G43/(100-BE43)*100</f>
        <v>0</v>
      </c>
      <c r="BE43" s="28">
        <v>0</v>
      </c>
      <c r="BF43" s="28">
        <f>43</f>
        <v>43</v>
      </c>
      <c r="BH43" s="28">
        <f>F43*AO43</f>
        <v>0</v>
      </c>
      <c r="BI43" s="28">
        <f>F43*AP43</f>
        <v>0</v>
      </c>
      <c r="BJ43" s="28">
        <f>F43*G43</f>
        <v>0</v>
      </c>
      <c r="BK43" s="28"/>
      <c r="BL43" s="28">
        <v>62</v>
      </c>
      <c r="BW43" s="28">
        <v>21</v>
      </c>
    </row>
    <row r="44" spans="1:75" ht="13.5" customHeight="1">
      <c r="A44" s="2" t="s">
        <v>158</v>
      </c>
      <c r="B44" s="3" t="s">
        <v>159</v>
      </c>
      <c r="C44" s="75" t="s">
        <v>160</v>
      </c>
      <c r="D44" s="76"/>
      <c r="E44" s="3" t="s">
        <v>71</v>
      </c>
      <c r="F44" s="28">
        <v>280</v>
      </c>
      <c r="G44" s="29">
        <v>0</v>
      </c>
      <c r="H44" s="28">
        <f>F44*AO44</f>
        <v>0</v>
      </c>
      <c r="I44" s="28">
        <f>F44*AP44</f>
        <v>0</v>
      </c>
      <c r="J44" s="28">
        <f>F44*G44</f>
        <v>0</v>
      </c>
      <c r="K44" s="30" t="s">
        <v>72</v>
      </c>
      <c r="L44" s="27"/>
      <c r="Z44" s="28">
        <f>IF(AQ44="5",BJ44,0)</f>
        <v>0</v>
      </c>
      <c r="AB44" s="28">
        <f>IF(AQ44="1",BH44,0)</f>
        <v>0</v>
      </c>
      <c r="AC44" s="28">
        <f>IF(AQ44="1",BI44,0)</f>
        <v>0</v>
      </c>
      <c r="AD44" s="28">
        <f>IF(AQ44="7",BH44,0)</f>
        <v>0</v>
      </c>
      <c r="AE44" s="28">
        <f>IF(AQ44="7",BI44,0)</f>
        <v>0</v>
      </c>
      <c r="AF44" s="28">
        <f>IF(AQ44="2",BH44,0)</f>
        <v>0</v>
      </c>
      <c r="AG44" s="28">
        <f>IF(AQ44="2",BI44,0)</f>
        <v>0</v>
      </c>
      <c r="AH44" s="28">
        <f>IF(AQ44="0",BJ44,0)</f>
        <v>0</v>
      </c>
      <c r="AI44" s="11" t="s">
        <v>51</v>
      </c>
      <c r="AJ44" s="28">
        <f>IF(AN44=0,J44,0)</f>
        <v>0</v>
      </c>
      <c r="AK44" s="28">
        <f>IF(AN44=12,J44,0)</f>
        <v>0</v>
      </c>
      <c r="AL44" s="28">
        <f>IF(AN44=21,J44,0)</f>
        <v>0</v>
      </c>
      <c r="AN44" s="28">
        <v>21</v>
      </c>
      <c r="AO44" s="28">
        <f>G44*0.074483776</f>
        <v>0</v>
      </c>
      <c r="AP44" s="28">
        <f>G44*(1-0.074483776)</f>
        <v>0</v>
      </c>
      <c r="AQ44" s="30" t="s">
        <v>54</v>
      </c>
      <c r="AV44" s="28">
        <f>AW44+AX44</f>
        <v>0</v>
      </c>
      <c r="AW44" s="28">
        <f>F44*AO44</f>
        <v>0</v>
      </c>
      <c r="AX44" s="28">
        <f>F44*AP44</f>
        <v>0</v>
      </c>
      <c r="AY44" s="30" t="s">
        <v>154</v>
      </c>
      <c r="AZ44" s="30" t="s">
        <v>142</v>
      </c>
      <c r="BA44" s="11" t="s">
        <v>60</v>
      </c>
      <c r="BC44" s="28">
        <f>AW44+AX44</f>
        <v>0</v>
      </c>
      <c r="BD44" s="28">
        <f>G44/(100-BE44)*100</f>
        <v>0</v>
      </c>
      <c r="BE44" s="28">
        <v>0</v>
      </c>
      <c r="BF44" s="28">
        <f>44</f>
        <v>44</v>
      </c>
      <c r="BH44" s="28">
        <f>F44*AO44</f>
        <v>0</v>
      </c>
      <c r="BI44" s="28">
        <f>F44*AP44</f>
        <v>0</v>
      </c>
      <c r="BJ44" s="28">
        <f>F44*G44</f>
        <v>0</v>
      </c>
      <c r="BK44" s="28"/>
      <c r="BL44" s="28">
        <v>62</v>
      </c>
      <c r="BW44" s="28">
        <v>21</v>
      </c>
    </row>
    <row r="45" spans="1:75" ht="27" customHeight="1">
      <c r="A45" s="2" t="s">
        <v>161</v>
      </c>
      <c r="B45" s="3" t="s">
        <v>162</v>
      </c>
      <c r="C45" s="75" t="s">
        <v>163</v>
      </c>
      <c r="D45" s="76"/>
      <c r="E45" s="3" t="s">
        <v>71</v>
      </c>
      <c r="F45" s="28">
        <v>26.454999999999998</v>
      </c>
      <c r="G45" s="29">
        <v>0</v>
      </c>
      <c r="H45" s="28">
        <f>F45*AO45</f>
        <v>0</v>
      </c>
      <c r="I45" s="28">
        <f>F45*AP45</f>
        <v>0</v>
      </c>
      <c r="J45" s="28">
        <f>F45*G45</f>
        <v>0</v>
      </c>
      <c r="K45" s="30" t="s">
        <v>72</v>
      </c>
      <c r="L45" s="27"/>
      <c r="Z45" s="28">
        <f>IF(AQ45="5",BJ45,0)</f>
        <v>0</v>
      </c>
      <c r="AB45" s="28">
        <f>IF(AQ45="1",BH45,0)</f>
        <v>0</v>
      </c>
      <c r="AC45" s="28">
        <f>IF(AQ45="1",BI45,0)</f>
        <v>0</v>
      </c>
      <c r="AD45" s="28">
        <f>IF(AQ45="7",BH45,0)</f>
        <v>0</v>
      </c>
      <c r="AE45" s="28">
        <f>IF(AQ45="7",BI45,0)</f>
        <v>0</v>
      </c>
      <c r="AF45" s="28">
        <f>IF(AQ45="2",BH45,0)</f>
        <v>0</v>
      </c>
      <c r="AG45" s="28">
        <f>IF(AQ45="2",BI45,0)</f>
        <v>0</v>
      </c>
      <c r="AH45" s="28">
        <f>IF(AQ45="0",BJ45,0)</f>
        <v>0</v>
      </c>
      <c r="AI45" s="11" t="s">
        <v>51</v>
      </c>
      <c r="AJ45" s="28">
        <f>IF(AN45=0,J45,0)</f>
        <v>0</v>
      </c>
      <c r="AK45" s="28">
        <f>IF(AN45=12,J45,0)</f>
        <v>0</v>
      </c>
      <c r="AL45" s="28">
        <f>IF(AN45=21,J45,0)</f>
        <v>0</v>
      </c>
      <c r="AN45" s="28">
        <v>21</v>
      </c>
      <c r="AO45" s="28">
        <f>G45*0.694578554</f>
        <v>0</v>
      </c>
      <c r="AP45" s="28">
        <f>G45*(1-0.694578554)</f>
        <v>0</v>
      </c>
      <c r="AQ45" s="30" t="s">
        <v>54</v>
      </c>
      <c r="AV45" s="28">
        <f>AW45+AX45</f>
        <v>0</v>
      </c>
      <c r="AW45" s="28">
        <f>F45*AO45</f>
        <v>0</v>
      </c>
      <c r="AX45" s="28">
        <f>F45*AP45</f>
        <v>0</v>
      </c>
      <c r="AY45" s="30" t="s">
        <v>154</v>
      </c>
      <c r="AZ45" s="30" t="s">
        <v>142</v>
      </c>
      <c r="BA45" s="11" t="s">
        <v>60</v>
      </c>
      <c r="BC45" s="28">
        <f>AW45+AX45</f>
        <v>0</v>
      </c>
      <c r="BD45" s="28">
        <f>G45/(100-BE45)*100</f>
        <v>0</v>
      </c>
      <c r="BE45" s="28">
        <v>0</v>
      </c>
      <c r="BF45" s="28">
        <f>45</f>
        <v>45</v>
      </c>
      <c r="BH45" s="28">
        <f>F45*AO45</f>
        <v>0</v>
      </c>
      <c r="BI45" s="28">
        <f>F45*AP45</f>
        <v>0</v>
      </c>
      <c r="BJ45" s="28">
        <f>F45*G45</f>
        <v>0</v>
      </c>
      <c r="BK45" s="28"/>
      <c r="BL45" s="28">
        <v>62</v>
      </c>
      <c r="BW45" s="28">
        <v>21</v>
      </c>
    </row>
    <row r="46" spans="1:75">
      <c r="A46" s="31" t="s">
        <v>51</v>
      </c>
      <c r="B46" s="32" t="s">
        <v>164</v>
      </c>
      <c r="C46" s="79" t="s">
        <v>165</v>
      </c>
      <c r="D46" s="80"/>
      <c r="E46" s="33" t="s">
        <v>4</v>
      </c>
      <c r="F46" s="33" t="s">
        <v>4</v>
      </c>
      <c r="G46" s="34" t="s">
        <v>4</v>
      </c>
      <c r="H46" s="1">
        <f>SUM(H47:H47)</f>
        <v>0</v>
      </c>
      <c r="I46" s="1">
        <f>SUM(I47:I47)</f>
        <v>0</v>
      </c>
      <c r="J46" s="1">
        <f>SUM(J47:J47)</f>
        <v>0</v>
      </c>
      <c r="K46" s="11" t="s">
        <v>51</v>
      </c>
      <c r="L46" s="27"/>
      <c r="AI46" s="11" t="s">
        <v>51</v>
      </c>
      <c r="AS46" s="1">
        <f>SUM(AJ47:AJ47)</f>
        <v>0</v>
      </c>
      <c r="AT46" s="1">
        <f>SUM(AK47:AK47)</f>
        <v>0</v>
      </c>
      <c r="AU46" s="1">
        <f>SUM(AL47:AL47)</f>
        <v>0</v>
      </c>
    </row>
    <row r="47" spans="1:75" ht="27" customHeight="1">
      <c r="A47" s="2" t="s">
        <v>166</v>
      </c>
      <c r="B47" s="3" t="s">
        <v>167</v>
      </c>
      <c r="C47" s="75" t="s">
        <v>168</v>
      </c>
      <c r="D47" s="76"/>
      <c r="E47" s="3" t="s">
        <v>71</v>
      </c>
      <c r="F47" s="28">
        <v>142.07</v>
      </c>
      <c r="G47" s="29">
        <v>0</v>
      </c>
      <c r="H47" s="28">
        <f>F47*AO47</f>
        <v>0</v>
      </c>
      <c r="I47" s="28">
        <f>F47*AP47</f>
        <v>0</v>
      </c>
      <c r="J47" s="28">
        <f>F47*G47</f>
        <v>0</v>
      </c>
      <c r="K47" s="30" t="s">
        <v>72</v>
      </c>
      <c r="L47" s="27"/>
      <c r="Z47" s="28">
        <f>IF(AQ47="5",BJ47,0)</f>
        <v>0</v>
      </c>
      <c r="AB47" s="28">
        <f>IF(AQ47="1",BH47,0)</f>
        <v>0</v>
      </c>
      <c r="AC47" s="28">
        <f>IF(AQ47="1",BI47,0)</f>
        <v>0</v>
      </c>
      <c r="AD47" s="28">
        <f>IF(AQ47="7",BH47,0)</f>
        <v>0</v>
      </c>
      <c r="AE47" s="28">
        <f>IF(AQ47="7",BI47,0)</f>
        <v>0</v>
      </c>
      <c r="AF47" s="28">
        <f>IF(AQ47="2",BH47,0)</f>
        <v>0</v>
      </c>
      <c r="AG47" s="28">
        <f>IF(AQ47="2",BI47,0)</f>
        <v>0</v>
      </c>
      <c r="AH47" s="28">
        <f>IF(AQ47="0",BJ47,0)</f>
        <v>0</v>
      </c>
      <c r="AI47" s="11" t="s">
        <v>51</v>
      </c>
      <c r="AJ47" s="28">
        <f>IF(AN47=0,J47,0)</f>
        <v>0</v>
      </c>
      <c r="AK47" s="28">
        <f>IF(AN47=12,J47,0)</f>
        <v>0</v>
      </c>
      <c r="AL47" s="28">
        <f>IF(AN47=21,J47,0)</f>
        <v>0</v>
      </c>
      <c r="AN47" s="28">
        <v>21</v>
      </c>
      <c r="AO47" s="28">
        <f>G47*0.621637048</f>
        <v>0</v>
      </c>
      <c r="AP47" s="28">
        <f>G47*(1-0.621637048)</f>
        <v>0</v>
      </c>
      <c r="AQ47" s="30" t="s">
        <v>54</v>
      </c>
      <c r="AV47" s="28">
        <f>AW47+AX47</f>
        <v>0</v>
      </c>
      <c r="AW47" s="28">
        <f>F47*AO47</f>
        <v>0</v>
      </c>
      <c r="AX47" s="28">
        <f>F47*AP47</f>
        <v>0</v>
      </c>
      <c r="AY47" s="30" t="s">
        <v>169</v>
      </c>
      <c r="AZ47" s="30" t="s">
        <v>142</v>
      </c>
      <c r="BA47" s="11" t="s">
        <v>60</v>
      </c>
      <c r="BC47" s="28">
        <f>AW47+AX47</f>
        <v>0</v>
      </c>
      <c r="BD47" s="28">
        <f>G47/(100-BE47)*100</f>
        <v>0</v>
      </c>
      <c r="BE47" s="28">
        <v>0</v>
      </c>
      <c r="BF47" s="28">
        <f>47</f>
        <v>47</v>
      </c>
      <c r="BH47" s="28">
        <f>F47*AO47</f>
        <v>0</v>
      </c>
      <c r="BI47" s="28">
        <f>F47*AP47</f>
        <v>0</v>
      </c>
      <c r="BJ47" s="28">
        <f>F47*G47</f>
        <v>0</v>
      </c>
      <c r="BK47" s="28"/>
      <c r="BL47" s="28">
        <v>63</v>
      </c>
      <c r="BW47" s="28">
        <v>21</v>
      </c>
    </row>
    <row r="48" spans="1:75">
      <c r="A48" s="31" t="s">
        <v>51</v>
      </c>
      <c r="B48" s="32" t="s">
        <v>170</v>
      </c>
      <c r="C48" s="79" t="s">
        <v>171</v>
      </c>
      <c r="D48" s="80"/>
      <c r="E48" s="33" t="s">
        <v>4</v>
      </c>
      <c r="F48" s="33" t="s">
        <v>4</v>
      </c>
      <c r="G48" s="34" t="s">
        <v>4</v>
      </c>
      <c r="H48" s="1">
        <f>SUM(H49:H54)</f>
        <v>0</v>
      </c>
      <c r="I48" s="1">
        <f>SUM(I49:I54)</f>
        <v>0</v>
      </c>
      <c r="J48" s="1">
        <f>SUM(J49:J54)</f>
        <v>0</v>
      </c>
      <c r="K48" s="11" t="s">
        <v>51</v>
      </c>
      <c r="L48" s="27"/>
      <c r="AI48" s="11" t="s">
        <v>51</v>
      </c>
      <c r="AS48" s="1">
        <f>SUM(AJ49:AJ54)</f>
        <v>0</v>
      </c>
      <c r="AT48" s="1">
        <f>SUM(AK49:AK54)</f>
        <v>0</v>
      </c>
      <c r="AU48" s="1">
        <f>SUM(AL49:AL54)</f>
        <v>0</v>
      </c>
    </row>
    <row r="49" spans="1:75" ht="27" customHeight="1">
      <c r="A49" s="2" t="s">
        <v>172</v>
      </c>
      <c r="B49" s="3" t="s">
        <v>173</v>
      </c>
      <c r="C49" s="75" t="s">
        <v>174</v>
      </c>
      <c r="D49" s="76"/>
      <c r="E49" s="3" t="s">
        <v>57</v>
      </c>
      <c r="F49" s="28">
        <v>2</v>
      </c>
      <c r="G49" s="29">
        <v>0</v>
      </c>
      <c r="H49" s="28">
        <f t="shared" ref="H49:H54" si="0">F49*AO49</f>
        <v>0</v>
      </c>
      <c r="I49" s="28">
        <f t="shared" ref="I49:I54" si="1">F49*AP49</f>
        <v>0</v>
      </c>
      <c r="J49" s="28">
        <f t="shared" ref="J49:J54" si="2">F49*G49</f>
        <v>0</v>
      </c>
      <c r="K49" s="30" t="s">
        <v>72</v>
      </c>
      <c r="L49" s="27"/>
      <c r="Z49" s="28">
        <f t="shared" ref="Z49:Z54" si="3">IF(AQ49="5",BJ49,0)</f>
        <v>0</v>
      </c>
      <c r="AB49" s="28">
        <f t="shared" ref="AB49:AB54" si="4">IF(AQ49="1",BH49,0)</f>
        <v>0</v>
      </c>
      <c r="AC49" s="28">
        <f t="shared" ref="AC49:AC54" si="5">IF(AQ49="1",BI49,0)</f>
        <v>0</v>
      </c>
      <c r="AD49" s="28">
        <f t="shared" ref="AD49:AD54" si="6">IF(AQ49="7",BH49,0)</f>
        <v>0</v>
      </c>
      <c r="AE49" s="28">
        <f t="shared" ref="AE49:AE54" si="7">IF(AQ49="7",BI49,0)</f>
        <v>0</v>
      </c>
      <c r="AF49" s="28">
        <f t="shared" ref="AF49:AF54" si="8">IF(AQ49="2",BH49,0)</f>
        <v>0</v>
      </c>
      <c r="AG49" s="28">
        <f t="shared" ref="AG49:AG54" si="9">IF(AQ49="2",BI49,0)</f>
        <v>0</v>
      </c>
      <c r="AH49" s="28">
        <f t="shared" ref="AH49:AH54" si="10">IF(AQ49="0",BJ49,0)</f>
        <v>0</v>
      </c>
      <c r="AI49" s="11" t="s">
        <v>51</v>
      </c>
      <c r="AJ49" s="28">
        <f t="shared" ref="AJ49:AJ54" si="11">IF(AN49=0,J49,0)</f>
        <v>0</v>
      </c>
      <c r="AK49" s="28">
        <f t="shared" ref="AK49:AK54" si="12">IF(AN49=12,J49,0)</f>
        <v>0</v>
      </c>
      <c r="AL49" s="28">
        <f t="shared" ref="AL49:AL54" si="13">IF(AN49=21,J49,0)</f>
        <v>0</v>
      </c>
      <c r="AN49" s="28">
        <v>21</v>
      </c>
      <c r="AO49" s="28">
        <f>G49*0.207177814</f>
        <v>0</v>
      </c>
      <c r="AP49" s="28">
        <f>G49*(1-0.207177814)</f>
        <v>0</v>
      </c>
      <c r="AQ49" s="30" t="s">
        <v>54</v>
      </c>
      <c r="AV49" s="28">
        <f t="shared" ref="AV49:AV54" si="14">AW49+AX49</f>
        <v>0</v>
      </c>
      <c r="AW49" s="28">
        <f t="shared" ref="AW49:AW54" si="15">F49*AO49</f>
        <v>0</v>
      </c>
      <c r="AX49" s="28">
        <f t="shared" ref="AX49:AX54" si="16">F49*AP49</f>
        <v>0</v>
      </c>
      <c r="AY49" s="30" t="s">
        <v>175</v>
      </c>
      <c r="AZ49" s="30" t="s">
        <v>142</v>
      </c>
      <c r="BA49" s="11" t="s">
        <v>60</v>
      </c>
      <c r="BC49" s="28">
        <f t="shared" ref="BC49:BC54" si="17">AW49+AX49</f>
        <v>0</v>
      </c>
      <c r="BD49" s="28">
        <f t="shared" ref="BD49:BD54" si="18">G49/(100-BE49)*100</f>
        <v>0</v>
      </c>
      <c r="BE49" s="28">
        <v>0</v>
      </c>
      <c r="BF49" s="28">
        <f>49</f>
        <v>49</v>
      </c>
      <c r="BH49" s="28">
        <f t="shared" ref="BH49:BH54" si="19">F49*AO49</f>
        <v>0</v>
      </c>
      <c r="BI49" s="28">
        <f t="shared" ref="BI49:BI54" si="20">F49*AP49</f>
        <v>0</v>
      </c>
      <c r="BJ49" s="28">
        <f t="shared" ref="BJ49:BJ54" si="21">F49*G49</f>
        <v>0</v>
      </c>
      <c r="BK49" s="28"/>
      <c r="BL49" s="28">
        <v>64</v>
      </c>
      <c r="BW49" s="28">
        <v>21</v>
      </c>
    </row>
    <row r="50" spans="1:75" ht="27" customHeight="1">
      <c r="A50" s="2" t="s">
        <v>176</v>
      </c>
      <c r="B50" s="3" t="s">
        <v>177</v>
      </c>
      <c r="C50" s="75" t="s">
        <v>178</v>
      </c>
      <c r="D50" s="76"/>
      <c r="E50" s="3" t="s">
        <v>57</v>
      </c>
      <c r="F50" s="28">
        <v>9</v>
      </c>
      <c r="G50" s="29">
        <v>0</v>
      </c>
      <c r="H50" s="28">
        <f t="shared" si="0"/>
        <v>0</v>
      </c>
      <c r="I50" s="28">
        <f t="shared" si="1"/>
        <v>0</v>
      </c>
      <c r="J50" s="28">
        <f t="shared" si="2"/>
        <v>0</v>
      </c>
      <c r="K50" s="30" t="s">
        <v>72</v>
      </c>
      <c r="L50" s="27"/>
      <c r="Z50" s="28">
        <f t="shared" si="3"/>
        <v>0</v>
      </c>
      <c r="AB50" s="28">
        <f t="shared" si="4"/>
        <v>0</v>
      </c>
      <c r="AC50" s="28">
        <f t="shared" si="5"/>
        <v>0</v>
      </c>
      <c r="AD50" s="28">
        <f t="shared" si="6"/>
        <v>0</v>
      </c>
      <c r="AE50" s="28">
        <f t="shared" si="7"/>
        <v>0</v>
      </c>
      <c r="AF50" s="28">
        <f t="shared" si="8"/>
        <v>0</v>
      </c>
      <c r="AG50" s="28">
        <f t="shared" si="9"/>
        <v>0</v>
      </c>
      <c r="AH50" s="28">
        <f t="shared" si="10"/>
        <v>0</v>
      </c>
      <c r="AI50" s="11" t="s">
        <v>51</v>
      </c>
      <c r="AJ50" s="28">
        <f t="shared" si="11"/>
        <v>0</v>
      </c>
      <c r="AK50" s="28">
        <f t="shared" si="12"/>
        <v>0</v>
      </c>
      <c r="AL50" s="28">
        <f t="shared" si="13"/>
        <v>0</v>
      </c>
      <c r="AN50" s="28">
        <v>21</v>
      </c>
      <c r="AO50" s="28">
        <f>G50*0.151637584</f>
        <v>0</v>
      </c>
      <c r="AP50" s="28">
        <f>G50*(1-0.151637584)</f>
        <v>0</v>
      </c>
      <c r="AQ50" s="30" t="s">
        <v>54</v>
      </c>
      <c r="AV50" s="28">
        <f t="shared" si="14"/>
        <v>0</v>
      </c>
      <c r="AW50" s="28">
        <f t="shared" si="15"/>
        <v>0</v>
      </c>
      <c r="AX50" s="28">
        <f t="shared" si="16"/>
        <v>0</v>
      </c>
      <c r="AY50" s="30" t="s">
        <v>175</v>
      </c>
      <c r="AZ50" s="30" t="s">
        <v>142</v>
      </c>
      <c r="BA50" s="11" t="s">
        <v>60</v>
      </c>
      <c r="BC50" s="28">
        <f t="shared" si="17"/>
        <v>0</v>
      </c>
      <c r="BD50" s="28">
        <f t="shared" si="18"/>
        <v>0</v>
      </c>
      <c r="BE50" s="28">
        <v>0</v>
      </c>
      <c r="BF50" s="28">
        <f>50</f>
        <v>50</v>
      </c>
      <c r="BH50" s="28">
        <f t="shared" si="19"/>
        <v>0</v>
      </c>
      <c r="BI50" s="28">
        <f t="shared" si="20"/>
        <v>0</v>
      </c>
      <c r="BJ50" s="28">
        <f t="shared" si="21"/>
        <v>0</v>
      </c>
      <c r="BK50" s="28"/>
      <c r="BL50" s="28">
        <v>64</v>
      </c>
      <c r="BW50" s="28">
        <v>21</v>
      </c>
    </row>
    <row r="51" spans="1:75" ht="13.5" customHeight="1">
      <c r="A51" s="2" t="s">
        <v>179</v>
      </c>
      <c r="B51" s="3" t="s">
        <v>180</v>
      </c>
      <c r="C51" s="75" t="s">
        <v>181</v>
      </c>
      <c r="D51" s="76"/>
      <c r="E51" s="3" t="s">
        <v>140</v>
      </c>
      <c r="F51" s="28">
        <v>41.5</v>
      </c>
      <c r="G51" s="29">
        <v>0</v>
      </c>
      <c r="H51" s="28">
        <f t="shared" si="0"/>
        <v>0</v>
      </c>
      <c r="I51" s="28">
        <f t="shared" si="1"/>
        <v>0</v>
      </c>
      <c r="J51" s="28">
        <f t="shared" si="2"/>
        <v>0</v>
      </c>
      <c r="K51" s="30" t="s">
        <v>72</v>
      </c>
      <c r="L51" s="27"/>
      <c r="Z51" s="28">
        <f t="shared" si="3"/>
        <v>0</v>
      </c>
      <c r="AB51" s="28">
        <f t="shared" si="4"/>
        <v>0</v>
      </c>
      <c r="AC51" s="28">
        <f t="shared" si="5"/>
        <v>0</v>
      </c>
      <c r="AD51" s="28">
        <f t="shared" si="6"/>
        <v>0</v>
      </c>
      <c r="AE51" s="28">
        <f t="shared" si="7"/>
        <v>0</v>
      </c>
      <c r="AF51" s="28">
        <f t="shared" si="8"/>
        <v>0</v>
      </c>
      <c r="AG51" s="28">
        <f t="shared" si="9"/>
        <v>0</v>
      </c>
      <c r="AH51" s="28">
        <f t="shared" si="10"/>
        <v>0</v>
      </c>
      <c r="AI51" s="11" t="s">
        <v>51</v>
      </c>
      <c r="AJ51" s="28">
        <f t="shared" si="11"/>
        <v>0</v>
      </c>
      <c r="AK51" s="28">
        <f t="shared" si="12"/>
        <v>0</v>
      </c>
      <c r="AL51" s="28">
        <f t="shared" si="13"/>
        <v>0</v>
      </c>
      <c r="AN51" s="28">
        <v>21</v>
      </c>
      <c r="AO51" s="28">
        <f>G51*0.184693141</f>
        <v>0</v>
      </c>
      <c r="AP51" s="28">
        <f>G51*(1-0.184693141)</f>
        <v>0</v>
      </c>
      <c r="AQ51" s="30" t="s">
        <v>54</v>
      </c>
      <c r="AV51" s="28">
        <f t="shared" si="14"/>
        <v>0</v>
      </c>
      <c r="AW51" s="28">
        <f t="shared" si="15"/>
        <v>0</v>
      </c>
      <c r="AX51" s="28">
        <f t="shared" si="16"/>
        <v>0</v>
      </c>
      <c r="AY51" s="30" t="s">
        <v>175</v>
      </c>
      <c r="AZ51" s="30" t="s">
        <v>142</v>
      </c>
      <c r="BA51" s="11" t="s">
        <v>60</v>
      </c>
      <c r="BC51" s="28">
        <f t="shared" si="17"/>
        <v>0</v>
      </c>
      <c r="BD51" s="28">
        <f t="shared" si="18"/>
        <v>0</v>
      </c>
      <c r="BE51" s="28">
        <v>0</v>
      </c>
      <c r="BF51" s="28">
        <f>51</f>
        <v>51</v>
      </c>
      <c r="BH51" s="28">
        <f t="shared" si="19"/>
        <v>0</v>
      </c>
      <c r="BI51" s="28">
        <f t="shared" si="20"/>
        <v>0</v>
      </c>
      <c r="BJ51" s="28">
        <f t="shared" si="21"/>
        <v>0</v>
      </c>
      <c r="BK51" s="28"/>
      <c r="BL51" s="28">
        <v>64</v>
      </c>
      <c r="BW51" s="28">
        <v>21</v>
      </c>
    </row>
    <row r="52" spans="1:75" ht="27" customHeight="1">
      <c r="A52" s="2" t="s">
        <v>182</v>
      </c>
      <c r="B52" s="3" t="s">
        <v>183</v>
      </c>
      <c r="C52" s="75" t="s">
        <v>184</v>
      </c>
      <c r="D52" s="76"/>
      <c r="E52" s="3" t="s">
        <v>57</v>
      </c>
      <c r="F52" s="28">
        <v>8</v>
      </c>
      <c r="G52" s="29">
        <v>0</v>
      </c>
      <c r="H52" s="28">
        <f t="shared" si="0"/>
        <v>0</v>
      </c>
      <c r="I52" s="28">
        <f t="shared" si="1"/>
        <v>0</v>
      </c>
      <c r="J52" s="28">
        <f t="shared" si="2"/>
        <v>0</v>
      </c>
      <c r="K52" s="30" t="s">
        <v>72</v>
      </c>
      <c r="L52" s="27"/>
      <c r="Z52" s="28">
        <f t="shared" si="3"/>
        <v>0</v>
      </c>
      <c r="AB52" s="28">
        <f t="shared" si="4"/>
        <v>0</v>
      </c>
      <c r="AC52" s="28">
        <f t="shared" si="5"/>
        <v>0</v>
      </c>
      <c r="AD52" s="28">
        <f t="shared" si="6"/>
        <v>0</v>
      </c>
      <c r="AE52" s="28">
        <f t="shared" si="7"/>
        <v>0</v>
      </c>
      <c r="AF52" s="28">
        <f t="shared" si="8"/>
        <v>0</v>
      </c>
      <c r="AG52" s="28">
        <f t="shared" si="9"/>
        <v>0</v>
      </c>
      <c r="AH52" s="28">
        <f t="shared" si="10"/>
        <v>0</v>
      </c>
      <c r="AI52" s="11" t="s">
        <v>51</v>
      </c>
      <c r="AJ52" s="28">
        <f t="shared" si="11"/>
        <v>0</v>
      </c>
      <c r="AK52" s="28">
        <f t="shared" si="12"/>
        <v>0</v>
      </c>
      <c r="AL52" s="28">
        <f t="shared" si="13"/>
        <v>0</v>
      </c>
      <c r="AN52" s="28">
        <v>21</v>
      </c>
      <c r="AO52" s="28">
        <f>G52*0.695496229</f>
        <v>0</v>
      </c>
      <c r="AP52" s="28">
        <f>G52*(1-0.695496229)</f>
        <v>0</v>
      </c>
      <c r="AQ52" s="30" t="s">
        <v>54</v>
      </c>
      <c r="AV52" s="28">
        <f t="shared" si="14"/>
        <v>0</v>
      </c>
      <c r="AW52" s="28">
        <f t="shared" si="15"/>
        <v>0</v>
      </c>
      <c r="AX52" s="28">
        <f t="shared" si="16"/>
        <v>0</v>
      </c>
      <c r="AY52" s="30" t="s">
        <v>175</v>
      </c>
      <c r="AZ52" s="30" t="s">
        <v>142</v>
      </c>
      <c r="BA52" s="11" t="s">
        <v>60</v>
      </c>
      <c r="BC52" s="28">
        <f t="shared" si="17"/>
        <v>0</v>
      </c>
      <c r="BD52" s="28">
        <f t="shared" si="18"/>
        <v>0</v>
      </c>
      <c r="BE52" s="28">
        <v>0</v>
      </c>
      <c r="BF52" s="28">
        <f>52</f>
        <v>52</v>
      </c>
      <c r="BH52" s="28">
        <f t="shared" si="19"/>
        <v>0</v>
      </c>
      <c r="BI52" s="28">
        <f t="shared" si="20"/>
        <v>0</v>
      </c>
      <c r="BJ52" s="28">
        <f t="shared" si="21"/>
        <v>0</v>
      </c>
      <c r="BK52" s="28"/>
      <c r="BL52" s="28">
        <v>64</v>
      </c>
      <c r="BW52" s="28">
        <v>21</v>
      </c>
    </row>
    <row r="53" spans="1:75" ht="27" customHeight="1">
      <c r="A53" s="2" t="s">
        <v>185</v>
      </c>
      <c r="B53" s="3" t="s">
        <v>186</v>
      </c>
      <c r="C53" s="75" t="s">
        <v>187</v>
      </c>
      <c r="D53" s="76"/>
      <c r="E53" s="3" t="s">
        <v>57</v>
      </c>
      <c r="F53" s="28">
        <v>2</v>
      </c>
      <c r="G53" s="29">
        <v>0</v>
      </c>
      <c r="H53" s="28">
        <f t="shared" si="0"/>
        <v>0</v>
      </c>
      <c r="I53" s="28">
        <f t="shared" si="1"/>
        <v>0</v>
      </c>
      <c r="J53" s="28">
        <f t="shared" si="2"/>
        <v>0</v>
      </c>
      <c r="K53" s="30" t="s">
        <v>72</v>
      </c>
      <c r="L53" s="27"/>
      <c r="Z53" s="28">
        <f t="shared" si="3"/>
        <v>0</v>
      </c>
      <c r="AB53" s="28">
        <f t="shared" si="4"/>
        <v>0</v>
      </c>
      <c r="AC53" s="28">
        <f t="shared" si="5"/>
        <v>0</v>
      </c>
      <c r="AD53" s="28">
        <f t="shared" si="6"/>
        <v>0</v>
      </c>
      <c r="AE53" s="28">
        <f t="shared" si="7"/>
        <v>0</v>
      </c>
      <c r="AF53" s="28">
        <f t="shared" si="8"/>
        <v>0</v>
      </c>
      <c r="AG53" s="28">
        <f t="shared" si="9"/>
        <v>0</v>
      </c>
      <c r="AH53" s="28">
        <f t="shared" si="10"/>
        <v>0</v>
      </c>
      <c r="AI53" s="11" t="s">
        <v>51</v>
      </c>
      <c r="AJ53" s="28">
        <f t="shared" si="11"/>
        <v>0</v>
      </c>
      <c r="AK53" s="28">
        <f t="shared" si="12"/>
        <v>0</v>
      </c>
      <c r="AL53" s="28">
        <f t="shared" si="13"/>
        <v>0</v>
      </c>
      <c r="AN53" s="28">
        <v>21</v>
      </c>
      <c r="AO53" s="28">
        <f>G53*0.054162399</f>
        <v>0</v>
      </c>
      <c r="AP53" s="28">
        <f>G53*(1-0.054162399)</f>
        <v>0</v>
      </c>
      <c r="AQ53" s="30" t="s">
        <v>54</v>
      </c>
      <c r="AV53" s="28">
        <f t="shared" si="14"/>
        <v>0</v>
      </c>
      <c r="AW53" s="28">
        <f t="shared" si="15"/>
        <v>0</v>
      </c>
      <c r="AX53" s="28">
        <f t="shared" si="16"/>
        <v>0</v>
      </c>
      <c r="AY53" s="30" t="s">
        <v>175</v>
      </c>
      <c r="AZ53" s="30" t="s">
        <v>142</v>
      </c>
      <c r="BA53" s="11" t="s">
        <v>60</v>
      </c>
      <c r="BC53" s="28">
        <f t="shared" si="17"/>
        <v>0</v>
      </c>
      <c r="BD53" s="28">
        <f t="shared" si="18"/>
        <v>0</v>
      </c>
      <c r="BE53" s="28">
        <v>0</v>
      </c>
      <c r="BF53" s="28">
        <f>53</f>
        <v>53</v>
      </c>
      <c r="BH53" s="28">
        <f t="shared" si="19"/>
        <v>0</v>
      </c>
      <c r="BI53" s="28">
        <f t="shared" si="20"/>
        <v>0</v>
      </c>
      <c r="BJ53" s="28">
        <f t="shared" si="21"/>
        <v>0</v>
      </c>
      <c r="BK53" s="28"/>
      <c r="BL53" s="28">
        <v>64</v>
      </c>
      <c r="BW53" s="28">
        <v>21</v>
      </c>
    </row>
    <row r="54" spans="1:75" ht="27" customHeight="1">
      <c r="A54" s="2" t="s">
        <v>188</v>
      </c>
      <c r="B54" s="3" t="s">
        <v>189</v>
      </c>
      <c r="C54" s="75" t="s">
        <v>190</v>
      </c>
      <c r="D54" s="76"/>
      <c r="E54" s="3" t="s">
        <v>57</v>
      </c>
      <c r="F54" s="28">
        <v>1</v>
      </c>
      <c r="G54" s="29">
        <v>0</v>
      </c>
      <c r="H54" s="28">
        <f t="shared" si="0"/>
        <v>0</v>
      </c>
      <c r="I54" s="28">
        <f t="shared" si="1"/>
        <v>0</v>
      </c>
      <c r="J54" s="28">
        <f t="shared" si="2"/>
        <v>0</v>
      </c>
      <c r="K54" s="30" t="s">
        <v>72</v>
      </c>
      <c r="L54" s="27"/>
      <c r="Z54" s="28">
        <f t="shared" si="3"/>
        <v>0</v>
      </c>
      <c r="AB54" s="28">
        <f t="shared" si="4"/>
        <v>0</v>
      </c>
      <c r="AC54" s="28">
        <f t="shared" si="5"/>
        <v>0</v>
      </c>
      <c r="AD54" s="28">
        <f t="shared" si="6"/>
        <v>0</v>
      </c>
      <c r="AE54" s="28">
        <f t="shared" si="7"/>
        <v>0</v>
      </c>
      <c r="AF54" s="28">
        <f t="shared" si="8"/>
        <v>0</v>
      </c>
      <c r="AG54" s="28">
        <f t="shared" si="9"/>
        <v>0</v>
      </c>
      <c r="AH54" s="28">
        <f t="shared" si="10"/>
        <v>0</v>
      </c>
      <c r="AI54" s="11" t="s">
        <v>51</v>
      </c>
      <c r="AJ54" s="28">
        <f t="shared" si="11"/>
        <v>0</v>
      </c>
      <c r="AK54" s="28">
        <f t="shared" si="12"/>
        <v>0</v>
      </c>
      <c r="AL54" s="28">
        <f t="shared" si="13"/>
        <v>0</v>
      </c>
      <c r="AN54" s="28">
        <v>21</v>
      </c>
      <c r="AO54" s="28">
        <f>G54*0.082102709</f>
        <v>0</v>
      </c>
      <c r="AP54" s="28">
        <f>G54*(1-0.082102709)</f>
        <v>0</v>
      </c>
      <c r="AQ54" s="30" t="s">
        <v>54</v>
      </c>
      <c r="AV54" s="28">
        <f t="shared" si="14"/>
        <v>0</v>
      </c>
      <c r="AW54" s="28">
        <f t="shared" si="15"/>
        <v>0</v>
      </c>
      <c r="AX54" s="28">
        <f t="shared" si="16"/>
        <v>0</v>
      </c>
      <c r="AY54" s="30" t="s">
        <v>175</v>
      </c>
      <c r="AZ54" s="30" t="s">
        <v>142</v>
      </c>
      <c r="BA54" s="11" t="s">
        <v>60</v>
      </c>
      <c r="BC54" s="28">
        <f t="shared" si="17"/>
        <v>0</v>
      </c>
      <c r="BD54" s="28">
        <f t="shared" si="18"/>
        <v>0</v>
      </c>
      <c r="BE54" s="28">
        <v>0</v>
      </c>
      <c r="BF54" s="28">
        <f>54</f>
        <v>54</v>
      </c>
      <c r="BH54" s="28">
        <f t="shared" si="19"/>
        <v>0</v>
      </c>
      <c r="BI54" s="28">
        <f t="shared" si="20"/>
        <v>0</v>
      </c>
      <c r="BJ54" s="28">
        <f t="shared" si="21"/>
        <v>0</v>
      </c>
      <c r="BK54" s="28"/>
      <c r="BL54" s="28">
        <v>64</v>
      </c>
      <c r="BW54" s="28">
        <v>21</v>
      </c>
    </row>
    <row r="55" spans="1:75">
      <c r="A55" s="31" t="s">
        <v>51</v>
      </c>
      <c r="B55" s="32" t="s">
        <v>191</v>
      </c>
      <c r="C55" s="79" t="s">
        <v>192</v>
      </c>
      <c r="D55" s="80"/>
      <c r="E55" s="33" t="s">
        <v>4</v>
      </c>
      <c r="F55" s="33" t="s">
        <v>4</v>
      </c>
      <c r="G55" s="34" t="s">
        <v>4</v>
      </c>
      <c r="H55" s="1">
        <f>SUM(H56:H57)</f>
        <v>0</v>
      </c>
      <c r="I55" s="1">
        <f>SUM(I56:I57)</f>
        <v>0</v>
      </c>
      <c r="J55" s="1">
        <f>SUM(J56:J57)</f>
        <v>0</v>
      </c>
      <c r="K55" s="11" t="s">
        <v>51</v>
      </c>
      <c r="L55" s="27"/>
      <c r="AI55" s="11" t="s">
        <v>51</v>
      </c>
      <c r="AS55" s="1">
        <f>SUM(AJ56:AJ57)</f>
        <v>0</v>
      </c>
      <c r="AT55" s="1">
        <f>SUM(AK56:AK57)</f>
        <v>0</v>
      </c>
      <c r="AU55" s="1">
        <f>SUM(AL56:AL57)</f>
        <v>0</v>
      </c>
    </row>
    <row r="56" spans="1:75" ht="13.5" customHeight="1">
      <c r="A56" s="2" t="s">
        <v>193</v>
      </c>
      <c r="B56" s="3" t="s">
        <v>194</v>
      </c>
      <c r="C56" s="75" t="s">
        <v>195</v>
      </c>
      <c r="D56" s="76"/>
      <c r="E56" s="3" t="s">
        <v>71</v>
      </c>
      <c r="F56" s="28">
        <v>142.07</v>
      </c>
      <c r="G56" s="29">
        <v>0</v>
      </c>
      <c r="H56" s="28">
        <f>F56*AO56</f>
        <v>0</v>
      </c>
      <c r="I56" s="28">
        <f>F56*AP56</f>
        <v>0</v>
      </c>
      <c r="J56" s="28">
        <f>F56*G56</f>
        <v>0</v>
      </c>
      <c r="K56" s="30" t="s">
        <v>72</v>
      </c>
      <c r="L56" s="27"/>
      <c r="Z56" s="28">
        <f>IF(AQ56="5",BJ56,0)</f>
        <v>0</v>
      </c>
      <c r="AB56" s="28">
        <f>IF(AQ56="1",BH56,0)</f>
        <v>0</v>
      </c>
      <c r="AC56" s="28">
        <f>IF(AQ56="1",BI56,0)</f>
        <v>0</v>
      </c>
      <c r="AD56" s="28">
        <f>IF(AQ56="7",BH56,0)</f>
        <v>0</v>
      </c>
      <c r="AE56" s="28">
        <f>IF(AQ56="7",BI56,0)</f>
        <v>0</v>
      </c>
      <c r="AF56" s="28">
        <f>IF(AQ56="2",BH56,0)</f>
        <v>0</v>
      </c>
      <c r="AG56" s="28">
        <f>IF(AQ56="2",BI56,0)</f>
        <v>0</v>
      </c>
      <c r="AH56" s="28">
        <f>IF(AQ56="0",BJ56,0)</f>
        <v>0</v>
      </c>
      <c r="AI56" s="11" t="s">
        <v>51</v>
      </c>
      <c r="AJ56" s="28">
        <f>IF(AN56=0,J56,0)</f>
        <v>0</v>
      </c>
      <c r="AK56" s="28">
        <f>IF(AN56=12,J56,0)</f>
        <v>0</v>
      </c>
      <c r="AL56" s="28">
        <f>IF(AN56=21,J56,0)</f>
        <v>0</v>
      </c>
      <c r="AN56" s="28">
        <v>21</v>
      </c>
      <c r="AO56" s="28">
        <f>G56*0.897035469</f>
        <v>0</v>
      </c>
      <c r="AP56" s="28">
        <f>G56*(1-0.897035469)</f>
        <v>0</v>
      </c>
      <c r="AQ56" s="30" t="s">
        <v>81</v>
      </c>
      <c r="AV56" s="28">
        <f>AW56+AX56</f>
        <v>0</v>
      </c>
      <c r="AW56" s="28">
        <f>F56*AO56</f>
        <v>0</v>
      </c>
      <c r="AX56" s="28">
        <f>F56*AP56</f>
        <v>0</v>
      </c>
      <c r="AY56" s="30" t="s">
        <v>196</v>
      </c>
      <c r="AZ56" s="30" t="s">
        <v>197</v>
      </c>
      <c r="BA56" s="11" t="s">
        <v>60</v>
      </c>
      <c r="BC56" s="28">
        <f>AW56+AX56</f>
        <v>0</v>
      </c>
      <c r="BD56" s="28">
        <f>G56/(100-BE56)*100</f>
        <v>0</v>
      </c>
      <c r="BE56" s="28">
        <v>0</v>
      </c>
      <c r="BF56" s="28">
        <f>56</f>
        <v>56</v>
      </c>
      <c r="BH56" s="28">
        <f>F56*AO56</f>
        <v>0</v>
      </c>
      <c r="BI56" s="28">
        <f>F56*AP56</f>
        <v>0</v>
      </c>
      <c r="BJ56" s="28">
        <f>F56*G56</f>
        <v>0</v>
      </c>
      <c r="BK56" s="28"/>
      <c r="BL56" s="28">
        <v>713</v>
      </c>
      <c r="BW56" s="28">
        <v>21</v>
      </c>
    </row>
    <row r="57" spans="1:75" ht="27" customHeight="1">
      <c r="A57" s="2" t="s">
        <v>87</v>
      </c>
      <c r="B57" s="3" t="s">
        <v>198</v>
      </c>
      <c r="C57" s="75" t="s">
        <v>199</v>
      </c>
      <c r="D57" s="76"/>
      <c r="E57" s="3" t="s">
        <v>71</v>
      </c>
      <c r="F57" s="28">
        <v>142.07</v>
      </c>
      <c r="G57" s="29">
        <v>0</v>
      </c>
      <c r="H57" s="28">
        <f>F57*AO57</f>
        <v>0</v>
      </c>
      <c r="I57" s="28">
        <f>F57*AP57</f>
        <v>0</v>
      </c>
      <c r="J57" s="28">
        <f>F57*G57</f>
        <v>0</v>
      </c>
      <c r="K57" s="30" t="s">
        <v>72</v>
      </c>
      <c r="L57" s="27"/>
      <c r="Z57" s="28">
        <f>IF(AQ57="5",BJ57,0)</f>
        <v>0</v>
      </c>
      <c r="AB57" s="28">
        <f>IF(AQ57="1",BH57,0)</f>
        <v>0</v>
      </c>
      <c r="AC57" s="28">
        <f>IF(AQ57="1",BI57,0)</f>
        <v>0</v>
      </c>
      <c r="AD57" s="28">
        <f>IF(AQ57="7",BH57,0)</f>
        <v>0</v>
      </c>
      <c r="AE57" s="28">
        <f>IF(AQ57="7",BI57,0)</f>
        <v>0</v>
      </c>
      <c r="AF57" s="28">
        <f>IF(AQ57="2",BH57,0)</f>
        <v>0</v>
      </c>
      <c r="AG57" s="28">
        <f>IF(AQ57="2",BI57,0)</f>
        <v>0</v>
      </c>
      <c r="AH57" s="28">
        <f>IF(AQ57="0",BJ57,0)</f>
        <v>0</v>
      </c>
      <c r="AI57" s="11" t="s">
        <v>51</v>
      </c>
      <c r="AJ57" s="28">
        <f>IF(AN57=0,J57,0)</f>
        <v>0</v>
      </c>
      <c r="AK57" s="28">
        <f>IF(AN57=12,J57,0)</f>
        <v>0</v>
      </c>
      <c r="AL57" s="28">
        <f>IF(AN57=21,J57,0)</f>
        <v>0</v>
      </c>
      <c r="AN57" s="28">
        <v>21</v>
      </c>
      <c r="AO57" s="28">
        <f>G57*0.418451613</f>
        <v>0</v>
      </c>
      <c r="AP57" s="28">
        <f>G57*(1-0.418451613)</f>
        <v>0</v>
      </c>
      <c r="AQ57" s="30" t="s">
        <v>81</v>
      </c>
      <c r="AV57" s="28">
        <f>AW57+AX57</f>
        <v>0</v>
      </c>
      <c r="AW57" s="28">
        <f>F57*AO57</f>
        <v>0</v>
      </c>
      <c r="AX57" s="28">
        <f>F57*AP57</f>
        <v>0</v>
      </c>
      <c r="AY57" s="30" t="s">
        <v>196</v>
      </c>
      <c r="AZ57" s="30" t="s">
        <v>197</v>
      </c>
      <c r="BA57" s="11" t="s">
        <v>60</v>
      </c>
      <c r="BC57" s="28">
        <f>AW57+AX57</f>
        <v>0</v>
      </c>
      <c r="BD57" s="28">
        <f>G57/(100-BE57)*100</f>
        <v>0</v>
      </c>
      <c r="BE57" s="28">
        <v>0</v>
      </c>
      <c r="BF57" s="28">
        <f>57</f>
        <v>57</v>
      </c>
      <c r="BH57" s="28">
        <f>F57*AO57</f>
        <v>0</v>
      </c>
      <c r="BI57" s="28">
        <f>F57*AP57</f>
        <v>0</v>
      </c>
      <c r="BJ57" s="28">
        <f>F57*G57</f>
        <v>0</v>
      </c>
      <c r="BK57" s="28"/>
      <c r="BL57" s="28">
        <v>713</v>
      </c>
      <c r="BW57" s="28">
        <v>21</v>
      </c>
    </row>
    <row r="58" spans="1:75">
      <c r="A58" s="31" t="s">
        <v>51</v>
      </c>
      <c r="B58" s="32" t="s">
        <v>200</v>
      </c>
      <c r="C58" s="79" t="s">
        <v>201</v>
      </c>
      <c r="D58" s="80"/>
      <c r="E58" s="33" t="s">
        <v>4</v>
      </c>
      <c r="F58" s="33" t="s">
        <v>4</v>
      </c>
      <c r="G58" s="34" t="s">
        <v>4</v>
      </c>
      <c r="H58" s="1">
        <f>SUM(H59:H69)</f>
        <v>0</v>
      </c>
      <c r="I58" s="1">
        <f>SUM(I59:I69)</f>
        <v>0</v>
      </c>
      <c r="J58" s="1">
        <f>SUM(J59:J69)</f>
        <v>0</v>
      </c>
      <c r="K58" s="11" t="s">
        <v>51</v>
      </c>
      <c r="L58" s="27"/>
      <c r="AI58" s="11" t="s">
        <v>51</v>
      </c>
      <c r="AS58" s="1">
        <f>SUM(AJ59:AJ69)</f>
        <v>0</v>
      </c>
      <c r="AT58" s="1">
        <f>SUM(AK59:AK69)</f>
        <v>0</v>
      </c>
      <c r="AU58" s="1">
        <f>SUM(AL59:AL69)</f>
        <v>0</v>
      </c>
    </row>
    <row r="59" spans="1:75" ht="13.5" customHeight="1">
      <c r="A59" s="2" t="s">
        <v>202</v>
      </c>
      <c r="B59" s="3" t="s">
        <v>203</v>
      </c>
      <c r="C59" s="75" t="s">
        <v>204</v>
      </c>
      <c r="D59" s="76"/>
      <c r="E59" s="3" t="s">
        <v>140</v>
      </c>
      <c r="F59" s="28">
        <v>6</v>
      </c>
      <c r="G59" s="29">
        <v>0</v>
      </c>
      <c r="H59" s="28">
        <f t="shared" ref="H59:H69" si="22">F59*AO59</f>
        <v>0</v>
      </c>
      <c r="I59" s="28">
        <f t="shared" ref="I59:I69" si="23">F59*AP59</f>
        <v>0</v>
      </c>
      <c r="J59" s="28">
        <f t="shared" ref="J59:J69" si="24">F59*G59</f>
        <v>0</v>
      </c>
      <c r="K59" s="30" t="s">
        <v>72</v>
      </c>
      <c r="L59" s="27"/>
      <c r="Z59" s="28">
        <f t="shared" ref="Z59:Z69" si="25">IF(AQ59="5",BJ59,0)</f>
        <v>0</v>
      </c>
      <c r="AB59" s="28">
        <f t="shared" ref="AB59:AB69" si="26">IF(AQ59="1",BH59,0)</f>
        <v>0</v>
      </c>
      <c r="AC59" s="28">
        <f t="shared" ref="AC59:AC69" si="27">IF(AQ59="1",BI59,0)</f>
        <v>0</v>
      </c>
      <c r="AD59" s="28">
        <f t="shared" ref="AD59:AD69" si="28">IF(AQ59="7",BH59,0)</f>
        <v>0</v>
      </c>
      <c r="AE59" s="28">
        <f t="shared" ref="AE59:AE69" si="29">IF(AQ59="7",BI59,0)</f>
        <v>0</v>
      </c>
      <c r="AF59" s="28">
        <f t="shared" ref="AF59:AF69" si="30">IF(AQ59="2",BH59,0)</f>
        <v>0</v>
      </c>
      <c r="AG59" s="28">
        <f t="shared" ref="AG59:AG69" si="31">IF(AQ59="2",BI59,0)</f>
        <v>0</v>
      </c>
      <c r="AH59" s="28">
        <f t="shared" ref="AH59:AH69" si="32">IF(AQ59="0",BJ59,0)</f>
        <v>0</v>
      </c>
      <c r="AI59" s="11" t="s">
        <v>51</v>
      </c>
      <c r="AJ59" s="28">
        <f t="shared" ref="AJ59:AJ69" si="33">IF(AN59=0,J59,0)</f>
        <v>0</v>
      </c>
      <c r="AK59" s="28">
        <f t="shared" ref="AK59:AK69" si="34">IF(AN59=12,J59,0)</f>
        <v>0</v>
      </c>
      <c r="AL59" s="28">
        <f t="shared" ref="AL59:AL69" si="35">IF(AN59=21,J59,0)</f>
        <v>0</v>
      </c>
      <c r="AN59" s="28">
        <v>21</v>
      </c>
      <c r="AO59" s="28">
        <f>G59*0.387809847</f>
        <v>0</v>
      </c>
      <c r="AP59" s="28">
        <f>G59*(1-0.387809847)</f>
        <v>0</v>
      </c>
      <c r="AQ59" s="30" t="s">
        <v>81</v>
      </c>
      <c r="AV59" s="28">
        <f t="shared" ref="AV59:AV69" si="36">AW59+AX59</f>
        <v>0</v>
      </c>
      <c r="AW59" s="28">
        <f t="shared" ref="AW59:AW69" si="37">F59*AO59</f>
        <v>0</v>
      </c>
      <c r="AX59" s="28">
        <f t="shared" ref="AX59:AX69" si="38">F59*AP59</f>
        <v>0</v>
      </c>
      <c r="AY59" s="30" t="s">
        <v>205</v>
      </c>
      <c r="AZ59" s="30" t="s">
        <v>206</v>
      </c>
      <c r="BA59" s="11" t="s">
        <v>60</v>
      </c>
      <c r="BC59" s="28">
        <f t="shared" ref="BC59:BC69" si="39">AW59+AX59</f>
        <v>0</v>
      </c>
      <c r="BD59" s="28">
        <f t="shared" ref="BD59:BD69" si="40">G59/(100-BE59)*100</f>
        <v>0</v>
      </c>
      <c r="BE59" s="28">
        <v>0</v>
      </c>
      <c r="BF59" s="28">
        <f>59</f>
        <v>59</v>
      </c>
      <c r="BH59" s="28">
        <f t="shared" ref="BH59:BH69" si="41">F59*AO59</f>
        <v>0</v>
      </c>
      <c r="BI59" s="28">
        <f t="shared" ref="BI59:BI69" si="42">F59*AP59</f>
        <v>0</v>
      </c>
      <c r="BJ59" s="28">
        <f t="shared" ref="BJ59:BJ69" si="43">F59*G59</f>
        <v>0</v>
      </c>
      <c r="BK59" s="28"/>
      <c r="BL59" s="28">
        <v>721</v>
      </c>
      <c r="BW59" s="28">
        <v>21</v>
      </c>
    </row>
    <row r="60" spans="1:75" ht="13.5" customHeight="1">
      <c r="A60" s="2" t="s">
        <v>207</v>
      </c>
      <c r="B60" s="3" t="s">
        <v>208</v>
      </c>
      <c r="C60" s="75" t="s">
        <v>209</v>
      </c>
      <c r="D60" s="76"/>
      <c r="E60" s="3" t="s">
        <v>140</v>
      </c>
      <c r="F60" s="28">
        <v>4</v>
      </c>
      <c r="G60" s="29">
        <v>0</v>
      </c>
      <c r="H60" s="28">
        <f t="shared" si="22"/>
        <v>0</v>
      </c>
      <c r="I60" s="28">
        <f t="shared" si="23"/>
        <v>0</v>
      </c>
      <c r="J60" s="28">
        <f t="shared" si="24"/>
        <v>0</v>
      </c>
      <c r="K60" s="30" t="s">
        <v>72</v>
      </c>
      <c r="L60" s="27"/>
      <c r="Z60" s="28">
        <f t="shared" si="25"/>
        <v>0</v>
      </c>
      <c r="AB60" s="28">
        <f t="shared" si="26"/>
        <v>0</v>
      </c>
      <c r="AC60" s="28">
        <f t="shared" si="27"/>
        <v>0</v>
      </c>
      <c r="AD60" s="28">
        <f t="shared" si="28"/>
        <v>0</v>
      </c>
      <c r="AE60" s="28">
        <f t="shared" si="29"/>
        <v>0</v>
      </c>
      <c r="AF60" s="28">
        <f t="shared" si="30"/>
        <v>0</v>
      </c>
      <c r="AG60" s="28">
        <f t="shared" si="31"/>
        <v>0</v>
      </c>
      <c r="AH60" s="28">
        <f t="shared" si="32"/>
        <v>0</v>
      </c>
      <c r="AI60" s="11" t="s">
        <v>51</v>
      </c>
      <c r="AJ60" s="28">
        <f t="shared" si="33"/>
        <v>0</v>
      </c>
      <c r="AK60" s="28">
        <f t="shared" si="34"/>
        <v>0</v>
      </c>
      <c r="AL60" s="28">
        <f t="shared" si="35"/>
        <v>0</v>
      </c>
      <c r="AN60" s="28">
        <v>21</v>
      </c>
      <c r="AO60" s="28">
        <f>G60*0.369389313</f>
        <v>0</v>
      </c>
      <c r="AP60" s="28">
        <f>G60*(1-0.369389313)</f>
        <v>0</v>
      </c>
      <c r="AQ60" s="30" t="s">
        <v>81</v>
      </c>
      <c r="AV60" s="28">
        <f t="shared" si="36"/>
        <v>0</v>
      </c>
      <c r="AW60" s="28">
        <f t="shared" si="37"/>
        <v>0</v>
      </c>
      <c r="AX60" s="28">
        <f t="shared" si="38"/>
        <v>0</v>
      </c>
      <c r="AY60" s="30" t="s">
        <v>205</v>
      </c>
      <c r="AZ60" s="30" t="s">
        <v>206</v>
      </c>
      <c r="BA60" s="11" t="s">
        <v>60</v>
      </c>
      <c r="BC60" s="28">
        <f t="shared" si="39"/>
        <v>0</v>
      </c>
      <c r="BD60" s="28">
        <f t="shared" si="40"/>
        <v>0</v>
      </c>
      <c r="BE60" s="28">
        <v>0</v>
      </c>
      <c r="BF60" s="28">
        <f>60</f>
        <v>60</v>
      </c>
      <c r="BH60" s="28">
        <f t="shared" si="41"/>
        <v>0</v>
      </c>
      <c r="BI60" s="28">
        <f t="shared" si="42"/>
        <v>0</v>
      </c>
      <c r="BJ60" s="28">
        <f t="shared" si="43"/>
        <v>0</v>
      </c>
      <c r="BK60" s="28"/>
      <c r="BL60" s="28">
        <v>721</v>
      </c>
      <c r="BW60" s="28">
        <v>21</v>
      </c>
    </row>
    <row r="61" spans="1:75" ht="13.5" customHeight="1">
      <c r="A61" s="2" t="s">
        <v>210</v>
      </c>
      <c r="B61" s="3" t="s">
        <v>211</v>
      </c>
      <c r="C61" s="75" t="s">
        <v>212</v>
      </c>
      <c r="D61" s="76"/>
      <c r="E61" s="3" t="s">
        <v>140</v>
      </c>
      <c r="F61" s="28">
        <v>8</v>
      </c>
      <c r="G61" s="29">
        <v>0</v>
      </c>
      <c r="H61" s="28">
        <f t="shared" si="22"/>
        <v>0</v>
      </c>
      <c r="I61" s="28">
        <f t="shared" si="23"/>
        <v>0</v>
      </c>
      <c r="J61" s="28">
        <f t="shared" si="24"/>
        <v>0</v>
      </c>
      <c r="K61" s="30" t="s">
        <v>72</v>
      </c>
      <c r="L61" s="27"/>
      <c r="Z61" s="28">
        <f t="shared" si="25"/>
        <v>0</v>
      </c>
      <c r="AB61" s="28">
        <f t="shared" si="26"/>
        <v>0</v>
      </c>
      <c r="AC61" s="28">
        <f t="shared" si="27"/>
        <v>0</v>
      </c>
      <c r="AD61" s="28">
        <f t="shared" si="28"/>
        <v>0</v>
      </c>
      <c r="AE61" s="28">
        <f t="shared" si="29"/>
        <v>0</v>
      </c>
      <c r="AF61" s="28">
        <f t="shared" si="30"/>
        <v>0</v>
      </c>
      <c r="AG61" s="28">
        <f t="shared" si="31"/>
        <v>0</v>
      </c>
      <c r="AH61" s="28">
        <f t="shared" si="32"/>
        <v>0</v>
      </c>
      <c r="AI61" s="11" t="s">
        <v>51</v>
      </c>
      <c r="AJ61" s="28">
        <f t="shared" si="33"/>
        <v>0</v>
      </c>
      <c r="AK61" s="28">
        <f t="shared" si="34"/>
        <v>0</v>
      </c>
      <c r="AL61" s="28">
        <f t="shared" si="35"/>
        <v>0</v>
      </c>
      <c r="AN61" s="28">
        <v>21</v>
      </c>
      <c r="AO61" s="28">
        <f>G61*0.477365967</f>
        <v>0</v>
      </c>
      <c r="AP61" s="28">
        <f>G61*(1-0.477365967)</f>
        <v>0</v>
      </c>
      <c r="AQ61" s="30" t="s">
        <v>81</v>
      </c>
      <c r="AV61" s="28">
        <f t="shared" si="36"/>
        <v>0</v>
      </c>
      <c r="AW61" s="28">
        <f t="shared" si="37"/>
        <v>0</v>
      </c>
      <c r="AX61" s="28">
        <f t="shared" si="38"/>
        <v>0</v>
      </c>
      <c r="AY61" s="30" t="s">
        <v>205</v>
      </c>
      <c r="AZ61" s="30" t="s">
        <v>206</v>
      </c>
      <c r="BA61" s="11" t="s">
        <v>60</v>
      </c>
      <c r="BC61" s="28">
        <f t="shared" si="39"/>
        <v>0</v>
      </c>
      <c r="BD61" s="28">
        <f t="shared" si="40"/>
        <v>0</v>
      </c>
      <c r="BE61" s="28">
        <v>0</v>
      </c>
      <c r="BF61" s="28">
        <f>61</f>
        <v>61</v>
      </c>
      <c r="BH61" s="28">
        <f t="shared" si="41"/>
        <v>0</v>
      </c>
      <c r="BI61" s="28">
        <f t="shared" si="42"/>
        <v>0</v>
      </c>
      <c r="BJ61" s="28">
        <f t="shared" si="43"/>
        <v>0</v>
      </c>
      <c r="BK61" s="28"/>
      <c r="BL61" s="28">
        <v>721</v>
      </c>
      <c r="BW61" s="28">
        <v>21</v>
      </c>
    </row>
    <row r="62" spans="1:75" ht="13.5" customHeight="1">
      <c r="A62" s="2" t="s">
        <v>213</v>
      </c>
      <c r="B62" s="3" t="s">
        <v>214</v>
      </c>
      <c r="C62" s="75" t="s">
        <v>215</v>
      </c>
      <c r="D62" s="76"/>
      <c r="E62" s="3" t="s">
        <v>57</v>
      </c>
      <c r="F62" s="28">
        <v>2</v>
      </c>
      <c r="G62" s="29">
        <v>0</v>
      </c>
      <c r="H62" s="28">
        <f t="shared" si="22"/>
        <v>0</v>
      </c>
      <c r="I62" s="28">
        <f t="shared" si="23"/>
        <v>0</v>
      </c>
      <c r="J62" s="28">
        <f t="shared" si="24"/>
        <v>0</v>
      </c>
      <c r="K62" s="30" t="s">
        <v>72</v>
      </c>
      <c r="L62" s="27"/>
      <c r="Z62" s="28">
        <f t="shared" si="25"/>
        <v>0</v>
      </c>
      <c r="AB62" s="28">
        <f t="shared" si="26"/>
        <v>0</v>
      </c>
      <c r="AC62" s="28">
        <f t="shared" si="27"/>
        <v>0</v>
      </c>
      <c r="AD62" s="28">
        <f t="shared" si="28"/>
        <v>0</v>
      </c>
      <c r="AE62" s="28">
        <f t="shared" si="29"/>
        <v>0</v>
      </c>
      <c r="AF62" s="28">
        <f t="shared" si="30"/>
        <v>0</v>
      </c>
      <c r="AG62" s="28">
        <f t="shared" si="31"/>
        <v>0</v>
      </c>
      <c r="AH62" s="28">
        <f t="shared" si="32"/>
        <v>0</v>
      </c>
      <c r="AI62" s="11" t="s">
        <v>51</v>
      </c>
      <c r="AJ62" s="28">
        <f t="shared" si="33"/>
        <v>0</v>
      </c>
      <c r="AK62" s="28">
        <f t="shared" si="34"/>
        <v>0</v>
      </c>
      <c r="AL62" s="28">
        <f t="shared" si="35"/>
        <v>0</v>
      </c>
      <c r="AN62" s="28">
        <v>21</v>
      </c>
      <c r="AO62" s="28">
        <f>G62*0.828831814</f>
        <v>0</v>
      </c>
      <c r="AP62" s="28">
        <f>G62*(1-0.828831814)</f>
        <v>0</v>
      </c>
      <c r="AQ62" s="30" t="s">
        <v>81</v>
      </c>
      <c r="AV62" s="28">
        <f t="shared" si="36"/>
        <v>0</v>
      </c>
      <c r="AW62" s="28">
        <f t="shared" si="37"/>
        <v>0</v>
      </c>
      <c r="AX62" s="28">
        <f t="shared" si="38"/>
        <v>0</v>
      </c>
      <c r="AY62" s="30" t="s">
        <v>205</v>
      </c>
      <c r="AZ62" s="30" t="s">
        <v>206</v>
      </c>
      <c r="BA62" s="11" t="s">
        <v>60</v>
      </c>
      <c r="BC62" s="28">
        <f t="shared" si="39"/>
        <v>0</v>
      </c>
      <c r="BD62" s="28">
        <f t="shared" si="40"/>
        <v>0</v>
      </c>
      <c r="BE62" s="28">
        <v>0</v>
      </c>
      <c r="BF62" s="28">
        <f>62</f>
        <v>62</v>
      </c>
      <c r="BH62" s="28">
        <f t="shared" si="41"/>
        <v>0</v>
      </c>
      <c r="BI62" s="28">
        <f t="shared" si="42"/>
        <v>0</v>
      </c>
      <c r="BJ62" s="28">
        <f t="shared" si="43"/>
        <v>0</v>
      </c>
      <c r="BK62" s="28"/>
      <c r="BL62" s="28">
        <v>721</v>
      </c>
      <c r="BW62" s="28">
        <v>21</v>
      </c>
    </row>
    <row r="63" spans="1:75" ht="13.5" customHeight="1">
      <c r="A63" s="2" t="s">
        <v>216</v>
      </c>
      <c r="B63" s="3" t="s">
        <v>217</v>
      </c>
      <c r="C63" s="75" t="s">
        <v>218</v>
      </c>
      <c r="D63" s="76"/>
      <c r="E63" s="3" t="s">
        <v>57</v>
      </c>
      <c r="F63" s="28">
        <v>4</v>
      </c>
      <c r="G63" s="29">
        <v>0</v>
      </c>
      <c r="H63" s="28">
        <f t="shared" si="22"/>
        <v>0</v>
      </c>
      <c r="I63" s="28">
        <f t="shared" si="23"/>
        <v>0</v>
      </c>
      <c r="J63" s="28">
        <f t="shared" si="24"/>
        <v>0</v>
      </c>
      <c r="K63" s="30" t="s">
        <v>72</v>
      </c>
      <c r="L63" s="27"/>
      <c r="Z63" s="28">
        <f t="shared" si="25"/>
        <v>0</v>
      </c>
      <c r="AB63" s="28">
        <f t="shared" si="26"/>
        <v>0</v>
      </c>
      <c r="AC63" s="28">
        <f t="shared" si="27"/>
        <v>0</v>
      </c>
      <c r="AD63" s="28">
        <f t="shared" si="28"/>
        <v>0</v>
      </c>
      <c r="AE63" s="28">
        <f t="shared" si="29"/>
        <v>0</v>
      </c>
      <c r="AF63" s="28">
        <f t="shared" si="30"/>
        <v>0</v>
      </c>
      <c r="AG63" s="28">
        <f t="shared" si="31"/>
        <v>0</v>
      </c>
      <c r="AH63" s="28">
        <f t="shared" si="32"/>
        <v>0</v>
      </c>
      <c r="AI63" s="11" t="s">
        <v>51</v>
      </c>
      <c r="AJ63" s="28">
        <f t="shared" si="33"/>
        <v>0</v>
      </c>
      <c r="AK63" s="28">
        <f t="shared" si="34"/>
        <v>0</v>
      </c>
      <c r="AL63" s="28">
        <f t="shared" si="35"/>
        <v>0</v>
      </c>
      <c r="AN63" s="28">
        <v>21</v>
      </c>
      <c r="AO63" s="28">
        <f>G63*0</f>
        <v>0</v>
      </c>
      <c r="AP63" s="28">
        <f>G63*(1-0)</f>
        <v>0</v>
      </c>
      <c r="AQ63" s="30" t="s">
        <v>81</v>
      </c>
      <c r="AV63" s="28">
        <f t="shared" si="36"/>
        <v>0</v>
      </c>
      <c r="AW63" s="28">
        <f t="shared" si="37"/>
        <v>0</v>
      </c>
      <c r="AX63" s="28">
        <f t="shared" si="38"/>
        <v>0</v>
      </c>
      <c r="AY63" s="30" t="s">
        <v>205</v>
      </c>
      <c r="AZ63" s="30" t="s">
        <v>206</v>
      </c>
      <c r="BA63" s="11" t="s">
        <v>60</v>
      </c>
      <c r="BC63" s="28">
        <f t="shared" si="39"/>
        <v>0</v>
      </c>
      <c r="BD63" s="28">
        <f t="shared" si="40"/>
        <v>0</v>
      </c>
      <c r="BE63" s="28">
        <v>0</v>
      </c>
      <c r="BF63" s="28">
        <f>63</f>
        <v>63</v>
      </c>
      <c r="BH63" s="28">
        <f t="shared" si="41"/>
        <v>0</v>
      </c>
      <c r="BI63" s="28">
        <f t="shared" si="42"/>
        <v>0</v>
      </c>
      <c r="BJ63" s="28">
        <f t="shared" si="43"/>
        <v>0</v>
      </c>
      <c r="BK63" s="28"/>
      <c r="BL63" s="28">
        <v>721</v>
      </c>
      <c r="BW63" s="28">
        <v>21</v>
      </c>
    </row>
    <row r="64" spans="1:75" ht="13.5" customHeight="1">
      <c r="A64" s="2" t="s">
        <v>219</v>
      </c>
      <c r="B64" s="3" t="s">
        <v>220</v>
      </c>
      <c r="C64" s="75" t="s">
        <v>221</v>
      </c>
      <c r="D64" s="76"/>
      <c r="E64" s="3" t="s">
        <v>57</v>
      </c>
      <c r="F64" s="28">
        <v>3</v>
      </c>
      <c r="G64" s="29">
        <v>0</v>
      </c>
      <c r="H64" s="28">
        <f t="shared" si="22"/>
        <v>0</v>
      </c>
      <c r="I64" s="28">
        <f t="shared" si="23"/>
        <v>0</v>
      </c>
      <c r="J64" s="28">
        <f t="shared" si="24"/>
        <v>0</v>
      </c>
      <c r="K64" s="30" t="s">
        <v>72</v>
      </c>
      <c r="L64" s="27"/>
      <c r="Z64" s="28">
        <f t="shared" si="25"/>
        <v>0</v>
      </c>
      <c r="AB64" s="28">
        <f t="shared" si="26"/>
        <v>0</v>
      </c>
      <c r="AC64" s="28">
        <f t="shared" si="27"/>
        <v>0</v>
      </c>
      <c r="AD64" s="28">
        <f t="shared" si="28"/>
        <v>0</v>
      </c>
      <c r="AE64" s="28">
        <f t="shared" si="29"/>
        <v>0</v>
      </c>
      <c r="AF64" s="28">
        <f t="shared" si="30"/>
        <v>0</v>
      </c>
      <c r="AG64" s="28">
        <f t="shared" si="31"/>
        <v>0</v>
      </c>
      <c r="AH64" s="28">
        <f t="shared" si="32"/>
        <v>0</v>
      </c>
      <c r="AI64" s="11" t="s">
        <v>51</v>
      </c>
      <c r="AJ64" s="28">
        <f t="shared" si="33"/>
        <v>0</v>
      </c>
      <c r="AK64" s="28">
        <f t="shared" si="34"/>
        <v>0</v>
      </c>
      <c r="AL64" s="28">
        <f t="shared" si="35"/>
        <v>0</v>
      </c>
      <c r="AN64" s="28">
        <v>21</v>
      </c>
      <c r="AO64" s="28">
        <f>G64*0</f>
        <v>0</v>
      </c>
      <c r="AP64" s="28">
        <f>G64*(1-0)</f>
        <v>0</v>
      </c>
      <c r="AQ64" s="30" t="s">
        <v>81</v>
      </c>
      <c r="AV64" s="28">
        <f t="shared" si="36"/>
        <v>0</v>
      </c>
      <c r="AW64" s="28">
        <f t="shared" si="37"/>
        <v>0</v>
      </c>
      <c r="AX64" s="28">
        <f t="shared" si="38"/>
        <v>0</v>
      </c>
      <c r="AY64" s="30" t="s">
        <v>205</v>
      </c>
      <c r="AZ64" s="30" t="s">
        <v>206</v>
      </c>
      <c r="BA64" s="11" t="s">
        <v>60</v>
      </c>
      <c r="BC64" s="28">
        <f t="shared" si="39"/>
        <v>0</v>
      </c>
      <c r="BD64" s="28">
        <f t="shared" si="40"/>
        <v>0</v>
      </c>
      <c r="BE64" s="28">
        <v>0</v>
      </c>
      <c r="BF64" s="28">
        <f>64</f>
        <v>64</v>
      </c>
      <c r="BH64" s="28">
        <f t="shared" si="41"/>
        <v>0</v>
      </c>
      <c r="BI64" s="28">
        <f t="shared" si="42"/>
        <v>0</v>
      </c>
      <c r="BJ64" s="28">
        <f t="shared" si="43"/>
        <v>0</v>
      </c>
      <c r="BK64" s="28"/>
      <c r="BL64" s="28">
        <v>721</v>
      </c>
      <c r="BW64" s="28">
        <v>21</v>
      </c>
    </row>
    <row r="65" spans="1:75" ht="27" customHeight="1">
      <c r="A65" s="2" t="s">
        <v>97</v>
      </c>
      <c r="B65" s="3" t="s">
        <v>222</v>
      </c>
      <c r="C65" s="75" t="s">
        <v>223</v>
      </c>
      <c r="D65" s="76"/>
      <c r="E65" s="3" t="s">
        <v>57</v>
      </c>
      <c r="F65" s="28">
        <v>1</v>
      </c>
      <c r="G65" s="29">
        <v>0</v>
      </c>
      <c r="H65" s="28">
        <f t="shared" si="22"/>
        <v>0</v>
      </c>
      <c r="I65" s="28">
        <f t="shared" si="23"/>
        <v>0</v>
      </c>
      <c r="J65" s="28">
        <f t="shared" si="24"/>
        <v>0</v>
      </c>
      <c r="K65" s="30" t="s">
        <v>58</v>
      </c>
      <c r="L65" s="27"/>
      <c r="Z65" s="28">
        <f t="shared" si="25"/>
        <v>0</v>
      </c>
      <c r="AB65" s="28">
        <f t="shared" si="26"/>
        <v>0</v>
      </c>
      <c r="AC65" s="28">
        <f t="shared" si="27"/>
        <v>0</v>
      </c>
      <c r="AD65" s="28">
        <f t="shared" si="28"/>
        <v>0</v>
      </c>
      <c r="AE65" s="28">
        <f t="shared" si="29"/>
        <v>0</v>
      </c>
      <c r="AF65" s="28">
        <f t="shared" si="30"/>
        <v>0</v>
      </c>
      <c r="AG65" s="28">
        <f t="shared" si="31"/>
        <v>0</v>
      </c>
      <c r="AH65" s="28">
        <f t="shared" si="32"/>
        <v>0</v>
      </c>
      <c r="AI65" s="11" t="s">
        <v>51</v>
      </c>
      <c r="AJ65" s="28">
        <f t="shared" si="33"/>
        <v>0</v>
      </c>
      <c r="AK65" s="28">
        <f t="shared" si="34"/>
        <v>0</v>
      </c>
      <c r="AL65" s="28">
        <f t="shared" si="35"/>
        <v>0</v>
      </c>
      <c r="AN65" s="28">
        <v>21</v>
      </c>
      <c r="AO65" s="28">
        <f>G65*0.919414131</f>
        <v>0</v>
      </c>
      <c r="AP65" s="28">
        <f>G65*(1-0.919414131)</f>
        <v>0</v>
      </c>
      <c r="AQ65" s="30" t="s">
        <v>81</v>
      </c>
      <c r="AV65" s="28">
        <f t="shared" si="36"/>
        <v>0</v>
      </c>
      <c r="AW65" s="28">
        <f t="shared" si="37"/>
        <v>0</v>
      </c>
      <c r="AX65" s="28">
        <f t="shared" si="38"/>
        <v>0</v>
      </c>
      <c r="AY65" s="30" t="s">
        <v>205</v>
      </c>
      <c r="AZ65" s="30" t="s">
        <v>206</v>
      </c>
      <c r="BA65" s="11" t="s">
        <v>60</v>
      </c>
      <c r="BC65" s="28">
        <f t="shared" si="39"/>
        <v>0</v>
      </c>
      <c r="BD65" s="28">
        <f t="shared" si="40"/>
        <v>0</v>
      </c>
      <c r="BE65" s="28">
        <v>0</v>
      </c>
      <c r="BF65" s="28">
        <f>65</f>
        <v>65</v>
      </c>
      <c r="BH65" s="28">
        <f t="shared" si="41"/>
        <v>0</v>
      </c>
      <c r="BI65" s="28">
        <f t="shared" si="42"/>
        <v>0</v>
      </c>
      <c r="BJ65" s="28">
        <f t="shared" si="43"/>
        <v>0</v>
      </c>
      <c r="BK65" s="28"/>
      <c r="BL65" s="28">
        <v>721</v>
      </c>
      <c r="BW65" s="28">
        <v>21</v>
      </c>
    </row>
    <row r="66" spans="1:75" ht="27" customHeight="1">
      <c r="A66" s="2" t="s">
        <v>224</v>
      </c>
      <c r="B66" s="3" t="s">
        <v>225</v>
      </c>
      <c r="C66" s="75" t="s">
        <v>226</v>
      </c>
      <c r="D66" s="76"/>
      <c r="E66" s="3" t="s">
        <v>57</v>
      </c>
      <c r="F66" s="28">
        <v>3</v>
      </c>
      <c r="G66" s="29">
        <v>0</v>
      </c>
      <c r="H66" s="28">
        <f t="shared" si="22"/>
        <v>0</v>
      </c>
      <c r="I66" s="28">
        <f t="shared" si="23"/>
        <v>0</v>
      </c>
      <c r="J66" s="28">
        <f t="shared" si="24"/>
        <v>0</v>
      </c>
      <c r="K66" s="30" t="s">
        <v>72</v>
      </c>
      <c r="L66" s="27"/>
      <c r="Z66" s="28">
        <f t="shared" si="25"/>
        <v>0</v>
      </c>
      <c r="AB66" s="28">
        <f t="shared" si="26"/>
        <v>0</v>
      </c>
      <c r="AC66" s="28">
        <f t="shared" si="27"/>
        <v>0</v>
      </c>
      <c r="AD66" s="28">
        <f t="shared" si="28"/>
        <v>0</v>
      </c>
      <c r="AE66" s="28">
        <f t="shared" si="29"/>
        <v>0</v>
      </c>
      <c r="AF66" s="28">
        <f t="shared" si="30"/>
        <v>0</v>
      </c>
      <c r="AG66" s="28">
        <f t="shared" si="31"/>
        <v>0</v>
      </c>
      <c r="AH66" s="28">
        <f t="shared" si="32"/>
        <v>0</v>
      </c>
      <c r="AI66" s="11" t="s">
        <v>51</v>
      </c>
      <c r="AJ66" s="28">
        <f t="shared" si="33"/>
        <v>0</v>
      </c>
      <c r="AK66" s="28">
        <f t="shared" si="34"/>
        <v>0</v>
      </c>
      <c r="AL66" s="28">
        <f t="shared" si="35"/>
        <v>0</v>
      </c>
      <c r="AN66" s="28">
        <v>21</v>
      </c>
      <c r="AO66" s="28">
        <f>G66*0.922236025</f>
        <v>0</v>
      </c>
      <c r="AP66" s="28">
        <f>G66*(1-0.922236025)</f>
        <v>0</v>
      </c>
      <c r="AQ66" s="30" t="s">
        <v>81</v>
      </c>
      <c r="AV66" s="28">
        <f t="shared" si="36"/>
        <v>0</v>
      </c>
      <c r="AW66" s="28">
        <f t="shared" si="37"/>
        <v>0</v>
      </c>
      <c r="AX66" s="28">
        <f t="shared" si="38"/>
        <v>0</v>
      </c>
      <c r="AY66" s="30" t="s">
        <v>205</v>
      </c>
      <c r="AZ66" s="30" t="s">
        <v>206</v>
      </c>
      <c r="BA66" s="11" t="s">
        <v>60</v>
      </c>
      <c r="BC66" s="28">
        <f t="shared" si="39"/>
        <v>0</v>
      </c>
      <c r="BD66" s="28">
        <f t="shared" si="40"/>
        <v>0</v>
      </c>
      <c r="BE66" s="28">
        <v>0</v>
      </c>
      <c r="BF66" s="28">
        <f>66</f>
        <v>66</v>
      </c>
      <c r="BH66" s="28">
        <f t="shared" si="41"/>
        <v>0</v>
      </c>
      <c r="BI66" s="28">
        <f t="shared" si="42"/>
        <v>0</v>
      </c>
      <c r="BJ66" s="28">
        <f t="shared" si="43"/>
        <v>0</v>
      </c>
      <c r="BK66" s="28"/>
      <c r="BL66" s="28">
        <v>721</v>
      </c>
      <c r="BW66" s="28">
        <v>21</v>
      </c>
    </row>
    <row r="67" spans="1:75" ht="13.5" customHeight="1">
      <c r="A67" s="2" t="s">
        <v>227</v>
      </c>
      <c r="B67" s="3" t="s">
        <v>228</v>
      </c>
      <c r="C67" s="75" t="s">
        <v>229</v>
      </c>
      <c r="D67" s="76"/>
      <c r="E67" s="3" t="s">
        <v>140</v>
      </c>
      <c r="F67" s="28">
        <v>25</v>
      </c>
      <c r="G67" s="29">
        <v>0</v>
      </c>
      <c r="H67" s="28">
        <f t="shared" si="22"/>
        <v>0</v>
      </c>
      <c r="I67" s="28">
        <f t="shared" si="23"/>
        <v>0</v>
      </c>
      <c r="J67" s="28">
        <f t="shared" si="24"/>
        <v>0</v>
      </c>
      <c r="K67" s="30" t="s">
        <v>72</v>
      </c>
      <c r="L67" s="27"/>
      <c r="Z67" s="28">
        <f t="shared" si="25"/>
        <v>0</v>
      </c>
      <c r="AB67" s="28">
        <f t="shared" si="26"/>
        <v>0</v>
      </c>
      <c r="AC67" s="28">
        <f t="shared" si="27"/>
        <v>0</v>
      </c>
      <c r="AD67" s="28">
        <f t="shared" si="28"/>
        <v>0</v>
      </c>
      <c r="AE67" s="28">
        <f t="shared" si="29"/>
        <v>0</v>
      </c>
      <c r="AF67" s="28">
        <f t="shared" si="30"/>
        <v>0</v>
      </c>
      <c r="AG67" s="28">
        <f t="shared" si="31"/>
        <v>0</v>
      </c>
      <c r="AH67" s="28">
        <f t="shared" si="32"/>
        <v>0</v>
      </c>
      <c r="AI67" s="11" t="s">
        <v>51</v>
      </c>
      <c r="AJ67" s="28">
        <f t="shared" si="33"/>
        <v>0</v>
      </c>
      <c r="AK67" s="28">
        <f t="shared" si="34"/>
        <v>0</v>
      </c>
      <c r="AL67" s="28">
        <f t="shared" si="35"/>
        <v>0</v>
      </c>
      <c r="AN67" s="28">
        <v>21</v>
      </c>
      <c r="AO67" s="28">
        <f>G67*0.029749104</f>
        <v>0</v>
      </c>
      <c r="AP67" s="28">
        <f>G67*(1-0.029749104)</f>
        <v>0</v>
      </c>
      <c r="AQ67" s="30" t="s">
        <v>81</v>
      </c>
      <c r="AV67" s="28">
        <f t="shared" si="36"/>
        <v>0</v>
      </c>
      <c r="AW67" s="28">
        <f t="shared" si="37"/>
        <v>0</v>
      </c>
      <c r="AX67" s="28">
        <f t="shared" si="38"/>
        <v>0</v>
      </c>
      <c r="AY67" s="30" t="s">
        <v>205</v>
      </c>
      <c r="AZ67" s="30" t="s">
        <v>206</v>
      </c>
      <c r="BA67" s="11" t="s">
        <v>60</v>
      </c>
      <c r="BC67" s="28">
        <f t="shared" si="39"/>
        <v>0</v>
      </c>
      <c r="BD67" s="28">
        <f t="shared" si="40"/>
        <v>0</v>
      </c>
      <c r="BE67" s="28">
        <v>0</v>
      </c>
      <c r="BF67" s="28">
        <f>67</f>
        <v>67</v>
      </c>
      <c r="BH67" s="28">
        <f t="shared" si="41"/>
        <v>0</v>
      </c>
      <c r="BI67" s="28">
        <f t="shared" si="42"/>
        <v>0</v>
      </c>
      <c r="BJ67" s="28">
        <f t="shared" si="43"/>
        <v>0</v>
      </c>
      <c r="BK67" s="28"/>
      <c r="BL67" s="28">
        <v>721</v>
      </c>
      <c r="BW67" s="28">
        <v>21</v>
      </c>
    </row>
    <row r="68" spans="1:75" ht="13.5" customHeight="1">
      <c r="A68" s="2" t="s">
        <v>230</v>
      </c>
      <c r="B68" s="3" t="s">
        <v>231</v>
      </c>
      <c r="C68" s="75" t="s">
        <v>232</v>
      </c>
      <c r="D68" s="76"/>
      <c r="E68" s="3" t="s">
        <v>140</v>
      </c>
      <c r="F68" s="28">
        <v>25</v>
      </c>
      <c r="G68" s="29">
        <v>0</v>
      </c>
      <c r="H68" s="28">
        <f t="shared" si="22"/>
        <v>0</v>
      </c>
      <c r="I68" s="28">
        <f t="shared" si="23"/>
        <v>0</v>
      </c>
      <c r="J68" s="28">
        <f t="shared" si="24"/>
        <v>0</v>
      </c>
      <c r="K68" s="30" t="s">
        <v>72</v>
      </c>
      <c r="L68" s="27"/>
      <c r="Z68" s="28">
        <f t="shared" si="25"/>
        <v>0</v>
      </c>
      <c r="AB68" s="28">
        <f t="shared" si="26"/>
        <v>0</v>
      </c>
      <c r="AC68" s="28">
        <f t="shared" si="27"/>
        <v>0</v>
      </c>
      <c r="AD68" s="28">
        <f t="shared" si="28"/>
        <v>0</v>
      </c>
      <c r="AE68" s="28">
        <f t="shared" si="29"/>
        <v>0</v>
      </c>
      <c r="AF68" s="28">
        <f t="shared" si="30"/>
        <v>0</v>
      </c>
      <c r="AG68" s="28">
        <f t="shared" si="31"/>
        <v>0</v>
      </c>
      <c r="AH68" s="28">
        <f t="shared" si="32"/>
        <v>0</v>
      </c>
      <c r="AI68" s="11" t="s">
        <v>51</v>
      </c>
      <c r="AJ68" s="28">
        <f t="shared" si="33"/>
        <v>0</v>
      </c>
      <c r="AK68" s="28">
        <f t="shared" si="34"/>
        <v>0</v>
      </c>
      <c r="AL68" s="28">
        <f t="shared" si="35"/>
        <v>0</v>
      </c>
      <c r="AN68" s="28">
        <v>21</v>
      </c>
      <c r="AO68" s="28">
        <f>G68*0</f>
        <v>0</v>
      </c>
      <c r="AP68" s="28">
        <f>G68*(1-0)</f>
        <v>0</v>
      </c>
      <c r="AQ68" s="30" t="s">
        <v>81</v>
      </c>
      <c r="AV68" s="28">
        <f t="shared" si="36"/>
        <v>0</v>
      </c>
      <c r="AW68" s="28">
        <f t="shared" si="37"/>
        <v>0</v>
      </c>
      <c r="AX68" s="28">
        <f t="shared" si="38"/>
        <v>0</v>
      </c>
      <c r="AY68" s="30" t="s">
        <v>205</v>
      </c>
      <c r="AZ68" s="30" t="s">
        <v>206</v>
      </c>
      <c r="BA68" s="11" t="s">
        <v>60</v>
      </c>
      <c r="BC68" s="28">
        <f t="shared" si="39"/>
        <v>0</v>
      </c>
      <c r="BD68" s="28">
        <f t="shared" si="40"/>
        <v>0</v>
      </c>
      <c r="BE68" s="28">
        <v>0</v>
      </c>
      <c r="BF68" s="28">
        <f>68</f>
        <v>68</v>
      </c>
      <c r="BH68" s="28">
        <f t="shared" si="41"/>
        <v>0</v>
      </c>
      <c r="BI68" s="28">
        <f t="shared" si="42"/>
        <v>0</v>
      </c>
      <c r="BJ68" s="28">
        <f t="shared" si="43"/>
        <v>0</v>
      </c>
      <c r="BK68" s="28"/>
      <c r="BL68" s="28">
        <v>721</v>
      </c>
      <c r="BW68" s="28">
        <v>21</v>
      </c>
    </row>
    <row r="69" spans="1:75" ht="13.5" customHeight="1">
      <c r="A69" s="2" t="s">
        <v>104</v>
      </c>
      <c r="B69" s="3" t="s">
        <v>233</v>
      </c>
      <c r="C69" s="75" t="s">
        <v>234</v>
      </c>
      <c r="D69" s="76"/>
      <c r="E69" s="3" t="s">
        <v>57</v>
      </c>
      <c r="F69" s="28">
        <v>4</v>
      </c>
      <c r="G69" s="29">
        <v>0</v>
      </c>
      <c r="H69" s="28">
        <f t="shared" si="22"/>
        <v>0</v>
      </c>
      <c r="I69" s="28">
        <f t="shared" si="23"/>
        <v>0</v>
      </c>
      <c r="J69" s="28">
        <f t="shared" si="24"/>
        <v>0</v>
      </c>
      <c r="K69" s="30" t="s">
        <v>72</v>
      </c>
      <c r="L69" s="27"/>
      <c r="Z69" s="28">
        <f t="shared" si="25"/>
        <v>0</v>
      </c>
      <c r="AB69" s="28">
        <f t="shared" si="26"/>
        <v>0</v>
      </c>
      <c r="AC69" s="28">
        <f t="shared" si="27"/>
        <v>0</v>
      </c>
      <c r="AD69" s="28">
        <f t="shared" si="28"/>
        <v>0</v>
      </c>
      <c r="AE69" s="28">
        <f t="shared" si="29"/>
        <v>0</v>
      </c>
      <c r="AF69" s="28">
        <f t="shared" si="30"/>
        <v>0</v>
      </c>
      <c r="AG69" s="28">
        <f t="shared" si="31"/>
        <v>0</v>
      </c>
      <c r="AH69" s="28">
        <f t="shared" si="32"/>
        <v>0</v>
      </c>
      <c r="AI69" s="11" t="s">
        <v>51</v>
      </c>
      <c r="AJ69" s="28">
        <f t="shared" si="33"/>
        <v>0</v>
      </c>
      <c r="AK69" s="28">
        <f t="shared" si="34"/>
        <v>0</v>
      </c>
      <c r="AL69" s="28">
        <f t="shared" si="35"/>
        <v>0</v>
      </c>
      <c r="AN69" s="28">
        <v>21</v>
      </c>
      <c r="AO69" s="28">
        <f>G69*0</f>
        <v>0</v>
      </c>
      <c r="AP69" s="28">
        <f>G69*(1-0)</f>
        <v>0</v>
      </c>
      <c r="AQ69" s="30" t="s">
        <v>81</v>
      </c>
      <c r="AV69" s="28">
        <f t="shared" si="36"/>
        <v>0</v>
      </c>
      <c r="AW69" s="28">
        <f t="shared" si="37"/>
        <v>0</v>
      </c>
      <c r="AX69" s="28">
        <f t="shared" si="38"/>
        <v>0</v>
      </c>
      <c r="AY69" s="30" t="s">
        <v>205</v>
      </c>
      <c r="AZ69" s="30" t="s">
        <v>206</v>
      </c>
      <c r="BA69" s="11" t="s">
        <v>60</v>
      </c>
      <c r="BC69" s="28">
        <f t="shared" si="39"/>
        <v>0</v>
      </c>
      <c r="BD69" s="28">
        <f t="shared" si="40"/>
        <v>0</v>
      </c>
      <c r="BE69" s="28">
        <v>0</v>
      </c>
      <c r="BF69" s="28">
        <f>69</f>
        <v>69</v>
      </c>
      <c r="BH69" s="28">
        <f t="shared" si="41"/>
        <v>0</v>
      </c>
      <c r="BI69" s="28">
        <f t="shared" si="42"/>
        <v>0</v>
      </c>
      <c r="BJ69" s="28">
        <f t="shared" si="43"/>
        <v>0</v>
      </c>
      <c r="BK69" s="28"/>
      <c r="BL69" s="28">
        <v>721</v>
      </c>
      <c r="BW69" s="28">
        <v>21</v>
      </c>
    </row>
    <row r="70" spans="1:75">
      <c r="A70" s="31" t="s">
        <v>51</v>
      </c>
      <c r="B70" s="32" t="s">
        <v>235</v>
      </c>
      <c r="C70" s="79" t="s">
        <v>236</v>
      </c>
      <c r="D70" s="80"/>
      <c r="E70" s="33" t="s">
        <v>4</v>
      </c>
      <c r="F70" s="33" t="s">
        <v>4</v>
      </c>
      <c r="G70" s="34" t="s">
        <v>4</v>
      </c>
      <c r="H70" s="1">
        <f>SUM(H71:H79)</f>
        <v>0</v>
      </c>
      <c r="I70" s="1">
        <f>SUM(I71:I79)</f>
        <v>0</v>
      </c>
      <c r="J70" s="1">
        <f>SUM(J71:J79)</f>
        <v>0</v>
      </c>
      <c r="K70" s="11" t="s">
        <v>51</v>
      </c>
      <c r="L70" s="27"/>
      <c r="AI70" s="11" t="s">
        <v>51</v>
      </c>
      <c r="AS70" s="1">
        <f>SUM(AJ71:AJ79)</f>
        <v>0</v>
      </c>
      <c r="AT70" s="1">
        <f>SUM(AK71:AK79)</f>
        <v>0</v>
      </c>
      <c r="AU70" s="1">
        <f>SUM(AL71:AL79)</f>
        <v>0</v>
      </c>
    </row>
    <row r="71" spans="1:75" ht="27" customHeight="1">
      <c r="A71" s="2" t="s">
        <v>237</v>
      </c>
      <c r="B71" s="3" t="s">
        <v>238</v>
      </c>
      <c r="C71" s="75" t="s">
        <v>239</v>
      </c>
      <c r="D71" s="76"/>
      <c r="E71" s="3" t="s">
        <v>140</v>
      </c>
      <c r="F71" s="28">
        <v>26</v>
      </c>
      <c r="G71" s="29">
        <v>0</v>
      </c>
      <c r="H71" s="28">
        <f t="shared" ref="H71:H79" si="44">F71*AO71</f>
        <v>0</v>
      </c>
      <c r="I71" s="28">
        <f t="shared" ref="I71:I79" si="45">F71*AP71</f>
        <v>0</v>
      </c>
      <c r="J71" s="28">
        <f t="shared" ref="J71:J79" si="46">F71*G71</f>
        <v>0</v>
      </c>
      <c r="K71" s="30" t="s">
        <v>72</v>
      </c>
      <c r="L71" s="27"/>
      <c r="Z71" s="28">
        <f t="shared" ref="Z71:Z79" si="47">IF(AQ71="5",BJ71,0)</f>
        <v>0</v>
      </c>
      <c r="AB71" s="28">
        <f t="shared" ref="AB71:AB79" si="48">IF(AQ71="1",BH71,0)</f>
        <v>0</v>
      </c>
      <c r="AC71" s="28">
        <f t="shared" ref="AC71:AC79" si="49">IF(AQ71="1",BI71,0)</f>
        <v>0</v>
      </c>
      <c r="AD71" s="28">
        <f t="shared" ref="AD71:AD79" si="50">IF(AQ71="7",BH71,0)</f>
        <v>0</v>
      </c>
      <c r="AE71" s="28">
        <f t="shared" ref="AE71:AE79" si="51">IF(AQ71="7",BI71,0)</f>
        <v>0</v>
      </c>
      <c r="AF71" s="28">
        <f t="shared" ref="AF71:AF79" si="52">IF(AQ71="2",BH71,0)</f>
        <v>0</v>
      </c>
      <c r="AG71" s="28">
        <f t="shared" ref="AG71:AG79" si="53">IF(AQ71="2",BI71,0)</f>
        <v>0</v>
      </c>
      <c r="AH71" s="28">
        <f t="shared" ref="AH71:AH79" si="54">IF(AQ71="0",BJ71,0)</f>
        <v>0</v>
      </c>
      <c r="AI71" s="11" t="s">
        <v>51</v>
      </c>
      <c r="AJ71" s="28">
        <f t="shared" ref="AJ71:AJ79" si="55">IF(AN71=0,J71,0)</f>
        <v>0</v>
      </c>
      <c r="AK71" s="28">
        <f t="shared" ref="AK71:AK79" si="56">IF(AN71=12,J71,0)</f>
        <v>0</v>
      </c>
      <c r="AL71" s="28">
        <f t="shared" ref="AL71:AL79" si="57">IF(AN71=21,J71,0)</f>
        <v>0</v>
      </c>
      <c r="AN71" s="28">
        <v>21</v>
      </c>
      <c r="AO71" s="28">
        <f>G71*0.266073698</f>
        <v>0</v>
      </c>
      <c r="AP71" s="28">
        <f>G71*(1-0.266073698)</f>
        <v>0</v>
      </c>
      <c r="AQ71" s="30" t="s">
        <v>81</v>
      </c>
      <c r="AV71" s="28">
        <f t="shared" ref="AV71:AV79" si="58">AW71+AX71</f>
        <v>0</v>
      </c>
      <c r="AW71" s="28">
        <f t="shared" ref="AW71:AW79" si="59">F71*AO71</f>
        <v>0</v>
      </c>
      <c r="AX71" s="28">
        <f t="shared" ref="AX71:AX79" si="60">F71*AP71</f>
        <v>0</v>
      </c>
      <c r="AY71" s="30" t="s">
        <v>240</v>
      </c>
      <c r="AZ71" s="30" t="s">
        <v>206</v>
      </c>
      <c r="BA71" s="11" t="s">
        <v>60</v>
      </c>
      <c r="BC71" s="28">
        <f t="shared" ref="BC71:BC79" si="61">AW71+AX71</f>
        <v>0</v>
      </c>
      <c r="BD71" s="28">
        <f t="shared" ref="BD71:BD79" si="62">G71/(100-BE71)*100</f>
        <v>0</v>
      </c>
      <c r="BE71" s="28">
        <v>0</v>
      </c>
      <c r="BF71" s="28">
        <f>71</f>
        <v>71</v>
      </c>
      <c r="BH71" s="28">
        <f t="shared" ref="BH71:BH79" si="63">F71*AO71</f>
        <v>0</v>
      </c>
      <c r="BI71" s="28">
        <f t="shared" ref="BI71:BI79" si="64">F71*AP71</f>
        <v>0</v>
      </c>
      <c r="BJ71" s="28">
        <f t="shared" ref="BJ71:BJ79" si="65">F71*G71</f>
        <v>0</v>
      </c>
      <c r="BK71" s="28"/>
      <c r="BL71" s="28">
        <v>722</v>
      </c>
      <c r="BW71" s="28">
        <v>21</v>
      </c>
    </row>
    <row r="72" spans="1:75" ht="27" customHeight="1">
      <c r="A72" s="2" t="s">
        <v>241</v>
      </c>
      <c r="B72" s="3" t="s">
        <v>242</v>
      </c>
      <c r="C72" s="75" t="s">
        <v>243</v>
      </c>
      <c r="D72" s="76"/>
      <c r="E72" s="3" t="s">
        <v>57</v>
      </c>
      <c r="F72" s="28">
        <v>6</v>
      </c>
      <c r="G72" s="29">
        <v>0</v>
      </c>
      <c r="H72" s="28">
        <f t="shared" si="44"/>
        <v>0</v>
      </c>
      <c r="I72" s="28">
        <f t="shared" si="45"/>
        <v>0</v>
      </c>
      <c r="J72" s="28">
        <f t="shared" si="46"/>
        <v>0</v>
      </c>
      <c r="K72" s="30" t="s">
        <v>72</v>
      </c>
      <c r="L72" s="27"/>
      <c r="Z72" s="28">
        <f t="shared" si="47"/>
        <v>0</v>
      </c>
      <c r="AB72" s="28">
        <f t="shared" si="48"/>
        <v>0</v>
      </c>
      <c r="AC72" s="28">
        <f t="shared" si="49"/>
        <v>0</v>
      </c>
      <c r="AD72" s="28">
        <f t="shared" si="50"/>
        <v>0</v>
      </c>
      <c r="AE72" s="28">
        <f t="shared" si="51"/>
        <v>0</v>
      </c>
      <c r="AF72" s="28">
        <f t="shared" si="52"/>
        <v>0</v>
      </c>
      <c r="AG72" s="28">
        <f t="shared" si="53"/>
        <v>0</v>
      </c>
      <c r="AH72" s="28">
        <f t="shared" si="54"/>
        <v>0</v>
      </c>
      <c r="AI72" s="11" t="s">
        <v>51</v>
      </c>
      <c r="AJ72" s="28">
        <f t="shared" si="55"/>
        <v>0</v>
      </c>
      <c r="AK72" s="28">
        <f t="shared" si="56"/>
        <v>0</v>
      </c>
      <c r="AL72" s="28">
        <f t="shared" si="57"/>
        <v>0</v>
      </c>
      <c r="AN72" s="28">
        <v>21</v>
      </c>
      <c r="AO72" s="28">
        <f>G72*0.259043087</f>
        <v>0</v>
      </c>
      <c r="AP72" s="28">
        <f>G72*(1-0.259043087)</f>
        <v>0</v>
      </c>
      <c r="AQ72" s="30" t="s">
        <v>81</v>
      </c>
      <c r="AV72" s="28">
        <f t="shared" si="58"/>
        <v>0</v>
      </c>
      <c r="AW72" s="28">
        <f t="shared" si="59"/>
        <v>0</v>
      </c>
      <c r="AX72" s="28">
        <f t="shared" si="60"/>
        <v>0</v>
      </c>
      <c r="AY72" s="30" t="s">
        <v>240</v>
      </c>
      <c r="AZ72" s="30" t="s">
        <v>206</v>
      </c>
      <c r="BA72" s="11" t="s">
        <v>60</v>
      </c>
      <c r="BC72" s="28">
        <f t="shared" si="61"/>
        <v>0</v>
      </c>
      <c r="BD72" s="28">
        <f t="shared" si="62"/>
        <v>0</v>
      </c>
      <c r="BE72" s="28">
        <v>0</v>
      </c>
      <c r="BF72" s="28">
        <f>72</f>
        <v>72</v>
      </c>
      <c r="BH72" s="28">
        <f t="shared" si="63"/>
        <v>0</v>
      </c>
      <c r="BI72" s="28">
        <f t="shared" si="64"/>
        <v>0</v>
      </c>
      <c r="BJ72" s="28">
        <f t="shared" si="65"/>
        <v>0</v>
      </c>
      <c r="BK72" s="28"/>
      <c r="BL72" s="28">
        <v>722</v>
      </c>
      <c r="BW72" s="28">
        <v>21</v>
      </c>
    </row>
    <row r="73" spans="1:75" ht="27" customHeight="1">
      <c r="A73" s="2" t="s">
        <v>244</v>
      </c>
      <c r="B73" s="3" t="s">
        <v>245</v>
      </c>
      <c r="C73" s="75" t="s">
        <v>246</v>
      </c>
      <c r="D73" s="76"/>
      <c r="E73" s="3" t="s">
        <v>57</v>
      </c>
      <c r="F73" s="28">
        <v>16</v>
      </c>
      <c r="G73" s="29">
        <v>0</v>
      </c>
      <c r="H73" s="28">
        <f t="shared" si="44"/>
        <v>0</v>
      </c>
      <c r="I73" s="28">
        <f t="shared" si="45"/>
        <v>0</v>
      </c>
      <c r="J73" s="28">
        <f t="shared" si="46"/>
        <v>0</v>
      </c>
      <c r="K73" s="30" t="s">
        <v>72</v>
      </c>
      <c r="L73" s="27"/>
      <c r="Z73" s="28">
        <f t="shared" si="47"/>
        <v>0</v>
      </c>
      <c r="AB73" s="28">
        <f t="shared" si="48"/>
        <v>0</v>
      </c>
      <c r="AC73" s="28">
        <f t="shared" si="49"/>
        <v>0</v>
      </c>
      <c r="AD73" s="28">
        <f t="shared" si="50"/>
        <v>0</v>
      </c>
      <c r="AE73" s="28">
        <f t="shared" si="51"/>
        <v>0</v>
      </c>
      <c r="AF73" s="28">
        <f t="shared" si="52"/>
        <v>0</v>
      </c>
      <c r="AG73" s="28">
        <f t="shared" si="53"/>
        <v>0</v>
      </c>
      <c r="AH73" s="28">
        <f t="shared" si="54"/>
        <v>0</v>
      </c>
      <c r="AI73" s="11" t="s">
        <v>51</v>
      </c>
      <c r="AJ73" s="28">
        <f t="shared" si="55"/>
        <v>0</v>
      </c>
      <c r="AK73" s="28">
        <f t="shared" si="56"/>
        <v>0</v>
      </c>
      <c r="AL73" s="28">
        <f t="shared" si="57"/>
        <v>0</v>
      </c>
      <c r="AN73" s="28">
        <v>21</v>
      </c>
      <c r="AO73" s="28">
        <f>G73*0.080062112</f>
        <v>0</v>
      </c>
      <c r="AP73" s="28">
        <f>G73*(1-0.080062112)</f>
        <v>0</v>
      </c>
      <c r="AQ73" s="30" t="s">
        <v>81</v>
      </c>
      <c r="AV73" s="28">
        <f t="shared" si="58"/>
        <v>0</v>
      </c>
      <c r="AW73" s="28">
        <f t="shared" si="59"/>
        <v>0</v>
      </c>
      <c r="AX73" s="28">
        <f t="shared" si="60"/>
        <v>0</v>
      </c>
      <c r="AY73" s="30" t="s">
        <v>240</v>
      </c>
      <c r="AZ73" s="30" t="s">
        <v>206</v>
      </c>
      <c r="BA73" s="11" t="s">
        <v>60</v>
      </c>
      <c r="BC73" s="28">
        <f t="shared" si="61"/>
        <v>0</v>
      </c>
      <c r="BD73" s="28">
        <f t="shared" si="62"/>
        <v>0</v>
      </c>
      <c r="BE73" s="28">
        <v>0</v>
      </c>
      <c r="BF73" s="28">
        <f>73</f>
        <v>73</v>
      </c>
      <c r="BH73" s="28">
        <f t="shared" si="63"/>
        <v>0</v>
      </c>
      <c r="BI73" s="28">
        <f t="shared" si="64"/>
        <v>0</v>
      </c>
      <c r="BJ73" s="28">
        <f t="shared" si="65"/>
        <v>0</v>
      </c>
      <c r="BK73" s="28"/>
      <c r="BL73" s="28">
        <v>722</v>
      </c>
      <c r="BW73" s="28">
        <v>21</v>
      </c>
    </row>
    <row r="74" spans="1:75" ht="27" customHeight="1">
      <c r="A74" s="2" t="s">
        <v>247</v>
      </c>
      <c r="B74" s="3" t="s">
        <v>248</v>
      </c>
      <c r="C74" s="75" t="s">
        <v>249</v>
      </c>
      <c r="D74" s="76"/>
      <c r="E74" s="3" t="s">
        <v>140</v>
      </c>
      <c r="F74" s="28">
        <v>26</v>
      </c>
      <c r="G74" s="29">
        <v>0</v>
      </c>
      <c r="H74" s="28">
        <f t="shared" si="44"/>
        <v>0</v>
      </c>
      <c r="I74" s="28">
        <f t="shared" si="45"/>
        <v>0</v>
      </c>
      <c r="J74" s="28">
        <f t="shared" si="46"/>
        <v>0</v>
      </c>
      <c r="K74" s="30" t="s">
        <v>72</v>
      </c>
      <c r="L74" s="27"/>
      <c r="Z74" s="28">
        <f t="shared" si="47"/>
        <v>0</v>
      </c>
      <c r="AB74" s="28">
        <f t="shared" si="48"/>
        <v>0</v>
      </c>
      <c r="AC74" s="28">
        <f t="shared" si="49"/>
        <v>0</v>
      </c>
      <c r="AD74" s="28">
        <f t="shared" si="50"/>
        <v>0</v>
      </c>
      <c r="AE74" s="28">
        <f t="shared" si="51"/>
        <v>0</v>
      </c>
      <c r="AF74" s="28">
        <f t="shared" si="52"/>
        <v>0</v>
      </c>
      <c r="AG74" s="28">
        <f t="shared" si="53"/>
        <v>0</v>
      </c>
      <c r="AH74" s="28">
        <f t="shared" si="54"/>
        <v>0</v>
      </c>
      <c r="AI74" s="11" t="s">
        <v>51</v>
      </c>
      <c r="AJ74" s="28">
        <f t="shared" si="55"/>
        <v>0</v>
      </c>
      <c r="AK74" s="28">
        <f t="shared" si="56"/>
        <v>0</v>
      </c>
      <c r="AL74" s="28">
        <f t="shared" si="57"/>
        <v>0</v>
      </c>
      <c r="AN74" s="28">
        <v>21</v>
      </c>
      <c r="AO74" s="28">
        <f>G74*0.183885561</f>
        <v>0</v>
      </c>
      <c r="AP74" s="28">
        <f>G74*(1-0.183885561)</f>
        <v>0</v>
      </c>
      <c r="AQ74" s="30" t="s">
        <v>81</v>
      </c>
      <c r="AV74" s="28">
        <f t="shared" si="58"/>
        <v>0</v>
      </c>
      <c r="AW74" s="28">
        <f t="shared" si="59"/>
        <v>0</v>
      </c>
      <c r="AX74" s="28">
        <f t="shared" si="60"/>
        <v>0</v>
      </c>
      <c r="AY74" s="30" t="s">
        <v>240</v>
      </c>
      <c r="AZ74" s="30" t="s">
        <v>206</v>
      </c>
      <c r="BA74" s="11" t="s">
        <v>60</v>
      </c>
      <c r="BC74" s="28">
        <f t="shared" si="61"/>
        <v>0</v>
      </c>
      <c r="BD74" s="28">
        <f t="shared" si="62"/>
        <v>0</v>
      </c>
      <c r="BE74" s="28">
        <v>0</v>
      </c>
      <c r="BF74" s="28">
        <f>74</f>
        <v>74</v>
      </c>
      <c r="BH74" s="28">
        <f t="shared" si="63"/>
        <v>0</v>
      </c>
      <c r="BI74" s="28">
        <f t="shared" si="64"/>
        <v>0</v>
      </c>
      <c r="BJ74" s="28">
        <f t="shared" si="65"/>
        <v>0</v>
      </c>
      <c r="BK74" s="28"/>
      <c r="BL74" s="28">
        <v>722</v>
      </c>
      <c r="BW74" s="28">
        <v>21</v>
      </c>
    </row>
    <row r="75" spans="1:75" ht="13.5" customHeight="1">
      <c r="A75" s="2" t="s">
        <v>250</v>
      </c>
      <c r="B75" s="3" t="s">
        <v>251</v>
      </c>
      <c r="C75" s="75" t="s">
        <v>252</v>
      </c>
      <c r="D75" s="76"/>
      <c r="E75" s="3" t="s">
        <v>57</v>
      </c>
      <c r="F75" s="28">
        <v>10</v>
      </c>
      <c r="G75" s="29">
        <v>0</v>
      </c>
      <c r="H75" s="28">
        <f t="shared" si="44"/>
        <v>0</v>
      </c>
      <c r="I75" s="28">
        <f t="shared" si="45"/>
        <v>0</v>
      </c>
      <c r="J75" s="28">
        <f t="shared" si="46"/>
        <v>0</v>
      </c>
      <c r="K75" s="30" t="s">
        <v>72</v>
      </c>
      <c r="L75" s="27"/>
      <c r="Z75" s="28">
        <f t="shared" si="47"/>
        <v>0</v>
      </c>
      <c r="AB75" s="28">
        <f t="shared" si="48"/>
        <v>0</v>
      </c>
      <c r="AC75" s="28">
        <f t="shared" si="49"/>
        <v>0</v>
      </c>
      <c r="AD75" s="28">
        <f t="shared" si="50"/>
        <v>0</v>
      </c>
      <c r="AE75" s="28">
        <f t="shared" si="51"/>
        <v>0</v>
      </c>
      <c r="AF75" s="28">
        <f t="shared" si="52"/>
        <v>0</v>
      </c>
      <c r="AG75" s="28">
        <f t="shared" si="53"/>
        <v>0</v>
      </c>
      <c r="AH75" s="28">
        <f t="shared" si="54"/>
        <v>0</v>
      </c>
      <c r="AI75" s="11" t="s">
        <v>51</v>
      </c>
      <c r="AJ75" s="28">
        <f t="shared" si="55"/>
        <v>0</v>
      </c>
      <c r="AK75" s="28">
        <f t="shared" si="56"/>
        <v>0</v>
      </c>
      <c r="AL75" s="28">
        <f t="shared" si="57"/>
        <v>0</v>
      </c>
      <c r="AN75" s="28">
        <v>21</v>
      </c>
      <c r="AO75" s="28">
        <f>G75*0</f>
        <v>0</v>
      </c>
      <c r="AP75" s="28">
        <f>G75*(1-0)</f>
        <v>0</v>
      </c>
      <c r="AQ75" s="30" t="s">
        <v>81</v>
      </c>
      <c r="AV75" s="28">
        <f t="shared" si="58"/>
        <v>0</v>
      </c>
      <c r="AW75" s="28">
        <f t="shared" si="59"/>
        <v>0</v>
      </c>
      <c r="AX75" s="28">
        <f t="shared" si="60"/>
        <v>0</v>
      </c>
      <c r="AY75" s="30" t="s">
        <v>240</v>
      </c>
      <c r="AZ75" s="30" t="s">
        <v>206</v>
      </c>
      <c r="BA75" s="11" t="s">
        <v>60</v>
      </c>
      <c r="BC75" s="28">
        <f t="shared" si="61"/>
        <v>0</v>
      </c>
      <c r="BD75" s="28">
        <f t="shared" si="62"/>
        <v>0</v>
      </c>
      <c r="BE75" s="28">
        <v>0</v>
      </c>
      <c r="BF75" s="28">
        <f>75</f>
        <v>75</v>
      </c>
      <c r="BH75" s="28">
        <f t="shared" si="63"/>
        <v>0</v>
      </c>
      <c r="BI75" s="28">
        <f t="shared" si="64"/>
        <v>0</v>
      </c>
      <c r="BJ75" s="28">
        <f t="shared" si="65"/>
        <v>0</v>
      </c>
      <c r="BK75" s="28"/>
      <c r="BL75" s="28">
        <v>722</v>
      </c>
      <c r="BW75" s="28">
        <v>21</v>
      </c>
    </row>
    <row r="76" spans="1:75" ht="13.5" customHeight="1">
      <c r="A76" s="2" t="s">
        <v>253</v>
      </c>
      <c r="B76" s="3" t="s">
        <v>254</v>
      </c>
      <c r="C76" s="75" t="s">
        <v>255</v>
      </c>
      <c r="D76" s="76"/>
      <c r="E76" s="3" t="s">
        <v>57</v>
      </c>
      <c r="F76" s="28">
        <v>5</v>
      </c>
      <c r="G76" s="29">
        <v>0</v>
      </c>
      <c r="H76" s="28">
        <f t="shared" si="44"/>
        <v>0</v>
      </c>
      <c r="I76" s="28">
        <f t="shared" si="45"/>
        <v>0</v>
      </c>
      <c r="J76" s="28">
        <f t="shared" si="46"/>
        <v>0</v>
      </c>
      <c r="K76" s="30" t="s">
        <v>72</v>
      </c>
      <c r="L76" s="27"/>
      <c r="Z76" s="28">
        <f t="shared" si="47"/>
        <v>0</v>
      </c>
      <c r="AB76" s="28">
        <f t="shared" si="48"/>
        <v>0</v>
      </c>
      <c r="AC76" s="28">
        <f t="shared" si="49"/>
        <v>0</v>
      </c>
      <c r="AD76" s="28">
        <f t="shared" si="50"/>
        <v>0</v>
      </c>
      <c r="AE76" s="28">
        <f t="shared" si="51"/>
        <v>0</v>
      </c>
      <c r="AF76" s="28">
        <f t="shared" si="52"/>
        <v>0</v>
      </c>
      <c r="AG76" s="28">
        <f t="shared" si="53"/>
        <v>0</v>
      </c>
      <c r="AH76" s="28">
        <f t="shared" si="54"/>
        <v>0</v>
      </c>
      <c r="AI76" s="11" t="s">
        <v>51</v>
      </c>
      <c r="AJ76" s="28">
        <f t="shared" si="55"/>
        <v>0</v>
      </c>
      <c r="AK76" s="28">
        <f t="shared" si="56"/>
        <v>0</v>
      </c>
      <c r="AL76" s="28">
        <f t="shared" si="57"/>
        <v>0</v>
      </c>
      <c r="AN76" s="28">
        <v>21</v>
      </c>
      <c r="AO76" s="28">
        <f>G76*0.421136364</f>
        <v>0</v>
      </c>
      <c r="AP76" s="28">
        <f>G76*(1-0.421136364)</f>
        <v>0</v>
      </c>
      <c r="AQ76" s="30" t="s">
        <v>81</v>
      </c>
      <c r="AV76" s="28">
        <f t="shared" si="58"/>
        <v>0</v>
      </c>
      <c r="AW76" s="28">
        <f t="shared" si="59"/>
        <v>0</v>
      </c>
      <c r="AX76" s="28">
        <f t="shared" si="60"/>
        <v>0</v>
      </c>
      <c r="AY76" s="30" t="s">
        <v>240</v>
      </c>
      <c r="AZ76" s="30" t="s">
        <v>206</v>
      </c>
      <c r="BA76" s="11" t="s">
        <v>60</v>
      </c>
      <c r="BC76" s="28">
        <f t="shared" si="61"/>
        <v>0</v>
      </c>
      <c r="BD76" s="28">
        <f t="shared" si="62"/>
        <v>0</v>
      </c>
      <c r="BE76" s="28">
        <v>0</v>
      </c>
      <c r="BF76" s="28">
        <f>76</f>
        <v>76</v>
      </c>
      <c r="BH76" s="28">
        <f t="shared" si="63"/>
        <v>0</v>
      </c>
      <c r="BI76" s="28">
        <f t="shared" si="64"/>
        <v>0</v>
      </c>
      <c r="BJ76" s="28">
        <f t="shared" si="65"/>
        <v>0</v>
      </c>
      <c r="BK76" s="28"/>
      <c r="BL76" s="28">
        <v>722</v>
      </c>
      <c r="BW76" s="28">
        <v>21</v>
      </c>
    </row>
    <row r="77" spans="1:75" ht="13.5" customHeight="1">
      <c r="A77" s="2" t="s">
        <v>256</v>
      </c>
      <c r="B77" s="3" t="s">
        <v>257</v>
      </c>
      <c r="C77" s="75" t="s">
        <v>258</v>
      </c>
      <c r="D77" s="76"/>
      <c r="E77" s="3" t="s">
        <v>57</v>
      </c>
      <c r="F77" s="28">
        <v>2</v>
      </c>
      <c r="G77" s="29">
        <v>0</v>
      </c>
      <c r="H77" s="28">
        <f t="shared" si="44"/>
        <v>0</v>
      </c>
      <c r="I77" s="28">
        <f t="shared" si="45"/>
        <v>0</v>
      </c>
      <c r="J77" s="28">
        <f t="shared" si="46"/>
        <v>0</v>
      </c>
      <c r="K77" s="30" t="s">
        <v>72</v>
      </c>
      <c r="L77" s="27"/>
      <c r="Z77" s="28">
        <f t="shared" si="47"/>
        <v>0</v>
      </c>
      <c r="AB77" s="28">
        <f t="shared" si="48"/>
        <v>0</v>
      </c>
      <c r="AC77" s="28">
        <f t="shared" si="49"/>
        <v>0</v>
      </c>
      <c r="AD77" s="28">
        <f t="shared" si="50"/>
        <v>0</v>
      </c>
      <c r="AE77" s="28">
        <f t="shared" si="51"/>
        <v>0</v>
      </c>
      <c r="AF77" s="28">
        <f t="shared" si="52"/>
        <v>0</v>
      </c>
      <c r="AG77" s="28">
        <f t="shared" si="53"/>
        <v>0</v>
      </c>
      <c r="AH77" s="28">
        <f t="shared" si="54"/>
        <v>0</v>
      </c>
      <c r="AI77" s="11" t="s">
        <v>51</v>
      </c>
      <c r="AJ77" s="28">
        <f t="shared" si="55"/>
        <v>0</v>
      </c>
      <c r="AK77" s="28">
        <f t="shared" si="56"/>
        <v>0</v>
      </c>
      <c r="AL77" s="28">
        <f t="shared" si="57"/>
        <v>0</v>
      </c>
      <c r="AN77" s="28">
        <v>21</v>
      </c>
      <c r="AO77" s="28">
        <f>G77*0.764961977</f>
        <v>0</v>
      </c>
      <c r="AP77" s="28">
        <f>G77*(1-0.764961977)</f>
        <v>0</v>
      </c>
      <c r="AQ77" s="30" t="s">
        <v>81</v>
      </c>
      <c r="AV77" s="28">
        <f t="shared" si="58"/>
        <v>0</v>
      </c>
      <c r="AW77" s="28">
        <f t="shared" si="59"/>
        <v>0</v>
      </c>
      <c r="AX77" s="28">
        <f t="shared" si="60"/>
        <v>0</v>
      </c>
      <c r="AY77" s="30" t="s">
        <v>240</v>
      </c>
      <c r="AZ77" s="30" t="s">
        <v>206</v>
      </c>
      <c r="BA77" s="11" t="s">
        <v>60</v>
      </c>
      <c r="BC77" s="28">
        <f t="shared" si="61"/>
        <v>0</v>
      </c>
      <c r="BD77" s="28">
        <f t="shared" si="62"/>
        <v>0</v>
      </c>
      <c r="BE77" s="28">
        <v>0</v>
      </c>
      <c r="BF77" s="28">
        <f>77</f>
        <v>77</v>
      </c>
      <c r="BH77" s="28">
        <f t="shared" si="63"/>
        <v>0</v>
      </c>
      <c r="BI77" s="28">
        <f t="shared" si="64"/>
        <v>0</v>
      </c>
      <c r="BJ77" s="28">
        <f t="shared" si="65"/>
        <v>0</v>
      </c>
      <c r="BK77" s="28"/>
      <c r="BL77" s="28">
        <v>722</v>
      </c>
      <c r="BW77" s="28">
        <v>21</v>
      </c>
    </row>
    <row r="78" spans="1:75" ht="13.5" customHeight="1">
      <c r="A78" s="2" t="s">
        <v>259</v>
      </c>
      <c r="B78" s="3" t="s">
        <v>260</v>
      </c>
      <c r="C78" s="75" t="s">
        <v>261</v>
      </c>
      <c r="D78" s="76"/>
      <c r="E78" s="3" t="s">
        <v>140</v>
      </c>
      <c r="F78" s="28">
        <v>25</v>
      </c>
      <c r="G78" s="29">
        <v>0</v>
      </c>
      <c r="H78" s="28">
        <f t="shared" si="44"/>
        <v>0</v>
      </c>
      <c r="I78" s="28">
        <f t="shared" si="45"/>
        <v>0</v>
      </c>
      <c r="J78" s="28">
        <f t="shared" si="46"/>
        <v>0</v>
      </c>
      <c r="K78" s="30" t="s">
        <v>72</v>
      </c>
      <c r="L78" s="27"/>
      <c r="Z78" s="28">
        <f t="shared" si="47"/>
        <v>0</v>
      </c>
      <c r="AB78" s="28">
        <f t="shared" si="48"/>
        <v>0</v>
      </c>
      <c r="AC78" s="28">
        <f t="shared" si="49"/>
        <v>0</v>
      </c>
      <c r="AD78" s="28">
        <f t="shared" si="50"/>
        <v>0</v>
      </c>
      <c r="AE78" s="28">
        <f t="shared" si="51"/>
        <v>0</v>
      </c>
      <c r="AF78" s="28">
        <f t="shared" si="52"/>
        <v>0</v>
      </c>
      <c r="AG78" s="28">
        <f t="shared" si="53"/>
        <v>0</v>
      </c>
      <c r="AH78" s="28">
        <f t="shared" si="54"/>
        <v>0</v>
      </c>
      <c r="AI78" s="11" t="s">
        <v>51</v>
      </c>
      <c r="AJ78" s="28">
        <f t="shared" si="55"/>
        <v>0</v>
      </c>
      <c r="AK78" s="28">
        <f t="shared" si="56"/>
        <v>0</v>
      </c>
      <c r="AL78" s="28">
        <f t="shared" si="57"/>
        <v>0</v>
      </c>
      <c r="AN78" s="28">
        <v>21</v>
      </c>
      <c r="AO78" s="28">
        <f>G78*0.015662651</f>
        <v>0</v>
      </c>
      <c r="AP78" s="28">
        <f>G78*(1-0.015662651)</f>
        <v>0</v>
      </c>
      <c r="AQ78" s="30" t="s">
        <v>81</v>
      </c>
      <c r="AV78" s="28">
        <f t="shared" si="58"/>
        <v>0</v>
      </c>
      <c r="AW78" s="28">
        <f t="shared" si="59"/>
        <v>0</v>
      </c>
      <c r="AX78" s="28">
        <f t="shared" si="60"/>
        <v>0</v>
      </c>
      <c r="AY78" s="30" t="s">
        <v>240</v>
      </c>
      <c r="AZ78" s="30" t="s">
        <v>206</v>
      </c>
      <c r="BA78" s="11" t="s">
        <v>60</v>
      </c>
      <c r="BC78" s="28">
        <f t="shared" si="61"/>
        <v>0</v>
      </c>
      <c r="BD78" s="28">
        <f t="shared" si="62"/>
        <v>0</v>
      </c>
      <c r="BE78" s="28">
        <v>0</v>
      </c>
      <c r="BF78" s="28">
        <f>78</f>
        <v>78</v>
      </c>
      <c r="BH78" s="28">
        <f t="shared" si="63"/>
        <v>0</v>
      </c>
      <c r="BI78" s="28">
        <f t="shared" si="64"/>
        <v>0</v>
      </c>
      <c r="BJ78" s="28">
        <f t="shared" si="65"/>
        <v>0</v>
      </c>
      <c r="BK78" s="28"/>
      <c r="BL78" s="28">
        <v>722</v>
      </c>
      <c r="BW78" s="28">
        <v>21</v>
      </c>
    </row>
    <row r="79" spans="1:75" ht="27" customHeight="1">
      <c r="A79" s="2" t="s">
        <v>262</v>
      </c>
      <c r="B79" s="3" t="s">
        <v>263</v>
      </c>
      <c r="C79" s="75" t="s">
        <v>264</v>
      </c>
      <c r="D79" s="76"/>
      <c r="E79" s="3" t="s">
        <v>140</v>
      </c>
      <c r="F79" s="28">
        <v>25</v>
      </c>
      <c r="G79" s="29">
        <v>0</v>
      </c>
      <c r="H79" s="28">
        <f t="shared" si="44"/>
        <v>0</v>
      </c>
      <c r="I79" s="28">
        <f t="shared" si="45"/>
        <v>0</v>
      </c>
      <c r="J79" s="28">
        <f t="shared" si="46"/>
        <v>0</v>
      </c>
      <c r="K79" s="30" t="s">
        <v>72</v>
      </c>
      <c r="L79" s="27"/>
      <c r="Z79" s="28">
        <f t="shared" si="47"/>
        <v>0</v>
      </c>
      <c r="AB79" s="28">
        <f t="shared" si="48"/>
        <v>0</v>
      </c>
      <c r="AC79" s="28">
        <f t="shared" si="49"/>
        <v>0</v>
      </c>
      <c r="AD79" s="28">
        <f t="shared" si="50"/>
        <v>0</v>
      </c>
      <c r="AE79" s="28">
        <f t="shared" si="51"/>
        <v>0</v>
      </c>
      <c r="AF79" s="28">
        <f t="shared" si="52"/>
        <v>0</v>
      </c>
      <c r="AG79" s="28">
        <f t="shared" si="53"/>
        <v>0</v>
      </c>
      <c r="AH79" s="28">
        <f t="shared" si="54"/>
        <v>0</v>
      </c>
      <c r="AI79" s="11" t="s">
        <v>51</v>
      </c>
      <c r="AJ79" s="28">
        <f t="shared" si="55"/>
        <v>0</v>
      </c>
      <c r="AK79" s="28">
        <f t="shared" si="56"/>
        <v>0</v>
      </c>
      <c r="AL79" s="28">
        <f t="shared" si="57"/>
        <v>0</v>
      </c>
      <c r="AN79" s="28">
        <v>21</v>
      </c>
      <c r="AO79" s="28">
        <f>G79*0.054324324</f>
        <v>0</v>
      </c>
      <c r="AP79" s="28">
        <f>G79*(1-0.054324324)</f>
        <v>0</v>
      </c>
      <c r="AQ79" s="30" t="s">
        <v>81</v>
      </c>
      <c r="AV79" s="28">
        <f t="shared" si="58"/>
        <v>0</v>
      </c>
      <c r="AW79" s="28">
        <f t="shared" si="59"/>
        <v>0</v>
      </c>
      <c r="AX79" s="28">
        <f t="shared" si="60"/>
        <v>0</v>
      </c>
      <c r="AY79" s="30" t="s">
        <v>240</v>
      </c>
      <c r="AZ79" s="30" t="s">
        <v>206</v>
      </c>
      <c r="BA79" s="11" t="s">
        <v>60</v>
      </c>
      <c r="BC79" s="28">
        <f t="shared" si="61"/>
        <v>0</v>
      </c>
      <c r="BD79" s="28">
        <f t="shared" si="62"/>
        <v>0</v>
      </c>
      <c r="BE79" s="28">
        <v>0</v>
      </c>
      <c r="BF79" s="28">
        <f>79</f>
        <v>79</v>
      </c>
      <c r="BH79" s="28">
        <f t="shared" si="63"/>
        <v>0</v>
      </c>
      <c r="BI79" s="28">
        <f t="shared" si="64"/>
        <v>0</v>
      </c>
      <c r="BJ79" s="28">
        <f t="shared" si="65"/>
        <v>0</v>
      </c>
      <c r="BK79" s="28"/>
      <c r="BL79" s="28">
        <v>722</v>
      </c>
      <c r="BW79" s="28">
        <v>21</v>
      </c>
    </row>
    <row r="80" spans="1:75">
      <c r="A80" s="31" t="s">
        <v>51</v>
      </c>
      <c r="B80" s="32" t="s">
        <v>265</v>
      </c>
      <c r="C80" s="79" t="s">
        <v>266</v>
      </c>
      <c r="D80" s="80"/>
      <c r="E80" s="33" t="s">
        <v>4</v>
      </c>
      <c r="F80" s="33" t="s">
        <v>4</v>
      </c>
      <c r="G80" s="34" t="s">
        <v>4</v>
      </c>
      <c r="H80" s="1">
        <f>SUM(H81:H93)</f>
        <v>0</v>
      </c>
      <c r="I80" s="1">
        <f>SUM(I81:I93)</f>
        <v>0</v>
      </c>
      <c r="J80" s="1">
        <f>SUM(J81:J93)</f>
        <v>0</v>
      </c>
      <c r="K80" s="11" t="s">
        <v>51</v>
      </c>
      <c r="L80" s="27"/>
      <c r="AI80" s="11" t="s">
        <v>51</v>
      </c>
      <c r="AS80" s="1">
        <f>SUM(AJ81:AJ93)</f>
        <v>0</v>
      </c>
      <c r="AT80" s="1">
        <f>SUM(AK81:AK93)</f>
        <v>0</v>
      </c>
      <c r="AU80" s="1">
        <f>SUM(AL81:AL93)</f>
        <v>0</v>
      </c>
    </row>
    <row r="81" spans="1:75" ht="13.5" customHeight="1">
      <c r="A81" s="2" t="s">
        <v>267</v>
      </c>
      <c r="B81" s="3" t="s">
        <v>268</v>
      </c>
      <c r="C81" s="75" t="s">
        <v>269</v>
      </c>
      <c r="D81" s="76"/>
      <c r="E81" s="3" t="s">
        <v>270</v>
      </c>
      <c r="F81" s="28">
        <v>2</v>
      </c>
      <c r="G81" s="29">
        <v>0</v>
      </c>
      <c r="H81" s="28">
        <f t="shared" ref="H81:H93" si="66">F81*AO81</f>
        <v>0</v>
      </c>
      <c r="I81" s="28">
        <f t="shared" ref="I81:I93" si="67">F81*AP81</f>
        <v>0</v>
      </c>
      <c r="J81" s="28">
        <f t="shared" ref="J81:J93" si="68">F81*G81</f>
        <v>0</v>
      </c>
      <c r="K81" s="30" t="s">
        <v>72</v>
      </c>
      <c r="L81" s="27"/>
      <c r="Z81" s="28">
        <f t="shared" ref="Z81:Z93" si="69">IF(AQ81="5",BJ81,0)</f>
        <v>0</v>
      </c>
      <c r="AB81" s="28">
        <f t="shared" ref="AB81:AB93" si="70">IF(AQ81="1",BH81,0)</f>
        <v>0</v>
      </c>
      <c r="AC81" s="28">
        <f t="shared" ref="AC81:AC93" si="71">IF(AQ81="1",BI81,0)</f>
        <v>0</v>
      </c>
      <c r="AD81" s="28">
        <f t="shared" ref="AD81:AD93" si="72">IF(AQ81="7",BH81,0)</f>
        <v>0</v>
      </c>
      <c r="AE81" s="28">
        <f t="shared" ref="AE81:AE93" si="73">IF(AQ81="7",BI81,0)</f>
        <v>0</v>
      </c>
      <c r="AF81" s="28">
        <f t="shared" ref="AF81:AF93" si="74">IF(AQ81="2",BH81,0)</f>
        <v>0</v>
      </c>
      <c r="AG81" s="28">
        <f t="shared" ref="AG81:AG93" si="75">IF(AQ81="2",BI81,0)</f>
        <v>0</v>
      </c>
      <c r="AH81" s="28">
        <f t="shared" ref="AH81:AH93" si="76">IF(AQ81="0",BJ81,0)</f>
        <v>0</v>
      </c>
      <c r="AI81" s="11" t="s">
        <v>51</v>
      </c>
      <c r="AJ81" s="28">
        <f t="shared" ref="AJ81:AJ93" si="77">IF(AN81=0,J81,0)</f>
        <v>0</v>
      </c>
      <c r="AK81" s="28">
        <f t="shared" ref="AK81:AK93" si="78">IF(AN81=12,J81,0)</f>
        <v>0</v>
      </c>
      <c r="AL81" s="28">
        <f t="shared" ref="AL81:AL93" si="79">IF(AN81=21,J81,0)</f>
        <v>0</v>
      </c>
      <c r="AN81" s="28">
        <v>21</v>
      </c>
      <c r="AO81" s="28">
        <f>G81*0</f>
        <v>0</v>
      </c>
      <c r="AP81" s="28">
        <f>G81*(1-0)</f>
        <v>0</v>
      </c>
      <c r="AQ81" s="30" t="s">
        <v>81</v>
      </c>
      <c r="AV81" s="28">
        <f t="shared" ref="AV81:AV93" si="80">AW81+AX81</f>
        <v>0</v>
      </c>
      <c r="AW81" s="28">
        <f t="shared" ref="AW81:AW93" si="81">F81*AO81</f>
        <v>0</v>
      </c>
      <c r="AX81" s="28">
        <f t="shared" ref="AX81:AX93" si="82">F81*AP81</f>
        <v>0</v>
      </c>
      <c r="AY81" s="30" t="s">
        <v>271</v>
      </c>
      <c r="AZ81" s="30" t="s">
        <v>206</v>
      </c>
      <c r="BA81" s="11" t="s">
        <v>60</v>
      </c>
      <c r="BC81" s="28">
        <f t="shared" ref="BC81:BC93" si="83">AW81+AX81</f>
        <v>0</v>
      </c>
      <c r="BD81" s="28">
        <f t="shared" ref="BD81:BD93" si="84">G81/(100-BE81)*100</f>
        <v>0</v>
      </c>
      <c r="BE81" s="28">
        <v>0</v>
      </c>
      <c r="BF81" s="28">
        <f>81</f>
        <v>81</v>
      </c>
      <c r="BH81" s="28">
        <f t="shared" ref="BH81:BH93" si="85">F81*AO81</f>
        <v>0</v>
      </c>
      <c r="BI81" s="28">
        <f t="shared" ref="BI81:BI93" si="86">F81*AP81</f>
        <v>0</v>
      </c>
      <c r="BJ81" s="28">
        <f t="shared" ref="BJ81:BJ93" si="87">F81*G81</f>
        <v>0</v>
      </c>
      <c r="BK81" s="28"/>
      <c r="BL81" s="28">
        <v>725</v>
      </c>
      <c r="BW81" s="28">
        <v>21</v>
      </c>
    </row>
    <row r="82" spans="1:75" ht="27" customHeight="1">
      <c r="A82" s="2" t="s">
        <v>110</v>
      </c>
      <c r="B82" s="3" t="s">
        <v>272</v>
      </c>
      <c r="C82" s="75" t="s">
        <v>273</v>
      </c>
      <c r="D82" s="76"/>
      <c r="E82" s="3" t="s">
        <v>270</v>
      </c>
      <c r="F82" s="28">
        <v>3</v>
      </c>
      <c r="G82" s="29">
        <v>0</v>
      </c>
      <c r="H82" s="28">
        <f t="shared" si="66"/>
        <v>0</v>
      </c>
      <c r="I82" s="28">
        <f t="shared" si="67"/>
        <v>0</v>
      </c>
      <c r="J82" s="28">
        <f t="shared" si="68"/>
        <v>0</v>
      </c>
      <c r="K82" s="30" t="s">
        <v>72</v>
      </c>
      <c r="L82" s="27"/>
      <c r="Z82" s="28">
        <f t="shared" si="69"/>
        <v>0</v>
      </c>
      <c r="AB82" s="28">
        <f t="shared" si="70"/>
        <v>0</v>
      </c>
      <c r="AC82" s="28">
        <f t="shared" si="71"/>
        <v>0</v>
      </c>
      <c r="AD82" s="28">
        <f t="shared" si="72"/>
        <v>0</v>
      </c>
      <c r="AE82" s="28">
        <f t="shared" si="73"/>
        <v>0</v>
      </c>
      <c r="AF82" s="28">
        <f t="shared" si="74"/>
        <v>0</v>
      </c>
      <c r="AG82" s="28">
        <f t="shared" si="75"/>
        <v>0</v>
      </c>
      <c r="AH82" s="28">
        <f t="shared" si="76"/>
        <v>0</v>
      </c>
      <c r="AI82" s="11" t="s">
        <v>51</v>
      </c>
      <c r="AJ82" s="28">
        <f t="shared" si="77"/>
        <v>0</v>
      </c>
      <c r="AK82" s="28">
        <f t="shared" si="78"/>
        <v>0</v>
      </c>
      <c r="AL82" s="28">
        <f t="shared" si="79"/>
        <v>0</v>
      </c>
      <c r="AN82" s="28">
        <v>21</v>
      </c>
      <c r="AO82" s="28">
        <f>G82*0</f>
        <v>0</v>
      </c>
      <c r="AP82" s="28">
        <f>G82*(1-0)</f>
        <v>0</v>
      </c>
      <c r="AQ82" s="30" t="s">
        <v>81</v>
      </c>
      <c r="AV82" s="28">
        <f t="shared" si="80"/>
        <v>0</v>
      </c>
      <c r="AW82" s="28">
        <f t="shared" si="81"/>
        <v>0</v>
      </c>
      <c r="AX82" s="28">
        <f t="shared" si="82"/>
        <v>0</v>
      </c>
      <c r="AY82" s="30" t="s">
        <v>271</v>
      </c>
      <c r="AZ82" s="30" t="s">
        <v>206</v>
      </c>
      <c r="BA82" s="11" t="s">
        <v>60</v>
      </c>
      <c r="BC82" s="28">
        <f t="shared" si="83"/>
        <v>0</v>
      </c>
      <c r="BD82" s="28">
        <f t="shared" si="84"/>
        <v>0</v>
      </c>
      <c r="BE82" s="28">
        <v>0</v>
      </c>
      <c r="BF82" s="28">
        <f>82</f>
        <v>82</v>
      </c>
      <c r="BH82" s="28">
        <f t="shared" si="85"/>
        <v>0</v>
      </c>
      <c r="BI82" s="28">
        <f t="shared" si="86"/>
        <v>0</v>
      </c>
      <c r="BJ82" s="28">
        <f t="shared" si="87"/>
        <v>0</v>
      </c>
      <c r="BK82" s="28"/>
      <c r="BL82" s="28">
        <v>725</v>
      </c>
      <c r="BW82" s="28">
        <v>21</v>
      </c>
    </row>
    <row r="83" spans="1:75" ht="13.5" customHeight="1">
      <c r="A83" s="2" t="s">
        <v>123</v>
      </c>
      <c r="B83" s="3" t="s">
        <v>274</v>
      </c>
      <c r="C83" s="75" t="s">
        <v>275</v>
      </c>
      <c r="D83" s="76"/>
      <c r="E83" s="3" t="s">
        <v>270</v>
      </c>
      <c r="F83" s="28">
        <v>3</v>
      </c>
      <c r="G83" s="29">
        <v>0</v>
      </c>
      <c r="H83" s="28">
        <f t="shared" si="66"/>
        <v>0</v>
      </c>
      <c r="I83" s="28">
        <f t="shared" si="67"/>
        <v>0</v>
      </c>
      <c r="J83" s="28">
        <f t="shared" si="68"/>
        <v>0</v>
      </c>
      <c r="K83" s="30" t="s">
        <v>72</v>
      </c>
      <c r="L83" s="27"/>
      <c r="Z83" s="28">
        <f t="shared" si="69"/>
        <v>0</v>
      </c>
      <c r="AB83" s="28">
        <f t="shared" si="70"/>
        <v>0</v>
      </c>
      <c r="AC83" s="28">
        <f t="shared" si="71"/>
        <v>0</v>
      </c>
      <c r="AD83" s="28">
        <f t="shared" si="72"/>
        <v>0</v>
      </c>
      <c r="AE83" s="28">
        <f t="shared" si="73"/>
        <v>0</v>
      </c>
      <c r="AF83" s="28">
        <f t="shared" si="74"/>
        <v>0</v>
      </c>
      <c r="AG83" s="28">
        <f t="shared" si="75"/>
        <v>0</v>
      </c>
      <c r="AH83" s="28">
        <f t="shared" si="76"/>
        <v>0</v>
      </c>
      <c r="AI83" s="11" t="s">
        <v>51</v>
      </c>
      <c r="AJ83" s="28">
        <f t="shared" si="77"/>
        <v>0</v>
      </c>
      <c r="AK83" s="28">
        <f t="shared" si="78"/>
        <v>0</v>
      </c>
      <c r="AL83" s="28">
        <f t="shared" si="79"/>
        <v>0</v>
      </c>
      <c r="AN83" s="28">
        <v>21</v>
      </c>
      <c r="AO83" s="28">
        <f>G83*0.15896197</f>
        <v>0</v>
      </c>
      <c r="AP83" s="28">
        <f>G83*(1-0.15896197)</f>
        <v>0</v>
      </c>
      <c r="AQ83" s="30" t="s">
        <v>81</v>
      </c>
      <c r="AV83" s="28">
        <f t="shared" si="80"/>
        <v>0</v>
      </c>
      <c r="AW83" s="28">
        <f t="shared" si="81"/>
        <v>0</v>
      </c>
      <c r="AX83" s="28">
        <f t="shared" si="82"/>
        <v>0</v>
      </c>
      <c r="AY83" s="30" t="s">
        <v>271</v>
      </c>
      <c r="AZ83" s="30" t="s">
        <v>206</v>
      </c>
      <c r="BA83" s="11" t="s">
        <v>60</v>
      </c>
      <c r="BC83" s="28">
        <f t="shared" si="83"/>
        <v>0</v>
      </c>
      <c r="BD83" s="28">
        <f t="shared" si="84"/>
        <v>0</v>
      </c>
      <c r="BE83" s="28">
        <v>0</v>
      </c>
      <c r="BF83" s="28">
        <f>83</f>
        <v>83</v>
      </c>
      <c r="BH83" s="28">
        <f t="shared" si="85"/>
        <v>0</v>
      </c>
      <c r="BI83" s="28">
        <f t="shared" si="86"/>
        <v>0</v>
      </c>
      <c r="BJ83" s="28">
        <f t="shared" si="87"/>
        <v>0</v>
      </c>
      <c r="BK83" s="28"/>
      <c r="BL83" s="28">
        <v>725</v>
      </c>
      <c r="BW83" s="28">
        <v>21</v>
      </c>
    </row>
    <row r="84" spans="1:75" ht="27" customHeight="1">
      <c r="A84" s="2" t="s">
        <v>276</v>
      </c>
      <c r="B84" s="3" t="s">
        <v>277</v>
      </c>
      <c r="C84" s="75" t="s">
        <v>278</v>
      </c>
      <c r="D84" s="76"/>
      <c r="E84" s="3" t="s">
        <v>270</v>
      </c>
      <c r="F84" s="28">
        <v>1</v>
      </c>
      <c r="G84" s="29">
        <v>0</v>
      </c>
      <c r="H84" s="28">
        <f t="shared" si="66"/>
        <v>0</v>
      </c>
      <c r="I84" s="28">
        <f t="shared" si="67"/>
        <v>0</v>
      </c>
      <c r="J84" s="28">
        <f t="shared" si="68"/>
        <v>0</v>
      </c>
      <c r="K84" s="30" t="s">
        <v>72</v>
      </c>
      <c r="L84" s="27"/>
      <c r="Z84" s="28">
        <f t="shared" si="69"/>
        <v>0</v>
      </c>
      <c r="AB84" s="28">
        <f t="shared" si="70"/>
        <v>0</v>
      </c>
      <c r="AC84" s="28">
        <f t="shared" si="71"/>
        <v>0</v>
      </c>
      <c r="AD84" s="28">
        <f t="shared" si="72"/>
        <v>0</v>
      </c>
      <c r="AE84" s="28">
        <f t="shared" si="73"/>
        <v>0</v>
      </c>
      <c r="AF84" s="28">
        <f t="shared" si="74"/>
        <v>0</v>
      </c>
      <c r="AG84" s="28">
        <f t="shared" si="75"/>
        <v>0</v>
      </c>
      <c r="AH84" s="28">
        <f t="shared" si="76"/>
        <v>0</v>
      </c>
      <c r="AI84" s="11" t="s">
        <v>51</v>
      </c>
      <c r="AJ84" s="28">
        <f t="shared" si="77"/>
        <v>0</v>
      </c>
      <c r="AK84" s="28">
        <f t="shared" si="78"/>
        <v>0</v>
      </c>
      <c r="AL84" s="28">
        <f t="shared" si="79"/>
        <v>0</v>
      </c>
      <c r="AN84" s="28">
        <v>21</v>
      </c>
      <c r="AO84" s="28">
        <f>G84*0</f>
        <v>0</v>
      </c>
      <c r="AP84" s="28">
        <f>G84*(1-0)</f>
        <v>0</v>
      </c>
      <c r="AQ84" s="30" t="s">
        <v>81</v>
      </c>
      <c r="AV84" s="28">
        <f t="shared" si="80"/>
        <v>0</v>
      </c>
      <c r="AW84" s="28">
        <f t="shared" si="81"/>
        <v>0</v>
      </c>
      <c r="AX84" s="28">
        <f t="shared" si="82"/>
        <v>0</v>
      </c>
      <c r="AY84" s="30" t="s">
        <v>271</v>
      </c>
      <c r="AZ84" s="30" t="s">
        <v>206</v>
      </c>
      <c r="BA84" s="11" t="s">
        <v>60</v>
      </c>
      <c r="BC84" s="28">
        <f t="shared" si="83"/>
        <v>0</v>
      </c>
      <c r="BD84" s="28">
        <f t="shared" si="84"/>
        <v>0</v>
      </c>
      <c r="BE84" s="28">
        <v>0</v>
      </c>
      <c r="BF84" s="28">
        <f>84</f>
        <v>84</v>
      </c>
      <c r="BH84" s="28">
        <f t="shared" si="85"/>
        <v>0</v>
      </c>
      <c r="BI84" s="28">
        <f t="shared" si="86"/>
        <v>0</v>
      </c>
      <c r="BJ84" s="28">
        <f t="shared" si="87"/>
        <v>0</v>
      </c>
      <c r="BK84" s="28"/>
      <c r="BL84" s="28">
        <v>725</v>
      </c>
      <c r="BW84" s="28">
        <v>21</v>
      </c>
    </row>
    <row r="85" spans="1:75" ht="13.5" customHeight="1">
      <c r="A85" s="2" t="s">
        <v>279</v>
      </c>
      <c r="B85" s="3" t="s">
        <v>280</v>
      </c>
      <c r="C85" s="75" t="s">
        <v>281</v>
      </c>
      <c r="D85" s="76"/>
      <c r="E85" s="3" t="s">
        <v>270</v>
      </c>
      <c r="F85" s="28">
        <v>1</v>
      </c>
      <c r="G85" s="29">
        <v>0</v>
      </c>
      <c r="H85" s="28">
        <f t="shared" si="66"/>
        <v>0</v>
      </c>
      <c r="I85" s="28">
        <f t="shared" si="67"/>
        <v>0</v>
      </c>
      <c r="J85" s="28">
        <f t="shared" si="68"/>
        <v>0</v>
      </c>
      <c r="K85" s="30" t="s">
        <v>72</v>
      </c>
      <c r="L85" s="27"/>
      <c r="Z85" s="28">
        <f t="shared" si="69"/>
        <v>0</v>
      </c>
      <c r="AB85" s="28">
        <f t="shared" si="70"/>
        <v>0</v>
      </c>
      <c r="AC85" s="28">
        <f t="shared" si="71"/>
        <v>0</v>
      </c>
      <c r="AD85" s="28">
        <f t="shared" si="72"/>
        <v>0</v>
      </c>
      <c r="AE85" s="28">
        <f t="shared" si="73"/>
        <v>0</v>
      </c>
      <c r="AF85" s="28">
        <f t="shared" si="74"/>
        <v>0</v>
      </c>
      <c r="AG85" s="28">
        <f t="shared" si="75"/>
        <v>0</v>
      </c>
      <c r="AH85" s="28">
        <f t="shared" si="76"/>
        <v>0</v>
      </c>
      <c r="AI85" s="11" t="s">
        <v>51</v>
      </c>
      <c r="AJ85" s="28">
        <f t="shared" si="77"/>
        <v>0</v>
      </c>
      <c r="AK85" s="28">
        <f t="shared" si="78"/>
        <v>0</v>
      </c>
      <c r="AL85" s="28">
        <f t="shared" si="79"/>
        <v>0</v>
      </c>
      <c r="AN85" s="28">
        <v>21</v>
      </c>
      <c r="AO85" s="28">
        <f>G85*0.05808679</f>
        <v>0</v>
      </c>
      <c r="AP85" s="28">
        <f>G85*(1-0.05808679)</f>
        <v>0</v>
      </c>
      <c r="AQ85" s="30" t="s">
        <v>81</v>
      </c>
      <c r="AV85" s="28">
        <f t="shared" si="80"/>
        <v>0</v>
      </c>
      <c r="AW85" s="28">
        <f t="shared" si="81"/>
        <v>0</v>
      </c>
      <c r="AX85" s="28">
        <f t="shared" si="82"/>
        <v>0</v>
      </c>
      <c r="AY85" s="30" t="s">
        <v>271</v>
      </c>
      <c r="AZ85" s="30" t="s">
        <v>206</v>
      </c>
      <c r="BA85" s="11" t="s">
        <v>60</v>
      </c>
      <c r="BC85" s="28">
        <f t="shared" si="83"/>
        <v>0</v>
      </c>
      <c r="BD85" s="28">
        <f t="shared" si="84"/>
        <v>0</v>
      </c>
      <c r="BE85" s="28">
        <v>0</v>
      </c>
      <c r="BF85" s="28">
        <f>85</f>
        <v>85</v>
      </c>
      <c r="BH85" s="28">
        <f t="shared" si="85"/>
        <v>0</v>
      </c>
      <c r="BI85" s="28">
        <f t="shared" si="86"/>
        <v>0</v>
      </c>
      <c r="BJ85" s="28">
        <f t="shared" si="87"/>
        <v>0</v>
      </c>
      <c r="BK85" s="28"/>
      <c r="BL85" s="28">
        <v>725</v>
      </c>
      <c r="BW85" s="28">
        <v>21</v>
      </c>
    </row>
    <row r="86" spans="1:75" ht="27" customHeight="1">
      <c r="A86" s="2" t="s">
        <v>282</v>
      </c>
      <c r="B86" s="3" t="s">
        <v>283</v>
      </c>
      <c r="C86" s="75" t="s">
        <v>284</v>
      </c>
      <c r="D86" s="76"/>
      <c r="E86" s="3" t="s">
        <v>270</v>
      </c>
      <c r="F86" s="28">
        <v>1</v>
      </c>
      <c r="G86" s="29">
        <v>0</v>
      </c>
      <c r="H86" s="28">
        <f t="shared" si="66"/>
        <v>0</v>
      </c>
      <c r="I86" s="28">
        <f t="shared" si="67"/>
        <v>0</v>
      </c>
      <c r="J86" s="28">
        <f t="shared" si="68"/>
        <v>0</v>
      </c>
      <c r="K86" s="30" t="s">
        <v>72</v>
      </c>
      <c r="L86" s="27"/>
      <c r="Z86" s="28">
        <f t="shared" si="69"/>
        <v>0</v>
      </c>
      <c r="AB86" s="28">
        <f t="shared" si="70"/>
        <v>0</v>
      </c>
      <c r="AC86" s="28">
        <f t="shared" si="71"/>
        <v>0</v>
      </c>
      <c r="AD86" s="28">
        <f t="shared" si="72"/>
        <v>0</v>
      </c>
      <c r="AE86" s="28">
        <f t="shared" si="73"/>
        <v>0</v>
      </c>
      <c r="AF86" s="28">
        <f t="shared" si="74"/>
        <v>0</v>
      </c>
      <c r="AG86" s="28">
        <f t="shared" si="75"/>
        <v>0</v>
      </c>
      <c r="AH86" s="28">
        <f t="shared" si="76"/>
        <v>0</v>
      </c>
      <c r="AI86" s="11" t="s">
        <v>51</v>
      </c>
      <c r="AJ86" s="28">
        <f t="shared" si="77"/>
        <v>0</v>
      </c>
      <c r="AK86" s="28">
        <f t="shared" si="78"/>
        <v>0</v>
      </c>
      <c r="AL86" s="28">
        <f t="shared" si="79"/>
        <v>0</v>
      </c>
      <c r="AN86" s="28">
        <v>21</v>
      </c>
      <c r="AO86" s="28">
        <f>G86*0</f>
        <v>0</v>
      </c>
      <c r="AP86" s="28">
        <f>G86*(1-0)</f>
        <v>0</v>
      </c>
      <c r="AQ86" s="30" t="s">
        <v>81</v>
      </c>
      <c r="AV86" s="28">
        <f t="shared" si="80"/>
        <v>0</v>
      </c>
      <c r="AW86" s="28">
        <f t="shared" si="81"/>
        <v>0</v>
      </c>
      <c r="AX86" s="28">
        <f t="shared" si="82"/>
        <v>0</v>
      </c>
      <c r="AY86" s="30" t="s">
        <v>271</v>
      </c>
      <c r="AZ86" s="30" t="s">
        <v>206</v>
      </c>
      <c r="BA86" s="11" t="s">
        <v>60</v>
      </c>
      <c r="BC86" s="28">
        <f t="shared" si="83"/>
        <v>0</v>
      </c>
      <c r="BD86" s="28">
        <f t="shared" si="84"/>
        <v>0</v>
      </c>
      <c r="BE86" s="28">
        <v>0</v>
      </c>
      <c r="BF86" s="28">
        <f>86</f>
        <v>86</v>
      </c>
      <c r="BH86" s="28">
        <f t="shared" si="85"/>
        <v>0</v>
      </c>
      <c r="BI86" s="28">
        <f t="shared" si="86"/>
        <v>0</v>
      </c>
      <c r="BJ86" s="28">
        <f t="shared" si="87"/>
        <v>0</v>
      </c>
      <c r="BK86" s="28"/>
      <c r="BL86" s="28">
        <v>725</v>
      </c>
      <c r="BW86" s="28">
        <v>21</v>
      </c>
    </row>
    <row r="87" spans="1:75" ht="13.5" customHeight="1">
      <c r="A87" s="2" t="s">
        <v>135</v>
      </c>
      <c r="B87" s="3" t="s">
        <v>285</v>
      </c>
      <c r="C87" s="75" t="s">
        <v>286</v>
      </c>
      <c r="D87" s="76"/>
      <c r="E87" s="3" t="s">
        <v>270</v>
      </c>
      <c r="F87" s="28">
        <v>1</v>
      </c>
      <c r="G87" s="29">
        <v>0</v>
      </c>
      <c r="H87" s="28">
        <f t="shared" si="66"/>
        <v>0</v>
      </c>
      <c r="I87" s="28">
        <f t="shared" si="67"/>
        <v>0</v>
      </c>
      <c r="J87" s="28">
        <f t="shared" si="68"/>
        <v>0</v>
      </c>
      <c r="K87" s="30" t="s">
        <v>72</v>
      </c>
      <c r="L87" s="27"/>
      <c r="Z87" s="28">
        <f t="shared" si="69"/>
        <v>0</v>
      </c>
      <c r="AB87" s="28">
        <f t="shared" si="70"/>
        <v>0</v>
      </c>
      <c r="AC87" s="28">
        <f t="shared" si="71"/>
        <v>0</v>
      </c>
      <c r="AD87" s="28">
        <f t="shared" si="72"/>
        <v>0</v>
      </c>
      <c r="AE87" s="28">
        <f t="shared" si="73"/>
        <v>0</v>
      </c>
      <c r="AF87" s="28">
        <f t="shared" si="74"/>
        <v>0</v>
      </c>
      <c r="AG87" s="28">
        <f t="shared" si="75"/>
        <v>0</v>
      </c>
      <c r="AH87" s="28">
        <f t="shared" si="76"/>
        <v>0</v>
      </c>
      <c r="AI87" s="11" t="s">
        <v>51</v>
      </c>
      <c r="AJ87" s="28">
        <f t="shared" si="77"/>
        <v>0</v>
      </c>
      <c r="AK87" s="28">
        <f t="shared" si="78"/>
        <v>0</v>
      </c>
      <c r="AL87" s="28">
        <f t="shared" si="79"/>
        <v>0</v>
      </c>
      <c r="AN87" s="28">
        <v>21</v>
      </c>
      <c r="AO87" s="28">
        <f>G87*0.886374321</f>
        <v>0</v>
      </c>
      <c r="AP87" s="28">
        <f>G87*(1-0.886374321)</f>
        <v>0</v>
      </c>
      <c r="AQ87" s="30" t="s">
        <v>81</v>
      </c>
      <c r="AV87" s="28">
        <f t="shared" si="80"/>
        <v>0</v>
      </c>
      <c r="AW87" s="28">
        <f t="shared" si="81"/>
        <v>0</v>
      </c>
      <c r="AX87" s="28">
        <f t="shared" si="82"/>
        <v>0</v>
      </c>
      <c r="AY87" s="30" t="s">
        <v>271</v>
      </c>
      <c r="AZ87" s="30" t="s">
        <v>206</v>
      </c>
      <c r="BA87" s="11" t="s">
        <v>60</v>
      </c>
      <c r="BC87" s="28">
        <f t="shared" si="83"/>
        <v>0</v>
      </c>
      <c r="BD87" s="28">
        <f t="shared" si="84"/>
        <v>0</v>
      </c>
      <c r="BE87" s="28">
        <v>0</v>
      </c>
      <c r="BF87" s="28">
        <f>87</f>
        <v>87</v>
      </c>
      <c r="BH87" s="28">
        <f t="shared" si="85"/>
        <v>0</v>
      </c>
      <c r="BI87" s="28">
        <f t="shared" si="86"/>
        <v>0</v>
      </c>
      <c r="BJ87" s="28">
        <f t="shared" si="87"/>
        <v>0</v>
      </c>
      <c r="BK87" s="28"/>
      <c r="BL87" s="28">
        <v>725</v>
      </c>
      <c r="BW87" s="28">
        <v>21</v>
      </c>
    </row>
    <row r="88" spans="1:75" ht="27" customHeight="1">
      <c r="A88" s="2" t="s">
        <v>149</v>
      </c>
      <c r="B88" s="3" t="s">
        <v>287</v>
      </c>
      <c r="C88" s="75" t="s">
        <v>288</v>
      </c>
      <c r="D88" s="76"/>
      <c r="E88" s="3" t="s">
        <v>57</v>
      </c>
      <c r="F88" s="28">
        <v>3</v>
      </c>
      <c r="G88" s="29">
        <v>0</v>
      </c>
      <c r="H88" s="28">
        <f t="shared" si="66"/>
        <v>0</v>
      </c>
      <c r="I88" s="28">
        <f t="shared" si="67"/>
        <v>0</v>
      </c>
      <c r="J88" s="28">
        <f t="shared" si="68"/>
        <v>0</v>
      </c>
      <c r="K88" s="30" t="s">
        <v>72</v>
      </c>
      <c r="L88" s="27"/>
      <c r="Z88" s="28">
        <f t="shared" si="69"/>
        <v>0</v>
      </c>
      <c r="AB88" s="28">
        <f t="shared" si="70"/>
        <v>0</v>
      </c>
      <c r="AC88" s="28">
        <f t="shared" si="71"/>
        <v>0</v>
      </c>
      <c r="AD88" s="28">
        <f t="shared" si="72"/>
        <v>0</v>
      </c>
      <c r="AE88" s="28">
        <f t="shared" si="73"/>
        <v>0</v>
      </c>
      <c r="AF88" s="28">
        <f t="shared" si="74"/>
        <v>0</v>
      </c>
      <c r="AG88" s="28">
        <f t="shared" si="75"/>
        <v>0</v>
      </c>
      <c r="AH88" s="28">
        <f t="shared" si="76"/>
        <v>0</v>
      </c>
      <c r="AI88" s="11" t="s">
        <v>51</v>
      </c>
      <c r="AJ88" s="28">
        <f t="shared" si="77"/>
        <v>0</v>
      </c>
      <c r="AK88" s="28">
        <f t="shared" si="78"/>
        <v>0</v>
      </c>
      <c r="AL88" s="28">
        <f t="shared" si="79"/>
        <v>0</v>
      </c>
      <c r="AN88" s="28">
        <v>21</v>
      </c>
      <c r="AO88" s="28">
        <f>G88*0.896185906</f>
        <v>0</v>
      </c>
      <c r="AP88" s="28">
        <f>G88*(1-0.896185906)</f>
        <v>0</v>
      </c>
      <c r="AQ88" s="30" t="s">
        <v>81</v>
      </c>
      <c r="AV88" s="28">
        <f t="shared" si="80"/>
        <v>0</v>
      </c>
      <c r="AW88" s="28">
        <f t="shared" si="81"/>
        <v>0</v>
      </c>
      <c r="AX88" s="28">
        <f t="shared" si="82"/>
        <v>0</v>
      </c>
      <c r="AY88" s="30" t="s">
        <v>271</v>
      </c>
      <c r="AZ88" s="30" t="s">
        <v>206</v>
      </c>
      <c r="BA88" s="11" t="s">
        <v>60</v>
      </c>
      <c r="BC88" s="28">
        <f t="shared" si="83"/>
        <v>0</v>
      </c>
      <c r="BD88" s="28">
        <f t="shared" si="84"/>
        <v>0</v>
      </c>
      <c r="BE88" s="28">
        <v>0</v>
      </c>
      <c r="BF88" s="28">
        <f>88</f>
        <v>88</v>
      </c>
      <c r="BH88" s="28">
        <f t="shared" si="85"/>
        <v>0</v>
      </c>
      <c r="BI88" s="28">
        <f t="shared" si="86"/>
        <v>0</v>
      </c>
      <c r="BJ88" s="28">
        <f t="shared" si="87"/>
        <v>0</v>
      </c>
      <c r="BK88" s="28"/>
      <c r="BL88" s="28">
        <v>725</v>
      </c>
      <c r="BW88" s="28">
        <v>21</v>
      </c>
    </row>
    <row r="89" spans="1:75" ht="27" customHeight="1">
      <c r="A89" s="2" t="s">
        <v>164</v>
      </c>
      <c r="B89" s="3" t="s">
        <v>289</v>
      </c>
      <c r="C89" s="75" t="s">
        <v>290</v>
      </c>
      <c r="D89" s="76"/>
      <c r="E89" s="3" t="s">
        <v>57</v>
      </c>
      <c r="F89" s="28">
        <v>1</v>
      </c>
      <c r="G89" s="29">
        <v>0</v>
      </c>
      <c r="H89" s="28">
        <f t="shared" si="66"/>
        <v>0</v>
      </c>
      <c r="I89" s="28">
        <f t="shared" si="67"/>
        <v>0</v>
      </c>
      <c r="J89" s="28">
        <f t="shared" si="68"/>
        <v>0</v>
      </c>
      <c r="K89" s="30" t="s">
        <v>72</v>
      </c>
      <c r="L89" s="27"/>
      <c r="Z89" s="28">
        <f t="shared" si="69"/>
        <v>0</v>
      </c>
      <c r="AB89" s="28">
        <f t="shared" si="70"/>
        <v>0</v>
      </c>
      <c r="AC89" s="28">
        <f t="shared" si="71"/>
        <v>0</v>
      </c>
      <c r="AD89" s="28">
        <f t="shared" si="72"/>
        <v>0</v>
      </c>
      <c r="AE89" s="28">
        <f t="shared" si="73"/>
        <v>0</v>
      </c>
      <c r="AF89" s="28">
        <f t="shared" si="74"/>
        <v>0</v>
      </c>
      <c r="AG89" s="28">
        <f t="shared" si="75"/>
        <v>0</v>
      </c>
      <c r="AH89" s="28">
        <f t="shared" si="76"/>
        <v>0</v>
      </c>
      <c r="AI89" s="11" t="s">
        <v>51</v>
      </c>
      <c r="AJ89" s="28">
        <f t="shared" si="77"/>
        <v>0</v>
      </c>
      <c r="AK89" s="28">
        <f t="shared" si="78"/>
        <v>0</v>
      </c>
      <c r="AL89" s="28">
        <f t="shared" si="79"/>
        <v>0</v>
      </c>
      <c r="AN89" s="28">
        <v>21</v>
      </c>
      <c r="AO89" s="28">
        <f>G89*0.85526477</f>
        <v>0</v>
      </c>
      <c r="AP89" s="28">
        <f>G89*(1-0.85526477)</f>
        <v>0</v>
      </c>
      <c r="AQ89" s="30" t="s">
        <v>81</v>
      </c>
      <c r="AV89" s="28">
        <f t="shared" si="80"/>
        <v>0</v>
      </c>
      <c r="AW89" s="28">
        <f t="shared" si="81"/>
        <v>0</v>
      </c>
      <c r="AX89" s="28">
        <f t="shared" si="82"/>
        <v>0</v>
      </c>
      <c r="AY89" s="30" t="s">
        <v>271</v>
      </c>
      <c r="AZ89" s="30" t="s">
        <v>206</v>
      </c>
      <c r="BA89" s="11" t="s">
        <v>60</v>
      </c>
      <c r="BC89" s="28">
        <f t="shared" si="83"/>
        <v>0</v>
      </c>
      <c r="BD89" s="28">
        <f t="shared" si="84"/>
        <v>0</v>
      </c>
      <c r="BE89" s="28">
        <v>0</v>
      </c>
      <c r="BF89" s="28">
        <f>89</f>
        <v>89</v>
      </c>
      <c r="BH89" s="28">
        <f t="shared" si="85"/>
        <v>0</v>
      </c>
      <c r="BI89" s="28">
        <f t="shared" si="86"/>
        <v>0</v>
      </c>
      <c r="BJ89" s="28">
        <f t="shared" si="87"/>
        <v>0</v>
      </c>
      <c r="BK89" s="28"/>
      <c r="BL89" s="28">
        <v>725</v>
      </c>
      <c r="BW89" s="28">
        <v>21</v>
      </c>
    </row>
    <row r="90" spans="1:75" ht="13.5" customHeight="1">
      <c r="A90" s="2" t="s">
        <v>170</v>
      </c>
      <c r="B90" s="3" t="s">
        <v>291</v>
      </c>
      <c r="C90" s="75" t="s">
        <v>292</v>
      </c>
      <c r="D90" s="76"/>
      <c r="E90" s="3" t="s">
        <v>57</v>
      </c>
      <c r="F90" s="28">
        <v>1</v>
      </c>
      <c r="G90" s="29">
        <v>0</v>
      </c>
      <c r="H90" s="28">
        <f t="shared" si="66"/>
        <v>0</v>
      </c>
      <c r="I90" s="28">
        <f t="shared" si="67"/>
        <v>0</v>
      </c>
      <c r="J90" s="28">
        <f t="shared" si="68"/>
        <v>0</v>
      </c>
      <c r="K90" s="30" t="s">
        <v>72</v>
      </c>
      <c r="L90" s="27"/>
      <c r="Z90" s="28">
        <f t="shared" si="69"/>
        <v>0</v>
      </c>
      <c r="AB90" s="28">
        <f t="shared" si="70"/>
        <v>0</v>
      </c>
      <c r="AC90" s="28">
        <f t="shared" si="71"/>
        <v>0</v>
      </c>
      <c r="AD90" s="28">
        <f t="shared" si="72"/>
        <v>0</v>
      </c>
      <c r="AE90" s="28">
        <f t="shared" si="73"/>
        <v>0</v>
      </c>
      <c r="AF90" s="28">
        <f t="shared" si="74"/>
        <v>0</v>
      </c>
      <c r="AG90" s="28">
        <f t="shared" si="75"/>
        <v>0</v>
      </c>
      <c r="AH90" s="28">
        <f t="shared" si="76"/>
        <v>0</v>
      </c>
      <c r="AI90" s="11" t="s">
        <v>51</v>
      </c>
      <c r="AJ90" s="28">
        <f t="shared" si="77"/>
        <v>0</v>
      </c>
      <c r="AK90" s="28">
        <f t="shared" si="78"/>
        <v>0</v>
      </c>
      <c r="AL90" s="28">
        <f t="shared" si="79"/>
        <v>0</v>
      </c>
      <c r="AN90" s="28">
        <v>21</v>
      </c>
      <c r="AO90" s="28">
        <f>G90*0.253669843</f>
        <v>0</v>
      </c>
      <c r="AP90" s="28">
        <f>G90*(1-0.253669843)</f>
        <v>0</v>
      </c>
      <c r="AQ90" s="30" t="s">
        <v>81</v>
      </c>
      <c r="AV90" s="28">
        <f t="shared" si="80"/>
        <v>0</v>
      </c>
      <c r="AW90" s="28">
        <f t="shared" si="81"/>
        <v>0</v>
      </c>
      <c r="AX90" s="28">
        <f t="shared" si="82"/>
        <v>0</v>
      </c>
      <c r="AY90" s="30" t="s">
        <v>271</v>
      </c>
      <c r="AZ90" s="30" t="s">
        <v>206</v>
      </c>
      <c r="BA90" s="11" t="s">
        <v>60</v>
      </c>
      <c r="BC90" s="28">
        <f t="shared" si="83"/>
        <v>0</v>
      </c>
      <c r="BD90" s="28">
        <f t="shared" si="84"/>
        <v>0</v>
      </c>
      <c r="BE90" s="28">
        <v>0</v>
      </c>
      <c r="BF90" s="28">
        <f>90</f>
        <v>90</v>
      </c>
      <c r="BH90" s="28">
        <f t="shared" si="85"/>
        <v>0</v>
      </c>
      <c r="BI90" s="28">
        <f t="shared" si="86"/>
        <v>0</v>
      </c>
      <c r="BJ90" s="28">
        <f t="shared" si="87"/>
        <v>0</v>
      </c>
      <c r="BK90" s="28"/>
      <c r="BL90" s="28">
        <v>725</v>
      </c>
      <c r="BW90" s="28">
        <v>21</v>
      </c>
    </row>
    <row r="91" spans="1:75" ht="13.5" customHeight="1">
      <c r="A91" s="2" t="s">
        <v>293</v>
      </c>
      <c r="B91" s="3" t="s">
        <v>294</v>
      </c>
      <c r="C91" s="75" t="s">
        <v>295</v>
      </c>
      <c r="D91" s="76"/>
      <c r="E91" s="3" t="s">
        <v>57</v>
      </c>
      <c r="F91" s="28">
        <v>3</v>
      </c>
      <c r="G91" s="29">
        <v>0</v>
      </c>
      <c r="H91" s="28">
        <f t="shared" si="66"/>
        <v>0</v>
      </c>
      <c r="I91" s="28">
        <f t="shared" si="67"/>
        <v>0</v>
      </c>
      <c r="J91" s="28">
        <f t="shared" si="68"/>
        <v>0</v>
      </c>
      <c r="K91" s="30" t="s">
        <v>72</v>
      </c>
      <c r="L91" s="27"/>
      <c r="Z91" s="28">
        <f t="shared" si="69"/>
        <v>0</v>
      </c>
      <c r="AB91" s="28">
        <f t="shared" si="70"/>
        <v>0</v>
      </c>
      <c r="AC91" s="28">
        <f t="shared" si="71"/>
        <v>0</v>
      </c>
      <c r="AD91" s="28">
        <f t="shared" si="72"/>
        <v>0</v>
      </c>
      <c r="AE91" s="28">
        <f t="shared" si="73"/>
        <v>0</v>
      </c>
      <c r="AF91" s="28">
        <f t="shared" si="74"/>
        <v>0</v>
      </c>
      <c r="AG91" s="28">
        <f t="shared" si="75"/>
        <v>0</v>
      </c>
      <c r="AH91" s="28">
        <f t="shared" si="76"/>
        <v>0</v>
      </c>
      <c r="AI91" s="11" t="s">
        <v>51</v>
      </c>
      <c r="AJ91" s="28">
        <f t="shared" si="77"/>
        <v>0</v>
      </c>
      <c r="AK91" s="28">
        <f t="shared" si="78"/>
        <v>0</v>
      </c>
      <c r="AL91" s="28">
        <f t="shared" si="79"/>
        <v>0</v>
      </c>
      <c r="AN91" s="28">
        <v>21</v>
      </c>
      <c r="AO91" s="28">
        <f>G91*0.770892562</f>
        <v>0</v>
      </c>
      <c r="AP91" s="28">
        <f>G91*(1-0.770892562)</f>
        <v>0</v>
      </c>
      <c r="AQ91" s="30" t="s">
        <v>81</v>
      </c>
      <c r="AV91" s="28">
        <f t="shared" si="80"/>
        <v>0</v>
      </c>
      <c r="AW91" s="28">
        <f t="shared" si="81"/>
        <v>0</v>
      </c>
      <c r="AX91" s="28">
        <f t="shared" si="82"/>
        <v>0</v>
      </c>
      <c r="AY91" s="30" t="s">
        <v>271</v>
      </c>
      <c r="AZ91" s="30" t="s">
        <v>206</v>
      </c>
      <c r="BA91" s="11" t="s">
        <v>60</v>
      </c>
      <c r="BC91" s="28">
        <f t="shared" si="83"/>
        <v>0</v>
      </c>
      <c r="BD91" s="28">
        <f t="shared" si="84"/>
        <v>0</v>
      </c>
      <c r="BE91" s="28">
        <v>0</v>
      </c>
      <c r="BF91" s="28">
        <f>91</f>
        <v>91</v>
      </c>
      <c r="BH91" s="28">
        <f t="shared" si="85"/>
        <v>0</v>
      </c>
      <c r="BI91" s="28">
        <f t="shared" si="86"/>
        <v>0</v>
      </c>
      <c r="BJ91" s="28">
        <f t="shared" si="87"/>
        <v>0</v>
      </c>
      <c r="BK91" s="28"/>
      <c r="BL91" s="28">
        <v>725</v>
      </c>
      <c r="BW91" s="28">
        <v>21</v>
      </c>
    </row>
    <row r="92" spans="1:75" ht="27" customHeight="1">
      <c r="A92" s="2" t="s">
        <v>296</v>
      </c>
      <c r="B92" s="3" t="s">
        <v>297</v>
      </c>
      <c r="C92" s="75" t="s">
        <v>298</v>
      </c>
      <c r="D92" s="76"/>
      <c r="E92" s="3" t="s">
        <v>57</v>
      </c>
      <c r="F92" s="28">
        <v>1</v>
      </c>
      <c r="G92" s="29">
        <v>0</v>
      </c>
      <c r="H92" s="28">
        <f t="shared" si="66"/>
        <v>0</v>
      </c>
      <c r="I92" s="28">
        <f t="shared" si="67"/>
        <v>0</v>
      </c>
      <c r="J92" s="28">
        <f t="shared" si="68"/>
        <v>0</v>
      </c>
      <c r="K92" s="30" t="s">
        <v>72</v>
      </c>
      <c r="L92" s="27"/>
      <c r="Z92" s="28">
        <f t="shared" si="69"/>
        <v>0</v>
      </c>
      <c r="AB92" s="28">
        <f t="shared" si="70"/>
        <v>0</v>
      </c>
      <c r="AC92" s="28">
        <f t="shared" si="71"/>
        <v>0</v>
      </c>
      <c r="AD92" s="28">
        <f t="shared" si="72"/>
        <v>0</v>
      </c>
      <c r="AE92" s="28">
        <f t="shared" si="73"/>
        <v>0</v>
      </c>
      <c r="AF92" s="28">
        <f t="shared" si="74"/>
        <v>0</v>
      </c>
      <c r="AG92" s="28">
        <f t="shared" si="75"/>
        <v>0</v>
      </c>
      <c r="AH92" s="28">
        <f t="shared" si="76"/>
        <v>0</v>
      </c>
      <c r="AI92" s="11" t="s">
        <v>51</v>
      </c>
      <c r="AJ92" s="28">
        <f t="shared" si="77"/>
        <v>0</v>
      </c>
      <c r="AK92" s="28">
        <f t="shared" si="78"/>
        <v>0</v>
      </c>
      <c r="AL92" s="28">
        <f t="shared" si="79"/>
        <v>0</v>
      </c>
      <c r="AN92" s="28">
        <v>21</v>
      </c>
      <c r="AO92" s="28">
        <f>G92*0.88721725</f>
        <v>0</v>
      </c>
      <c r="AP92" s="28">
        <f>G92*(1-0.88721725)</f>
        <v>0</v>
      </c>
      <c r="AQ92" s="30" t="s">
        <v>81</v>
      </c>
      <c r="AV92" s="28">
        <f t="shared" si="80"/>
        <v>0</v>
      </c>
      <c r="AW92" s="28">
        <f t="shared" si="81"/>
        <v>0</v>
      </c>
      <c r="AX92" s="28">
        <f t="shared" si="82"/>
        <v>0</v>
      </c>
      <c r="AY92" s="30" t="s">
        <v>271</v>
      </c>
      <c r="AZ92" s="30" t="s">
        <v>206</v>
      </c>
      <c r="BA92" s="11" t="s">
        <v>60</v>
      </c>
      <c r="BC92" s="28">
        <f t="shared" si="83"/>
        <v>0</v>
      </c>
      <c r="BD92" s="28">
        <f t="shared" si="84"/>
        <v>0</v>
      </c>
      <c r="BE92" s="28">
        <v>0</v>
      </c>
      <c r="BF92" s="28">
        <f>92</f>
        <v>92</v>
      </c>
      <c r="BH92" s="28">
        <f t="shared" si="85"/>
        <v>0</v>
      </c>
      <c r="BI92" s="28">
        <f t="shared" si="86"/>
        <v>0</v>
      </c>
      <c r="BJ92" s="28">
        <f t="shared" si="87"/>
        <v>0</v>
      </c>
      <c r="BK92" s="28"/>
      <c r="BL92" s="28">
        <v>725</v>
      </c>
      <c r="BW92" s="28">
        <v>21</v>
      </c>
    </row>
    <row r="93" spans="1:75" ht="13.5" customHeight="1">
      <c r="A93" s="2" t="s">
        <v>299</v>
      </c>
      <c r="B93" s="3" t="s">
        <v>300</v>
      </c>
      <c r="C93" s="75" t="s">
        <v>301</v>
      </c>
      <c r="D93" s="76"/>
      <c r="E93" s="3" t="s">
        <v>57</v>
      </c>
      <c r="F93" s="28">
        <v>2</v>
      </c>
      <c r="G93" s="29">
        <v>0</v>
      </c>
      <c r="H93" s="28">
        <f t="shared" si="66"/>
        <v>0</v>
      </c>
      <c r="I93" s="28">
        <f t="shared" si="67"/>
        <v>0</v>
      </c>
      <c r="J93" s="28">
        <f t="shared" si="68"/>
        <v>0</v>
      </c>
      <c r="K93" s="30" t="s">
        <v>72</v>
      </c>
      <c r="L93" s="27"/>
      <c r="Z93" s="28">
        <f t="shared" si="69"/>
        <v>0</v>
      </c>
      <c r="AB93" s="28">
        <f t="shared" si="70"/>
        <v>0</v>
      </c>
      <c r="AC93" s="28">
        <f t="shared" si="71"/>
        <v>0</v>
      </c>
      <c r="AD93" s="28">
        <f t="shared" si="72"/>
        <v>0</v>
      </c>
      <c r="AE93" s="28">
        <f t="shared" si="73"/>
        <v>0</v>
      </c>
      <c r="AF93" s="28">
        <f t="shared" si="74"/>
        <v>0</v>
      </c>
      <c r="AG93" s="28">
        <f t="shared" si="75"/>
        <v>0</v>
      </c>
      <c r="AH93" s="28">
        <f t="shared" si="76"/>
        <v>0</v>
      </c>
      <c r="AI93" s="11" t="s">
        <v>51</v>
      </c>
      <c r="AJ93" s="28">
        <f t="shared" si="77"/>
        <v>0</v>
      </c>
      <c r="AK93" s="28">
        <f t="shared" si="78"/>
        <v>0</v>
      </c>
      <c r="AL93" s="28">
        <f t="shared" si="79"/>
        <v>0</v>
      </c>
      <c r="AN93" s="28">
        <v>21</v>
      </c>
      <c r="AO93" s="28">
        <f>G93*0.345494505</f>
        <v>0</v>
      </c>
      <c r="AP93" s="28">
        <f>G93*(1-0.345494505)</f>
        <v>0</v>
      </c>
      <c r="AQ93" s="30" t="s">
        <v>81</v>
      </c>
      <c r="AV93" s="28">
        <f t="shared" si="80"/>
        <v>0</v>
      </c>
      <c r="AW93" s="28">
        <f t="shared" si="81"/>
        <v>0</v>
      </c>
      <c r="AX93" s="28">
        <f t="shared" si="82"/>
        <v>0</v>
      </c>
      <c r="AY93" s="30" t="s">
        <v>271</v>
      </c>
      <c r="AZ93" s="30" t="s">
        <v>206</v>
      </c>
      <c r="BA93" s="11" t="s">
        <v>60</v>
      </c>
      <c r="BC93" s="28">
        <f t="shared" si="83"/>
        <v>0</v>
      </c>
      <c r="BD93" s="28">
        <f t="shared" si="84"/>
        <v>0</v>
      </c>
      <c r="BE93" s="28">
        <v>0</v>
      </c>
      <c r="BF93" s="28">
        <f>93</f>
        <v>93</v>
      </c>
      <c r="BH93" s="28">
        <f t="shared" si="85"/>
        <v>0</v>
      </c>
      <c r="BI93" s="28">
        <f t="shared" si="86"/>
        <v>0</v>
      </c>
      <c r="BJ93" s="28">
        <f t="shared" si="87"/>
        <v>0</v>
      </c>
      <c r="BK93" s="28"/>
      <c r="BL93" s="28">
        <v>725</v>
      </c>
      <c r="BW93" s="28">
        <v>21</v>
      </c>
    </row>
    <row r="94" spans="1:75">
      <c r="A94" s="31" t="s">
        <v>51</v>
      </c>
      <c r="B94" s="32" t="s">
        <v>302</v>
      </c>
      <c r="C94" s="79" t="s">
        <v>303</v>
      </c>
      <c r="D94" s="80"/>
      <c r="E94" s="33" t="s">
        <v>4</v>
      </c>
      <c r="F94" s="33" t="s">
        <v>4</v>
      </c>
      <c r="G94" s="34" t="s">
        <v>4</v>
      </c>
      <c r="H94" s="1">
        <f>SUM(H95:H97)</f>
        <v>0</v>
      </c>
      <c r="I94" s="1">
        <f>SUM(I95:I97)</f>
        <v>0</v>
      </c>
      <c r="J94" s="1">
        <f>SUM(J95:J97)</f>
        <v>0</v>
      </c>
      <c r="K94" s="11" t="s">
        <v>51</v>
      </c>
      <c r="L94" s="27"/>
      <c r="AI94" s="11" t="s">
        <v>51</v>
      </c>
      <c r="AS94" s="1">
        <f>SUM(AJ95:AJ97)</f>
        <v>0</v>
      </c>
      <c r="AT94" s="1">
        <f>SUM(AK95:AK97)</f>
        <v>0</v>
      </c>
      <c r="AU94" s="1">
        <f>SUM(AL95:AL97)</f>
        <v>0</v>
      </c>
    </row>
    <row r="95" spans="1:75" ht="13.5" customHeight="1">
      <c r="A95" s="2" t="s">
        <v>304</v>
      </c>
      <c r="B95" s="3" t="s">
        <v>305</v>
      </c>
      <c r="C95" s="75" t="s">
        <v>306</v>
      </c>
      <c r="D95" s="76"/>
      <c r="E95" s="3" t="s">
        <v>71</v>
      </c>
      <c r="F95" s="28">
        <v>225</v>
      </c>
      <c r="G95" s="29">
        <v>0</v>
      </c>
      <c r="H95" s="28">
        <f>F95*AO95</f>
        <v>0</v>
      </c>
      <c r="I95" s="28">
        <f>F95*AP95</f>
        <v>0</v>
      </c>
      <c r="J95" s="28">
        <f>F95*G95</f>
        <v>0</v>
      </c>
      <c r="K95" s="30" t="s">
        <v>72</v>
      </c>
      <c r="L95" s="27"/>
      <c r="Z95" s="28">
        <f>IF(AQ95="5",BJ95,0)</f>
        <v>0</v>
      </c>
      <c r="AB95" s="28">
        <f>IF(AQ95="1",BH95,0)</f>
        <v>0</v>
      </c>
      <c r="AC95" s="28">
        <f>IF(AQ95="1",BI95,0)</f>
        <v>0</v>
      </c>
      <c r="AD95" s="28">
        <f>IF(AQ95="7",BH95,0)</f>
        <v>0</v>
      </c>
      <c r="AE95" s="28">
        <f>IF(AQ95="7",BI95,0)</f>
        <v>0</v>
      </c>
      <c r="AF95" s="28">
        <f>IF(AQ95="2",BH95,0)</f>
        <v>0</v>
      </c>
      <c r="AG95" s="28">
        <f>IF(AQ95="2",BI95,0)</f>
        <v>0</v>
      </c>
      <c r="AH95" s="28">
        <f>IF(AQ95="0",BJ95,0)</f>
        <v>0</v>
      </c>
      <c r="AI95" s="11" t="s">
        <v>51</v>
      </c>
      <c r="AJ95" s="28">
        <f>IF(AN95=0,J95,0)</f>
        <v>0</v>
      </c>
      <c r="AK95" s="28">
        <f>IF(AN95=12,J95,0)</f>
        <v>0</v>
      </c>
      <c r="AL95" s="28">
        <f>IF(AN95=21,J95,0)</f>
        <v>0</v>
      </c>
      <c r="AN95" s="28">
        <v>21</v>
      </c>
      <c r="AO95" s="28">
        <f>G95*0.490751394</f>
        <v>0</v>
      </c>
      <c r="AP95" s="28">
        <f>G95*(1-0.490751394)</f>
        <v>0</v>
      </c>
      <c r="AQ95" s="30" t="s">
        <v>81</v>
      </c>
      <c r="AV95" s="28">
        <f>AW95+AX95</f>
        <v>0</v>
      </c>
      <c r="AW95" s="28">
        <f>F95*AO95</f>
        <v>0</v>
      </c>
      <c r="AX95" s="28">
        <f>F95*AP95</f>
        <v>0</v>
      </c>
      <c r="AY95" s="30" t="s">
        <v>307</v>
      </c>
      <c r="AZ95" s="30" t="s">
        <v>308</v>
      </c>
      <c r="BA95" s="11" t="s">
        <v>60</v>
      </c>
      <c r="BC95" s="28">
        <f>AW95+AX95</f>
        <v>0</v>
      </c>
      <c r="BD95" s="28">
        <f>G95/(100-BE95)*100</f>
        <v>0</v>
      </c>
      <c r="BE95" s="28">
        <v>0</v>
      </c>
      <c r="BF95" s="28">
        <f>95</f>
        <v>95</v>
      </c>
      <c r="BH95" s="28">
        <f>F95*AO95</f>
        <v>0</v>
      </c>
      <c r="BI95" s="28">
        <f>F95*AP95</f>
        <v>0</v>
      </c>
      <c r="BJ95" s="28">
        <f>F95*G95</f>
        <v>0</v>
      </c>
      <c r="BK95" s="28"/>
      <c r="BL95" s="28">
        <v>762</v>
      </c>
      <c r="BW95" s="28">
        <v>21</v>
      </c>
    </row>
    <row r="96" spans="1:75" ht="27" customHeight="1">
      <c r="A96" s="2" t="s">
        <v>309</v>
      </c>
      <c r="B96" s="3" t="s">
        <v>310</v>
      </c>
      <c r="C96" s="75" t="s">
        <v>311</v>
      </c>
      <c r="D96" s="76"/>
      <c r="E96" s="3" t="s">
        <v>71</v>
      </c>
      <c r="F96" s="28">
        <v>225</v>
      </c>
      <c r="G96" s="29">
        <v>0</v>
      </c>
      <c r="H96" s="28">
        <f>F96*AO96</f>
        <v>0</v>
      </c>
      <c r="I96" s="28">
        <f>F96*AP96</f>
        <v>0</v>
      </c>
      <c r="J96" s="28">
        <f>F96*G96</f>
        <v>0</v>
      </c>
      <c r="K96" s="30" t="s">
        <v>72</v>
      </c>
      <c r="L96" s="27"/>
      <c r="Z96" s="28">
        <f>IF(AQ96="5",BJ96,0)</f>
        <v>0</v>
      </c>
      <c r="AB96" s="28">
        <f>IF(AQ96="1",BH96,0)</f>
        <v>0</v>
      </c>
      <c r="AC96" s="28">
        <f>IF(AQ96="1",BI96,0)</f>
        <v>0</v>
      </c>
      <c r="AD96" s="28">
        <f>IF(AQ96="7",BH96,0)</f>
        <v>0</v>
      </c>
      <c r="AE96" s="28">
        <f>IF(AQ96="7",BI96,0)</f>
        <v>0</v>
      </c>
      <c r="AF96" s="28">
        <f>IF(AQ96="2",BH96,0)</f>
        <v>0</v>
      </c>
      <c r="AG96" s="28">
        <f>IF(AQ96="2",BI96,0)</f>
        <v>0</v>
      </c>
      <c r="AH96" s="28">
        <f>IF(AQ96="0",BJ96,0)</f>
        <v>0</v>
      </c>
      <c r="AI96" s="11" t="s">
        <v>51</v>
      </c>
      <c r="AJ96" s="28">
        <f>IF(AN96=0,J96,0)</f>
        <v>0</v>
      </c>
      <c r="AK96" s="28">
        <f>IF(AN96=12,J96,0)</f>
        <v>0</v>
      </c>
      <c r="AL96" s="28">
        <f>IF(AN96=21,J96,0)</f>
        <v>0</v>
      </c>
      <c r="AN96" s="28">
        <v>21</v>
      </c>
      <c r="AO96" s="28">
        <f>G96*0.416630656</f>
        <v>0</v>
      </c>
      <c r="AP96" s="28">
        <f>G96*(1-0.416630656)</f>
        <v>0</v>
      </c>
      <c r="AQ96" s="30" t="s">
        <v>81</v>
      </c>
      <c r="AV96" s="28">
        <f>AW96+AX96</f>
        <v>0</v>
      </c>
      <c r="AW96" s="28">
        <f>F96*AO96</f>
        <v>0</v>
      </c>
      <c r="AX96" s="28">
        <f>F96*AP96</f>
        <v>0</v>
      </c>
      <c r="AY96" s="30" t="s">
        <v>307</v>
      </c>
      <c r="AZ96" s="30" t="s">
        <v>308</v>
      </c>
      <c r="BA96" s="11" t="s">
        <v>60</v>
      </c>
      <c r="BC96" s="28">
        <f>AW96+AX96</f>
        <v>0</v>
      </c>
      <c r="BD96" s="28">
        <f>G96/(100-BE96)*100</f>
        <v>0</v>
      </c>
      <c r="BE96" s="28">
        <v>0</v>
      </c>
      <c r="BF96" s="28">
        <f>96</f>
        <v>96</v>
      </c>
      <c r="BH96" s="28">
        <f>F96*AO96</f>
        <v>0</v>
      </c>
      <c r="BI96" s="28">
        <f>F96*AP96</f>
        <v>0</v>
      </c>
      <c r="BJ96" s="28">
        <f>F96*G96</f>
        <v>0</v>
      </c>
      <c r="BK96" s="28"/>
      <c r="BL96" s="28">
        <v>762</v>
      </c>
      <c r="BW96" s="28">
        <v>21</v>
      </c>
    </row>
    <row r="97" spans="1:75" ht="27" customHeight="1">
      <c r="A97" s="2" t="s">
        <v>312</v>
      </c>
      <c r="B97" s="3" t="s">
        <v>313</v>
      </c>
      <c r="C97" s="75" t="s">
        <v>314</v>
      </c>
      <c r="D97" s="76"/>
      <c r="E97" s="3" t="s">
        <v>71</v>
      </c>
      <c r="F97" s="28">
        <v>225</v>
      </c>
      <c r="G97" s="29">
        <v>0</v>
      </c>
      <c r="H97" s="28">
        <f>F97*AO97</f>
        <v>0</v>
      </c>
      <c r="I97" s="28">
        <f>F97*AP97</f>
        <v>0</v>
      </c>
      <c r="J97" s="28">
        <f>F97*G97</f>
        <v>0</v>
      </c>
      <c r="K97" s="30" t="s">
        <v>72</v>
      </c>
      <c r="L97" s="27"/>
      <c r="Z97" s="28">
        <f>IF(AQ97="5",BJ97,0)</f>
        <v>0</v>
      </c>
      <c r="AB97" s="28">
        <f>IF(AQ97="1",BH97,0)</f>
        <v>0</v>
      </c>
      <c r="AC97" s="28">
        <f>IF(AQ97="1",BI97,0)</f>
        <v>0</v>
      </c>
      <c r="AD97" s="28">
        <f>IF(AQ97="7",BH97,0)</f>
        <v>0</v>
      </c>
      <c r="AE97" s="28">
        <f>IF(AQ97="7",BI97,0)</f>
        <v>0</v>
      </c>
      <c r="AF97" s="28">
        <f>IF(AQ97="2",BH97,0)</f>
        <v>0</v>
      </c>
      <c r="AG97" s="28">
        <f>IF(AQ97="2",BI97,0)</f>
        <v>0</v>
      </c>
      <c r="AH97" s="28">
        <f>IF(AQ97="0",BJ97,0)</f>
        <v>0</v>
      </c>
      <c r="AI97" s="11" t="s">
        <v>51</v>
      </c>
      <c r="AJ97" s="28">
        <f>IF(AN97=0,J97,0)</f>
        <v>0</v>
      </c>
      <c r="AK97" s="28">
        <f>IF(AN97=12,J97,0)</f>
        <v>0</v>
      </c>
      <c r="AL97" s="28">
        <f>IF(AN97=21,J97,0)</f>
        <v>0</v>
      </c>
      <c r="AN97" s="28">
        <v>21</v>
      </c>
      <c r="AO97" s="28">
        <f>G97*0</f>
        <v>0</v>
      </c>
      <c r="AP97" s="28">
        <f>G97*(1-0)</f>
        <v>0</v>
      </c>
      <c r="AQ97" s="30" t="s">
        <v>81</v>
      </c>
      <c r="AV97" s="28">
        <f>AW97+AX97</f>
        <v>0</v>
      </c>
      <c r="AW97" s="28">
        <f>F97*AO97</f>
        <v>0</v>
      </c>
      <c r="AX97" s="28">
        <f>F97*AP97</f>
        <v>0</v>
      </c>
      <c r="AY97" s="30" t="s">
        <v>307</v>
      </c>
      <c r="AZ97" s="30" t="s">
        <v>308</v>
      </c>
      <c r="BA97" s="11" t="s">
        <v>60</v>
      </c>
      <c r="BC97" s="28">
        <f>AW97+AX97</f>
        <v>0</v>
      </c>
      <c r="BD97" s="28">
        <f>G97/(100-BE97)*100</f>
        <v>0</v>
      </c>
      <c r="BE97" s="28">
        <v>0</v>
      </c>
      <c r="BF97" s="28">
        <f>97</f>
        <v>97</v>
      </c>
      <c r="BH97" s="28">
        <f>F97*AO97</f>
        <v>0</v>
      </c>
      <c r="BI97" s="28">
        <f>F97*AP97</f>
        <v>0</v>
      </c>
      <c r="BJ97" s="28">
        <f>F97*G97</f>
        <v>0</v>
      </c>
      <c r="BK97" s="28"/>
      <c r="BL97" s="28">
        <v>762</v>
      </c>
      <c r="BW97" s="28">
        <v>21</v>
      </c>
    </row>
    <row r="98" spans="1:75">
      <c r="A98" s="31" t="s">
        <v>51</v>
      </c>
      <c r="B98" s="32" t="s">
        <v>315</v>
      </c>
      <c r="C98" s="79" t="s">
        <v>316</v>
      </c>
      <c r="D98" s="80"/>
      <c r="E98" s="33" t="s">
        <v>4</v>
      </c>
      <c r="F98" s="33" t="s">
        <v>4</v>
      </c>
      <c r="G98" s="34" t="s">
        <v>4</v>
      </c>
      <c r="H98" s="1">
        <f>SUM(H99:H106)</f>
        <v>0</v>
      </c>
      <c r="I98" s="1">
        <f>SUM(I99:I106)</f>
        <v>0</v>
      </c>
      <c r="J98" s="1">
        <f>SUM(J99:J106)</f>
        <v>0</v>
      </c>
      <c r="K98" s="11" t="s">
        <v>51</v>
      </c>
      <c r="L98" s="27"/>
      <c r="AI98" s="11" t="s">
        <v>51</v>
      </c>
      <c r="AS98" s="1">
        <f>SUM(AJ99:AJ106)</f>
        <v>0</v>
      </c>
      <c r="AT98" s="1">
        <f>SUM(AK99:AK106)</f>
        <v>0</v>
      </c>
      <c r="AU98" s="1">
        <f>SUM(AL99:AL106)</f>
        <v>0</v>
      </c>
    </row>
    <row r="99" spans="1:75" ht="27" customHeight="1">
      <c r="A99" s="2" t="s">
        <v>317</v>
      </c>
      <c r="B99" s="3" t="s">
        <v>318</v>
      </c>
      <c r="C99" s="75" t="s">
        <v>319</v>
      </c>
      <c r="D99" s="76"/>
      <c r="E99" s="3" t="s">
        <v>140</v>
      </c>
      <c r="F99" s="28">
        <v>18.5</v>
      </c>
      <c r="G99" s="29">
        <v>0</v>
      </c>
      <c r="H99" s="28">
        <f t="shared" ref="H99:H106" si="88">F99*AO99</f>
        <v>0</v>
      </c>
      <c r="I99" s="28">
        <f t="shared" ref="I99:I106" si="89">F99*AP99</f>
        <v>0</v>
      </c>
      <c r="J99" s="28">
        <f t="shared" ref="J99:J106" si="90">F99*G99</f>
        <v>0</v>
      </c>
      <c r="K99" s="30" t="s">
        <v>72</v>
      </c>
      <c r="L99" s="27"/>
      <c r="Z99" s="28">
        <f t="shared" ref="Z99:Z106" si="91">IF(AQ99="5",BJ99,0)</f>
        <v>0</v>
      </c>
      <c r="AB99" s="28">
        <f t="shared" ref="AB99:AB106" si="92">IF(AQ99="1",BH99,0)</f>
        <v>0</v>
      </c>
      <c r="AC99" s="28">
        <f t="shared" ref="AC99:AC106" si="93">IF(AQ99="1",BI99,0)</f>
        <v>0</v>
      </c>
      <c r="AD99" s="28">
        <f t="shared" ref="AD99:AD106" si="94">IF(AQ99="7",BH99,0)</f>
        <v>0</v>
      </c>
      <c r="AE99" s="28">
        <f t="shared" ref="AE99:AE106" si="95">IF(AQ99="7",BI99,0)</f>
        <v>0</v>
      </c>
      <c r="AF99" s="28">
        <f t="shared" ref="AF99:AF106" si="96">IF(AQ99="2",BH99,0)</f>
        <v>0</v>
      </c>
      <c r="AG99" s="28">
        <f t="shared" ref="AG99:AG106" si="97">IF(AQ99="2",BI99,0)</f>
        <v>0</v>
      </c>
      <c r="AH99" s="28">
        <f t="shared" ref="AH99:AH106" si="98">IF(AQ99="0",BJ99,0)</f>
        <v>0</v>
      </c>
      <c r="AI99" s="11" t="s">
        <v>51</v>
      </c>
      <c r="AJ99" s="28">
        <f t="shared" ref="AJ99:AJ106" si="99">IF(AN99=0,J99,0)</f>
        <v>0</v>
      </c>
      <c r="AK99" s="28">
        <f t="shared" ref="AK99:AK106" si="100">IF(AN99=12,J99,0)</f>
        <v>0</v>
      </c>
      <c r="AL99" s="28">
        <f t="shared" ref="AL99:AL106" si="101">IF(AN99=21,J99,0)</f>
        <v>0</v>
      </c>
      <c r="AN99" s="28">
        <v>21</v>
      </c>
      <c r="AO99" s="28">
        <f>G99*0.509755059</f>
        <v>0</v>
      </c>
      <c r="AP99" s="28">
        <f>G99*(1-0.509755059)</f>
        <v>0</v>
      </c>
      <c r="AQ99" s="30" t="s">
        <v>81</v>
      </c>
      <c r="AV99" s="28">
        <f t="shared" ref="AV99:AV106" si="102">AW99+AX99</f>
        <v>0</v>
      </c>
      <c r="AW99" s="28">
        <f t="shared" ref="AW99:AW106" si="103">F99*AO99</f>
        <v>0</v>
      </c>
      <c r="AX99" s="28">
        <f t="shared" ref="AX99:AX106" si="104">F99*AP99</f>
        <v>0</v>
      </c>
      <c r="AY99" s="30" t="s">
        <v>320</v>
      </c>
      <c r="AZ99" s="30" t="s">
        <v>308</v>
      </c>
      <c r="BA99" s="11" t="s">
        <v>60</v>
      </c>
      <c r="BC99" s="28">
        <f t="shared" ref="BC99:BC106" si="105">AW99+AX99</f>
        <v>0</v>
      </c>
      <c r="BD99" s="28">
        <f t="shared" ref="BD99:BD106" si="106">G99/(100-BE99)*100</f>
        <v>0</v>
      </c>
      <c r="BE99" s="28">
        <v>0</v>
      </c>
      <c r="BF99" s="28">
        <f>99</f>
        <v>99</v>
      </c>
      <c r="BH99" s="28">
        <f t="shared" ref="BH99:BH106" si="107">F99*AO99</f>
        <v>0</v>
      </c>
      <c r="BI99" s="28">
        <f t="shared" ref="BI99:BI106" si="108">F99*AP99</f>
        <v>0</v>
      </c>
      <c r="BJ99" s="28">
        <f t="shared" ref="BJ99:BJ106" si="109">F99*G99</f>
        <v>0</v>
      </c>
      <c r="BK99" s="28"/>
      <c r="BL99" s="28">
        <v>764</v>
      </c>
      <c r="BW99" s="28">
        <v>21</v>
      </c>
    </row>
    <row r="100" spans="1:75" ht="13.5" customHeight="1">
      <c r="A100" s="2" t="s">
        <v>321</v>
      </c>
      <c r="B100" s="3" t="s">
        <v>322</v>
      </c>
      <c r="C100" s="75" t="s">
        <v>323</v>
      </c>
      <c r="D100" s="76"/>
      <c r="E100" s="3" t="s">
        <v>140</v>
      </c>
      <c r="F100" s="28">
        <v>36</v>
      </c>
      <c r="G100" s="29">
        <v>0</v>
      </c>
      <c r="H100" s="28">
        <f t="shared" si="88"/>
        <v>0</v>
      </c>
      <c r="I100" s="28">
        <f t="shared" si="89"/>
        <v>0</v>
      </c>
      <c r="J100" s="28">
        <f t="shared" si="90"/>
        <v>0</v>
      </c>
      <c r="K100" s="30" t="s">
        <v>72</v>
      </c>
      <c r="L100" s="27"/>
      <c r="Z100" s="28">
        <f t="shared" si="91"/>
        <v>0</v>
      </c>
      <c r="AB100" s="28">
        <f t="shared" si="92"/>
        <v>0</v>
      </c>
      <c r="AC100" s="28">
        <f t="shared" si="93"/>
        <v>0</v>
      </c>
      <c r="AD100" s="28">
        <f t="shared" si="94"/>
        <v>0</v>
      </c>
      <c r="AE100" s="28">
        <f t="shared" si="95"/>
        <v>0</v>
      </c>
      <c r="AF100" s="28">
        <f t="shared" si="96"/>
        <v>0</v>
      </c>
      <c r="AG100" s="28">
        <f t="shared" si="97"/>
        <v>0</v>
      </c>
      <c r="AH100" s="28">
        <f t="shared" si="98"/>
        <v>0</v>
      </c>
      <c r="AI100" s="11" t="s">
        <v>51</v>
      </c>
      <c r="AJ100" s="28">
        <f t="shared" si="99"/>
        <v>0</v>
      </c>
      <c r="AK100" s="28">
        <f t="shared" si="100"/>
        <v>0</v>
      </c>
      <c r="AL100" s="28">
        <f t="shared" si="101"/>
        <v>0</v>
      </c>
      <c r="AN100" s="28">
        <v>21</v>
      </c>
      <c r="AO100" s="28">
        <f>G100*0.452438316</f>
        <v>0</v>
      </c>
      <c r="AP100" s="28">
        <f>G100*(1-0.452438316)</f>
        <v>0</v>
      </c>
      <c r="AQ100" s="30" t="s">
        <v>81</v>
      </c>
      <c r="AV100" s="28">
        <f t="shared" si="102"/>
        <v>0</v>
      </c>
      <c r="AW100" s="28">
        <f t="shared" si="103"/>
        <v>0</v>
      </c>
      <c r="AX100" s="28">
        <f t="shared" si="104"/>
        <v>0</v>
      </c>
      <c r="AY100" s="30" t="s">
        <v>320</v>
      </c>
      <c r="AZ100" s="30" t="s">
        <v>308</v>
      </c>
      <c r="BA100" s="11" t="s">
        <v>60</v>
      </c>
      <c r="BC100" s="28">
        <f t="shared" si="105"/>
        <v>0</v>
      </c>
      <c r="BD100" s="28">
        <f t="shared" si="106"/>
        <v>0</v>
      </c>
      <c r="BE100" s="28">
        <v>0</v>
      </c>
      <c r="BF100" s="28">
        <f>100</f>
        <v>100</v>
      </c>
      <c r="BH100" s="28">
        <f t="shared" si="107"/>
        <v>0</v>
      </c>
      <c r="BI100" s="28">
        <f t="shared" si="108"/>
        <v>0</v>
      </c>
      <c r="BJ100" s="28">
        <f t="shared" si="109"/>
        <v>0</v>
      </c>
      <c r="BK100" s="28"/>
      <c r="BL100" s="28">
        <v>764</v>
      </c>
      <c r="BW100" s="28">
        <v>21</v>
      </c>
    </row>
    <row r="101" spans="1:75" ht="27" customHeight="1">
      <c r="A101" s="2" t="s">
        <v>324</v>
      </c>
      <c r="B101" s="3" t="s">
        <v>325</v>
      </c>
      <c r="C101" s="75" t="s">
        <v>326</v>
      </c>
      <c r="D101" s="76"/>
      <c r="E101" s="3" t="s">
        <v>71</v>
      </c>
      <c r="F101" s="28">
        <v>225</v>
      </c>
      <c r="G101" s="29">
        <v>0</v>
      </c>
      <c r="H101" s="28">
        <f t="shared" si="88"/>
        <v>0</v>
      </c>
      <c r="I101" s="28">
        <f t="shared" si="89"/>
        <v>0</v>
      </c>
      <c r="J101" s="28">
        <f t="shared" si="90"/>
        <v>0</v>
      </c>
      <c r="K101" s="30" t="s">
        <v>72</v>
      </c>
      <c r="L101" s="27"/>
      <c r="Z101" s="28">
        <f t="shared" si="91"/>
        <v>0</v>
      </c>
      <c r="AB101" s="28">
        <f t="shared" si="92"/>
        <v>0</v>
      </c>
      <c r="AC101" s="28">
        <f t="shared" si="93"/>
        <v>0</v>
      </c>
      <c r="AD101" s="28">
        <f t="shared" si="94"/>
        <v>0</v>
      </c>
      <c r="AE101" s="28">
        <f t="shared" si="95"/>
        <v>0</v>
      </c>
      <c r="AF101" s="28">
        <f t="shared" si="96"/>
        <v>0</v>
      </c>
      <c r="AG101" s="28">
        <f t="shared" si="97"/>
        <v>0</v>
      </c>
      <c r="AH101" s="28">
        <f t="shared" si="98"/>
        <v>0</v>
      </c>
      <c r="AI101" s="11" t="s">
        <v>51</v>
      </c>
      <c r="AJ101" s="28">
        <f t="shared" si="99"/>
        <v>0</v>
      </c>
      <c r="AK101" s="28">
        <f t="shared" si="100"/>
        <v>0</v>
      </c>
      <c r="AL101" s="28">
        <f t="shared" si="101"/>
        <v>0</v>
      </c>
      <c r="AN101" s="28">
        <v>21</v>
      </c>
      <c r="AO101" s="28">
        <f>G101*0.597098592</f>
        <v>0</v>
      </c>
      <c r="AP101" s="28">
        <f>G101*(1-0.597098592)</f>
        <v>0</v>
      </c>
      <c r="AQ101" s="30" t="s">
        <v>81</v>
      </c>
      <c r="AV101" s="28">
        <f t="shared" si="102"/>
        <v>0</v>
      </c>
      <c r="AW101" s="28">
        <f t="shared" si="103"/>
        <v>0</v>
      </c>
      <c r="AX101" s="28">
        <f t="shared" si="104"/>
        <v>0</v>
      </c>
      <c r="AY101" s="30" t="s">
        <v>320</v>
      </c>
      <c r="AZ101" s="30" t="s">
        <v>308</v>
      </c>
      <c r="BA101" s="11" t="s">
        <v>60</v>
      </c>
      <c r="BC101" s="28">
        <f t="shared" si="105"/>
        <v>0</v>
      </c>
      <c r="BD101" s="28">
        <f t="shared" si="106"/>
        <v>0</v>
      </c>
      <c r="BE101" s="28">
        <v>0</v>
      </c>
      <c r="BF101" s="28">
        <f>101</f>
        <v>101</v>
      </c>
      <c r="BH101" s="28">
        <f t="shared" si="107"/>
        <v>0</v>
      </c>
      <c r="BI101" s="28">
        <f t="shared" si="108"/>
        <v>0</v>
      </c>
      <c r="BJ101" s="28">
        <f t="shared" si="109"/>
        <v>0</v>
      </c>
      <c r="BK101" s="28"/>
      <c r="BL101" s="28">
        <v>764</v>
      </c>
      <c r="BW101" s="28">
        <v>21</v>
      </c>
    </row>
    <row r="102" spans="1:75" ht="27" customHeight="1">
      <c r="A102" s="2" t="s">
        <v>327</v>
      </c>
      <c r="B102" s="3" t="s">
        <v>328</v>
      </c>
      <c r="C102" s="75" t="s">
        <v>329</v>
      </c>
      <c r="D102" s="76"/>
      <c r="E102" s="3" t="s">
        <v>57</v>
      </c>
      <c r="F102" s="28">
        <v>3</v>
      </c>
      <c r="G102" s="29">
        <v>0</v>
      </c>
      <c r="H102" s="28">
        <f t="shared" si="88"/>
        <v>0</v>
      </c>
      <c r="I102" s="28">
        <f t="shared" si="89"/>
        <v>0</v>
      </c>
      <c r="J102" s="28">
        <f t="shared" si="90"/>
        <v>0</v>
      </c>
      <c r="K102" s="30" t="s">
        <v>72</v>
      </c>
      <c r="L102" s="27"/>
      <c r="Z102" s="28">
        <f t="shared" si="91"/>
        <v>0</v>
      </c>
      <c r="AB102" s="28">
        <f t="shared" si="92"/>
        <v>0</v>
      </c>
      <c r="AC102" s="28">
        <f t="shared" si="93"/>
        <v>0</v>
      </c>
      <c r="AD102" s="28">
        <f t="shared" si="94"/>
        <v>0</v>
      </c>
      <c r="AE102" s="28">
        <f t="shared" si="95"/>
        <v>0</v>
      </c>
      <c r="AF102" s="28">
        <f t="shared" si="96"/>
        <v>0</v>
      </c>
      <c r="AG102" s="28">
        <f t="shared" si="97"/>
        <v>0</v>
      </c>
      <c r="AH102" s="28">
        <f t="shared" si="98"/>
        <v>0</v>
      </c>
      <c r="AI102" s="11" t="s">
        <v>51</v>
      </c>
      <c r="AJ102" s="28">
        <f t="shared" si="99"/>
        <v>0</v>
      </c>
      <c r="AK102" s="28">
        <f t="shared" si="100"/>
        <v>0</v>
      </c>
      <c r="AL102" s="28">
        <f t="shared" si="101"/>
        <v>0</v>
      </c>
      <c r="AN102" s="28">
        <v>21</v>
      </c>
      <c r="AO102" s="28">
        <f>G102*0.584007435</f>
        <v>0</v>
      </c>
      <c r="AP102" s="28">
        <f>G102*(1-0.584007435)</f>
        <v>0</v>
      </c>
      <c r="AQ102" s="30" t="s">
        <v>81</v>
      </c>
      <c r="AV102" s="28">
        <f t="shared" si="102"/>
        <v>0</v>
      </c>
      <c r="AW102" s="28">
        <f t="shared" si="103"/>
        <v>0</v>
      </c>
      <c r="AX102" s="28">
        <f t="shared" si="104"/>
        <v>0</v>
      </c>
      <c r="AY102" s="30" t="s">
        <v>320</v>
      </c>
      <c r="AZ102" s="30" t="s">
        <v>308</v>
      </c>
      <c r="BA102" s="11" t="s">
        <v>60</v>
      </c>
      <c r="BC102" s="28">
        <f t="shared" si="105"/>
        <v>0</v>
      </c>
      <c r="BD102" s="28">
        <f t="shared" si="106"/>
        <v>0</v>
      </c>
      <c r="BE102" s="28">
        <v>0</v>
      </c>
      <c r="BF102" s="28">
        <f>102</f>
        <v>102</v>
      </c>
      <c r="BH102" s="28">
        <f t="shared" si="107"/>
        <v>0</v>
      </c>
      <c r="BI102" s="28">
        <f t="shared" si="108"/>
        <v>0</v>
      </c>
      <c r="BJ102" s="28">
        <f t="shared" si="109"/>
        <v>0</v>
      </c>
      <c r="BK102" s="28"/>
      <c r="BL102" s="28">
        <v>764</v>
      </c>
      <c r="BW102" s="28">
        <v>21</v>
      </c>
    </row>
    <row r="103" spans="1:75" ht="13.5" customHeight="1">
      <c r="A103" s="2" t="s">
        <v>330</v>
      </c>
      <c r="B103" s="3" t="s">
        <v>331</v>
      </c>
      <c r="C103" s="75" t="s">
        <v>332</v>
      </c>
      <c r="D103" s="76"/>
      <c r="E103" s="3" t="s">
        <v>140</v>
      </c>
      <c r="F103" s="28">
        <v>12</v>
      </c>
      <c r="G103" s="29">
        <v>0</v>
      </c>
      <c r="H103" s="28">
        <f t="shared" si="88"/>
        <v>0</v>
      </c>
      <c r="I103" s="28">
        <f t="shared" si="89"/>
        <v>0</v>
      </c>
      <c r="J103" s="28">
        <f t="shared" si="90"/>
        <v>0</v>
      </c>
      <c r="K103" s="30" t="s">
        <v>72</v>
      </c>
      <c r="L103" s="27"/>
      <c r="Z103" s="28">
        <f t="shared" si="91"/>
        <v>0</v>
      </c>
      <c r="AB103" s="28">
        <f t="shared" si="92"/>
        <v>0</v>
      </c>
      <c r="AC103" s="28">
        <f t="shared" si="93"/>
        <v>0</v>
      </c>
      <c r="AD103" s="28">
        <f t="shared" si="94"/>
        <v>0</v>
      </c>
      <c r="AE103" s="28">
        <f t="shared" si="95"/>
        <v>0</v>
      </c>
      <c r="AF103" s="28">
        <f t="shared" si="96"/>
        <v>0</v>
      </c>
      <c r="AG103" s="28">
        <f t="shared" si="97"/>
        <v>0</v>
      </c>
      <c r="AH103" s="28">
        <f t="shared" si="98"/>
        <v>0</v>
      </c>
      <c r="AI103" s="11" t="s">
        <v>51</v>
      </c>
      <c r="AJ103" s="28">
        <f t="shared" si="99"/>
        <v>0</v>
      </c>
      <c r="AK103" s="28">
        <f t="shared" si="100"/>
        <v>0</v>
      </c>
      <c r="AL103" s="28">
        <f t="shared" si="101"/>
        <v>0</v>
      </c>
      <c r="AN103" s="28">
        <v>21</v>
      </c>
      <c r="AO103" s="28">
        <f>G103*0.650954229</f>
        <v>0</v>
      </c>
      <c r="AP103" s="28">
        <f>G103*(1-0.650954229)</f>
        <v>0</v>
      </c>
      <c r="AQ103" s="30" t="s">
        <v>81</v>
      </c>
      <c r="AV103" s="28">
        <f t="shared" si="102"/>
        <v>0</v>
      </c>
      <c r="AW103" s="28">
        <f t="shared" si="103"/>
        <v>0</v>
      </c>
      <c r="AX103" s="28">
        <f t="shared" si="104"/>
        <v>0</v>
      </c>
      <c r="AY103" s="30" t="s">
        <v>320</v>
      </c>
      <c r="AZ103" s="30" t="s">
        <v>308</v>
      </c>
      <c r="BA103" s="11" t="s">
        <v>60</v>
      </c>
      <c r="BC103" s="28">
        <f t="shared" si="105"/>
        <v>0</v>
      </c>
      <c r="BD103" s="28">
        <f t="shared" si="106"/>
        <v>0</v>
      </c>
      <c r="BE103" s="28">
        <v>0</v>
      </c>
      <c r="BF103" s="28">
        <f>103</f>
        <v>103</v>
      </c>
      <c r="BH103" s="28">
        <f t="shared" si="107"/>
        <v>0</v>
      </c>
      <c r="BI103" s="28">
        <f t="shared" si="108"/>
        <v>0</v>
      </c>
      <c r="BJ103" s="28">
        <f t="shared" si="109"/>
        <v>0</v>
      </c>
      <c r="BK103" s="28"/>
      <c r="BL103" s="28">
        <v>764</v>
      </c>
      <c r="BW103" s="28">
        <v>21</v>
      </c>
    </row>
    <row r="104" spans="1:75" ht="13.5" customHeight="1">
      <c r="A104" s="2" t="s">
        <v>333</v>
      </c>
      <c r="B104" s="3" t="s">
        <v>334</v>
      </c>
      <c r="C104" s="75" t="s">
        <v>335</v>
      </c>
      <c r="D104" s="76"/>
      <c r="E104" s="3" t="s">
        <v>57</v>
      </c>
      <c r="F104" s="28">
        <v>4</v>
      </c>
      <c r="G104" s="29">
        <v>0</v>
      </c>
      <c r="H104" s="28">
        <f t="shared" si="88"/>
        <v>0</v>
      </c>
      <c r="I104" s="28">
        <f t="shared" si="89"/>
        <v>0</v>
      </c>
      <c r="J104" s="28">
        <f t="shared" si="90"/>
        <v>0</v>
      </c>
      <c r="K104" s="30" t="s">
        <v>72</v>
      </c>
      <c r="L104" s="27"/>
      <c r="Z104" s="28">
        <f t="shared" si="91"/>
        <v>0</v>
      </c>
      <c r="AB104" s="28">
        <f t="shared" si="92"/>
        <v>0</v>
      </c>
      <c r="AC104" s="28">
        <f t="shared" si="93"/>
        <v>0</v>
      </c>
      <c r="AD104" s="28">
        <f t="shared" si="94"/>
        <v>0</v>
      </c>
      <c r="AE104" s="28">
        <f t="shared" si="95"/>
        <v>0</v>
      </c>
      <c r="AF104" s="28">
        <f t="shared" si="96"/>
        <v>0</v>
      </c>
      <c r="AG104" s="28">
        <f t="shared" si="97"/>
        <v>0</v>
      </c>
      <c r="AH104" s="28">
        <f t="shared" si="98"/>
        <v>0</v>
      </c>
      <c r="AI104" s="11" t="s">
        <v>51</v>
      </c>
      <c r="AJ104" s="28">
        <f t="shared" si="99"/>
        <v>0</v>
      </c>
      <c r="AK104" s="28">
        <f t="shared" si="100"/>
        <v>0</v>
      </c>
      <c r="AL104" s="28">
        <f t="shared" si="101"/>
        <v>0</v>
      </c>
      <c r="AN104" s="28">
        <v>21</v>
      </c>
      <c r="AO104" s="28">
        <f>G104*0.76761165</f>
        <v>0</v>
      </c>
      <c r="AP104" s="28">
        <f>G104*(1-0.76761165)</f>
        <v>0</v>
      </c>
      <c r="AQ104" s="30" t="s">
        <v>81</v>
      </c>
      <c r="AV104" s="28">
        <f t="shared" si="102"/>
        <v>0</v>
      </c>
      <c r="AW104" s="28">
        <f t="shared" si="103"/>
        <v>0</v>
      </c>
      <c r="AX104" s="28">
        <f t="shared" si="104"/>
        <v>0</v>
      </c>
      <c r="AY104" s="30" t="s">
        <v>320</v>
      </c>
      <c r="AZ104" s="30" t="s">
        <v>308</v>
      </c>
      <c r="BA104" s="11" t="s">
        <v>60</v>
      </c>
      <c r="BC104" s="28">
        <f t="shared" si="105"/>
        <v>0</v>
      </c>
      <c r="BD104" s="28">
        <f t="shared" si="106"/>
        <v>0</v>
      </c>
      <c r="BE104" s="28">
        <v>0</v>
      </c>
      <c r="BF104" s="28">
        <f>104</f>
        <v>104</v>
      </c>
      <c r="BH104" s="28">
        <f t="shared" si="107"/>
        <v>0</v>
      </c>
      <c r="BI104" s="28">
        <f t="shared" si="108"/>
        <v>0</v>
      </c>
      <c r="BJ104" s="28">
        <f t="shared" si="109"/>
        <v>0</v>
      </c>
      <c r="BK104" s="28"/>
      <c r="BL104" s="28">
        <v>764</v>
      </c>
      <c r="BW104" s="28">
        <v>21</v>
      </c>
    </row>
    <row r="105" spans="1:75" ht="27" customHeight="1">
      <c r="A105" s="2" t="s">
        <v>336</v>
      </c>
      <c r="B105" s="3" t="s">
        <v>337</v>
      </c>
      <c r="C105" s="75" t="s">
        <v>338</v>
      </c>
      <c r="D105" s="76"/>
      <c r="E105" s="3" t="s">
        <v>140</v>
      </c>
      <c r="F105" s="28">
        <v>25</v>
      </c>
      <c r="G105" s="29">
        <v>0</v>
      </c>
      <c r="H105" s="28">
        <f t="shared" si="88"/>
        <v>0</v>
      </c>
      <c r="I105" s="28">
        <f t="shared" si="89"/>
        <v>0</v>
      </c>
      <c r="J105" s="28">
        <f t="shared" si="90"/>
        <v>0</v>
      </c>
      <c r="K105" s="30" t="s">
        <v>72</v>
      </c>
      <c r="L105" s="27"/>
      <c r="Z105" s="28">
        <f t="shared" si="91"/>
        <v>0</v>
      </c>
      <c r="AB105" s="28">
        <f t="shared" si="92"/>
        <v>0</v>
      </c>
      <c r="AC105" s="28">
        <f t="shared" si="93"/>
        <v>0</v>
      </c>
      <c r="AD105" s="28">
        <f t="shared" si="94"/>
        <v>0</v>
      </c>
      <c r="AE105" s="28">
        <f t="shared" si="95"/>
        <v>0</v>
      </c>
      <c r="AF105" s="28">
        <f t="shared" si="96"/>
        <v>0</v>
      </c>
      <c r="AG105" s="28">
        <f t="shared" si="97"/>
        <v>0</v>
      </c>
      <c r="AH105" s="28">
        <f t="shared" si="98"/>
        <v>0</v>
      </c>
      <c r="AI105" s="11" t="s">
        <v>51</v>
      </c>
      <c r="AJ105" s="28">
        <f t="shared" si="99"/>
        <v>0</v>
      </c>
      <c r="AK105" s="28">
        <f t="shared" si="100"/>
        <v>0</v>
      </c>
      <c r="AL105" s="28">
        <f t="shared" si="101"/>
        <v>0</v>
      </c>
      <c r="AN105" s="28">
        <v>21</v>
      </c>
      <c r="AO105" s="28">
        <f>G105*0.605171939</f>
        <v>0</v>
      </c>
      <c r="AP105" s="28">
        <f>G105*(1-0.605171939)</f>
        <v>0</v>
      </c>
      <c r="AQ105" s="30" t="s">
        <v>81</v>
      </c>
      <c r="AV105" s="28">
        <f t="shared" si="102"/>
        <v>0</v>
      </c>
      <c r="AW105" s="28">
        <f t="shared" si="103"/>
        <v>0</v>
      </c>
      <c r="AX105" s="28">
        <f t="shared" si="104"/>
        <v>0</v>
      </c>
      <c r="AY105" s="30" t="s">
        <v>320</v>
      </c>
      <c r="AZ105" s="30" t="s">
        <v>308</v>
      </c>
      <c r="BA105" s="11" t="s">
        <v>60</v>
      </c>
      <c r="BC105" s="28">
        <f t="shared" si="105"/>
        <v>0</v>
      </c>
      <c r="BD105" s="28">
        <f t="shared" si="106"/>
        <v>0</v>
      </c>
      <c r="BE105" s="28">
        <v>0</v>
      </c>
      <c r="BF105" s="28">
        <f>105</f>
        <v>105</v>
      </c>
      <c r="BH105" s="28">
        <f t="shared" si="107"/>
        <v>0</v>
      </c>
      <c r="BI105" s="28">
        <f t="shared" si="108"/>
        <v>0</v>
      </c>
      <c r="BJ105" s="28">
        <f t="shared" si="109"/>
        <v>0</v>
      </c>
      <c r="BK105" s="28"/>
      <c r="BL105" s="28">
        <v>764</v>
      </c>
      <c r="BW105" s="28">
        <v>21</v>
      </c>
    </row>
    <row r="106" spans="1:75" ht="27" customHeight="1">
      <c r="A106" s="2" t="s">
        <v>339</v>
      </c>
      <c r="B106" s="3" t="s">
        <v>340</v>
      </c>
      <c r="C106" s="75" t="s">
        <v>341</v>
      </c>
      <c r="D106" s="76"/>
      <c r="E106" s="3" t="s">
        <v>71</v>
      </c>
      <c r="F106" s="28">
        <v>225</v>
      </c>
      <c r="G106" s="29">
        <v>0</v>
      </c>
      <c r="H106" s="28">
        <f t="shared" si="88"/>
        <v>0</v>
      </c>
      <c r="I106" s="28">
        <f t="shared" si="89"/>
        <v>0</v>
      </c>
      <c r="J106" s="28">
        <f t="shared" si="90"/>
        <v>0</v>
      </c>
      <c r="K106" s="30" t="s">
        <v>72</v>
      </c>
      <c r="L106" s="27"/>
      <c r="Z106" s="28">
        <f t="shared" si="91"/>
        <v>0</v>
      </c>
      <c r="AB106" s="28">
        <f t="shared" si="92"/>
        <v>0</v>
      </c>
      <c r="AC106" s="28">
        <f t="shared" si="93"/>
        <v>0</v>
      </c>
      <c r="AD106" s="28">
        <f t="shared" si="94"/>
        <v>0</v>
      </c>
      <c r="AE106" s="28">
        <f t="shared" si="95"/>
        <v>0</v>
      </c>
      <c r="AF106" s="28">
        <f t="shared" si="96"/>
        <v>0</v>
      </c>
      <c r="AG106" s="28">
        <f t="shared" si="97"/>
        <v>0</v>
      </c>
      <c r="AH106" s="28">
        <f t="shared" si="98"/>
        <v>0</v>
      </c>
      <c r="AI106" s="11" t="s">
        <v>51</v>
      </c>
      <c r="AJ106" s="28">
        <f t="shared" si="99"/>
        <v>0</v>
      </c>
      <c r="AK106" s="28">
        <f t="shared" si="100"/>
        <v>0</v>
      </c>
      <c r="AL106" s="28">
        <f t="shared" si="101"/>
        <v>0</v>
      </c>
      <c r="AN106" s="28">
        <v>21</v>
      </c>
      <c r="AO106" s="28">
        <f>G106*0</f>
        <v>0</v>
      </c>
      <c r="AP106" s="28">
        <f>G106*(1-0)</f>
        <v>0</v>
      </c>
      <c r="AQ106" s="30" t="s">
        <v>81</v>
      </c>
      <c r="AV106" s="28">
        <f t="shared" si="102"/>
        <v>0</v>
      </c>
      <c r="AW106" s="28">
        <f t="shared" si="103"/>
        <v>0</v>
      </c>
      <c r="AX106" s="28">
        <f t="shared" si="104"/>
        <v>0</v>
      </c>
      <c r="AY106" s="30" t="s">
        <v>320</v>
      </c>
      <c r="AZ106" s="30" t="s">
        <v>308</v>
      </c>
      <c r="BA106" s="11" t="s">
        <v>60</v>
      </c>
      <c r="BC106" s="28">
        <f t="shared" si="105"/>
        <v>0</v>
      </c>
      <c r="BD106" s="28">
        <f t="shared" si="106"/>
        <v>0</v>
      </c>
      <c r="BE106" s="28">
        <v>0</v>
      </c>
      <c r="BF106" s="28">
        <f>106</f>
        <v>106</v>
      </c>
      <c r="BH106" s="28">
        <f t="shared" si="107"/>
        <v>0</v>
      </c>
      <c r="BI106" s="28">
        <f t="shared" si="108"/>
        <v>0</v>
      </c>
      <c r="BJ106" s="28">
        <f t="shared" si="109"/>
        <v>0</v>
      </c>
      <c r="BK106" s="28"/>
      <c r="BL106" s="28">
        <v>764</v>
      </c>
      <c r="BW106" s="28">
        <v>21</v>
      </c>
    </row>
    <row r="107" spans="1:75">
      <c r="A107" s="31" t="s">
        <v>51</v>
      </c>
      <c r="B107" s="32" t="s">
        <v>342</v>
      </c>
      <c r="C107" s="79" t="s">
        <v>343</v>
      </c>
      <c r="D107" s="80"/>
      <c r="E107" s="33" t="s">
        <v>4</v>
      </c>
      <c r="F107" s="33" t="s">
        <v>4</v>
      </c>
      <c r="G107" s="34" t="s">
        <v>4</v>
      </c>
      <c r="H107" s="1">
        <f>SUM(H108:H108)</f>
        <v>0</v>
      </c>
      <c r="I107" s="1">
        <f>SUM(I108:I108)</f>
        <v>0</v>
      </c>
      <c r="J107" s="1">
        <f>SUM(J108:J108)</f>
        <v>0</v>
      </c>
      <c r="K107" s="11" t="s">
        <v>51</v>
      </c>
      <c r="L107" s="27"/>
      <c r="AI107" s="11" t="s">
        <v>51</v>
      </c>
      <c r="AS107" s="1">
        <f>SUM(AJ108:AJ108)</f>
        <v>0</v>
      </c>
      <c r="AT107" s="1">
        <f>SUM(AK108:AK108)</f>
        <v>0</v>
      </c>
      <c r="AU107" s="1">
        <f>SUM(AL108:AL108)</f>
        <v>0</v>
      </c>
    </row>
    <row r="108" spans="1:75" ht="27" customHeight="1">
      <c r="A108" s="2" t="s">
        <v>344</v>
      </c>
      <c r="B108" s="3" t="s">
        <v>345</v>
      </c>
      <c r="C108" s="75" t="s">
        <v>346</v>
      </c>
      <c r="D108" s="76"/>
      <c r="E108" s="3" t="s">
        <v>71</v>
      </c>
      <c r="F108" s="28">
        <v>225</v>
      </c>
      <c r="G108" s="29">
        <v>0</v>
      </c>
      <c r="H108" s="28">
        <f>F108*AO108</f>
        <v>0</v>
      </c>
      <c r="I108" s="28">
        <f>F108*AP108</f>
        <v>0</v>
      </c>
      <c r="J108" s="28">
        <f>F108*G108</f>
        <v>0</v>
      </c>
      <c r="K108" s="30" t="s">
        <v>72</v>
      </c>
      <c r="L108" s="27"/>
      <c r="Z108" s="28">
        <f>IF(AQ108="5",BJ108,0)</f>
        <v>0</v>
      </c>
      <c r="AB108" s="28">
        <f>IF(AQ108="1",BH108,0)</f>
        <v>0</v>
      </c>
      <c r="AC108" s="28">
        <f>IF(AQ108="1",BI108,0)</f>
        <v>0</v>
      </c>
      <c r="AD108" s="28">
        <f>IF(AQ108="7",BH108,0)</f>
        <v>0</v>
      </c>
      <c r="AE108" s="28">
        <f>IF(AQ108="7",BI108,0)</f>
        <v>0</v>
      </c>
      <c r="AF108" s="28">
        <f>IF(AQ108="2",BH108,0)</f>
        <v>0</v>
      </c>
      <c r="AG108" s="28">
        <f>IF(AQ108="2",BI108,0)</f>
        <v>0</v>
      </c>
      <c r="AH108" s="28">
        <f>IF(AQ108="0",BJ108,0)</f>
        <v>0</v>
      </c>
      <c r="AI108" s="11" t="s">
        <v>51</v>
      </c>
      <c r="AJ108" s="28">
        <f>IF(AN108=0,J108,0)</f>
        <v>0</v>
      </c>
      <c r="AK108" s="28">
        <f>IF(AN108=12,J108,0)</f>
        <v>0</v>
      </c>
      <c r="AL108" s="28">
        <f>IF(AN108=21,J108,0)</f>
        <v>0</v>
      </c>
      <c r="AN108" s="28">
        <v>21</v>
      </c>
      <c r="AO108" s="28">
        <f>G108*0.632325581</f>
        <v>0</v>
      </c>
      <c r="AP108" s="28">
        <f>G108*(1-0.632325581)</f>
        <v>0</v>
      </c>
      <c r="AQ108" s="30" t="s">
        <v>81</v>
      </c>
      <c r="AV108" s="28">
        <f>AW108+AX108</f>
        <v>0</v>
      </c>
      <c r="AW108" s="28">
        <f>F108*AO108</f>
        <v>0</v>
      </c>
      <c r="AX108" s="28">
        <f>F108*AP108</f>
        <v>0</v>
      </c>
      <c r="AY108" s="30" t="s">
        <v>347</v>
      </c>
      <c r="AZ108" s="30" t="s">
        <v>308</v>
      </c>
      <c r="BA108" s="11" t="s">
        <v>60</v>
      </c>
      <c r="BC108" s="28">
        <f>AW108+AX108</f>
        <v>0</v>
      </c>
      <c r="BD108" s="28">
        <f>G108/(100-BE108)*100</f>
        <v>0</v>
      </c>
      <c r="BE108" s="28">
        <v>0</v>
      </c>
      <c r="BF108" s="28">
        <f>108</f>
        <v>108</v>
      </c>
      <c r="BH108" s="28">
        <f>F108*AO108</f>
        <v>0</v>
      </c>
      <c r="BI108" s="28">
        <f>F108*AP108</f>
        <v>0</v>
      </c>
      <c r="BJ108" s="28">
        <f>F108*G108</f>
        <v>0</v>
      </c>
      <c r="BK108" s="28"/>
      <c r="BL108" s="28">
        <v>765</v>
      </c>
      <c r="BW108" s="28">
        <v>21</v>
      </c>
    </row>
    <row r="109" spans="1:75" ht="27.75" customHeight="1">
      <c r="A109" s="31" t="s">
        <v>51</v>
      </c>
      <c r="B109" s="32" t="s">
        <v>348</v>
      </c>
      <c r="C109" s="79" t="s">
        <v>349</v>
      </c>
      <c r="D109" s="80"/>
      <c r="E109" s="33" t="s">
        <v>4</v>
      </c>
      <c r="F109" s="33" t="s">
        <v>4</v>
      </c>
      <c r="G109" s="34" t="s">
        <v>4</v>
      </c>
      <c r="H109" s="1">
        <f>SUM(H110:H110)</f>
        <v>0</v>
      </c>
      <c r="I109" s="1">
        <f>SUM(I110:I110)</f>
        <v>0</v>
      </c>
      <c r="J109" s="1">
        <f>SUM(J110:J110)</f>
        <v>0</v>
      </c>
      <c r="K109" s="11" t="s">
        <v>51</v>
      </c>
      <c r="L109" s="27"/>
      <c r="AI109" s="11" t="s">
        <v>51</v>
      </c>
      <c r="AS109" s="1">
        <f>SUM(AJ110:AJ110)</f>
        <v>0</v>
      </c>
      <c r="AT109" s="1">
        <f>SUM(AK110:AK110)</f>
        <v>0</v>
      </c>
      <c r="AU109" s="1">
        <f>SUM(AL110:AL110)</f>
        <v>0</v>
      </c>
    </row>
    <row r="110" spans="1:75" ht="13.5" customHeight="1">
      <c r="A110" s="2" t="s">
        <v>350</v>
      </c>
      <c r="B110" s="3" t="s">
        <v>351</v>
      </c>
      <c r="C110" s="75" t="s">
        <v>352</v>
      </c>
      <c r="D110" s="76"/>
      <c r="E110" s="3" t="s">
        <v>71</v>
      </c>
      <c r="F110" s="28">
        <v>8.4</v>
      </c>
      <c r="G110" s="29">
        <v>0</v>
      </c>
      <c r="H110" s="28">
        <f>F110*AO110</f>
        <v>0</v>
      </c>
      <c r="I110" s="28">
        <f>F110*AP110</f>
        <v>0</v>
      </c>
      <c r="J110" s="28">
        <f>F110*G110</f>
        <v>0</v>
      </c>
      <c r="K110" s="30" t="s">
        <v>72</v>
      </c>
      <c r="L110" s="27"/>
      <c r="Z110" s="28">
        <f>IF(AQ110="5",BJ110,0)</f>
        <v>0</v>
      </c>
      <c r="AB110" s="28">
        <f>IF(AQ110="1",BH110,0)</f>
        <v>0</v>
      </c>
      <c r="AC110" s="28">
        <f>IF(AQ110="1",BI110,0)</f>
        <v>0</v>
      </c>
      <c r="AD110" s="28">
        <f>IF(AQ110="7",BH110,0)</f>
        <v>0</v>
      </c>
      <c r="AE110" s="28">
        <f>IF(AQ110="7",BI110,0)</f>
        <v>0</v>
      </c>
      <c r="AF110" s="28">
        <f>IF(AQ110="2",BH110,0)</f>
        <v>0</v>
      </c>
      <c r="AG110" s="28">
        <f>IF(AQ110="2",BI110,0)</f>
        <v>0</v>
      </c>
      <c r="AH110" s="28">
        <f>IF(AQ110="0",BJ110,0)</f>
        <v>0</v>
      </c>
      <c r="AI110" s="11" t="s">
        <v>51</v>
      </c>
      <c r="AJ110" s="28">
        <f>IF(AN110=0,J110,0)</f>
        <v>0</v>
      </c>
      <c r="AK110" s="28">
        <f>IF(AN110=12,J110,0)</f>
        <v>0</v>
      </c>
      <c r="AL110" s="28">
        <f>IF(AN110=21,J110,0)</f>
        <v>0</v>
      </c>
      <c r="AN110" s="28">
        <v>21</v>
      </c>
      <c r="AO110" s="28">
        <f>G110*0.265682575</f>
        <v>0</v>
      </c>
      <c r="AP110" s="28">
        <f>G110*(1-0.265682575)</f>
        <v>0</v>
      </c>
      <c r="AQ110" s="30" t="s">
        <v>81</v>
      </c>
      <c r="AV110" s="28">
        <f>AW110+AX110</f>
        <v>0</v>
      </c>
      <c r="AW110" s="28">
        <f>F110*AO110</f>
        <v>0</v>
      </c>
      <c r="AX110" s="28">
        <f>F110*AP110</f>
        <v>0</v>
      </c>
      <c r="AY110" s="30" t="s">
        <v>353</v>
      </c>
      <c r="AZ110" s="30" t="s">
        <v>308</v>
      </c>
      <c r="BA110" s="11" t="s">
        <v>60</v>
      </c>
      <c r="BC110" s="28">
        <f>AW110+AX110</f>
        <v>0</v>
      </c>
      <c r="BD110" s="28">
        <f>G110/(100-BE110)*100</f>
        <v>0</v>
      </c>
      <c r="BE110" s="28">
        <v>0</v>
      </c>
      <c r="BF110" s="28">
        <f>110</f>
        <v>110</v>
      </c>
      <c r="BH110" s="28">
        <f>F110*AO110</f>
        <v>0</v>
      </c>
      <c r="BI110" s="28">
        <f>F110*AP110</f>
        <v>0</v>
      </c>
      <c r="BJ110" s="28">
        <f>F110*G110</f>
        <v>0</v>
      </c>
      <c r="BK110" s="28"/>
      <c r="BL110" s="28">
        <v>767</v>
      </c>
      <c r="BW110" s="28">
        <v>21</v>
      </c>
    </row>
    <row r="111" spans="1:75">
      <c r="A111" s="31" t="s">
        <v>51</v>
      </c>
      <c r="B111" s="32" t="s">
        <v>354</v>
      </c>
      <c r="C111" s="79" t="s">
        <v>355</v>
      </c>
      <c r="D111" s="80"/>
      <c r="E111" s="33" t="s">
        <v>4</v>
      </c>
      <c r="F111" s="33" t="s">
        <v>4</v>
      </c>
      <c r="G111" s="34" t="s">
        <v>4</v>
      </c>
      <c r="H111" s="1">
        <f>SUM(H112:H113)</f>
        <v>0</v>
      </c>
      <c r="I111" s="1">
        <f>SUM(I112:I113)</f>
        <v>0</v>
      </c>
      <c r="J111" s="1">
        <f>SUM(J112:J113)</f>
        <v>0</v>
      </c>
      <c r="K111" s="11" t="s">
        <v>51</v>
      </c>
      <c r="L111" s="27"/>
      <c r="AI111" s="11" t="s">
        <v>51</v>
      </c>
      <c r="AS111" s="1">
        <f>SUM(AJ112:AJ113)</f>
        <v>0</v>
      </c>
      <c r="AT111" s="1">
        <f>SUM(AK112:AK113)</f>
        <v>0</v>
      </c>
      <c r="AU111" s="1">
        <f>SUM(AL112:AL113)</f>
        <v>0</v>
      </c>
    </row>
    <row r="112" spans="1:75" ht="27" customHeight="1">
      <c r="A112" s="2" t="s">
        <v>356</v>
      </c>
      <c r="B112" s="3" t="s">
        <v>357</v>
      </c>
      <c r="C112" s="75" t="s">
        <v>358</v>
      </c>
      <c r="D112" s="76"/>
      <c r="E112" s="3" t="s">
        <v>71</v>
      </c>
      <c r="F112" s="28">
        <v>142.07</v>
      </c>
      <c r="G112" s="29">
        <v>0</v>
      </c>
      <c r="H112" s="28">
        <f>F112*AO112</f>
        <v>0</v>
      </c>
      <c r="I112" s="28">
        <f>F112*AP112</f>
        <v>0</v>
      </c>
      <c r="J112" s="28">
        <f>F112*G112</f>
        <v>0</v>
      </c>
      <c r="K112" s="30" t="s">
        <v>72</v>
      </c>
      <c r="L112" s="27"/>
      <c r="Z112" s="28">
        <f>IF(AQ112="5",BJ112,0)</f>
        <v>0</v>
      </c>
      <c r="AB112" s="28">
        <f>IF(AQ112="1",BH112,0)</f>
        <v>0</v>
      </c>
      <c r="AC112" s="28">
        <f>IF(AQ112="1",BI112,0)</f>
        <v>0</v>
      </c>
      <c r="AD112" s="28">
        <f>IF(AQ112="7",BH112,0)</f>
        <v>0</v>
      </c>
      <c r="AE112" s="28">
        <f>IF(AQ112="7",BI112,0)</f>
        <v>0</v>
      </c>
      <c r="AF112" s="28">
        <f>IF(AQ112="2",BH112,0)</f>
        <v>0</v>
      </c>
      <c r="AG112" s="28">
        <f>IF(AQ112="2",BI112,0)</f>
        <v>0</v>
      </c>
      <c r="AH112" s="28">
        <f>IF(AQ112="0",BJ112,0)</f>
        <v>0</v>
      </c>
      <c r="AI112" s="11" t="s">
        <v>51</v>
      </c>
      <c r="AJ112" s="28">
        <f>IF(AN112=0,J112,0)</f>
        <v>0</v>
      </c>
      <c r="AK112" s="28">
        <f>IF(AN112=12,J112,0)</f>
        <v>0</v>
      </c>
      <c r="AL112" s="28">
        <f>IF(AN112=21,J112,0)</f>
        <v>0</v>
      </c>
      <c r="AN112" s="28">
        <v>21</v>
      </c>
      <c r="AO112" s="28">
        <f>G112*0.249187062</f>
        <v>0</v>
      </c>
      <c r="AP112" s="28">
        <f>G112*(1-0.249187062)</f>
        <v>0</v>
      </c>
      <c r="AQ112" s="30" t="s">
        <v>81</v>
      </c>
      <c r="AV112" s="28">
        <f>AW112+AX112</f>
        <v>0</v>
      </c>
      <c r="AW112" s="28">
        <f>F112*AO112</f>
        <v>0</v>
      </c>
      <c r="AX112" s="28">
        <f>F112*AP112</f>
        <v>0</v>
      </c>
      <c r="AY112" s="30" t="s">
        <v>359</v>
      </c>
      <c r="AZ112" s="30" t="s">
        <v>360</v>
      </c>
      <c r="BA112" s="11" t="s">
        <v>60</v>
      </c>
      <c r="BC112" s="28">
        <f>AW112+AX112</f>
        <v>0</v>
      </c>
      <c r="BD112" s="28">
        <f>G112/(100-BE112)*100</f>
        <v>0</v>
      </c>
      <c r="BE112" s="28">
        <v>0</v>
      </c>
      <c r="BF112" s="28">
        <f>112</f>
        <v>112</v>
      </c>
      <c r="BH112" s="28">
        <f>F112*AO112</f>
        <v>0</v>
      </c>
      <c r="BI112" s="28">
        <f>F112*AP112</f>
        <v>0</v>
      </c>
      <c r="BJ112" s="28">
        <f>F112*G112</f>
        <v>0</v>
      </c>
      <c r="BK112" s="28"/>
      <c r="BL112" s="28">
        <v>771</v>
      </c>
      <c r="BW112" s="28">
        <v>21</v>
      </c>
    </row>
    <row r="113" spans="1:75" ht="27" customHeight="1">
      <c r="A113" s="2" t="s">
        <v>361</v>
      </c>
      <c r="B113" s="3" t="s">
        <v>362</v>
      </c>
      <c r="C113" s="75" t="s">
        <v>363</v>
      </c>
      <c r="D113" s="76"/>
      <c r="E113" s="3" t="s">
        <v>140</v>
      </c>
      <c r="F113" s="28">
        <v>135</v>
      </c>
      <c r="G113" s="29">
        <v>0</v>
      </c>
      <c r="H113" s="28">
        <f>F113*AO113</f>
        <v>0</v>
      </c>
      <c r="I113" s="28">
        <f>F113*AP113</f>
        <v>0</v>
      </c>
      <c r="J113" s="28">
        <f>F113*G113</f>
        <v>0</v>
      </c>
      <c r="K113" s="30" t="s">
        <v>72</v>
      </c>
      <c r="L113" s="27"/>
      <c r="Z113" s="28">
        <f>IF(AQ113="5",BJ113,0)</f>
        <v>0</v>
      </c>
      <c r="AB113" s="28">
        <f>IF(AQ113="1",BH113,0)</f>
        <v>0</v>
      </c>
      <c r="AC113" s="28">
        <f>IF(AQ113="1",BI113,0)</f>
        <v>0</v>
      </c>
      <c r="AD113" s="28">
        <f>IF(AQ113="7",BH113,0)</f>
        <v>0</v>
      </c>
      <c r="AE113" s="28">
        <f>IF(AQ113="7",BI113,0)</f>
        <v>0</v>
      </c>
      <c r="AF113" s="28">
        <f>IF(AQ113="2",BH113,0)</f>
        <v>0</v>
      </c>
      <c r="AG113" s="28">
        <f>IF(AQ113="2",BI113,0)</f>
        <v>0</v>
      </c>
      <c r="AH113" s="28">
        <f>IF(AQ113="0",BJ113,0)</f>
        <v>0</v>
      </c>
      <c r="AI113" s="11" t="s">
        <v>51</v>
      </c>
      <c r="AJ113" s="28">
        <f>IF(AN113=0,J113,0)</f>
        <v>0</v>
      </c>
      <c r="AK113" s="28">
        <f>IF(AN113=12,J113,0)</f>
        <v>0</v>
      </c>
      <c r="AL113" s="28">
        <f>IF(AN113=21,J113,0)</f>
        <v>0</v>
      </c>
      <c r="AN113" s="28">
        <v>21</v>
      </c>
      <c r="AO113" s="28">
        <f>G113*0.069489051</f>
        <v>0</v>
      </c>
      <c r="AP113" s="28">
        <f>G113*(1-0.069489051)</f>
        <v>0</v>
      </c>
      <c r="AQ113" s="30" t="s">
        <v>81</v>
      </c>
      <c r="AV113" s="28">
        <f>AW113+AX113</f>
        <v>0</v>
      </c>
      <c r="AW113" s="28">
        <f>F113*AO113</f>
        <v>0</v>
      </c>
      <c r="AX113" s="28">
        <f>F113*AP113</f>
        <v>0</v>
      </c>
      <c r="AY113" s="30" t="s">
        <v>359</v>
      </c>
      <c r="AZ113" s="30" t="s">
        <v>360</v>
      </c>
      <c r="BA113" s="11" t="s">
        <v>60</v>
      </c>
      <c r="BC113" s="28">
        <f>AW113+AX113</f>
        <v>0</v>
      </c>
      <c r="BD113" s="28">
        <f>G113/(100-BE113)*100</f>
        <v>0</v>
      </c>
      <c r="BE113" s="28">
        <v>0</v>
      </c>
      <c r="BF113" s="28">
        <f>113</f>
        <v>113</v>
      </c>
      <c r="BH113" s="28">
        <f>F113*AO113</f>
        <v>0</v>
      </c>
      <c r="BI113" s="28">
        <f>F113*AP113</f>
        <v>0</v>
      </c>
      <c r="BJ113" s="28">
        <f>F113*G113</f>
        <v>0</v>
      </c>
      <c r="BK113" s="28"/>
      <c r="BL113" s="28">
        <v>771</v>
      </c>
      <c r="BW113" s="28">
        <v>21</v>
      </c>
    </row>
    <row r="114" spans="1:75">
      <c r="A114" s="31" t="s">
        <v>51</v>
      </c>
      <c r="B114" s="32" t="s">
        <v>364</v>
      </c>
      <c r="C114" s="79" t="s">
        <v>365</v>
      </c>
      <c r="D114" s="80"/>
      <c r="E114" s="33" t="s">
        <v>4</v>
      </c>
      <c r="F114" s="33" t="s">
        <v>4</v>
      </c>
      <c r="G114" s="34" t="s">
        <v>4</v>
      </c>
      <c r="H114" s="1">
        <f>SUM(H115:H121)</f>
        <v>0</v>
      </c>
      <c r="I114" s="1">
        <f>SUM(I115:I121)</f>
        <v>0</v>
      </c>
      <c r="J114" s="1">
        <f>SUM(J115:J121)</f>
        <v>0</v>
      </c>
      <c r="K114" s="11" t="s">
        <v>51</v>
      </c>
      <c r="L114" s="27"/>
      <c r="AI114" s="11" t="s">
        <v>51</v>
      </c>
      <c r="AS114" s="1">
        <f>SUM(AJ115:AJ121)</f>
        <v>0</v>
      </c>
      <c r="AT114" s="1">
        <f>SUM(AK115:AK121)</f>
        <v>0</v>
      </c>
      <c r="AU114" s="1">
        <f>SUM(AL115:AL121)</f>
        <v>0</v>
      </c>
    </row>
    <row r="115" spans="1:75" ht="27" customHeight="1">
      <c r="A115" s="2" t="s">
        <v>366</v>
      </c>
      <c r="B115" s="3" t="s">
        <v>367</v>
      </c>
      <c r="C115" s="75" t="s">
        <v>368</v>
      </c>
      <c r="D115" s="76"/>
      <c r="E115" s="3" t="s">
        <v>71</v>
      </c>
      <c r="F115" s="28">
        <v>16</v>
      </c>
      <c r="G115" s="29">
        <v>0</v>
      </c>
      <c r="H115" s="28">
        <f t="shared" ref="H115:H121" si="110">F115*AO115</f>
        <v>0</v>
      </c>
      <c r="I115" s="28">
        <f t="shared" ref="I115:I121" si="111">F115*AP115</f>
        <v>0</v>
      </c>
      <c r="J115" s="28">
        <f t="shared" ref="J115:J121" si="112">F115*G115</f>
        <v>0</v>
      </c>
      <c r="K115" s="30" t="s">
        <v>72</v>
      </c>
      <c r="L115" s="27"/>
      <c r="Z115" s="28">
        <f t="shared" ref="Z115:Z121" si="113">IF(AQ115="5",BJ115,0)</f>
        <v>0</v>
      </c>
      <c r="AB115" s="28">
        <f t="shared" ref="AB115:AB121" si="114">IF(AQ115="1",BH115,0)</f>
        <v>0</v>
      </c>
      <c r="AC115" s="28">
        <f t="shared" ref="AC115:AC121" si="115">IF(AQ115="1",BI115,0)</f>
        <v>0</v>
      </c>
      <c r="AD115" s="28">
        <f t="shared" ref="AD115:AD121" si="116">IF(AQ115="7",BH115,0)</f>
        <v>0</v>
      </c>
      <c r="AE115" s="28">
        <f t="shared" ref="AE115:AE121" si="117">IF(AQ115="7",BI115,0)</f>
        <v>0</v>
      </c>
      <c r="AF115" s="28">
        <f t="shared" ref="AF115:AF121" si="118">IF(AQ115="2",BH115,0)</f>
        <v>0</v>
      </c>
      <c r="AG115" s="28">
        <f t="shared" ref="AG115:AG121" si="119">IF(AQ115="2",BI115,0)</f>
        <v>0</v>
      </c>
      <c r="AH115" s="28">
        <f t="shared" ref="AH115:AH121" si="120">IF(AQ115="0",BJ115,0)</f>
        <v>0</v>
      </c>
      <c r="AI115" s="11" t="s">
        <v>51</v>
      </c>
      <c r="AJ115" s="28">
        <f t="shared" ref="AJ115:AJ121" si="121">IF(AN115=0,J115,0)</f>
        <v>0</v>
      </c>
      <c r="AK115" s="28">
        <f t="shared" ref="AK115:AK121" si="122">IF(AN115=12,J115,0)</f>
        <v>0</v>
      </c>
      <c r="AL115" s="28">
        <f t="shared" ref="AL115:AL121" si="123">IF(AN115=21,J115,0)</f>
        <v>0</v>
      </c>
      <c r="AN115" s="28">
        <v>21</v>
      </c>
      <c r="AO115" s="28">
        <f>G115*0</f>
        <v>0</v>
      </c>
      <c r="AP115" s="28">
        <f>G115*(1-0)</f>
        <v>0</v>
      </c>
      <c r="AQ115" s="30" t="s">
        <v>81</v>
      </c>
      <c r="AV115" s="28">
        <f t="shared" ref="AV115:AV121" si="124">AW115+AX115</f>
        <v>0</v>
      </c>
      <c r="AW115" s="28">
        <f t="shared" ref="AW115:AW121" si="125">F115*AO115</f>
        <v>0</v>
      </c>
      <c r="AX115" s="28">
        <f t="shared" ref="AX115:AX121" si="126">F115*AP115</f>
        <v>0</v>
      </c>
      <c r="AY115" s="30" t="s">
        <v>369</v>
      </c>
      <c r="AZ115" s="30" t="s">
        <v>370</v>
      </c>
      <c r="BA115" s="11" t="s">
        <v>60</v>
      </c>
      <c r="BC115" s="28">
        <f t="shared" ref="BC115:BC121" si="127">AW115+AX115</f>
        <v>0</v>
      </c>
      <c r="BD115" s="28">
        <f t="shared" ref="BD115:BD121" si="128">G115/(100-BE115)*100</f>
        <v>0</v>
      </c>
      <c r="BE115" s="28">
        <v>0</v>
      </c>
      <c r="BF115" s="28">
        <f>115</f>
        <v>115</v>
      </c>
      <c r="BH115" s="28">
        <f t="shared" ref="BH115:BH121" si="129">F115*AO115</f>
        <v>0</v>
      </c>
      <c r="BI115" s="28">
        <f t="shared" ref="BI115:BI121" si="130">F115*AP115</f>
        <v>0</v>
      </c>
      <c r="BJ115" s="28">
        <f t="shared" ref="BJ115:BJ121" si="131">F115*G115</f>
        <v>0</v>
      </c>
      <c r="BK115" s="28"/>
      <c r="BL115" s="28">
        <v>781</v>
      </c>
      <c r="BW115" s="28">
        <v>21</v>
      </c>
    </row>
    <row r="116" spans="1:75" ht="13.5" customHeight="1">
      <c r="A116" s="2" t="s">
        <v>371</v>
      </c>
      <c r="B116" s="3" t="s">
        <v>372</v>
      </c>
      <c r="C116" s="75" t="s">
        <v>373</v>
      </c>
      <c r="D116" s="76"/>
      <c r="E116" s="3" t="s">
        <v>71</v>
      </c>
      <c r="F116" s="28">
        <v>16</v>
      </c>
      <c r="G116" s="29">
        <v>0</v>
      </c>
      <c r="H116" s="28">
        <f t="shared" si="110"/>
        <v>0</v>
      </c>
      <c r="I116" s="28">
        <f t="shared" si="111"/>
        <v>0</v>
      </c>
      <c r="J116" s="28">
        <f t="shared" si="112"/>
        <v>0</v>
      </c>
      <c r="K116" s="30" t="s">
        <v>72</v>
      </c>
      <c r="L116" s="27"/>
      <c r="Z116" s="28">
        <f t="shared" si="113"/>
        <v>0</v>
      </c>
      <c r="AB116" s="28">
        <f t="shared" si="114"/>
        <v>0</v>
      </c>
      <c r="AC116" s="28">
        <f t="shared" si="115"/>
        <v>0</v>
      </c>
      <c r="AD116" s="28">
        <f t="shared" si="116"/>
        <v>0</v>
      </c>
      <c r="AE116" s="28">
        <f t="shared" si="117"/>
        <v>0</v>
      </c>
      <c r="AF116" s="28">
        <f t="shared" si="118"/>
        <v>0</v>
      </c>
      <c r="AG116" s="28">
        <f t="shared" si="119"/>
        <v>0</v>
      </c>
      <c r="AH116" s="28">
        <f t="shared" si="120"/>
        <v>0</v>
      </c>
      <c r="AI116" s="11" t="s">
        <v>51</v>
      </c>
      <c r="AJ116" s="28">
        <f t="shared" si="121"/>
        <v>0</v>
      </c>
      <c r="AK116" s="28">
        <f t="shared" si="122"/>
        <v>0</v>
      </c>
      <c r="AL116" s="28">
        <f t="shared" si="123"/>
        <v>0</v>
      </c>
      <c r="AN116" s="28">
        <v>21</v>
      </c>
      <c r="AO116" s="28">
        <f>G116*0</f>
        <v>0</v>
      </c>
      <c r="AP116" s="28">
        <f>G116*(1-0)</f>
        <v>0</v>
      </c>
      <c r="AQ116" s="30" t="s">
        <v>81</v>
      </c>
      <c r="AV116" s="28">
        <f t="shared" si="124"/>
        <v>0</v>
      </c>
      <c r="AW116" s="28">
        <f t="shared" si="125"/>
        <v>0</v>
      </c>
      <c r="AX116" s="28">
        <f t="shared" si="126"/>
        <v>0</v>
      </c>
      <c r="AY116" s="30" t="s">
        <v>369</v>
      </c>
      <c r="AZ116" s="30" t="s">
        <v>370</v>
      </c>
      <c r="BA116" s="11" t="s">
        <v>60</v>
      </c>
      <c r="BC116" s="28">
        <f t="shared" si="127"/>
        <v>0</v>
      </c>
      <c r="BD116" s="28">
        <f t="shared" si="128"/>
        <v>0</v>
      </c>
      <c r="BE116" s="28">
        <v>0</v>
      </c>
      <c r="BF116" s="28">
        <f>116</f>
        <v>116</v>
      </c>
      <c r="BH116" s="28">
        <f t="shared" si="129"/>
        <v>0</v>
      </c>
      <c r="BI116" s="28">
        <f t="shared" si="130"/>
        <v>0</v>
      </c>
      <c r="BJ116" s="28">
        <f t="shared" si="131"/>
        <v>0</v>
      </c>
      <c r="BK116" s="28"/>
      <c r="BL116" s="28">
        <v>781</v>
      </c>
      <c r="BW116" s="28">
        <v>21</v>
      </c>
    </row>
    <row r="117" spans="1:75" ht="27" customHeight="1">
      <c r="A117" s="2" t="s">
        <v>374</v>
      </c>
      <c r="B117" s="3" t="s">
        <v>375</v>
      </c>
      <c r="C117" s="75" t="s">
        <v>376</v>
      </c>
      <c r="D117" s="76"/>
      <c r="E117" s="3" t="s">
        <v>71</v>
      </c>
      <c r="F117" s="28">
        <v>16</v>
      </c>
      <c r="G117" s="29">
        <v>0</v>
      </c>
      <c r="H117" s="28">
        <f t="shared" si="110"/>
        <v>0</v>
      </c>
      <c r="I117" s="28">
        <f t="shared" si="111"/>
        <v>0</v>
      </c>
      <c r="J117" s="28">
        <f t="shared" si="112"/>
        <v>0</v>
      </c>
      <c r="K117" s="30" t="s">
        <v>72</v>
      </c>
      <c r="L117" s="27"/>
      <c r="Z117" s="28">
        <f t="shared" si="113"/>
        <v>0</v>
      </c>
      <c r="AB117" s="28">
        <f t="shared" si="114"/>
        <v>0</v>
      </c>
      <c r="AC117" s="28">
        <f t="shared" si="115"/>
        <v>0</v>
      </c>
      <c r="AD117" s="28">
        <f t="shared" si="116"/>
        <v>0</v>
      </c>
      <c r="AE117" s="28">
        <f t="shared" si="117"/>
        <v>0</v>
      </c>
      <c r="AF117" s="28">
        <f t="shared" si="118"/>
        <v>0</v>
      </c>
      <c r="AG117" s="28">
        <f t="shared" si="119"/>
        <v>0</v>
      </c>
      <c r="AH117" s="28">
        <f t="shared" si="120"/>
        <v>0</v>
      </c>
      <c r="AI117" s="11" t="s">
        <v>51</v>
      </c>
      <c r="AJ117" s="28">
        <f t="shared" si="121"/>
        <v>0</v>
      </c>
      <c r="AK117" s="28">
        <f t="shared" si="122"/>
        <v>0</v>
      </c>
      <c r="AL117" s="28">
        <f t="shared" si="123"/>
        <v>0</v>
      </c>
      <c r="AN117" s="28">
        <v>21</v>
      </c>
      <c r="AO117" s="28">
        <f>G117*0</f>
        <v>0</v>
      </c>
      <c r="AP117" s="28">
        <f>G117*(1-0)</f>
        <v>0</v>
      </c>
      <c r="AQ117" s="30" t="s">
        <v>81</v>
      </c>
      <c r="AV117" s="28">
        <f t="shared" si="124"/>
        <v>0</v>
      </c>
      <c r="AW117" s="28">
        <f t="shared" si="125"/>
        <v>0</v>
      </c>
      <c r="AX117" s="28">
        <f t="shared" si="126"/>
        <v>0</v>
      </c>
      <c r="AY117" s="30" t="s">
        <v>369</v>
      </c>
      <c r="AZ117" s="30" t="s">
        <v>370</v>
      </c>
      <c r="BA117" s="11" t="s">
        <v>60</v>
      </c>
      <c r="BC117" s="28">
        <f t="shared" si="127"/>
        <v>0</v>
      </c>
      <c r="BD117" s="28">
        <f t="shared" si="128"/>
        <v>0</v>
      </c>
      <c r="BE117" s="28">
        <v>0</v>
      </c>
      <c r="BF117" s="28">
        <f>117</f>
        <v>117</v>
      </c>
      <c r="BH117" s="28">
        <f t="shared" si="129"/>
        <v>0</v>
      </c>
      <c r="BI117" s="28">
        <f t="shared" si="130"/>
        <v>0</v>
      </c>
      <c r="BJ117" s="28">
        <f t="shared" si="131"/>
        <v>0</v>
      </c>
      <c r="BK117" s="28"/>
      <c r="BL117" s="28">
        <v>781</v>
      </c>
      <c r="BW117" s="28">
        <v>21</v>
      </c>
    </row>
    <row r="118" spans="1:75" ht="27" customHeight="1">
      <c r="A118" s="2" t="s">
        <v>377</v>
      </c>
      <c r="B118" s="3" t="s">
        <v>378</v>
      </c>
      <c r="C118" s="75" t="s">
        <v>379</v>
      </c>
      <c r="D118" s="76"/>
      <c r="E118" s="3" t="s">
        <v>71</v>
      </c>
      <c r="F118" s="28">
        <v>16</v>
      </c>
      <c r="G118" s="29">
        <v>0</v>
      </c>
      <c r="H118" s="28">
        <f t="shared" si="110"/>
        <v>0</v>
      </c>
      <c r="I118" s="28">
        <f t="shared" si="111"/>
        <v>0</v>
      </c>
      <c r="J118" s="28">
        <f t="shared" si="112"/>
        <v>0</v>
      </c>
      <c r="K118" s="30" t="s">
        <v>72</v>
      </c>
      <c r="L118" s="27"/>
      <c r="Z118" s="28">
        <f t="shared" si="113"/>
        <v>0</v>
      </c>
      <c r="AB118" s="28">
        <f t="shared" si="114"/>
        <v>0</v>
      </c>
      <c r="AC118" s="28">
        <f t="shared" si="115"/>
        <v>0</v>
      </c>
      <c r="AD118" s="28">
        <f t="shared" si="116"/>
        <v>0</v>
      </c>
      <c r="AE118" s="28">
        <f t="shared" si="117"/>
        <v>0</v>
      </c>
      <c r="AF118" s="28">
        <f t="shared" si="118"/>
        <v>0</v>
      </c>
      <c r="AG118" s="28">
        <f t="shared" si="119"/>
        <v>0</v>
      </c>
      <c r="AH118" s="28">
        <f t="shared" si="120"/>
        <v>0</v>
      </c>
      <c r="AI118" s="11" t="s">
        <v>51</v>
      </c>
      <c r="AJ118" s="28">
        <f t="shared" si="121"/>
        <v>0</v>
      </c>
      <c r="AK118" s="28">
        <f t="shared" si="122"/>
        <v>0</v>
      </c>
      <c r="AL118" s="28">
        <f t="shared" si="123"/>
        <v>0</v>
      </c>
      <c r="AN118" s="28">
        <v>21</v>
      </c>
      <c r="AO118" s="28">
        <f>G118*0</f>
        <v>0</v>
      </c>
      <c r="AP118" s="28">
        <f>G118*(1-0)</f>
        <v>0</v>
      </c>
      <c r="AQ118" s="30" t="s">
        <v>81</v>
      </c>
      <c r="AV118" s="28">
        <f t="shared" si="124"/>
        <v>0</v>
      </c>
      <c r="AW118" s="28">
        <f t="shared" si="125"/>
        <v>0</v>
      </c>
      <c r="AX118" s="28">
        <f t="shared" si="126"/>
        <v>0</v>
      </c>
      <c r="AY118" s="30" t="s">
        <v>369</v>
      </c>
      <c r="AZ118" s="30" t="s">
        <v>370</v>
      </c>
      <c r="BA118" s="11" t="s">
        <v>60</v>
      </c>
      <c r="BC118" s="28">
        <f t="shared" si="127"/>
        <v>0</v>
      </c>
      <c r="BD118" s="28">
        <f t="shared" si="128"/>
        <v>0</v>
      </c>
      <c r="BE118" s="28">
        <v>0</v>
      </c>
      <c r="BF118" s="28">
        <f>118</f>
        <v>118</v>
      </c>
      <c r="BH118" s="28">
        <f t="shared" si="129"/>
        <v>0</v>
      </c>
      <c r="BI118" s="28">
        <f t="shared" si="130"/>
        <v>0</v>
      </c>
      <c r="BJ118" s="28">
        <f t="shared" si="131"/>
        <v>0</v>
      </c>
      <c r="BK118" s="28"/>
      <c r="BL118" s="28">
        <v>781</v>
      </c>
      <c r="BW118" s="28">
        <v>21</v>
      </c>
    </row>
    <row r="119" spans="1:75" ht="27" customHeight="1">
      <c r="A119" s="2" t="s">
        <v>380</v>
      </c>
      <c r="B119" s="3" t="s">
        <v>381</v>
      </c>
      <c r="C119" s="75" t="s">
        <v>382</v>
      </c>
      <c r="D119" s="76"/>
      <c r="E119" s="3" t="s">
        <v>71</v>
      </c>
      <c r="F119" s="28">
        <v>16</v>
      </c>
      <c r="G119" s="29">
        <v>0</v>
      </c>
      <c r="H119" s="28">
        <f t="shared" si="110"/>
        <v>0</v>
      </c>
      <c r="I119" s="28">
        <f t="shared" si="111"/>
        <v>0</v>
      </c>
      <c r="J119" s="28">
        <f t="shared" si="112"/>
        <v>0</v>
      </c>
      <c r="K119" s="30" t="s">
        <v>72</v>
      </c>
      <c r="L119" s="27"/>
      <c r="Z119" s="28">
        <f t="shared" si="113"/>
        <v>0</v>
      </c>
      <c r="AB119" s="28">
        <f t="shared" si="114"/>
        <v>0</v>
      </c>
      <c r="AC119" s="28">
        <f t="shared" si="115"/>
        <v>0</v>
      </c>
      <c r="AD119" s="28">
        <f t="shared" si="116"/>
        <v>0</v>
      </c>
      <c r="AE119" s="28">
        <f t="shared" si="117"/>
        <v>0</v>
      </c>
      <c r="AF119" s="28">
        <f t="shared" si="118"/>
        <v>0</v>
      </c>
      <c r="AG119" s="28">
        <f t="shared" si="119"/>
        <v>0</v>
      </c>
      <c r="AH119" s="28">
        <f t="shared" si="120"/>
        <v>0</v>
      </c>
      <c r="AI119" s="11" t="s">
        <v>51</v>
      </c>
      <c r="AJ119" s="28">
        <f t="shared" si="121"/>
        <v>0</v>
      </c>
      <c r="AK119" s="28">
        <f t="shared" si="122"/>
        <v>0</v>
      </c>
      <c r="AL119" s="28">
        <f t="shared" si="123"/>
        <v>0</v>
      </c>
      <c r="AN119" s="28">
        <v>21</v>
      </c>
      <c r="AO119" s="28">
        <f>G119*1</f>
        <v>0</v>
      </c>
      <c r="AP119" s="28">
        <f>G119*(1-1)</f>
        <v>0</v>
      </c>
      <c r="AQ119" s="30" t="s">
        <v>81</v>
      </c>
      <c r="AV119" s="28">
        <f t="shared" si="124"/>
        <v>0</v>
      </c>
      <c r="AW119" s="28">
        <f t="shared" si="125"/>
        <v>0</v>
      </c>
      <c r="AX119" s="28">
        <f t="shared" si="126"/>
        <v>0</v>
      </c>
      <c r="AY119" s="30" t="s">
        <v>369</v>
      </c>
      <c r="AZ119" s="30" t="s">
        <v>370</v>
      </c>
      <c r="BA119" s="11" t="s">
        <v>60</v>
      </c>
      <c r="BC119" s="28">
        <f t="shared" si="127"/>
        <v>0</v>
      </c>
      <c r="BD119" s="28">
        <f t="shared" si="128"/>
        <v>0</v>
      </c>
      <c r="BE119" s="28">
        <v>0</v>
      </c>
      <c r="BF119" s="28">
        <f>119</f>
        <v>119</v>
      </c>
      <c r="BH119" s="28">
        <f t="shared" si="129"/>
        <v>0</v>
      </c>
      <c r="BI119" s="28">
        <f t="shared" si="130"/>
        <v>0</v>
      </c>
      <c r="BJ119" s="28">
        <f t="shared" si="131"/>
        <v>0</v>
      </c>
      <c r="BK119" s="28"/>
      <c r="BL119" s="28">
        <v>781</v>
      </c>
      <c r="BW119" s="28">
        <v>21</v>
      </c>
    </row>
    <row r="120" spans="1:75" ht="27" customHeight="1">
      <c r="A120" s="2" t="s">
        <v>383</v>
      </c>
      <c r="B120" s="3" t="s">
        <v>384</v>
      </c>
      <c r="C120" s="75" t="s">
        <v>385</v>
      </c>
      <c r="D120" s="76"/>
      <c r="E120" s="3" t="s">
        <v>71</v>
      </c>
      <c r="F120" s="28">
        <v>16</v>
      </c>
      <c r="G120" s="29">
        <v>0</v>
      </c>
      <c r="H120" s="28">
        <f t="shared" si="110"/>
        <v>0</v>
      </c>
      <c r="I120" s="28">
        <f t="shared" si="111"/>
        <v>0</v>
      </c>
      <c r="J120" s="28">
        <f t="shared" si="112"/>
        <v>0</v>
      </c>
      <c r="K120" s="30" t="s">
        <v>72</v>
      </c>
      <c r="L120" s="27"/>
      <c r="Z120" s="28">
        <f t="shared" si="113"/>
        <v>0</v>
      </c>
      <c r="AB120" s="28">
        <f t="shared" si="114"/>
        <v>0</v>
      </c>
      <c r="AC120" s="28">
        <f t="shared" si="115"/>
        <v>0</v>
      </c>
      <c r="AD120" s="28">
        <f t="shared" si="116"/>
        <v>0</v>
      </c>
      <c r="AE120" s="28">
        <f t="shared" si="117"/>
        <v>0</v>
      </c>
      <c r="AF120" s="28">
        <f t="shared" si="118"/>
        <v>0</v>
      </c>
      <c r="AG120" s="28">
        <f t="shared" si="119"/>
        <v>0</v>
      </c>
      <c r="AH120" s="28">
        <f t="shared" si="120"/>
        <v>0</v>
      </c>
      <c r="AI120" s="11" t="s">
        <v>51</v>
      </c>
      <c r="AJ120" s="28">
        <f t="shared" si="121"/>
        <v>0</v>
      </c>
      <c r="AK120" s="28">
        <f t="shared" si="122"/>
        <v>0</v>
      </c>
      <c r="AL120" s="28">
        <f t="shared" si="123"/>
        <v>0</v>
      </c>
      <c r="AN120" s="28">
        <v>21</v>
      </c>
      <c r="AO120" s="28">
        <f>G120*0</f>
        <v>0</v>
      </c>
      <c r="AP120" s="28">
        <f>G120*(1-0)</f>
        <v>0</v>
      </c>
      <c r="AQ120" s="30" t="s">
        <v>81</v>
      </c>
      <c r="AV120" s="28">
        <f t="shared" si="124"/>
        <v>0</v>
      </c>
      <c r="AW120" s="28">
        <f t="shared" si="125"/>
        <v>0</v>
      </c>
      <c r="AX120" s="28">
        <f t="shared" si="126"/>
        <v>0</v>
      </c>
      <c r="AY120" s="30" t="s">
        <v>369</v>
      </c>
      <c r="AZ120" s="30" t="s">
        <v>370</v>
      </c>
      <c r="BA120" s="11" t="s">
        <v>60</v>
      </c>
      <c r="BC120" s="28">
        <f t="shared" si="127"/>
        <v>0</v>
      </c>
      <c r="BD120" s="28">
        <f t="shared" si="128"/>
        <v>0</v>
      </c>
      <c r="BE120" s="28">
        <v>0</v>
      </c>
      <c r="BF120" s="28">
        <f>120</f>
        <v>120</v>
      </c>
      <c r="BH120" s="28">
        <f t="shared" si="129"/>
        <v>0</v>
      </c>
      <c r="BI120" s="28">
        <f t="shared" si="130"/>
        <v>0</v>
      </c>
      <c r="BJ120" s="28">
        <f t="shared" si="131"/>
        <v>0</v>
      </c>
      <c r="BK120" s="28"/>
      <c r="BL120" s="28">
        <v>781</v>
      </c>
      <c r="BW120" s="28">
        <v>21</v>
      </c>
    </row>
    <row r="121" spans="1:75" ht="13.5" customHeight="1">
      <c r="A121" s="2" t="s">
        <v>386</v>
      </c>
      <c r="B121" s="3" t="s">
        <v>387</v>
      </c>
      <c r="C121" s="75" t="s">
        <v>388</v>
      </c>
      <c r="D121" s="76"/>
      <c r="E121" s="3" t="s">
        <v>140</v>
      </c>
      <c r="F121" s="28">
        <v>7.5</v>
      </c>
      <c r="G121" s="29">
        <v>0</v>
      </c>
      <c r="H121" s="28">
        <f t="shared" si="110"/>
        <v>0</v>
      </c>
      <c r="I121" s="28">
        <f t="shared" si="111"/>
        <v>0</v>
      </c>
      <c r="J121" s="28">
        <f t="shared" si="112"/>
        <v>0</v>
      </c>
      <c r="K121" s="30" t="s">
        <v>72</v>
      </c>
      <c r="L121" s="27"/>
      <c r="Z121" s="28">
        <f t="shared" si="113"/>
        <v>0</v>
      </c>
      <c r="AB121" s="28">
        <f t="shared" si="114"/>
        <v>0</v>
      </c>
      <c r="AC121" s="28">
        <f t="shared" si="115"/>
        <v>0</v>
      </c>
      <c r="AD121" s="28">
        <f t="shared" si="116"/>
        <v>0</v>
      </c>
      <c r="AE121" s="28">
        <f t="shared" si="117"/>
        <v>0</v>
      </c>
      <c r="AF121" s="28">
        <f t="shared" si="118"/>
        <v>0</v>
      </c>
      <c r="AG121" s="28">
        <f t="shared" si="119"/>
        <v>0</v>
      </c>
      <c r="AH121" s="28">
        <f t="shared" si="120"/>
        <v>0</v>
      </c>
      <c r="AI121" s="11" t="s">
        <v>51</v>
      </c>
      <c r="AJ121" s="28">
        <f t="shared" si="121"/>
        <v>0</v>
      </c>
      <c r="AK121" s="28">
        <f t="shared" si="122"/>
        <v>0</v>
      </c>
      <c r="AL121" s="28">
        <f t="shared" si="123"/>
        <v>0</v>
      </c>
      <c r="AN121" s="28">
        <v>21</v>
      </c>
      <c r="AO121" s="28">
        <f>G121*0.340798442</f>
        <v>0</v>
      </c>
      <c r="AP121" s="28">
        <f>G121*(1-0.340798442)</f>
        <v>0</v>
      </c>
      <c r="AQ121" s="30" t="s">
        <v>81</v>
      </c>
      <c r="AV121" s="28">
        <f t="shared" si="124"/>
        <v>0</v>
      </c>
      <c r="AW121" s="28">
        <f t="shared" si="125"/>
        <v>0</v>
      </c>
      <c r="AX121" s="28">
        <f t="shared" si="126"/>
        <v>0</v>
      </c>
      <c r="AY121" s="30" t="s">
        <v>369</v>
      </c>
      <c r="AZ121" s="30" t="s">
        <v>370</v>
      </c>
      <c r="BA121" s="11" t="s">
        <v>60</v>
      </c>
      <c r="BC121" s="28">
        <f t="shared" si="127"/>
        <v>0</v>
      </c>
      <c r="BD121" s="28">
        <f t="shared" si="128"/>
        <v>0</v>
      </c>
      <c r="BE121" s="28">
        <v>0</v>
      </c>
      <c r="BF121" s="28">
        <f>121</f>
        <v>121</v>
      </c>
      <c r="BH121" s="28">
        <f t="shared" si="129"/>
        <v>0</v>
      </c>
      <c r="BI121" s="28">
        <f t="shared" si="130"/>
        <v>0</v>
      </c>
      <c r="BJ121" s="28">
        <f t="shared" si="131"/>
        <v>0</v>
      </c>
      <c r="BK121" s="28"/>
      <c r="BL121" s="28">
        <v>781</v>
      </c>
      <c r="BW121" s="28">
        <v>21</v>
      </c>
    </row>
    <row r="122" spans="1:75">
      <c r="A122" s="31" t="s">
        <v>51</v>
      </c>
      <c r="B122" s="32" t="s">
        <v>389</v>
      </c>
      <c r="C122" s="79" t="s">
        <v>390</v>
      </c>
      <c r="D122" s="80"/>
      <c r="E122" s="33" t="s">
        <v>4</v>
      </c>
      <c r="F122" s="33" t="s">
        <v>4</v>
      </c>
      <c r="G122" s="34" t="s">
        <v>4</v>
      </c>
      <c r="H122" s="1">
        <f>SUM(H123:H123)</f>
        <v>0</v>
      </c>
      <c r="I122" s="1">
        <f>SUM(I123:I123)</f>
        <v>0</v>
      </c>
      <c r="J122" s="1">
        <f>SUM(J123:J123)</f>
        <v>0</v>
      </c>
      <c r="K122" s="11" t="s">
        <v>51</v>
      </c>
      <c r="L122" s="27"/>
      <c r="AI122" s="11" t="s">
        <v>51</v>
      </c>
      <c r="AS122" s="1">
        <f>SUM(AJ123:AJ123)</f>
        <v>0</v>
      </c>
      <c r="AT122" s="1">
        <f>SUM(AK123:AK123)</f>
        <v>0</v>
      </c>
      <c r="AU122" s="1">
        <f>SUM(AL123:AL123)</f>
        <v>0</v>
      </c>
    </row>
    <row r="123" spans="1:75" ht="27" customHeight="1">
      <c r="A123" s="2" t="s">
        <v>391</v>
      </c>
      <c r="B123" s="3" t="s">
        <v>392</v>
      </c>
      <c r="C123" s="75" t="s">
        <v>393</v>
      </c>
      <c r="D123" s="76"/>
      <c r="E123" s="3" t="s">
        <v>71</v>
      </c>
      <c r="F123" s="28">
        <v>8</v>
      </c>
      <c r="G123" s="29">
        <v>0</v>
      </c>
      <c r="H123" s="28">
        <f>F123*AO123</f>
        <v>0</v>
      </c>
      <c r="I123" s="28">
        <f>F123*AP123</f>
        <v>0</v>
      </c>
      <c r="J123" s="28">
        <f>F123*G123</f>
        <v>0</v>
      </c>
      <c r="K123" s="30" t="s">
        <v>72</v>
      </c>
      <c r="L123" s="27"/>
      <c r="Z123" s="28">
        <f>IF(AQ123="5",BJ123,0)</f>
        <v>0</v>
      </c>
      <c r="AB123" s="28">
        <f>IF(AQ123="1",BH123,0)</f>
        <v>0</v>
      </c>
      <c r="AC123" s="28">
        <f>IF(AQ123="1",BI123,0)</f>
        <v>0</v>
      </c>
      <c r="AD123" s="28">
        <f>IF(AQ123="7",BH123,0)</f>
        <v>0</v>
      </c>
      <c r="AE123" s="28">
        <f>IF(AQ123="7",BI123,0)</f>
        <v>0</v>
      </c>
      <c r="AF123" s="28">
        <f>IF(AQ123="2",BH123,0)</f>
        <v>0</v>
      </c>
      <c r="AG123" s="28">
        <f>IF(AQ123="2",BI123,0)</f>
        <v>0</v>
      </c>
      <c r="AH123" s="28">
        <f>IF(AQ123="0",BJ123,0)</f>
        <v>0</v>
      </c>
      <c r="AI123" s="11" t="s">
        <v>51</v>
      </c>
      <c r="AJ123" s="28">
        <f>IF(AN123=0,J123,0)</f>
        <v>0</v>
      </c>
      <c r="AK123" s="28">
        <f>IF(AN123=12,J123,0)</f>
        <v>0</v>
      </c>
      <c r="AL123" s="28">
        <f>IF(AN123=21,J123,0)</f>
        <v>0</v>
      </c>
      <c r="AN123" s="28">
        <v>21</v>
      </c>
      <c r="AO123" s="28">
        <f>G123*0.196675462</f>
        <v>0</v>
      </c>
      <c r="AP123" s="28">
        <f>G123*(1-0.196675462)</f>
        <v>0</v>
      </c>
      <c r="AQ123" s="30" t="s">
        <v>81</v>
      </c>
      <c r="AV123" s="28">
        <f>AW123+AX123</f>
        <v>0</v>
      </c>
      <c r="AW123" s="28">
        <f>F123*AO123</f>
        <v>0</v>
      </c>
      <c r="AX123" s="28">
        <f>F123*AP123</f>
        <v>0</v>
      </c>
      <c r="AY123" s="30" t="s">
        <v>394</v>
      </c>
      <c r="AZ123" s="30" t="s">
        <v>370</v>
      </c>
      <c r="BA123" s="11" t="s">
        <v>60</v>
      </c>
      <c r="BC123" s="28">
        <f>AW123+AX123</f>
        <v>0</v>
      </c>
      <c r="BD123" s="28">
        <f>G123/(100-BE123)*100</f>
        <v>0</v>
      </c>
      <c r="BE123" s="28">
        <v>0</v>
      </c>
      <c r="BF123" s="28">
        <f>123</f>
        <v>123</v>
      </c>
      <c r="BH123" s="28">
        <f>F123*AO123</f>
        <v>0</v>
      </c>
      <c r="BI123" s="28">
        <f>F123*AP123</f>
        <v>0</v>
      </c>
      <c r="BJ123" s="28">
        <f>F123*G123</f>
        <v>0</v>
      </c>
      <c r="BK123" s="28"/>
      <c r="BL123" s="28">
        <v>783</v>
      </c>
      <c r="BW123" s="28">
        <v>21</v>
      </c>
    </row>
    <row r="124" spans="1:75">
      <c r="A124" s="31" t="s">
        <v>51</v>
      </c>
      <c r="B124" s="32" t="s">
        <v>395</v>
      </c>
      <c r="C124" s="79" t="s">
        <v>396</v>
      </c>
      <c r="D124" s="80"/>
      <c r="E124" s="33" t="s">
        <v>4</v>
      </c>
      <c r="F124" s="33" t="s">
        <v>4</v>
      </c>
      <c r="G124" s="34" t="s">
        <v>4</v>
      </c>
      <c r="H124" s="1">
        <f>SUM(H125:H127)</f>
        <v>0</v>
      </c>
      <c r="I124" s="1">
        <f>SUM(I125:I127)</f>
        <v>0</v>
      </c>
      <c r="J124" s="1">
        <f>SUM(J125:J127)</f>
        <v>0</v>
      </c>
      <c r="K124" s="11" t="s">
        <v>51</v>
      </c>
      <c r="L124" s="27"/>
      <c r="AI124" s="11" t="s">
        <v>51</v>
      </c>
      <c r="AS124" s="1">
        <f>SUM(AJ125:AJ127)</f>
        <v>0</v>
      </c>
      <c r="AT124" s="1">
        <f>SUM(AK125:AK127)</f>
        <v>0</v>
      </c>
      <c r="AU124" s="1">
        <f>SUM(AL125:AL127)</f>
        <v>0</v>
      </c>
    </row>
    <row r="125" spans="1:75" ht="13.5" customHeight="1">
      <c r="A125" s="2" t="s">
        <v>397</v>
      </c>
      <c r="B125" s="3" t="s">
        <v>398</v>
      </c>
      <c r="C125" s="75" t="s">
        <v>399</v>
      </c>
      <c r="D125" s="76"/>
      <c r="E125" s="3" t="s">
        <v>71</v>
      </c>
      <c r="F125" s="28">
        <v>236</v>
      </c>
      <c r="G125" s="29">
        <v>0</v>
      </c>
      <c r="H125" s="28">
        <f>F125*AO125</f>
        <v>0</v>
      </c>
      <c r="I125" s="28">
        <f>F125*AP125</f>
        <v>0</v>
      </c>
      <c r="J125" s="28">
        <f>F125*G125</f>
        <v>0</v>
      </c>
      <c r="K125" s="30" t="s">
        <v>72</v>
      </c>
      <c r="L125" s="27"/>
      <c r="Z125" s="28">
        <f>IF(AQ125="5",BJ125,0)</f>
        <v>0</v>
      </c>
      <c r="AB125" s="28">
        <f>IF(AQ125="1",BH125,0)</f>
        <v>0</v>
      </c>
      <c r="AC125" s="28">
        <f>IF(AQ125="1",BI125,0)</f>
        <v>0</v>
      </c>
      <c r="AD125" s="28">
        <f>IF(AQ125="7",BH125,0)</f>
        <v>0</v>
      </c>
      <c r="AE125" s="28">
        <f>IF(AQ125="7",BI125,0)</f>
        <v>0</v>
      </c>
      <c r="AF125" s="28">
        <f>IF(AQ125="2",BH125,0)</f>
        <v>0</v>
      </c>
      <c r="AG125" s="28">
        <f>IF(AQ125="2",BI125,0)</f>
        <v>0</v>
      </c>
      <c r="AH125" s="28">
        <f>IF(AQ125="0",BJ125,0)</f>
        <v>0</v>
      </c>
      <c r="AI125" s="11" t="s">
        <v>51</v>
      </c>
      <c r="AJ125" s="28">
        <f>IF(AN125=0,J125,0)</f>
        <v>0</v>
      </c>
      <c r="AK125" s="28">
        <f>IF(AN125=12,J125,0)</f>
        <v>0</v>
      </c>
      <c r="AL125" s="28">
        <f>IF(AN125=21,J125,0)</f>
        <v>0</v>
      </c>
      <c r="AN125" s="28">
        <v>21</v>
      </c>
      <c r="AO125" s="28">
        <f>G125*0</f>
        <v>0</v>
      </c>
      <c r="AP125" s="28">
        <f>G125*(1-0)</f>
        <v>0</v>
      </c>
      <c r="AQ125" s="30" t="s">
        <v>81</v>
      </c>
      <c r="AV125" s="28">
        <f>AW125+AX125</f>
        <v>0</v>
      </c>
      <c r="AW125" s="28">
        <f>F125*AO125</f>
        <v>0</v>
      </c>
      <c r="AX125" s="28">
        <f>F125*AP125</f>
        <v>0</v>
      </c>
      <c r="AY125" s="30" t="s">
        <v>400</v>
      </c>
      <c r="AZ125" s="30" t="s">
        <v>370</v>
      </c>
      <c r="BA125" s="11" t="s">
        <v>60</v>
      </c>
      <c r="BC125" s="28">
        <f>AW125+AX125</f>
        <v>0</v>
      </c>
      <c r="BD125" s="28">
        <f>G125/(100-BE125)*100</f>
        <v>0</v>
      </c>
      <c r="BE125" s="28">
        <v>0</v>
      </c>
      <c r="BF125" s="28">
        <f>125</f>
        <v>125</v>
      </c>
      <c r="BH125" s="28">
        <f>F125*AO125</f>
        <v>0</v>
      </c>
      <c r="BI125" s="28">
        <f>F125*AP125</f>
        <v>0</v>
      </c>
      <c r="BJ125" s="28">
        <f>F125*G125</f>
        <v>0</v>
      </c>
      <c r="BK125" s="28"/>
      <c r="BL125" s="28">
        <v>784</v>
      </c>
      <c r="BW125" s="28">
        <v>21</v>
      </c>
    </row>
    <row r="126" spans="1:75" ht="13.5" customHeight="1">
      <c r="A126" s="2" t="s">
        <v>401</v>
      </c>
      <c r="B126" s="3" t="s">
        <v>402</v>
      </c>
      <c r="C126" s="75" t="s">
        <v>403</v>
      </c>
      <c r="D126" s="76"/>
      <c r="E126" s="3" t="s">
        <v>71</v>
      </c>
      <c r="F126" s="28">
        <v>236</v>
      </c>
      <c r="G126" s="29">
        <v>0</v>
      </c>
      <c r="H126" s="28">
        <f>F126*AO126</f>
        <v>0</v>
      </c>
      <c r="I126" s="28">
        <f>F126*AP126</f>
        <v>0</v>
      </c>
      <c r="J126" s="28">
        <f>F126*G126</f>
        <v>0</v>
      </c>
      <c r="K126" s="30" t="s">
        <v>72</v>
      </c>
      <c r="L126" s="27"/>
      <c r="Z126" s="28">
        <f>IF(AQ126="5",BJ126,0)</f>
        <v>0</v>
      </c>
      <c r="AB126" s="28">
        <f>IF(AQ126="1",BH126,0)</f>
        <v>0</v>
      </c>
      <c r="AC126" s="28">
        <f>IF(AQ126="1",BI126,0)</f>
        <v>0</v>
      </c>
      <c r="AD126" s="28">
        <f>IF(AQ126="7",BH126,0)</f>
        <v>0</v>
      </c>
      <c r="AE126" s="28">
        <f>IF(AQ126="7",BI126,0)</f>
        <v>0</v>
      </c>
      <c r="AF126" s="28">
        <f>IF(AQ126="2",BH126,0)</f>
        <v>0</v>
      </c>
      <c r="AG126" s="28">
        <f>IF(AQ126="2",BI126,0)</f>
        <v>0</v>
      </c>
      <c r="AH126" s="28">
        <f>IF(AQ126="0",BJ126,0)</f>
        <v>0</v>
      </c>
      <c r="AI126" s="11" t="s">
        <v>51</v>
      </c>
      <c r="AJ126" s="28">
        <f>IF(AN126=0,J126,0)</f>
        <v>0</v>
      </c>
      <c r="AK126" s="28">
        <f>IF(AN126=12,J126,0)</f>
        <v>0</v>
      </c>
      <c r="AL126" s="28">
        <f>IF(AN126=21,J126,0)</f>
        <v>0</v>
      </c>
      <c r="AN126" s="28">
        <v>21</v>
      </c>
      <c r="AO126" s="28">
        <f>G126*0.409677419</f>
        <v>0</v>
      </c>
      <c r="AP126" s="28">
        <f>G126*(1-0.409677419)</f>
        <v>0</v>
      </c>
      <c r="AQ126" s="30" t="s">
        <v>81</v>
      </c>
      <c r="AV126" s="28">
        <f>AW126+AX126</f>
        <v>0</v>
      </c>
      <c r="AW126" s="28">
        <f>F126*AO126</f>
        <v>0</v>
      </c>
      <c r="AX126" s="28">
        <f>F126*AP126</f>
        <v>0</v>
      </c>
      <c r="AY126" s="30" t="s">
        <v>400</v>
      </c>
      <c r="AZ126" s="30" t="s">
        <v>370</v>
      </c>
      <c r="BA126" s="11" t="s">
        <v>60</v>
      </c>
      <c r="BC126" s="28">
        <f>AW126+AX126</f>
        <v>0</v>
      </c>
      <c r="BD126" s="28">
        <f>G126/(100-BE126)*100</f>
        <v>0</v>
      </c>
      <c r="BE126" s="28">
        <v>0</v>
      </c>
      <c r="BF126" s="28">
        <f>126</f>
        <v>126</v>
      </c>
      <c r="BH126" s="28">
        <f>F126*AO126</f>
        <v>0</v>
      </c>
      <c r="BI126" s="28">
        <f>F126*AP126</f>
        <v>0</v>
      </c>
      <c r="BJ126" s="28">
        <f>F126*G126</f>
        <v>0</v>
      </c>
      <c r="BK126" s="28"/>
      <c r="BL126" s="28">
        <v>784</v>
      </c>
      <c r="BW126" s="28">
        <v>21</v>
      </c>
    </row>
    <row r="127" spans="1:75" ht="13.5" customHeight="1">
      <c r="A127" s="2" t="s">
        <v>404</v>
      </c>
      <c r="B127" s="3" t="s">
        <v>405</v>
      </c>
      <c r="C127" s="75" t="s">
        <v>406</v>
      </c>
      <c r="D127" s="76"/>
      <c r="E127" s="3" t="s">
        <v>71</v>
      </c>
      <c r="F127" s="28">
        <v>236</v>
      </c>
      <c r="G127" s="29">
        <v>0</v>
      </c>
      <c r="H127" s="28">
        <f>F127*AO127</f>
        <v>0</v>
      </c>
      <c r="I127" s="28">
        <f>F127*AP127</f>
        <v>0</v>
      </c>
      <c r="J127" s="28">
        <f>F127*G127</f>
        <v>0</v>
      </c>
      <c r="K127" s="30" t="s">
        <v>72</v>
      </c>
      <c r="L127" s="27"/>
      <c r="Z127" s="28">
        <f>IF(AQ127="5",BJ127,0)</f>
        <v>0</v>
      </c>
      <c r="AB127" s="28">
        <f>IF(AQ127="1",BH127,0)</f>
        <v>0</v>
      </c>
      <c r="AC127" s="28">
        <f>IF(AQ127="1",BI127,0)</f>
        <v>0</v>
      </c>
      <c r="AD127" s="28">
        <f>IF(AQ127="7",BH127,0)</f>
        <v>0</v>
      </c>
      <c r="AE127" s="28">
        <f>IF(AQ127="7",BI127,0)</f>
        <v>0</v>
      </c>
      <c r="AF127" s="28">
        <f>IF(AQ127="2",BH127,0)</f>
        <v>0</v>
      </c>
      <c r="AG127" s="28">
        <f>IF(AQ127="2",BI127,0)</f>
        <v>0</v>
      </c>
      <c r="AH127" s="28">
        <f>IF(AQ127="0",BJ127,0)</f>
        <v>0</v>
      </c>
      <c r="AI127" s="11" t="s">
        <v>51</v>
      </c>
      <c r="AJ127" s="28">
        <f>IF(AN127=0,J127,0)</f>
        <v>0</v>
      </c>
      <c r="AK127" s="28">
        <f>IF(AN127=12,J127,0)</f>
        <v>0</v>
      </c>
      <c r="AL127" s="28">
        <f>IF(AN127=21,J127,0)</f>
        <v>0</v>
      </c>
      <c r="AN127" s="28">
        <v>21</v>
      </c>
      <c r="AO127" s="28">
        <f>G127*0.089857369</f>
        <v>0</v>
      </c>
      <c r="AP127" s="28">
        <f>G127*(1-0.089857369)</f>
        <v>0</v>
      </c>
      <c r="AQ127" s="30" t="s">
        <v>81</v>
      </c>
      <c r="AV127" s="28">
        <f>AW127+AX127</f>
        <v>0</v>
      </c>
      <c r="AW127" s="28">
        <f>F127*AO127</f>
        <v>0</v>
      </c>
      <c r="AX127" s="28">
        <f>F127*AP127</f>
        <v>0</v>
      </c>
      <c r="AY127" s="30" t="s">
        <v>400</v>
      </c>
      <c r="AZ127" s="30" t="s">
        <v>370</v>
      </c>
      <c r="BA127" s="11" t="s">
        <v>60</v>
      </c>
      <c r="BC127" s="28">
        <f>AW127+AX127</f>
        <v>0</v>
      </c>
      <c r="BD127" s="28">
        <f>G127/(100-BE127)*100</f>
        <v>0</v>
      </c>
      <c r="BE127" s="28">
        <v>0</v>
      </c>
      <c r="BF127" s="28">
        <f>127</f>
        <v>127</v>
      </c>
      <c r="BH127" s="28">
        <f>F127*AO127</f>
        <v>0</v>
      </c>
      <c r="BI127" s="28">
        <f>F127*AP127</f>
        <v>0</v>
      </c>
      <c r="BJ127" s="28">
        <f>F127*G127</f>
        <v>0</v>
      </c>
      <c r="BK127" s="28"/>
      <c r="BL127" s="28">
        <v>784</v>
      </c>
      <c r="BW127" s="28">
        <v>21</v>
      </c>
    </row>
    <row r="128" spans="1:75" ht="36.75" customHeight="1">
      <c r="A128" s="31" t="s">
        <v>51</v>
      </c>
      <c r="B128" s="32" t="s">
        <v>397</v>
      </c>
      <c r="C128" s="79" t="s">
        <v>407</v>
      </c>
      <c r="D128" s="80"/>
      <c r="E128" s="33" t="s">
        <v>4</v>
      </c>
      <c r="F128" s="33" t="s">
        <v>4</v>
      </c>
      <c r="G128" s="34" t="s">
        <v>4</v>
      </c>
      <c r="H128" s="1">
        <f>SUM(H129:H129)</f>
        <v>0</v>
      </c>
      <c r="I128" s="1">
        <f>SUM(I129:I129)</f>
        <v>0</v>
      </c>
      <c r="J128" s="1">
        <f>SUM(J129:J129)</f>
        <v>0</v>
      </c>
      <c r="K128" s="11" t="s">
        <v>51</v>
      </c>
      <c r="L128" s="27"/>
      <c r="AI128" s="11" t="s">
        <v>51</v>
      </c>
      <c r="AS128" s="1">
        <f>SUM(AJ129:AJ129)</f>
        <v>0</v>
      </c>
      <c r="AT128" s="1">
        <f>SUM(AK129:AK129)</f>
        <v>0</v>
      </c>
      <c r="AU128" s="1">
        <f>SUM(AL129:AL129)</f>
        <v>0</v>
      </c>
    </row>
    <row r="129" spans="1:75" ht="27" customHeight="1">
      <c r="A129" s="2" t="s">
        <v>408</v>
      </c>
      <c r="B129" s="3" t="s">
        <v>409</v>
      </c>
      <c r="C129" s="75" t="s">
        <v>410</v>
      </c>
      <c r="D129" s="76"/>
      <c r="E129" s="3" t="s">
        <v>411</v>
      </c>
      <c r="F129" s="28">
        <v>33</v>
      </c>
      <c r="G129" s="29">
        <v>0</v>
      </c>
      <c r="H129" s="28">
        <f>F129*AO129</f>
        <v>0</v>
      </c>
      <c r="I129" s="28">
        <f>F129*AP129</f>
        <v>0</v>
      </c>
      <c r="J129" s="28">
        <f>F129*G129</f>
        <v>0</v>
      </c>
      <c r="K129" s="30" t="s">
        <v>72</v>
      </c>
      <c r="L129" s="27"/>
      <c r="Z129" s="28">
        <f>IF(AQ129="5",BJ129,0)</f>
        <v>0</v>
      </c>
      <c r="AB129" s="28">
        <f>IF(AQ129="1",BH129,0)</f>
        <v>0</v>
      </c>
      <c r="AC129" s="28">
        <f>IF(AQ129="1",BI129,0)</f>
        <v>0</v>
      </c>
      <c r="AD129" s="28">
        <f>IF(AQ129="7",BH129,0)</f>
        <v>0</v>
      </c>
      <c r="AE129" s="28">
        <f>IF(AQ129="7",BI129,0)</f>
        <v>0</v>
      </c>
      <c r="AF129" s="28">
        <f>IF(AQ129="2",BH129,0)</f>
        <v>0</v>
      </c>
      <c r="AG129" s="28">
        <f>IF(AQ129="2",BI129,0)</f>
        <v>0</v>
      </c>
      <c r="AH129" s="28">
        <f>IF(AQ129="0",BJ129,0)</f>
        <v>0</v>
      </c>
      <c r="AI129" s="11" t="s">
        <v>51</v>
      </c>
      <c r="AJ129" s="28">
        <f>IF(AN129=0,J129,0)</f>
        <v>0</v>
      </c>
      <c r="AK129" s="28">
        <f>IF(AN129=12,J129,0)</f>
        <v>0</v>
      </c>
      <c r="AL129" s="28">
        <f>IF(AN129=21,J129,0)</f>
        <v>0</v>
      </c>
      <c r="AN129" s="28">
        <v>21</v>
      </c>
      <c r="AO129" s="28">
        <f>G129*0</f>
        <v>0</v>
      </c>
      <c r="AP129" s="28">
        <f>G129*(1-0)</f>
        <v>0</v>
      </c>
      <c r="AQ129" s="30" t="s">
        <v>74</v>
      </c>
      <c r="AV129" s="28">
        <f>AW129+AX129</f>
        <v>0</v>
      </c>
      <c r="AW129" s="28">
        <f>F129*AO129</f>
        <v>0</v>
      </c>
      <c r="AX129" s="28">
        <f>F129*AP129</f>
        <v>0</v>
      </c>
      <c r="AY129" s="30" t="s">
        <v>412</v>
      </c>
      <c r="AZ129" s="30" t="s">
        <v>413</v>
      </c>
      <c r="BA129" s="11" t="s">
        <v>60</v>
      </c>
      <c r="BC129" s="28">
        <f>AW129+AX129</f>
        <v>0</v>
      </c>
      <c r="BD129" s="28">
        <f>G129/(100-BE129)*100</f>
        <v>0</v>
      </c>
      <c r="BE129" s="28">
        <v>0</v>
      </c>
      <c r="BF129" s="28">
        <f>129</f>
        <v>129</v>
      </c>
      <c r="BH129" s="28">
        <f>F129*AO129</f>
        <v>0</v>
      </c>
      <c r="BI129" s="28">
        <f>F129*AP129</f>
        <v>0</v>
      </c>
      <c r="BJ129" s="28">
        <f>F129*G129</f>
        <v>0</v>
      </c>
      <c r="BK129" s="28"/>
      <c r="BL129" s="28">
        <v>91</v>
      </c>
      <c r="BW129" s="28">
        <v>21</v>
      </c>
    </row>
    <row r="130" spans="1:75">
      <c r="A130" s="31" t="s">
        <v>51</v>
      </c>
      <c r="B130" s="32" t="s">
        <v>408</v>
      </c>
      <c r="C130" s="79" t="s">
        <v>414</v>
      </c>
      <c r="D130" s="80"/>
      <c r="E130" s="33" t="s">
        <v>4</v>
      </c>
      <c r="F130" s="33" t="s">
        <v>4</v>
      </c>
      <c r="G130" s="34" t="s">
        <v>4</v>
      </c>
      <c r="H130" s="1">
        <f>SUM(H131:H133)</f>
        <v>0</v>
      </c>
      <c r="I130" s="1">
        <f>SUM(I131:I133)</f>
        <v>0</v>
      </c>
      <c r="J130" s="1">
        <f>SUM(J131:J133)</f>
        <v>0</v>
      </c>
      <c r="K130" s="11" t="s">
        <v>51</v>
      </c>
      <c r="L130" s="27"/>
      <c r="AI130" s="11" t="s">
        <v>51</v>
      </c>
      <c r="AS130" s="1">
        <f>SUM(AJ131:AJ133)</f>
        <v>0</v>
      </c>
      <c r="AT130" s="1">
        <f>SUM(AK131:AK133)</f>
        <v>0</v>
      </c>
      <c r="AU130" s="1">
        <f>SUM(AL131:AL133)</f>
        <v>0</v>
      </c>
    </row>
    <row r="131" spans="1:75" ht="27" customHeight="1">
      <c r="A131" s="2" t="s">
        <v>415</v>
      </c>
      <c r="B131" s="3" t="s">
        <v>416</v>
      </c>
      <c r="C131" s="75" t="s">
        <v>417</v>
      </c>
      <c r="D131" s="76"/>
      <c r="E131" s="3" t="s">
        <v>71</v>
      </c>
      <c r="F131" s="28">
        <v>280</v>
      </c>
      <c r="G131" s="29">
        <v>0</v>
      </c>
      <c r="H131" s="28">
        <f>F131*AO131</f>
        <v>0</v>
      </c>
      <c r="I131" s="28">
        <f>F131*AP131</f>
        <v>0</v>
      </c>
      <c r="J131" s="28">
        <f>F131*G131</f>
        <v>0</v>
      </c>
      <c r="K131" s="30" t="s">
        <v>72</v>
      </c>
      <c r="L131" s="27"/>
      <c r="Z131" s="28">
        <f>IF(AQ131="5",BJ131,0)</f>
        <v>0</v>
      </c>
      <c r="AB131" s="28">
        <f>IF(AQ131="1",BH131,0)</f>
        <v>0</v>
      </c>
      <c r="AC131" s="28">
        <f>IF(AQ131="1",BI131,0)</f>
        <v>0</v>
      </c>
      <c r="AD131" s="28">
        <f>IF(AQ131="7",BH131,0)</f>
        <v>0</v>
      </c>
      <c r="AE131" s="28">
        <f>IF(AQ131="7",BI131,0)</f>
        <v>0</v>
      </c>
      <c r="AF131" s="28">
        <f>IF(AQ131="2",BH131,0)</f>
        <v>0</v>
      </c>
      <c r="AG131" s="28">
        <f>IF(AQ131="2",BI131,0)</f>
        <v>0</v>
      </c>
      <c r="AH131" s="28">
        <f>IF(AQ131="0",BJ131,0)</f>
        <v>0</v>
      </c>
      <c r="AI131" s="11" t="s">
        <v>51</v>
      </c>
      <c r="AJ131" s="28">
        <f>IF(AN131=0,J131,0)</f>
        <v>0</v>
      </c>
      <c r="AK131" s="28">
        <f>IF(AN131=12,J131,0)</f>
        <v>0</v>
      </c>
      <c r="AL131" s="28">
        <f>IF(AN131=21,J131,0)</f>
        <v>0</v>
      </c>
      <c r="AN131" s="28">
        <v>21</v>
      </c>
      <c r="AO131" s="28">
        <f>G131*0.000532623</f>
        <v>0</v>
      </c>
      <c r="AP131" s="28">
        <f>G131*(1-0.000532623)</f>
        <v>0</v>
      </c>
      <c r="AQ131" s="30" t="s">
        <v>54</v>
      </c>
      <c r="AV131" s="28">
        <f>AW131+AX131</f>
        <v>0</v>
      </c>
      <c r="AW131" s="28">
        <f>F131*AO131</f>
        <v>0</v>
      </c>
      <c r="AX131" s="28">
        <f>F131*AP131</f>
        <v>0</v>
      </c>
      <c r="AY131" s="30" t="s">
        <v>418</v>
      </c>
      <c r="AZ131" s="30" t="s">
        <v>413</v>
      </c>
      <c r="BA131" s="11" t="s">
        <v>60</v>
      </c>
      <c r="BC131" s="28">
        <f>AW131+AX131</f>
        <v>0</v>
      </c>
      <c r="BD131" s="28">
        <f>G131/(100-BE131)*100</f>
        <v>0</v>
      </c>
      <c r="BE131" s="28">
        <v>0</v>
      </c>
      <c r="BF131" s="28">
        <f>131</f>
        <v>131</v>
      </c>
      <c r="BH131" s="28">
        <f>F131*AO131</f>
        <v>0</v>
      </c>
      <c r="BI131" s="28">
        <f>F131*AP131</f>
        <v>0</v>
      </c>
      <c r="BJ131" s="28">
        <f>F131*G131</f>
        <v>0</v>
      </c>
      <c r="BK131" s="28"/>
      <c r="BL131" s="28">
        <v>94</v>
      </c>
      <c r="BW131" s="28">
        <v>21</v>
      </c>
    </row>
    <row r="132" spans="1:75" ht="13.5" customHeight="1">
      <c r="A132" s="2" t="s">
        <v>419</v>
      </c>
      <c r="B132" s="3" t="s">
        <v>420</v>
      </c>
      <c r="C132" s="75" t="s">
        <v>421</v>
      </c>
      <c r="D132" s="76"/>
      <c r="E132" s="3" t="s">
        <v>71</v>
      </c>
      <c r="F132" s="28">
        <v>8400</v>
      </c>
      <c r="G132" s="29">
        <v>0</v>
      </c>
      <c r="H132" s="28">
        <f>F132*AO132</f>
        <v>0</v>
      </c>
      <c r="I132" s="28">
        <f>F132*AP132</f>
        <v>0</v>
      </c>
      <c r="J132" s="28">
        <f>F132*G132</f>
        <v>0</v>
      </c>
      <c r="K132" s="30" t="s">
        <v>72</v>
      </c>
      <c r="L132" s="27"/>
      <c r="Z132" s="28">
        <f>IF(AQ132="5",BJ132,0)</f>
        <v>0</v>
      </c>
      <c r="AB132" s="28">
        <f>IF(AQ132="1",BH132,0)</f>
        <v>0</v>
      </c>
      <c r="AC132" s="28">
        <f>IF(AQ132="1",BI132,0)</f>
        <v>0</v>
      </c>
      <c r="AD132" s="28">
        <f>IF(AQ132="7",BH132,0)</f>
        <v>0</v>
      </c>
      <c r="AE132" s="28">
        <f>IF(AQ132="7",BI132,0)</f>
        <v>0</v>
      </c>
      <c r="AF132" s="28">
        <f>IF(AQ132="2",BH132,0)</f>
        <v>0</v>
      </c>
      <c r="AG132" s="28">
        <f>IF(AQ132="2",BI132,0)</f>
        <v>0</v>
      </c>
      <c r="AH132" s="28">
        <f>IF(AQ132="0",BJ132,0)</f>
        <v>0</v>
      </c>
      <c r="AI132" s="11" t="s">
        <v>51</v>
      </c>
      <c r="AJ132" s="28">
        <f>IF(AN132=0,J132,0)</f>
        <v>0</v>
      </c>
      <c r="AK132" s="28">
        <f>IF(AN132=12,J132,0)</f>
        <v>0</v>
      </c>
      <c r="AL132" s="28">
        <f>IF(AN132=21,J132,0)</f>
        <v>0</v>
      </c>
      <c r="AN132" s="28">
        <v>21</v>
      </c>
      <c r="AO132" s="28">
        <f>G132*0</f>
        <v>0</v>
      </c>
      <c r="AP132" s="28">
        <f>G132*(1-0)</f>
        <v>0</v>
      </c>
      <c r="AQ132" s="30" t="s">
        <v>54</v>
      </c>
      <c r="AV132" s="28">
        <f>AW132+AX132</f>
        <v>0</v>
      </c>
      <c r="AW132" s="28">
        <f>F132*AO132</f>
        <v>0</v>
      </c>
      <c r="AX132" s="28">
        <f>F132*AP132</f>
        <v>0</v>
      </c>
      <c r="AY132" s="30" t="s">
        <v>418</v>
      </c>
      <c r="AZ132" s="30" t="s">
        <v>413</v>
      </c>
      <c r="BA132" s="11" t="s">
        <v>60</v>
      </c>
      <c r="BC132" s="28">
        <f>AW132+AX132</f>
        <v>0</v>
      </c>
      <c r="BD132" s="28">
        <f>G132/(100-BE132)*100</f>
        <v>0</v>
      </c>
      <c r="BE132" s="28">
        <v>0</v>
      </c>
      <c r="BF132" s="28">
        <f>132</f>
        <v>132</v>
      </c>
      <c r="BH132" s="28">
        <f>F132*AO132</f>
        <v>0</v>
      </c>
      <c r="BI132" s="28">
        <f>F132*AP132</f>
        <v>0</v>
      </c>
      <c r="BJ132" s="28">
        <f>F132*G132</f>
        <v>0</v>
      </c>
      <c r="BK132" s="28"/>
      <c r="BL132" s="28">
        <v>94</v>
      </c>
      <c r="BW132" s="28">
        <v>21</v>
      </c>
    </row>
    <row r="133" spans="1:75" ht="27" customHeight="1">
      <c r="A133" s="2" t="s">
        <v>422</v>
      </c>
      <c r="B133" s="3" t="s">
        <v>423</v>
      </c>
      <c r="C133" s="75" t="s">
        <v>424</v>
      </c>
      <c r="D133" s="76"/>
      <c r="E133" s="3" t="s">
        <v>71</v>
      </c>
      <c r="F133" s="28">
        <v>280</v>
      </c>
      <c r="G133" s="29">
        <v>0</v>
      </c>
      <c r="H133" s="28">
        <f>F133*AO133</f>
        <v>0</v>
      </c>
      <c r="I133" s="28">
        <f>F133*AP133</f>
        <v>0</v>
      </c>
      <c r="J133" s="28">
        <f>F133*G133</f>
        <v>0</v>
      </c>
      <c r="K133" s="30" t="s">
        <v>72</v>
      </c>
      <c r="L133" s="27"/>
      <c r="Z133" s="28">
        <f>IF(AQ133="5",BJ133,0)</f>
        <v>0</v>
      </c>
      <c r="AB133" s="28">
        <f>IF(AQ133="1",BH133,0)</f>
        <v>0</v>
      </c>
      <c r="AC133" s="28">
        <f>IF(AQ133="1",BI133,0)</f>
        <v>0</v>
      </c>
      <c r="AD133" s="28">
        <f>IF(AQ133="7",BH133,0)</f>
        <v>0</v>
      </c>
      <c r="AE133" s="28">
        <f>IF(AQ133="7",BI133,0)</f>
        <v>0</v>
      </c>
      <c r="AF133" s="28">
        <f>IF(AQ133="2",BH133,0)</f>
        <v>0</v>
      </c>
      <c r="AG133" s="28">
        <f>IF(AQ133="2",BI133,0)</f>
        <v>0</v>
      </c>
      <c r="AH133" s="28">
        <f>IF(AQ133="0",BJ133,0)</f>
        <v>0</v>
      </c>
      <c r="AI133" s="11" t="s">
        <v>51</v>
      </c>
      <c r="AJ133" s="28">
        <f>IF(AN133=0,J133,0)</f>
        <v>0</v>
      </c>
      <c r="AK133" s="28">
        <f>IF(AN133=12,J133,0)</f>
        <v>0</v>
      </c>
      <c r="AL133" s="28">
        <f>IF(AN133=21,J133,0)</f>
        <v>0</v>
      </c>
      <c r="AN133" s="28">
        <v>21</v>
      </c>
      <c r="AO133" s="28">
        <f>G133*0</f>
        <v>0</v>
      </c>
      <c r="AP133" s="28">
        <f>G133*(1-0)</f>
        <v>0</v>
      </c>
      <c r="AQ133" s="30" t="s">
        <v>54</v>
      </c>
      <c r="AV133" s="28">
        <f>AW133+AX133</f>
        <v>0</v>
      </c>
      <c r="AW133" s="28">
        <f>F133*AO133</f>
        <v>0</v>
      </c>
      <c r="AX133" s="28">
        <f>F133*AP133</f>
        <v>0</v>
      </c>
      <c r="AY133" s="30" t="s">
        <v>418</v>
      </c>
      <c r="AZ133" s="30" t="s">
        <v>413</v>
      </c>
      <c r="BA133" s="11" t="s">
        <v>60</v>
      </c>
      <c r="BC133" s="28">
        <f>AW133+AX133</f>
        <v>0</v>
      </c>
      <c r="BD133" s="28">
        <f>G133/(100-BE133)*100</f>
        <v>0</v>
      </c>
      <c r="BE133" s="28">
        <v>0</v>
      </c>
      <c r="BF133" s="28">
        <f>133</f>
        <v>133</v>
      </c>
      <c r="BH133" s="28">
        <f>F133*AO133</f>
        <v>0</v>
      </c>
      <c r="BI133" s="28">
        <f>F133*AP133</f>
        <v>0</v>
      </c>
      <c r="BJ133" s="28">
        <f>F133*G133</f>
        <v>0</v>
      </c>
      <c r="BK133" s="28"/>
      <c r="BL133" s="28">
        <v>94</v>
      </c>
      <c r="BW133" s="28">
        <v>21</v>
      </c>
    </row>
    <row r="134" spans="1:75" ht="29.25" customHeight="1">
      <c r="A134" s="31" t="s">
        <v>51</v>
      </c>
      <c r="B134" s="32" t="s">
        <v>415</v>
      </c>
      <c r="C134" s="79" t="s">
        <v>425</v>
      </c>
      <c r="D134" s="80"/>
      <c r="E134" s="33" t="s">
        <v>4</v>
      </c>
      <c r="F134" s="33" t="s">
        <v>4</v>
      </c>
      <c r="G134" s="34" t="s">
        <v>4</v>
      </c>
      <c r="H134" s="1">
        <f>SUM(H135:H135)</f>
        <v>0</v>
      </c>
      <c r="I134" s="1">
        <f>SUM(I135:I135)</f>
        <v>0</v>
      </c>
      <c r="J134" s="1">
        <f>SUM(J135:J135)</f>
        <v>0</v>
      </c>
      <c r="K134" s="11" t="s">
        <v>51</v>
      </c>
      <c r="L134" s="27"/>
      <c r="AI134" s="11" t="s">
        <v>51</v>
      </c>
      <c r="AS134" s="1">
        <f>SUM(AJ135:AJ135)</f>
        <v>0</v>
      </c>
      <c r="AT134" s="1">
        <f>SUM(AK135:AK135)</f>
        <v>0</v>
      </c>
      <c r="AU134" s="1">
        <f>SUM(AL135:AL135)</f>
        <v>0</v>
      </c>
    </row>
    <row r="135" spans="1:75" ht="13.5" customHeight="1">
      <c r="A135" s="2" t="s">
        <v>426</v>
      </c>
      <c r="B135" s="3" t="s">
        <v>427</v>
      </c>
      <c r="C135" s="75" t="s">
        <v>428</v>
      </c>
      <c r="D135" s="76"/>
      <c r="E135" s="3" t="s">
        <v>71</v>
      </c>
      <c r="F135" s="28">
        <v>142.07</v>
      </c>
      <c r="G135" s="29">
        <v>0</v>
      </c>
      <c r="H135" s="28">
        <f>F135*AO135</f>
        <v>0</v>
      </c>
      <c r="I135" s="28">
        <f>F135*AP135</f>
        <v>0</v>
      </c>
      <c r="J135" s="28">
        <f>F135*G135</f>
        <v>0</v>
      </c>
      <c r="K135" s="30" t="s">
        <v>72</v>
      </c>
      <c r="L135" s="27"/>
      <c r="Z135" s="28">
        <f>IF(AQ135="5",BJ135,0)</f>
        <v>0</v>
      </c>
      <c r="AB135" s="28">
        <f>IF(AQ135="1",BH135,0)</f>
        <v>0</v>
      </c>
      <c r="AC135" s="28">
        <f>IF(AQ135="1",BI135,0)</f>
        <v>0</v>
      </c>
      <c r="AD135" s="28">
        <f>IF(AQ135="7",BH135,0)</f>
        <v>0</v>
      </c>
      <c r="AE135" s="28">
        <f>IF(AQ135="7",BI135,0)</f>
        <v>0</v>
      </c>
      <c r="AF135" s="28">
        <f>IF(AQ135="2",BH135,0)</f>
        <v>0</v>
      </c>
      <c r="AG135" s="28">
        <f>IF(AQ135="2",BI135,0)</f>
        <v>0</v>
      </c>
      <c r="AH135" s="28">
        <f>IF(AQ135="0",BJ135,0)</f>
        <v>0</v>
      </c>
      <c r="AI135" s="11" t="s">
        <v>51</v>
      </c>
      <c r="AJ135" s="28">
        <f>IF(AN135=0,J135,0)</f>
        <v>0</v>
      </c>
      <c r="AK135" s="28">
        <f>IF(AN135=12,J135,0)</f>
        <v>0</v>
      </c>
      <c r="AL135" s="28">
        <f>IF(AN135=21,J135,0)</f>
        <v>0</v>
      </c>
      <c r="AN135" s="28">
        <v>21</v>
      </c>
      <c r="AO135" s="28">
        <f>G135*0.012100311</f>
        <v>0</v>
      </c>
      <c r="AP135" s="28">
        <f>G135*(1-0.012100311)</f>
        <v>0</v>
      </c>
      <c r="AQ135" s="30" t="s">
        <v>54</v>
      </c>
      <c r="AV135" s="28">
        <f>AW135+AX135</f>
        <v>0</v>
      </c>
      <c r="AW135" s="28">
        <f>F135*AO135</f>
        <v>0</v>
      </c>
      <c r="AX135" s="28">
        <f>F135*AP135</f>
        <v>0</v>
      </c>
      <c r="AY135" s="30" t="s">
        <v>429</v>
      </c>
      <c r="AZ135" s="30" t="s">
        <v>413</v>
      </c>
      <c r="BA135" s="11" t="s">
        <v>60</v>
      </c>
      <c r="BC135" s="28">
        <f>AW135+AX135</f>
        <v>0</v>
      </c>
      <c r="BD135" s="28">
        <f>G135/(100-BE135)*100</f>
        <v>0</v>
      </c>
      <c r="BE135" s="28">
        <v>0</v>
      </c>
      <c r="BF135" s="28">
        <f>135</f>
        <v>135</v>
      </c>
      <c r="BH135" s="28">
        <f>F135*AO135</f>
        <v>0</v>
      </c>
      <c r="BI135" s="28">
        <f>F135*AP135</f>
        <v>0</v>
      </c>
      <c r="BJ135" s="28">
        <f>F135*G135</f>
        <v>0</v>
      </c>
      <c r="BK135" s="28"/>
      <c r="BL135" s="28">
        <v>95</v>
      </c>
      <c r="BW135" s="28">
        <v>21</v>
      </c>
    </row>
    <row r="136" spans="1:75">
      <c r="A136" s="31" t="s">
        <v>51</v>
      </c>
      <c r="B136" s="32" t="s">
        <v>419</v>
      </c>
      <c r="C136" s="79" t="s">
        <v>430</v>
      </c>
      <c r="D136" s="80"/>
      <c r="E136" s="33" t="s">
        <v>4</v>
      </c>
      <c r="F136" s="33" t="s">
        <v>4</v>
      </c>
      <c r="G136" s="34" t="s">
        <v>4</v>
      </c>
      <c r="H136" s="1">
        <f>SUM(H137:H144)</f>
        <v>0</v>
      </c>
      <c r="I136" s="1">
        <f>SUM(I137:I144)</f>
        <v>0</v>
      </c>
      <c r="J136" s="1">
        <f>SUM(J137:J144)</f>
        <v>0</v>
      </c>
      <c r="K136" s="11" t="s">
        <v>51</v>
      </c>
      <c r="L136" s="27"/>
      <c r="AI136" s="11" t="s">
        <v>51</v>
      </c>
      <c r="AS136" s="1">
        <f>SUM(AJ137:AJ144)</f>
        <v>0</v>
      </c>
      <c r="AT136" s="1">
        <f>SUM(AK137:AK144)</f>
        <v>0</v>
      </c>
      <c r="AU136" s="1">
        <f>SUM(AL137:AL144)</f>
        <v>0</v>
      </c>
    </row>
    <row r="137" spans="1:75" ht="27" customHeight="1">
      <c r="A137" s="2" t="s">
        <v>431</v>
      </c>
      <c r="B137" s="3" t="s">
        <v>432</v>
      </c>
      <c r="C137" s="75" t="s">
        <v>433</v>
      </c>
      <c r="D137" s="76"/>
      <c r="E137" s="3" t="s">
        <v>71</v>
      </c>
      <c r="F137" s="28">
        <v>65</v>
      </c>
      <c r="G137" s="29">
        <v>0</v>
      </c>
      <c r="H137" s="28">
        <f t="shared" ref="H137:H144" si="132">F137*AO137</f>
        <v>0</v>
      </c>
      <c r="I137" s="28">
        <f t="shared" ref="I137:I144" si="133">F137*AP137</f>
        <v>0</v>
      </c>
      <c r="J137" s="28">
        <f t="shared" ref="J137:J144" si="134">F137*G137</f>
        <v>0</v>
      </c>
      <c r="K137" s="30" t="s">
        <v>72</v>
      </c>
      <c r="L137" s="27"/>
      <c r="Z137" s="28">
        <f t="shared" ref="Z137:Z144" si="135">IF(AQ137="5",BJ137,0)</f>
        <v>0</v>
      </c>
      <c r="AB137" s="28">
        <f t="shared" ref="AB137:AB144" si="136">IF(AQ137="1",BH137,0)</f>
        <v>0</v>
      </c>
      <c r="AC137" s="28">
        <f t="shared" ref="AC137:AC144" si="137">IF(AQ137="1",BI137,0)</f>
        <v>0</v>
      </c>
      <c r="AD137" s="28">
        <f t="shared" ref="AD137:AD144" si="138">IF(AQ137="7",BH137,0)</f>
        <v>0</v>
      </c>
      <c r="AE137" s="28">
        <f t="shared" ref="AE137:AE144" si="139">IF(AQ137="7",BI137,0)</f>
        <v>0</v>
      </c>
      <c r="AF137" s="28">
        <f t="shared" ref="AF137:AF144" si="140">IF(AQ137="2",BH137,0)</f>
        <v>0</v>
      </c>
      <c r="AG137" s="28">
        <f t="shared" ref="AG137:AG144" si="141">IF(AQ137="2",BI137,0)</f>
        <v>0</v>
      </c>
      <c r="AH137" s="28">
        <f t="shared" ref="AH137:AH144" si="142">IF(AQ137="0",BJ137,0)</f>
        <v>0</v>
      </c>
      <c r="AI137" s="11" t="s">
        <v>51</v>
      </c>
      <c r="AJ137" s="28">
        <f t="shared" ref="AJ137:AJ144" si="143">IF(AN137=0,J137,0)</f>
        <v>0</v>
      </c>
      <c r="AK137" s="28">
        <f t="shared" ref="AK137:AK144" si="144">IF(AN137=12,J137,0)</f>
        <v>0</v>
      </c>
      <c r="AL137" s="28">
        <f t="shared" ref="AL137:AL144" si="145">IF(AN137=21,J137,0)</f>
        <v>0</v>
      </c>
      <c r="AN137" s="28">
        <v>21</v>
      </c>
      <c r="AO137" s="28">
        <f>G137*0.022176871</f>
        <v>0</v>
      </c>
      <c r="AP137" s="28">
        <f>G137*(1-0.022176871)</f>
        <v>0</v>
      </c>
      <c r="AQ137" s="30" t="s">
        <v>54</v>
      </c>
      <c r="AV137" s="28">
        <f t="shared" ref="AV137:AV144" si="146">AW137+AX137</f>
        <v>0</v>
      </c>
      <c r="AW137" s="28">
        <f t="shared" ref="AW137:AW144" si="147">F137*AO137</f>
        <v>0</v>
      </c>
      <c r="AX137" s="28">
        <f t="shared" ref="AX137:AX144" si="148">F137*AP137</f>
        <v>0</v>
      </c>
      <c r="AY137" s="30" t="s">
        <v>434</v>
      </c>
      <c r="AZ137" s="30" t="s">
        <v>413</v>
      </c>
      <c r="BA137" s="11" t="s">
        <v>60</v>
      </c>
      <c r="BC137" s="28">
        <f t="shared" ref="BC137:BC144" si="149">AW137+AX137</f>
        <v>0</v>
      </c>
      <c r="BD137" s="28">
        <f t="shared" ref="BD137:BD144" si="150">G137/(100-BE137)*100</f>
        <v>0</v>
      </c>
      <c r="BE137" s="28">
        <v>0</v>
      </c>
      <c r="BF137" s="28">
        <f>137</f>
        <v>137</v>
      </c>
      <c r="BH137" s="28">
        <f t="shared" ref="BH137:BH144" si="151">F137*AO137</f>
        <v>0</v>
      </c>
      <c r="BI137" s="28">
        <f t="shared" ref="BI137:BI144" si="152">F137*AP137</f>
        <v>0</v>
      </c>
      <c r="BJ137" s="28">
        <f t="shared" ref="BJ137:BJ144" si="153">F137*G137</f>
        <v>0</v>
      </c>
      <c r="BK137" s="28"/>
      <c r="BL137" s="28">
        <v>96</v>
      </c>
      <c r="BW137" s="28">
        <v>21</v>
      </c>
    </row>
    <row r="138" spans="1:75" ht="27" customHeight="1">
      <c r="A138" s="2" t="s">
        <v>435</v>
      </c>
      <c r="B138" s="3" t="s">
        <v>436</v>
      </c>
      <c r="C138" s="75" t="s">
        <v>437</v>
      </c>
      <c r="D138" s="76"/>
      <c r="E138" s="3" t="s">
        <v>71</v>
      </c>
      <c r="F138" s="28">
        <v>16</v>
      </c>
      <c r="G138" s="29">
        <v>0</v>
      </c>
      <c r="H138" s="28">
        <f t="shared" si="132"/>
        <v>0</v>
      </c>
      <c r="I138" s="28">
        <f t="shared" si="133"/>
        <v>0</v>
      </c>
      <c r="J138" s="28">
        <f t="shared" si="134"/>
        <v>0</v>
      </c>
      <c r="K138" s="30" t="s">
        <v>72</v>
      </c>
      <c r="L138" s="27"/>
      <c r="Z138" s="28">
        <f t="shared" si="135"/>
        <v>0</v>
      </c>
      <c r="AB138" s="28">
        <f t="shared" si="136"/>
        <v>0</v>
      </c>
      <c r="AC138" s="28">
        <f t="shared" si="137"/>
        <v>0</v>
      </c>
      <c r="AD138" s="28">
        <f t="shared" si="138"/>
        <v>0</v>
      </c>
      <c r="AE138" s="28">
        <f t="shared" si="139"/>
        <v>0</v>
      </c>
      <c r="AF138" s="28">
        <f t="shared" si="140"/>
        <v>0</v>
      </c>
      <c r="AG138" s="28">
        <f t="shared" si="141"/>
        <v>0</v>
      </c>
      <c r="AH138" s="28">
        <f t="shared" si="142"/>
        <v>0</v>
      </c>
      <c r="AI138" s="11" t="s">
        <v>51</v>
      </c>
      <c r="AJ138" s="28">
        <f t="shared" si="143"/>
        <v>0</v>
      </c>
      <c r="AK138" s="28">
        <f t="shared" si="144"/>
        <v>0</v>
      </c>
      <c r="AL138" s="28">
        <f t="shared" si="145"/>
        <v>0</v>
      </c>
      <c r="AN138" s="28">
        <v>21</v>
      </c>
      <c r="AO138" s="28">
        <f>G138*0.1613723</f>
        <v>0</v>
      </c>
      <c r="AP138" s="28">
        <f>G138*(1-0.1613723)</f>
        <v>0</v>
      </c>
      <c r="AQ138" s="30" t="s">
        <v>54</v>
      </c>
      <c r="AV138" s="28">
        <f t="shared" si="146"/>
        <v>0</v>
      </c>
      <c r="AW138" s="28">
        <f t="shared" si="147"/>
        <v>0</v>
      </c>
      <c r="AX138" s="28">
        <f t="shared" si="148"/>
        <v>0</v>
      </c>
      <c r="AY138" s="30" t="s">
        <v>434</v>
      </c>
      <c r="AZ138" s="30" t="s">
        <v>413</v>
      </c>
      <c r="BA138" s="11" t="s">
        <v>60</v>
      </c>
      <c r="BC138" s="28">
        <f t="shared" si="149"/>
        <v>0</v>
      </c>
      <c r="BD138" s="28">
        <f t="shared" si="150"/>
        <v>0</v>
      </c>
      <c r="BE138" s="28">
        <v>0</v>
      </c>
      <c r="BF138" s="28">
        <f>138</f>
        <v>138</v>
      </c>
      <c r="BH138" s="28">
        <f t="shared" si="151"/>
        <v>0</v>
      </c>
      <c r="BI138" s="28">
        <f t="shared" si="152"/>
        <v>0</v>
      </c>
      <c r="BJ138" s="28">
        <f t="shared" si="153"/>
        <v>0</v>
      </c>
      <c r="BK138" s="28"/>
      <c r="BL138" s="28">
        <v>96</v>
      </c>
      <c r="BW138" s="28">
        <v>21</v>
      </c>
    </row>
    <row r="139" spans="1:75" ht="27" customHeight="1">
      <c r="A139" s="2" t="s">
        <v>438</v>
      </c>
      <c r="B139" s="3" t="s">
        <v>439</v>
      </c>
      <c r="C139" s="75" t="s">
        <v>440</v>
      </c>
      <c r="D139" s="76"/>
      <c r="E139" s="3" t="s">
        <v>57</v>
      </c>
      <c r="F139" s="28">
        <v>7</v>
      </c>
      <c r="G139" s="29">
        <v>0</v>
      </c>
      <c r="H139" s="28">
        <f t="shared" si="132"/>
        <v>0</v>
      </c>
      <c r="I139" s="28">
        <f t="shared" si="133"/>
        <v>0</v>
      </c>
      <c r="J139" s="28">
        <f t="shared" si="134"/>
        <v>0</v>
      </c>
      <c r="K139" s="30" t="s">
        <v>72</v>
      </c>
      <c r="L139" s="27"/>
      <c r="Z139" s="28">
        <f t="shared" si="135"/>
        <v>0</v>
      </c>
      <c r="AB139" s="28">
        <f t="shared" si="136"/>
        <v>0</v>
      </c>
      <c r="AC139" s="28">
        <f t="shared" si="137"/>
        <v>0</v>
      </c>
      <c r="AD139" s="28">
        <f t="shared" si="138"/>
        <v>0</v>
      </c>
      <c r="AE139" s="28">
        <f t="shared" si="139"/>
        <v>0</v>
      </c>
      <c r="AF139" s="28">
        <f t="shared" si="140"/>
        <v>0</v>
      </c>
      <c r="AG139" s="28">
        <f t="shared" si="141"/>
        <v>0</v>
      </c>
      <c r="AH139" s="28">
        <f t="shared" si="142"/>
        <v>0</v>
      </c>
      <c r="AI139" s="11" t="s">
        <v>51</v>
      </c>
      <c r="AJ139" s="28">
        <f t="shared" si="143"/>
        <v>0</v>
      </c>
      <c r="AK139" s="28">
        <f t="shared" si="144"/>
        <v>0</v>
      </c>
      <c r="AL139" s="28">
        <f t="shared" si="145"/>
        <v>0</v>
      </c>
      <c r="AN139" s="28">
        <v>21</v>
      </c>
      <c r="AO139" s="28">
        <f>G139*0</f>
        <v>0</v>
      </c>
      <c r="AP139" s="28">
        <f>G139*(1-0)</f>
        <v>0</v>
      </c>
      <c r="AQ139" s="30" t="s">
        <v>54</v>
      </c>
      <c r="AV139" s="28">
        <f t="shared" si="146"/>
        <v>0</v>
      </c>
      <c r="AW139" s="28">
        <f t="shared" si="147"/>
        <v>0</v>
      </c>
      <c r="AX139" s="28">
        <f t="shared" si="148"/>
        <v>0</v>
      </c>
      <c r="AY139" s="30" t="s">
        <v>434</v>
      </c>
      <c r="AZ139" s="30" t="s">
        <v>413</v>
      </c>
      <c r="BA139" s="11" t="s">
        <v>60</v>
      </c>
      <c r="BC139" s="28">
        <f t="shared" si="149"/>
        <v>0</v>
      </c>
      <c r="BD139" s="28">
        <f t="shared" si="150"/>
        <v>0</v>
      </c>
      <c r="BE139" s="28">
        <v>0</v>
      </c>
      <c r="BF139" s="28">
        <f>139</f>
        <v>139</v>
      </c>
      <c r="BH139" s="28">
        <f t="shared" si="151"/>
        <v>0</v>
      </c>
      <c r="BI139" s="28">
        <f t="shared" si="152"/>
        <v>0</v>
      </c>
      <c r="BJ139" s="28">
        <f t="shared" si="153"/>
        <v>0</v>
      </c>
      <c r="BK139" s="28"/>
      <c r="BL139" s="28">
        <v>96</v>
      </c>
      <c r="BW139" s="28">
        <v>21</v>
      </c>
    </row>
    <row r="140" spans="1:75" ht="27" customHeight="1">
      <c r="A140" s="2" t="s">
        <v>441</v>
      </c>
      <c r="B140" s="3" t="s">
        <v>442</v>
      </c>
      <c r="C140" s="75" t="s">
        <v>443</v>
      </c>
      <c r="D140" s="76"/>
      <c r="E140" s="3" t="s">
        <v>57</v>
      </c>
      <c r="F140" s="28">
        <v>3</v>
      </c>
      <c r="G140" s="29">
        <v>0</v>
      </c>
      <c r="H140" s="28">
        <f t="shared" si="132"/>
        <v>0</v>
      </c>
      <c r="I140" s="28">
        <f t="shared" si="133"/>
        <v>0</v>
      </c>
      <c r="J140" s="28">
        <f t="shared" si="134"/>
        <v>0</v>
      </c>
      <c r="K140" s="30" t="s">
        <v>72</v>
      </c>
      <c r="L140" s="27"/>
      <c r="Z140" s="28">
        <f t="shared" si="135"/>
        <v>0</v>
      </c>
      <c r="AB140" s="28">
        <f t="shared" si="136"/>
        <v>0</v>
      </c>
      <c r="AC140" s="28">
        <f t="shared" si="137"/>
        <v>0</v>
      </c>
      <c r="AD140" s="28">
        <f t="shared" si="138"/>
        <v>0</v>
      </c>
      <c r="AE140" s="28">
        <f t="shared" si="139"/>
        <v>0</v>
      </c>
      <c r="AF140" s="28">
        <f t="shared" si="140"/>
        <v>0</v>
      </c>
      <c r="AG140" s="28">
        <f t="shared" si="141"/>
        <v>0</v>
      </c>
      <c r="AH140" s="28">
        <f t="shared" si="142"/>
        <v>0</v>
      </c>
      <c r="AI140" s="11" t="s">
        <v>51</v>
      </c>
      <c r="AJ140" s="28">
        <f t="shared" si="143"/>
        <v>0</v>
      </c>
      <c r="AK140" s="28">
        <f t="shared" si="144"/>
        <v>0</v>
      </c>
      <c r="AL140" s="28">
        <f t="shared" si="145"/>
        <v>0</v>
      </c>
      <c r="AN140" s="28">
        <v>21</v>
      </c>
      <c r="AO140" s="28">
        <f>G140*0</f>
        <v>0</v>
      </c>
      <c r="AP140" s="28">
        <f>G140*(1-0)</f>
        <v>0</v>
      </c>
      <c r="AQ140" s="30" t="s">
        <v>54</v>
      </c>
      <c r="AV140" s="28">
        <f t="shared" si="146"/>
        <v>0</v>
      </c>
      <c r="AW140" s="28">
        <f t="shared" si="147"/>
        <v>0</v>
      </c>
      <c r="AX140" s="28">
        <f t="shared" si="148"/>
        <v>0</v>
      </c>
      <c r="AY140" s="30" t="s">
        <v>434</v>
      </c>
      <c r="AZ140" s="30" t="s">
        <v>413</v>
      </c>
      <c r="BA140" s="11" t="s">
        <v>60</v>
      </c>
      <c r="BC140" s="28">
        <f t="shared" si="149"/>
        <v>0</v>
      </c>
      <c r="BD140" s="28">
        <f t="shared" si="150"/>
        <v>0</v>
      </c>
      <c r="BE140" s="28">
        <v>0</v>
      </c>
      <c r="BF140" s="28">
        <f>140</f>
        <v>140</v>
      </c>
      <c r="BH140" s="28">
        <f t="shared" si="151"/>
        <v>0</v>
      </c>
      <c r="BI140" s="28">
        <f t="shared" si="152"/>
        <v>0</v>
      </c>
      <c r="BJ140" s="28">
        <f t="shared" si="153"/>
        <v>0</v>
      </c>
      <c r="BK140" s="28"/>
      <c r="BL140" s="28">
        <v>96</v>
      </c>
      <c r="BW140" s="28">
        <v>21</v>
      </c>
    </row>
    <row r="141" spans="1:75" ht="27" customHeight="1">
      <c r="A141" s="2" t="s">
        <v>444</v>
      </c>
      <c r="B141" s="3" t="s">
        <v>445</v>
      </c>
      <c r="C141" s="75" t="s">
        <v>446</v>
      </c>
      <c r="D141" s="76"/>
      <c r="E141" s="3" t="s">
        <v>71</v>
      </c>
      <c r="F141" s="28">
        <v>14.5</v>
      </c>
      <c r="G141" s="29">
        <v>0</v>
      </c>
      <c r="H141" s="28">
        <f t="shared" si="132"/>
        <v>0</v>
      </c>
      <c r="I141" s="28">
        <f t="shared" si="133"/>
        <v>0</v>
      </c>
      <c r="J141" s="28">
        <f t="shared" si="134"/>
        <v>0</v>
      </c>
      <c r="K141" s="30" t="s">
        <v>72</v>
      </c>
      <c r="L141" s="27"/>
      <c r="Z141" s="28">
        <f t="shared" si="135"/>
        <v>0</v>
      </c>
      <c r="AB141" s="28">
        <f t="shared" si="136"/>
        <v>0</v>
      </c>
      <c r="AC141" s="28">
        <f t="shared" si="137"/>
        <v>0</v>
      </c>
      <c r="AD141" s="28">
        <f t="shared" si="138"/>
        <v>0</v>
      </c>
      <c r="AE141" s="28">
        <f t="shared" si="139"/>
        <v>0</v>
      </c>
      <c r="AF141" s="28">
        <f t="shared" si="140"/>
        <v>0</v>
      </c>
      <c r="AG141" s="28">
        <f t="shared" si="141"/>
        <v>0</v>
      </c>
      <c r="AH141" s="28">
        <f t="shared" si="142"/>
        <v>0</v>
      </c>
      <c r="AI141" s="11" t="s">
        <v>51</v>
      </c>
      <c r="AJ141" s="28">
        <f t="shared" si="143"/>
        <v>0</v>
      </c>
      <c r="AK141" s="28">
        <f t="shared" si="144"/>
        <v>0</v>
      </c>
      <c r="AL141" s="28">
        <f t="shared" si="145"/>
        <v>0</v>
      </c>
      <c r="AN141" s="28">
        <v>21</v>
      </c>
      <c r="AO141" s="28">
        <f>G141*0.063785489</f>
        <v>0</v>
      </c>
      <c r="AP141" s="28">
        <f>G141*(1-0.063785489)</f>
        <v>0</v>
      </c>
      <c r="AQ141" s="30" t="s">
        <v>54</v>
      </c>
      <c r="AV141" s="28">
        <f t="shared" si="146"/>
        <v>0</v>
      </c>
      <c r="AW141" s="28">
        <f t="shared" si="147"/>
        <v>0</v>
      </c>
      <c r="AX141" s="28">
        <f t="shared" si="148"/>
        <v>0</v>
      </c>
      <c r="AY141" s="30" t="s">
        <v>434</v>
      </c>
      <c r="AZ141" s="30" t="s">
        <v>413</v>
      </c>
      <c r="BA141" s="11" t="s">
        <v>60</v>
      </c>
      <c r="BC141" s="28">
        <f t="shared" si="149"/>
        <v>0</v>
      </c>
      <c r="BD141" s="28">
        <f t="shared" si="150"/>
        <v>0</v>
      </c>
      <c r="BE141" s="28">
        <v>0</v>
      </c>
      <c r="BF141" s="28">
        <f>141</f>
        <v>141</v>
      </c>
      <c r="BH141" s="28">
        <f t="shared" si="151"/>
        <v>0</v>
      </c>
      <c r="BI141" s="28">
        <f t="shared" si="152"/>
        <v>0</v>
      </c>
      <c r="BJ141" s="28">
        <f t="shared" si="153"/>
        <v>0</v>
      </c>
      <c r="BK141" s="28"/>
      <c r="BL141" s="28">
        <v>96</v>
      </c>
      <c r="BW141" s="28">
        <v>21</v>
      </c>
    </row>
    <row r="142" spans="1:75" ht="27" customHeight="1">
      <c r="A142" s="2" t="s">
        <v>447</v>
      </c>
      <c r="B142" s="3" t="s">
        <v>448</v>
      </c>
      <c r="C142" s="75" t="s">
        <v>449</v>
      </c>
      <c r="D142" s="76"/>
      <c r="E142" s="3" t="s">
        <v>71</v>
      </c>
      <c r="F142" s="28">
        <v>11.5</v>
      </c>
      <c r="G142" s="29">
        <v>0</v>
      </c>
      <c r="H142" s="28">
        <f t="shared" si="132"/>
        <v>0</v>
      </c>
      <c r="I142" s="28">
        <f t="shared" si="133"/>
        <v>0</v>
      </c>
      <c r="J142" s="28">
        <f t="shared" si="134"/>
        <v>0</v>
      </c>
      <c r="K142" s="30" t="s">
        <v>72</v>
      </c>
      <c r="L142" s="27"/>
      <c r="Z142" s="28">
        <f t="shared" si="135"/>
        <v>0</v>
      </c>
      <c r="AB142" s="28">
        <f t="shared" si="136"/>
        <v>0</v>
      </c>
      <c r="AC142" s="28">
        <f t="shared" si="137"/>
        <v>0</v>
      </c>
      <c r="AD142" s="28">
        <f t="shared" si="138"/>
        <v>0</v>
      </c>
      <c r="AE142" s="28">
        <f t="shared" si="139"/>
        <v>0</v>
      </c>
      <c r="AF142" s="28">
        <f t="shared" si="140"/>
        <v>0</v>
      </c>
      <c r="AG142" s="28">
        <f t="shared" si="141"/>
        <v>0</v>
      </c>
      <c r="AH142" s="28">
        <f t="shared" si="142"/>
        <v>0</v>
      </c>
      <c r="AI142" s="11" t="s">
        <v>51</v>
      </c>
      <c r="AJ142" s="28">
        <f t="shared" si="143"/>
        <v>0</v>
      </c>
      <c r="AK142" s="28">
        <f t="shared" si="144"/>
        <v>0</v>
      </c>
      <c r="AL142" s="28">
        <f t="shared" si="145"/>
        <v>0</v>
      </c>
      <c r="AN142" s="28">
        <v>21</v>
      </c>
      <c r="AO142" s="28">
        <f>G142*0.086364617</f>
        <v>0</v>
      </c>
      <c r="AP142" s="28">
        <f>G142*(1-0.086364617)</f>
        <v>0</v>
      </c>
      <c r="AQ142" s="30" t="s">
        <v>54</v>
      </c>
      <c r="AV142" s="28">
        <f t="shared" si="146"/>
        <v>0</v>
      </c>
      <c r="AW142" s="28">
        <f t="shared" si="147"/>
        <v>0</v>
      </c>
      <c r="AX142" s="28">
        <f t="shared" si="148"/>
        <v>0</v>
      </c>
      <c r="AY142" s="30" t="s">
        <v>434</v>
      </c>
      <c r="AZ142" s="30" t="s">
        <v>413</v>
      </c>
      <c r="BA142" s="11" t="s">
        <v>60</v>
      </c>
      <c r="BC142" s="28">
        <f t="shared" si="149"/>
        <v>0</v>
      </c>
      <c r="BD142" s="28">
        <f t="shared" si="150"/>
        <v>0</v>
      </c>
      <c r="BE142" s="28">
        <v>0</v>
      </c>
      <c r="BF142" s="28">
        <f>142</f>
        <v>142</v>
      </c>
      <c r="BH142" s="28">
        <f t="shared" si="151"/>
        <v>0</v>
      </c>
      <c r="BI142" s="28">
        <f t="shared" si="152"/>
        <v>0</v>
      </c>
      <c r="BJ142" s="28">
        <f t="shared" si="153"/>
        <v>0</v>
      </c>
      <c r="BK142" s="28"/>
      <c r="BL142" s="28">
        <v>96</v>
      </c>
      <c r="BW142" s="28">
        <v>21</v>
      </c>
    </row>
    <row r="143" spans="1:75" ht="27" customHeight="1">
      <c r="A143" s="2" t="s">
        <v>450</v>
      </c>
      <c r="B143" s="3" t="s">
        <v>451</v>
      </c>
      <c r="C143" s="75" t="s">
        <v>452</v>
      </c>
      <c r="D143" s="76"/>
      <c r="E143" s="3" t="s">
        <v>71</v>
      </c>
      <c r="F143" s="28">
        <v>6</v>
      </c>
      <c r="G143" s="29">
        <v>0</v>
      </c>
      <c r="H143" s="28">
        <f t="shared" si="132"/>
        <v>0</v>
      </c>
      <c r="I143" s="28">
        <f t="shared" si="133"/>
        <v>0</v>
      </c>
      <c r="J143" s="28">
        <f t="shared" si="134"/>
        <v>0</v>
      </c>
      <c r="K143" s="30" t="s">
        <v>72</v>
      </c>
      <c r="L143" s="27"/>
      <c r="Z143" s="28">
        <f t="shared" si="135"/>
        <v>0</v>
      </c>
      <c r="AB143" s="28">
        <f t="shared" si="136"/>
        <v>0</v>
      </c>
      <c r="AC143" s="28">
        <f t="shared" si="137"/>
        <v>0</v>
      </c>
      <c r="AD143" s="28">
        <f t="shared" si="138"/>
        <v>0</v>
      </c>
      <c r="AE143" s="28">
        <f t="shared" si="139"/>
        <v>0</v>
      </c>
      <c r="AF143" s="28">
        <f t="shared" si="140"/>
        <v>0</v>
      </c>
      <c r="AG143" s="28">
        <f t="shared" si="141"/>
        <v>0</v>
      </c>
      <c r="AH143" s="28">
        <f t="shared" si="142"/>
        <v>0</v>
      </c>
      <c r="AI143" s="11" t="s">
        <v>51</v>
      </c>
      <c r="AJ143" s="28">
        <f t="shared" si="143"/>
        <v>0</v>
      </c>
      <c r="AK143" s="28">
        <f t="shared" si="144"/>
        <v>0</v>
      </c>
      <c r="AL143" s="28">
        <f t="shared" si="145"/>
        <v>0</v>
      </c>
      <c r="AN143" s="28">
        <v>21</v>
      </c>
      <c r="AO143" s="28">
        <f>G143*0.075328084</f>
        <v>0</v>
      </c>
      <c r="AP143" s="28">
        <f>G143*(1-0.075328084)</f>
        <v>0</v>
      </c>
      <c r="AQ143" s="30" t="s">
        <v>54</v>
      </c>
      <c r="AV143" s="28">
        <f t="shared" si="146"/>
        <v>0</v>
      </c>
      <c r="AW143" s="28">
        <f t="shared" si="147"/>
        <v>0</v>
      </c>
      <c r="AX143" s="28">
        <f t="shared" si="148"/>
        <v>0</v>
      </c>
      <c r="AY143" s="30" t="s">
        <v>434</v>
      </c>
      <c r="AZ143" s="30" t="s">
        <v>413</v>
      </c>
      <c r="BA143" s="11" t="s">
        <v>60</v>
      </c>
      <c r="BC143" s="28">
        <f t="shared" si="149"/>
        <v>0</v>
      </c>
      <c r="BD143" s="28">
        <f t="shared" si="150"/>
        <v>0</v>
      </c>
      <c r="BE143" s="28">
        <v>0</v>
      </c>
      <c r="BF143" s="28">
        <f>143</f>
        <v>143</v>
      </c>
      <c r="BH143" s="28">
        <f t="shared" si="151"/>
        <v>0</v>
      </c>
      <c r="BI143" s="28">
        <f t="shared" si="152"/>
        <v>0</v>
      </c>
      <c r="BJ143" s="28">
        <f t="shared" si="153"/>
        <v>0</v>
      </c>
      <c r="BK143" s="28"/>
      <c r="BL143" s="28">
        <v>96</v>
      </c>
      <c r="BW143" s="28">
        <v>21</v>
      </c>
    </row>
    <row r="144" spans="1:75" ht="27" customHeight="1">
      <c r="A144" s="2" t="s">
        <v>453</v>
      </c>
      <c r="B144" s="3" t="s">
        <v>454</v>
      </c>
      <c r="C144" s="75" t="s">
        <v>455</v>
      </c>
      <c r="D144" s="76"/>
      <c r="E144" s="3" t="s">
        <v>71</v>
      </c>
      <c r="F144" s="28">
        <v>9</v>
      </c>
      <c r="G144" s="29">
        <v>0</v>
      </c>
      <c r="H144" s="28">
        <f t="shared" si="132"/>
        <v>0</v>
      </c>
      <c r="I144" s="28">
        <f t="shared" si="133"/>
        <v>0</v>
      </c>
      <c r="J144" s="28">
        <f t="shared" si="134"/>
        <v>0</v>
      </c>
      <c r="K144" s="30" t="s">
        <v>72</v>
      </c>
      <c r="L144" s="27"/>
      <c r="Z144" s="28">
        <f t="shared" si="135"/>
        <v>0</v>
      </c>
      <c r="AB144" s="28">
        <f t="shared" si="136"/>
        <v>0</v>
      </c>
      <c r="AC144" s="28">
        <f t="shared" si="137"/>
        <v>0</v>
      </c>
      <c r="AD144" s="28">
        <f t="shared" si="138"/>
        <v>0</v>
      </c>
      <c r="AE144" s="28">
        <f t="shared" si="139"/>
        <v>0</v>
      </c>
      <c r="AF144" s="28">
        <f t="shared" si="140"/>
        <v>0</v>
      </c>
      <c r="AG144" s="28">
        <f t="shared" si="141"/>
        <v>0</v>
      </c>
      <c r="AH144" s="28">
        <f t="shared" si="142"/>
        <v>0</v>
      </c>
      <c r="AI144" s="11" t="s">
        <v>51</v>
      </c>
      <c r="AJ144" s="28">
        <f t="shared" si="143"/>
        <v>0</v>
      </c>
      <c r="AK144" s="28">
        <f t="shared" si="144"/>
        <v>0</v>
      </c>
      <c r="AL144" s="28">
        <f t="shared" si="145"/>
        <v>0</v>
      </c>
      <c r="AN144" s="28">
        <v>21</v>
      </c>
      <c r="AO144" s="28">
        <f>G144*0</f>
        <v>0</v>
      </c>
      <c r="AP144" s="28">
        <f>G144*(1-0)</f>
        <v>0</v>
      </c>
      <c r="AQ144" s="30" t="s">
        <v>54</v>
      </c>
      <c r="AV144" s="28">
        <f t="shared" si="146"/>
        <v>0</v>
      </c>
      <c r="AW144" s="28">
        <f t="shared" si="147"/>
        <v>0</v>
      </c>
      <c r="AX144" s="28">
        <f t="shared" si="148"/>
        <v>0</v>
      </c>
      <c r="AY144" s="30" t="s">
        <v>434</v>
      </c>
      <c r="AZ144" s="30" t="s">
        <v>413</v>
      </c>
      <c r="BA144" s="11" t="s">
        <v>60</v>
      </c>
      <c r="BC144" s="28">
        <f t="shared" si="149"/>
        <v>0</v>
      </c>
      <c r="BD144" s="28">
        <f t="shared" si="150"/>
        <v>0</v>
      </c>
      <c r="BE144" s="28">
        <v>0</v>
      </c>
      <c r="BF144" s="28">
        <f>144</f>
        <v>144</v>
      </c>
      <c r="BH144" s="28">
        <f t="shared" si="151"/>
        <v>0</v>
      </c>
      <c r="BI144" s="28">
        <f t="shared" si="152"/>
        <v>0</v>
      </c>
      <c r="BJ144" s="28">
        <f t="shared" si="153"/>
        <v>0</v>
      </c>
      <c r="BK144" s="28"/>
      <c r="BL144" s="28">
        <v>96</v>
      </c>
      <c r="BW144" s="28">
        <v>21</v>
      </c>
    </row>
    <row r="145" spans="1:75" ht="26.25" customHeight="1">
      <c r="A145" s="31" t="s">
        <v>51</v>
      </c>
      <c r="B145" s="32" t="s">
        <v>422</v>
      </c>
      <c r="C145" s="79" t="s">
        <v>456</v>
      </c>
      <c r="D145" s="80"/>
      <c r="E145" s="33" t="s">
        <v>4</v>
      </c>
      <c r="F145" s="33" t="s">
        <v>4</v>
      </c>
      <c r="G145" s="34" t="s">
        <v>4</v>
      </c>
      <c r="H145" s="1">
        <f>SUM(H146:H152)</f>
        <v>0</v>
      </c>
      <c r="I145" s="1">
        <f>SUM(I146:I152)</f>
        <v>0</v>
      </c>
      <c r="J145" s="1">
        <f>SUM(J146:J152)</f>
        <v>0</v>
      </c>
      <c r="K145" s="11" t="s">
        <v>51</v>
      </c>
      <c r="L145" s="27"/>
      <c r="AI145" s="11" t="s">
        <v>51</v>
      </c>
      <c r="AS145" s="1">
        <f>SUM(AJ146:AJ152)</f>
        <v>0</v>
      </c>
      <c r="AT145" s="1">
        <f>SUM(AK146:AK152)</f>
        <v>0</v>
      </c>
      <c r="AU145" s="1">
        <f>SUM(AL146:AL152)</f>
        <v>0</v>
      </c>
    </row>
    <row r="146" spans="1:75" ht="27" customHeight="1">
      <c r="A146" s="2" t="s">
        <v>457</v>
      </c>
      <c r="B146" s="3" t="s">
        <v>458</v>
      </c>
      <c r="C146" s="75" t="s">
        <v>459</v>
      </c>
      <c r="D146" s="76"/>
      <c r="E146" s="3" t="s">
        <v>71</v>
      </c>
      <c r="F146" s="28">
        <v>2.14</v>
      </c>
      <c r="G146" s="29">
        <v>0</v>
      </c>
      <c r="H146" s="28">
        <f t="shared" ref="H146:H152" si="154">F146*AO146</f>
        <v>0</v>
      </c>
      <c r="I146" s="28">
        <f t="shared" ref="I146:I152" si="155">F146*AP146</f>
        <v>0</v>
      </c>
      <c r="J146" s="28">
        <f t="shared" ref="J146:J152" si="156">F146*G146</f>
        <v>0</v>
      </c>
      <c r="K146" s="30" t="s">
        <v>72</v>
      </c>
      <c r="L146" s="27"/>
      <c r="Z146" s="28">
        <f t="shared" ref="Z146:Z152" si="157">IF(AQ146="5",BJ146,0)</f>
        <v>0</v>
      </c>
      <c r="AB146" s="28">
        <f t="shared" ref="AB146:AB152" si="158">IF(AQ146="1",BH146,0)</f>
        <v>0</v>
      </c>
      <c r="AC146" s="28">
        <f t="shared" ref="AC146:AC152" si="159">IF(AQ146="1",BI146,0)</f>
        <v>0</v>
      </c>
      <c r="AD146" s="28">
        <f t="shared" ref="AD146:AD152" si="160">IF(AQ146="7",BH146,0)</f>
        <v>0</v>
      </c>
      <c r="AE146" s="28">
        <f t="shared" ref="AE146:AE152" si="161">IF(AQ146="7",BI146,0)</f>
        <v>0</v>
      </c>
      <c r="AF146" s="28">
        <f t="shared" ref="AF146:AF152" si="162">IF(AQ146="2",BH146,0)</f>
        <v>0</v>
      </c>
      <c r="AG146" s="28">
        <f t="shared" ref="AG146:AG152" si="163">IF(AQ146="2",BI146,0)</f>
        <v>0</v>
      </c>
      <c r="AH146" s="28">
        <f t="shared" ref="AH146:AH152" si="164">IF(AQ146="0",BJ146,0)</f>
        <v>0</v>
      </c>
      <c r="AI146" s="11" t="s">
        <v>51</v>
      </c>
      <c r="AJ146" s="28">
        <f t="shared" ref="AJ146:AJ152" si="165">IF(AN146=0,J146,0)</f>
        <v>0</v>
      </c>
      <c r="AK146" s="28">
        <f t="shared" ref="AK146:AK152" si="166">IF(AN146=12,J146,0)</f>
        <v>0</v>
      </c>
      <c r="AL146" s="28">
        <f t="shared" ref="AL146:AL152" si="167">IF(AN146=21,J146,0)</f>
        <v>0</v>
      </c>
      <c r="AN146" s="28">
        <v>21</v>
      </c>
      <c r="AO146" s="28">
        <f>G146*0.075322196</f>
        <v>0</v>
      </c>
      <c r="AP146" s="28">
        <f>G146*(1-0.075322196)</f>
        <v>0</v>
      </c>
      <c r="AQ146" s="30" t="s">
        <v>54</v>
      </c>
      <c r="AV146" s="28">
        <f t="shared" ref="AV146:AV152" si="168">AW146+AX146</f>
        <v>0</v>
      </c>
      <c r="AW146" s="28">
        <f t="shared" ref="AW146:AW152" si="169">F146*AO146</f>
        <v>0</v>
      </c>
      <c r="AX146" s="28">
        <f t="shared" ref="AX146:AX152" si="170">F146*AP146</f>
        <v>0</v>
      </c>
      <c r="AY146" s="30" t="s">
        <v>460</v>
      </c>
      <c r="AZ146" s="30" t="s">
        <v>413</v>
      </c>
      <c r="BA146" s="11" t="s">
        <v>60</v>
      </c>
      <c r="BC146" s="28">
        <f t="shared" ref="BC146:BC152" si="171">AW146+AX146</f>
        <v>0</v>
      </c>
      <c r="BD146" s="28">
        <f t="shared" ref="BD146:BD152" si="172">G146/(100-BE146)*100</f>
        <v>0</v>
      </c>
      <c r="BE146" s="28">
        <v>0</v>
      </c>
      <c r="BF146" s="28">
        <f>146</f>
        <v>146</v>
      </c>
      <c r="BH146" s="28">
        <f t="shared" ref="BH146:BH152" si="173">F146*AO146</f>
        <v>0</v>
      </c>
      <c r="BI146" s="28">
        <f t="shared" ref="BI146:BI152" si="174">F146*AP146</f>
        <v>0</v>
      </c>
      <c r="BJ146" s="28">
        <f t="shared" ref="BJ146:BJ152" si="175">F146*G146</f>
        <v>0</v>
      </c>
      <c r="BK146" s="28"/>
      <c r="BL146" s="28">
        <v>97</v>
      </c>
      <c r="BW146" s="28">
        <v>21</v>
      </c>
    </row>
    <row r="147" spans="1:75" ht="27" customHeight="1">
      <c r="A147" s="2" t="s">
        <v>461</v>
      </c>
      <c r="B147" s="3" t="s">
        <v>462</v>
      </c>
      <c r="C147" s="75" t="s">
        <v>463</v>
      </c>
      <c r="D147" s="76"/>
      <c r="E147" s="3" t="s">
        <v>57</v>
      </c>
      <c r="F147" s="28">
        <v>15</v>
      </c>
      <c r="G147" s="29">
        <v>0</v>
      </c>
      <c r="H147" s="28">
        <f t="shared" si="154"/>
        <v>0</v>
      </c>
      <c r="I147" s="28">
        <f t="shared" si="155"/>
        <v>0</v>
      </c>
      <c r="J147" s="28">
        <f t="shared" si="156"/>
        <v>0</v>
      </c>
      <c r="K147" s="30" t="s">
        <v>72</v>
      </c>
      <c r="L147" s="27"/>
      <c r="Z147" s="28">
        <f t="shared" si="157"/>
        <v>0</v>
      </c>
      <c r="AB147" s="28">
        <f t="shared" si="158"/>
        <v>0</v>
      </c>
      <c r="AC147" s="28">
        <f t="shared" si="159"/>
        <v>0</v>
      </c>
      <c r="AD147" s="28">
        <f t="shared" si="160"/>
        <v>0</v>
      </c>
      <c r="AE147" s="28">
        <f t="shared" si="161"/>
        <v>0</v>
      </c>
      <c r="AF147" s="28">
        <f t="shared" si="162"/>
        <v>0</v>
      </c>
      <c r="AG147" s="28">
        <f t="shared" si="163"/>
        <v>0</v>
      </c>
      <c r="AH147" s="28">
        <f t="shared" si="164"/>
        <v>0</v>
      </c>
      <c r="AI147" s="11" t="s">
        <v>51</v>
      </c>
      <c r="AJ147" s="28">
        <f t="shared" si="165"/>
        <v>0</v>
      </c>
      <c r="AK147" s="28">
        <f t="shared" si="166"/>
        <v>0</v>
      </c>
      <c r="AL147" s="28">
        <f t="shared" si="167"/>
        <v>0</v>
      </c>
      <c r="AN147" s="28">
        <v>21</v>
      </c>
      <c r="AO147" s="28">
        <f>G147*0.049059829</f>
        <v>0</v>
      </c>
      <c r="AP147" s="28">
        <f>G147*(1-0.049059829)</f>
        <v>0</v>
      </c>
      <c r="AQ147" s="30" t="s">
        <v>54</v>
      </c>
      <c r="AV147" s="28">
        <f t="shared" si="168"/>
        <v>0</v>
      </c>
      <c r="AW147" s="28">
        <f t="shared" si="169"/>
        <v>0</v>
      </c>
      <c r="AX147" s="28">
        <f t="shared" si="170"/>
        <v>0</v>
      </c>
      <c r="AY147" s="30" t="s">
        <v>460</v>
      </c>
      <c r="AZ147" s="30" t="s">
        <v>413</v>
      </c>
      <c r="BA147" s="11" t="s">
        <v>60</v>
      </c>
      <c r="BC147" s="28">
        <f t="shared" si="171"/>
        <v>0</v>
      </c>
      <c r="BD147" s="28">
        <f t="shared" si="172"/>
        <v>0</v>
      </c>
      <c r="BE147" s="28">
        <v>0</v>
      </c>
      <c r="BF147" s="28">
        <f>147</f>
        <v>147</v>
      </c>
      <c r="BH147" s="28">
        <f t="shared" si="173"/>
        <v>0</v>
      </c>
      <c r="BI147" s="28">
        <f t="shared" si="174"/>
        <v>0</v>
      </c>
      <c r="BJ147" s="28">
        <f t="shared" si="175"/>
        <v>0</v>
      </c>
      <c r="BK147" s="28"/>
      <c r="BL147" s="28">
        <v>97</v>
      </c>
      <c r="BW147" s="28">
        <v>21</v>
      </c>
    </row>
    <row r="148" spans="1:75" ht="13.5" customHeight="1">
      <c r="A148" s="2" t="s">
        <v>464</v>
      </c>
      <c r="B148" s="3" t="s">
        <v>465</v>
      </c>
      <c r="C148" s="75" t="s">
        <v>466</v>
      </c>
      <c r="D148" s="76"/>
      <c r="E148" s="3" t="s">
        <v>140</v>
      </c>
      <c r="F148" s="28">
        <v>65</v>
      </c>
      <c r="G148" s="29">
        <v>0</v>
      </c>
      <c r="H148" s="28">
        <f t="shared" si="154"/>
        <v>0</v>
      </c>
      <c r="I148" s="28">
        <f t="shared" si="155"/>
        <v>0</v>
      </c>
      <c r="J148" s="28">
        <f t="shared" si="156"/>
        <v>0</v>
      </c>
      <c r="K148" s="30" t="s">
        <v>72</v>
      </c>
      <c r="L148" s="27"/>
      <c r="Z148" s="28">
        <f t="shared" si="157"/>
        <v>0</v>
      </c>
      <c r="AB148" s="28">
        <f t="shared" si="158"/>
        <v>0</v>
      </c>
      <c r="AC148" s="28">
        <f t="shared" si="159"/>
        <v>0</v>
      </c>
      <c r="AD148" s="28">
        <f t="shared" si="160"/>
        <v>0</v>
      </c>
      <c r="AE148" s="28">
        <f t="shared" si="161"/>
        <v>0</v>
      </c>
      <c r="AF148" s="28">
        <f t="shared" si="162"/>
        <v>0</v>
      </c>
      <c r="AG148" s="28">
        <f t="shared" si="163"/>
        <v>0</v>
      </c>
      <c r="AH148" s="28">
        <f t="shared" si="164"/>
        <v>0</v>
      </c>
      <c r="AI148" s="11" t="s">
        <v>51</v>
      </c>
      <c r="AJ148" s="28">
        <f t="shared" si="165"/>
        <v>0</v>
      </c>
      <c r="AK148" s="28">
        <f t="shared" si="166"/>
        <v>0</v>
      </c>
      <c r="AL148" s="28">
        <f t="shared" si="167"/>
        <v>0</v>
      </c>
      <c r="AN148" s="28">
        <v>21</v>
      </c>
      <c r="AO148" s="28">
        <f>G148*0.139306863</f>
        <v>0</v>
      </c>
      <c r="AP148" s="28">
        <f>G148*(1-0.139306863)</f>
        <v>0</v>
      </c>
      <c r="AQ148" s="30" t="s">
        <v>54</v>
      </c>
      <c r="AV148" s="28">
        <f t="shared" si="168"/>
        <v>0</v>
      </c>
      <c r="AW148" s="28">
        <f t="shared" si="169"/>
        <v>0</v>
      </c>
      <c r="AX148" s="28">
        <f t="shared" si="170"/>
        <v>0</v>
      </c>
      <c r="AY148" s="30" t="s">
        <v>460</v>
      </c>
      <c r="AZ148" s="30" t="s">
        <v>413</v>
      </c>
      <c r="BA148" s="11" t="s">
        <v>60</v>
      </c>
      <c r="BC148" s="28">
        <f t="shared" si="171"/>
        <v>0</v>
      </c>
      <c r="BD148" s="28">
        <f t="shared" si="172"/>
        <v>0</v>
      </c>
      <c r="BE148" s="28">
        <v>0</v>
      </c>
      <c r="BF148" s="28">
        <f>148</f>
        <v>148</v>
      </c>
      <c r="BH148" s="28">
        <f t="shared" si="173"/>
        <v>0</v>
      </c>
      <c r="BI148" s="28">
        <f t="shared" si="174"/>
        <v>0</v>
      </c>
      <c r="BJ148" s="28">
        <f t="shared" si="175"/>
        <v>0</v>
      </c>
      <c r="BK148" s="28"/>
      <c r="BL148" s="28">
        <v>97</v>
      </c>
      <c r="BW148" s="28">
        <v>21</v>
      </c>
    </row>
    <row r="149" spans="1:75" ht="13.5" customHeight="1">
      <c r="A149" s="2" t="s">
        <v>467</v>
      </c>
      <c r="B149" s="3" t="s">
        <v>468</v>
      </c>
      <c r="C149" s="75" t="s">
        <v>469</v>
      </c>
      <c r="D149" s="76"/>
      <c r="E149" s="3" t="s">
        <v>140</v>
      </c>
      <c r="F149" s="28">
        <v>14</v>
      </c>
      <c r="G149" s="29">
        <v>0</v>
      </c>
      <c r="H149" s="28">
        <f t="shared" si="154"/>
        <v>0</v>
      </c>
      <c r="I149" s="28">
        <f t="shared" si="155"/>
        <v>0</v>
      </c>
      <c r="J149" s="28">
        <f t="shared" si="156"/>
        <v>0</v>
      </c>
      <c r="K149" s="30" t="s">
        <v>72</v>
      </c>
      <c r="L149" s="27"/>
      <c r="Z149" s="28">
        <f t="shared" si="157"/>
        <v>0</v>
      </c>
      <c r="AB149" s="28">
        <f t="shared" si="158"/>
        <v>0</v>
      </c>
      <c r="AC149" s="28">
        <f t="shared" si="159"/>
        <v>0</v>
      </c>
      <c r="AD149" s="28">
        <f t="shared" si="160"/>
        <v>0</v>
      </c>
      <c r="AE149" s="28">
        <f t="shared" si="161"/>
        <v>0</v>
      </c>
      <c r="AF149" s="28">
        <f t="shared" si="162"/>
        <v>0</v>
      </c>
      <c r="AG149" s="28">
        <f t="shared" si="163"/>
        <v>0</v>
      </c>
      <c r="AH149" s="28">
        <f t="shared" si="164"/>
        <v>0</v>
      </c>
      <c r="AI149" s="11" t="s">
        <v>51</v>
      </c>
      <c r="AJ149" s="28">
        <f t="shared" si="165"/>
        <v>0</v>
      </c>
      <c r="AK149" s="28">
        <f t="shared" si="166"/>
        <v>0</v>
      </c>
      <c r="AL149" s="28">
        <f t="shared" si="167"/>
        <v>0</v>
      </c>
      <c r="AN149" s="28">
        <v>21</v>
      </c>
      <c r="AO149" s="28">
        <f>G149*0.091111111</f>
        <v>0</v>
      </c>
      <c r="AP149" s="28">
        <f>G149*(1-0.091111111)</f>
        <v>0</v>
      </c>
      <c r="AQ149" s="30" t="s">
        <v>54</v>
      </c>
      <c r="AV149" s="28">
        <f t="shared" si="168"/>
        <v>0</v>
      </c>
      <c r="AW149" s="28">
        <f t="shared" si="169"/>
        <v>0</v>
      </c>
      <c r="AX149" s="28">
        <f t="shared" si="170"/>
        <v>0</v>
      </c>
      <c r="AY149" s="30" t="s">
        <v>460</v>
      </c>
      <c r="AZ149" s="30" t="s">
        <v>413</v>
      </c>
      <c r="BA149" s="11" t="s">
        <v>60</v>
      </c>
      <c r="BC149" s="28">
        <f t="shared" si="171"/>
        <v>0</v>
      </c>
      <c r="BD149" s="28">
        <f t="shared" si="172"/>
        <v>0</v>
      </c>
      <c r="BE149" s="28">
        <v>0</v>
      </c>
      <c r="BF149" s="28">
        <f>149</f>
        <v>149</v>
      </c>
      <c r="BH149" s="28">
        <f t="shared" si="173"/>
        <v>0</v>
      </c>
      <c r="BI149" s="28">
        <f t="shared" si="174"/>
        <v>0</v>
      </c>
      <c r="BJ149" s="28">
        <f t="shared" si="175"/>
        <v>0</v>
      </c>
      <c r="BK149" s="28"/>
      <c r="BL149" s="28">
        <v>97</v>
      </c>
      <c r="BW149" s="28">
        <v>21</v>
      </c>
    </row>
    <row r="150" spans="1:75" ht="13.5" customHeight="1">
      <c r="A150" s="2" t="s">
        <v>470</v>
      </c>
      <c r="B150" s="3" t="s">
        <v>471</v>
      </c>
      <c r="C150" s="75" t="s">
        <v>472</v>
      </c>
      <c r="D150" s="76"/>
      <c r="E150" s="3" t="s">
        <v>71</v>
      </c>
      <c r="F150" s="28">
        <v>16</v>
      </c>
      <c r="G150" s="29">
        <v>0</v>
      </c>
      <c r="H150" s="28">
        <f t="shared" si="154"/>
        <v>0</v>
      </c>
      <c r="I150" s="28">
        <f t="shared" si="155"/>
        <v>0</v>
      </c>
      <c r="J150" s="28">
        <f t="shared" si="156"/>
        <v>0</v>
      </c>
      <c r="K150" s="30" t="s">
        <v>72</v>
      </c>
      <c r="L150" s="27"/>
      <c r="Z150" s="28">
        <f t="shared" si="157"/>
        <v>0</v>
      </c>
      <c r="AB150" s="28">
        <f t="shared" si="158"/>
        <v>0</v>
      </c>
      <c r="AC150" s="28">
        <f t="shared" si="159"/>
        <v>0</v>
      </c>
      <c r="AD150" s="28">
        <f t="shared" si="160"/>
        <v>0</v>
      </c>
      <c r="AE150" s="28">
        <f t="shared" si="161"/>
        <v>0</v>
      </c>
      <c r="AF150" s="28">
        <f t="shared" si="162"/>
        <v>0</v>
      </c>
      <c r="AG150" s="28">
        <f t="shared" si="163"/>
        <v>0</v>
      </c>
      <c r="AH150" s="28">
        <f t="shared" si="164"/>
        <v>0</v>
      </c>
      <c r="AI150" s="11" t="s">
        <v>51</v>
      </c>
      <c r="AJ150" s="28">
        <f t="shared" si="165"/>
        <v>0</v>
      </c>
      <c r="AK150" s="28">
        <f t="shared" si="166"/>
        <v>0</v>
      </c>
      <c r="AL150" s="28">
        <f t="shared" si="167"/>
        <v>0</v>
      </c>
      <c r="AN150" s="28">
        <v>21</v>
      </c>
      <c r="AO150" s="28">
        <f>G150*0</f>
        <v>0</v>
      </c>
      <c r="AP150" s="28">
        <f>G150*(1-0)</f>
        <v>0</v>
      </c>
      <c r="AQ150" s="30" t="s">
        <v>54</v>
      </c>
      <c r="AV150" s="28">
        <f t="shared" si="168"/>
        <v>0</v>
      </c>
      <c r="AW150" s="28">
        <f t="shared" si="169"/>
        <v>0</v>
      </c>
      <c r="AX150" s="28">
        <f t="shared" si="170"/>
        <v>0</v>
      </c>
      <c r="AY150" s="30" t="s">
        <v>460</v>
      </c>
      <c r="AZ150" s="30" t="s">
        <v>413</v>
      </c>
      <c r="BA150" s="11" t="s">
        <v>60</v>
      </c>
      <c r="BC150" s="28">
        <f t="shared" si="171"/>
        <v>0</v>
      </c>
      <c r="BD150" s="28">
        <f t="shared" si="172"/>
        <v>0</v>
      </c>
      <c r="BE150" s="28">
        <v>0</v>
      </c>
      <c r="BF150" s="28">
        <f>150</f>
        <v>150</v>
      </c>
      <c r="BH150" s="28">
        <f t="shared" si="173"/>
        <v>0</v>
      </c>
      <c r="BI150" s="28">
        <f t="shared" si="174"/>
        <v>0</v>
      </c>
      <c r="BJ150" s="28">
        <f t="shared" si="175"/>
        <v>0</v>
      </c>
      <c r="BK150" s="28"/>
      <c r="BL150" s="28">
        <v>97</v>
      </c>
      <c r="BW150" s="28">
        <v>21</v>
      </c>
    </row>
    <row r="151" spans="1:75" ht="27" customHeight="1">
      <c r="A151" s="2" t="s">
        <v>473</v>
      </c>
      <c r="B151" s="3" t="s">
        <v>474</v>
      </c>
      <c r="C151" s="75" t="s">
        <v>475</v>
      </c>
      <c r="D151" s="76"/>
      <c r="E151" s="3" t="s">
        <v>71</v>
      </c>
      <c r="F151" s="28">
        <v>236</v>
      </c>
      <c r="G151" s="29">
        <v>0</v>
      </c>
      <c r="H151" s="28">
        <f t="shared" si="154"/>
        <v>0</v>
      </c>
      <c r="I151" s="28">
        <f t="shared" si="155"/>
        <v>0</v>
      </c>
      <c r="J151" s="28">
        <f t="shared" si="156"/>
        <v>0</v>
      </c>
      <c r="K151" s="30" t="s">
        <v>72</v>
      </c>
      <c r="L151" s="27"/>
      <c r="Z151" s="28">
        <f t="shared" si="157"/>
        <v>0</v>
      </c>
      <c r="AB151" s="28">
        <f t="shared" si="158"/>
        <v>0</v>
      </c>
      <c r="AC151" s="28">
        <f t="shared" si="159"/>
        <v>0</v>
      </c>
      <c r="AD151" s="28">
        <f t="shared" si="160"/>
        <v>0</v>
      </c>
      <c r="AE151" s="28">
        <f t="shared" si="161"/>
        <v>0</v>
      </c>
      <c r="AF151" s="28">
        <f t="shared" si="162"/>
        <v>0</v>
      </c>
      <c r="AG151" s="28">
        <f t="shared" si="163"/>
        <v>0</v>
      </c>
      <c r="AH151" s="28">
        <f t="shared" si="164"/>
        <v>0</v>
      </c>
      <c r="AI151" s="11" t="s">
        <v>51</v>
      </c>
      <c r="AJ151" s="28">
        <f t="shared" si="165"/>
        <v>0</v>
      </c>
      <c r="AK151" s="28">
        <f t="shared" si="166"/>
        <v>0</v>
      </c>
      <c r="AL151" s="28">
        <f t="shared" si="167"/>
        <v>0</v>
      </c>
      <c r="AN151" s="28">
        <v>21</v>
      </c>
      <c r="AO151" s="28">
        <f>G151*0</f>
        <v>0</v>
      </c>
      <c r="AP151" s="28">
        <f>G151*(1-0)</f>
        <v>0</v>
      </c>
      <c r="AQ151" s="30" t="s">
        <v>54</v>
      </c>
      <c r="AV151" s="28">
        <f t="shared" si="168"/>
        <v>0</v>
      </c>
      <c r="AW151" s="28">
        <f t="shared" si="169"/>
        <v>0</v>
      </c>
      <c r="AX151" s="28">
        <f t="shared" si="170"/>
        <v>0</v>
      </c>
      <c r="AY151" s="30" t="s">
        <v>460</v>
      </c>
      <c r="AZ151" s="30" t="s">
        <v>413</v>
      </c>
      <c r="BA151" s="11" t="s">
        <v>60</v>
      </c>
      <c r="BC151" s="28">
        <f t="shared" si="171"/>
        <v>0</v>
      </c>
      <c r="BD151" s="28">
        <f t="shared" si="172"/>
        <v>0</v>
      </c>
      <c r="BE151" s="28">
        <v>0</v>
      </c>
      <c r="BF151" s="28">
        <f>151</f>
        <v>151</v>
      </c>
      <c r="BH151" s="28">
        <f t="shared" si="173"/>
        <v>0</v>
      </c>
      <c r="BI151" s="28">
        <f t="shared" si="174"/>
        <v>0</v>
      </c>
      <c r="BJ151" s="28">
        <f t="shared" si="175"/>
        <v>0</v>
      </c>
      <c r="BK151" s="28"/>
      <c r="BL151" s="28">
        <v>97</v>
      </c>
      <c r="BW151" s="28">
        <v>21</v>
      </c>
    </row>
    <row r="152" spans="1:75" ht="13.5" customHeight="1">
      <c r="A152" s="2" t="s">
        <v>476</v>
      </c>
      <c r="B152" s="3" t="s">
        <v>477</v>
      </c>
      <c r="C152" s="75" t="s">
        <v>478</v>
      </c>
      <c r="D152" s="76"/>
      <c r="E152" s="3" t="s">
        <v>71</v>
      </c>
      <c r="F152" s="28">
        <v>26.454999999999998</v>
      </c>
      <c r="G152" s="29">
        <v>0</v>
      </c>
      <c r="H152" s="28">
        <f t="shared" si="154"/>
        <v>0</v>
      </c>
      <c r="I152" s="28">
        <f t="shared" si="155"/>
        <v>0</v>
      </c>
      <c r="J152" s="28">
        <f t="shared" si="156"/>
        <v>0</v>
      </c>
      <c r="K152" s="30" t="s">
        <v>72</v>
      </c>
      <c r="L152" s="27"/>
      <c r="Z152" s="28">
        <f t="shared" si="157"/>
        <v>0</v>
      </c>
      <c r="AB152" s="28">
        <f t="shared" si="158"/>
        <v>0</v>
      </c>
      <c r="AC152" s="28">
        <f t="shared" si="159"/>
        <v>0</v>
      </c>
      <c r="AD152" s="28">
        <f t="shared" si="160"/>
        <v>0</v>
      </c>
      <c r="AE152" s="28">
        <f t="shared" si="161"/>
        <v>0</v>
      </c>
      <c r="AF152" s="28">
        <f t="shared" si="162"/>
        <v>0</v>
      </c>
      <c r="AG152" s="28">
        <f t="shared" si="163"/>
        <v>0</v>
      </c>
      <c r="AH152" s="28">
        <f t="shared" si="164"/>
        <v>0</v>
      </c>
      <c r="AI152" s="11" t="s">
        <v>51</v>
      </c>
      <c r="AJ152" s="28">
        <f t="shared" si="165"/>
        <v>0</v>
      </c>
      <c r="AK152" s="28">
        <f t="shared" si="166"/>
        <v>0</v>
      </c>
      <c r="AL152" s="28">
        <f t="shared" si="167"/>
        <v>0</v>
      </c>
      <c r="AN152" s="28">
        <v>21</v>
      </c>
      <c r="AO152" s="28">
        <f>G152*0</f>
        <v>0</v>
      </c>
      <c r="AP152" s="28">
        <f>G152*(1-0)</f>
        <v>0</v>
      </c>
      <c r="AQ152" s="30" t="s">
        <v>54</v>
      </c>
      <c r="AV152" s="28">
        <f t="shared" si="168"/>
        <v>0</v>
      </c>
      <c r="AW152" s="28">
        <f t="shared" si="169"/>
        <v>0</v>
      </c>
      <c r="AX152" s="28">
        <f t="shared" si="170"/>
        <v>0</v>
      </c>
      <c r="AY152" s="30" t="s">
        <v>460</v>
      </c>
      <c r="AZ152" s="30" t="s">
        <v>413</v>
      </c>
      <c r="BA152" s="11" t="s">
        <v>60</v>
      </c>
      <c r="BC152" s="28">
        <f t="shared" si="171"/>
        <v>0</v>
      </c>
      <c r="BD152" s="28">
        <f t="shared" si="172"/>
        <v>0</v>
      </c>
      <c r="BE152" s="28">
        <v>0</v>
      </c>
      <c r="BF152" s="28">
        <f>152</f>
        <v>152</v>
      </c>
      <c r="BH152" s="28">
        <f t="shared" si="173"/>
        <v>0</v>
      </c>
      <c r="BI152" s="28">
        <f t="shared" si="174"/>
        <v>0</v>
      </c>
      <c r="BJ152" s="28">
        <f t="shared" si="175"/>
        <v>0</v>
      </c>
      <c r="BK152" s="28"/>
      <c r="BL152" s="28">
        <v>97</v>
      </c>
      <c r="BW152" s="28">
        <v>21</v>
      </c>
    </row>
    <row r="153" spans="1:75">
      <c r="A153" s="31" t="s">
        <v>51</v>
      </c>
      <c r="B153" s="32" t="s">
        <v>479</v>
      </c>
      <c r="C153" s="79" t="s">
        <v>480</v>
      </c>
      <c r="D153" s="80"/>
      <c r="E153" s="33" t="s">
        <v>4</v>
      </c>
      <c r="F153" s="33" t="s">
        <v>4</v>
      </c>
      <c r="G153" s="34" t="s">
        <v>4</v>
      </c>
      <c r="H153" s="1">
        <f>SUM(H154:H167)</f>
        <v>0</v>
      </c>
      <c r="I153" s="1">
        <f>SUM(I154:I167)</f>
        <v>0</v>
      </c>
      <c r="J153" s="1">
        <f>SUM(J154:J167)</f>
        <v>0</v>
      </c>
      <c r="K153" s="11" t="s">
        <v>51</v>
      </c>
      <c r="L153" s="27"/>
      <c r="AI153" s="11" t="s">
        <v>51</v>
      </c>
      <c r="AS153" s="1">
        <f>SUM(AJ154:AJ167)</f>
        <v>0</v>
      </c>
      <c r="AT153" s="1">
        <f>SUM(AK154:AK167)</f>
        <v>0</v>
      </c>
      <c r="AU153" s="1">
        <f>SUM(AL154:AL167)</f>
        <v>0</v>
      </c>
    </row>
    <row r="154" spans="1:75" ht="27" customHeight="1">
      <c r="A154" s="2" t="s">
        <v>481</v>
      </c>
      <c r="B154" s="3" t="s">
        <v>482</v>
      </c>
      <c r="C154" s="75" t="s">
        <v>483</v>
      </c>
      <c r="D154" s="76"/>
      <c r="E154" s="3" t="s">
        <v>140</v>
      </c>
      <c r="F154" s="28">
        <v>250</v>
      </c>
      <c r="G154" s="29">
        <v>0</v>
      </c>
      <c r="H154" s="28">
        <f t="shared" ref="H154:H167" si="176">F154*AO154</f>
        <v>0</v>
      </c>
      <c r="I154" s="28">
        <f t="shared" ref="I154:I167" si="177">F154*AP154</f>
        <v>0</v>
      </c>
      <c r="J154" s="28">
        <f t="shared" ref="J154:J167" si="178">F154*G154</f>
        <v>0</v>
      </c>
      <c r="K154" s="30" t="s">
        <v>72</v>
      </c>
      <c r="L154" s="27"/>
      <c r="Z154" s="28">
        <f t="shared" ref="Z154:Z167" si="179">IF(AQ154="5",BJ154,0)</f>
        <v>0</v>
      </c>
      <c r="AB154" s="28">
        <f t="shared" ref="AB154:AB167" si="180">IF(AQ154="1",BH154,0)</f>
        <v>0</v>
      </c>
      <c r="AC154" s="28">
        <f t="shared" ref="AC154:AC167" si="181">IF(AQ154="1",BI154,0)</f>
        <v>0</v>
      </c>
      <c r="AD154" s="28">
        <f t="shared" ref="AD154:AD167" si="182">IF(AQ154="7",BH154,0)</f>
        <v>0</v>
      </c>
      <c r="AE154" s="28">
        <f t="shared" ref="AE154:AE167" si="183">IF(AQ154="7",BI154,0)</f>
        <v>0</v>
      </c>
      <c r="AF154" s="28">
        <f t="shared" ref="AF154:AF167" si="184">IF(AQ154="2",BH154,0)</f>
        <v>0</v>
      </c>
      <c r="AG154" s="28">
        <f t="shared" ref="AG154:AG167" si="185">IF(AQ154="2",BI154,0)</f>
        <v>0</v>
      </c>
      <c r="AH154" s="28">
        <f t="shared" ref="AH154:AH167" si="186">IF(AQ154="0",BJ154,0)</f>
        <v>0</v>
      </c>
      <c r="AI154" s="11" t="s">
        <v>51</v>
      </c>
      <c r="AJ154" s="28">
        <f t="shared" ref="AJ154:AJ167" si="187">IF(AN154=0,J154,0)</f>
        <v>0</v>
      </c>
      <c r="AK154" s="28">
        <f t="shared" ref="AK154:AK167" si="188">IF(AN154=12,J154,0)</f>
        <v>0</v>
      </c>
      <c r="AL154" s="28">
        <f t="shared" ref="AL154:AL167" si="189">IF(AN154=21,J154,0)</f>
        <v>0</v>
      </c>
      <c r="AN154" s="28">
        <v>21</v>
      </c>
      <c r="AO154" s="28">
        <f>G154*0.287711018</f>
        <v>0</v>
      </c>
      <c r="AP154" s="28">
        <f>G154*(1-0.287711018)</f>
        <v>0</v>
      </c>
      <c r="AQ154" s="30" t="s">
        <v>61</v>
      </c>
      <c r="AV154" s="28">
        <f t="shared" ref="AV154:AV167" si="190">AW154+AX154</f>
        <v>0</v>
      </c>
      <c r="AW154" s="28">
        <f t="shared" ref="AW154:AW167" si="191">F154*AO154</f>
        <v>0</v>
      </c>
      <c r="AX154" s="28">
        <f t="shared" ref="AX154:AX167" si="192">F154*AP154</f>
        <v>0</v>
      </c>
      <c r="AY154" s="30" t="s">
        <v>484</v>
      </c>
      <c r="AZ154" s="30" t="s">
        <v>413</v>
      </c>
      <c r="BA154" s="11" t="s">
        <v>60</v>
      </c>
      <c r="BC154" s="28">
        <f t="shared" ref="BC154:BC167" si="193">AW154+AX154</f>
        <v>0</v>
      </c>
      <c r="BD154" s="28">
        <f t="shared" ref="BD154:BD167" si="194">G154/(100-BE154)*100</f>
        <v>0</v>
      </c>
      <c r="BE154" s="28">
        <v>0</v>
      </c>
      <c r="BF154" s="28">
        <f>154</f>
        <v>154</v>
      </c>
      <c r="BH154" s="28">
        <f t="shared" ref="BH154:BH167" si="195">F154*AO154</f>
        <v>0</v>
      </c>
      <c r="BI154" s="28">
        <f t="shared" ref="BI154:BI167" si="196">F154*AP154</f>
        <v>0</v>
      </c>
      <c r="BJ154" s="28">
        <f t="shared" ref="BJ154:BJ167" si="197">F154*G154</f>
        <v>0</v>
      </c>
      <c r="BK154" s="28"/>
      <c r="BL154" s="28"/>
      <c r="BW154" s="28">
        <v>21</v>
      </c>
    </row>
    <row r="155" spans="1:75" ht="27" customHeight="1">
      <c r="A155" s="2" t="s">
        <v>485</v>
      </c>
      <c r="B155" s="3" t="s">
        <v>486</v>
      </c>
      <c r="C155" s="75" t="s">
        <v>487</v>
      </c>
      <c r="D155" s="76"/>
      <c r="E155" s="3" t="s">
        <v>140</v>
      </c>
      <c r="F155" s="28">
        <v>300</v>
      </c>
      <c r="G155" s="29">
        <v>0</v>
      </c>
      <c r="H155" s="28">
        <f t="shared" si="176"/>
        <v>0</v>
      </c>
      <c r="I155" s="28">
        <f t="shared" si="177"/>
        <v>0</v>
      </c>
      <c r="J155" s="28">
        <f t="shared" si="178"/>
        <v>0</v>
      </c>
      <c r="K155" s="30" t="s">
        <v>72</v>
      </c>
      <c r="L155" s="27"/>
      <c r="Z155" s="28">
        <f t="shared" si="179"/>
        <v>0</v>
      </c>
      <c r="AB155" s="28">
        <f t="shared" si="180"/>
        <v>0</v>
      </c>
      <c r="AC155" s="28">
        <f t="shared" si="181"/>
        <v>0</v>
      </c>
      <c r="AD155" s="28">
        <f t="shared" si="182"/>
        <v>0</v>
      </c>
      <c r="AE155" s="28">
        <f t="shared" si="183"/>
        <v>0</v>
      </c>
      <c r="AF155" s="28">
        <f t="shared" si="184"/>
        <v>0</v>
      </c>
      <c r="AG155" s="28">
        <f t="shared" si="185"/>
        <v>0</v>
      </c>
      <c r="AH155" s="28">
        <f t="shared" si="186"/>
        <v>0</v>
      </c>
      <c r="AI155" s="11" t="s">
        <v>51</v>
      </c>
      <c r="AJ155" s="28">
        <f t="shared" si="187"/>
        <v>0</v>
      </c>
      <c r="AK155" s="28">
        <f t="shared" si="188"/>
        <v>0</v>
      </c>
      <c r="AL155" s="28">
        <f t="shared" si="189"/>
        <v>0</v>
      </c>
      <c r="AN155" s="28">
        <v>21</v>
      </c>
      <c r="AO155" s="28">
        <f>G155*0.390262871</f>
        <v>0</v>
      </c>
      <c r="AP155" s="28">
        <f>G155*(1-0.390262871)</f>
        <v>0</v>
      </c>
      <c r="AQ155" s="30" t="s">
        <v>61</v>
      </c>
      <c r="AV155" s="28">
        <f t="shared" si="190"/>
        <v>0</v>
      </c>
      <c r="AW155" s="28">
        <f t="shared" si="191"/>
        <v>0</v>
      </c>
      <c r="AX155" s="28">
        <f t="shared" si="192"/>
        <v>0</v>
      </c>
      <c r="AY155" s="30" t="s">
        <v>484</v>
      </c>
      <c r="AZ155" s="30" t="s">
        <v>413</v>
      </c>
      <c r="BA155" s="11" t="s">
        <v>60</v>
      </c>
      <c r="BC155" s="28">
        <f t="shared" si="193"/>
        <v>0</v>
      </c>
      <c r="BD155" s="28">
        <f t="shared" si="194"/>
        <v>0</v>
      </c>
      <c r="BE155" s="28">
        <v>0</v>
      </c>
      <c r="BF155" s="28">
        <f>155</f>
        <v>155</v>
      </c>
      <c r="BH155" s="28">
        <f t="shared" si="195"/>
        <v>0</v>
      </c>
      <c r="BI155" s="28">
        <f t="shared" si="196"/>
        <v>0</v>
      </c>
      <c r="BJ155" s="28">
        <f t="shared" si="197"/>
        <v>0</v>
      </c>
      <c r="BK155" s="28"/>
      <c r="BL155" s="28"/>
      <c r="BW155" s="28">
        <v>21</v>
      </c>
    </row>
    <row r="156" spans="1:75" ht="27" customHeight="1">
      <c r="A156" s="2" t="s">
        <v>488</v>
      </c>
      <c r="B156" s="3" t="s">
        <v>489</v>
      </c>
      <c r="C156" s="75" t="s">
        <v>490</v>
      </c>
      <c r="D156" s="76"/>
      <c r="E156" s="3" t="s">
        <v>140</v>
      </c>
      <c r="F156" s="28">
        <v>60</v>
      </c>
      <c r="G156" s="29">
        <v>0</v>
      </c>
      <c r="H156" s="28">
        <f t="shared" si="176"/>
        <v>0</v>
      </c>
      <c r="I156" s="28">
        <f t="shared" si="177"/>
        <v>0</v>
      </c>
      <c r="J156" s="28">
        <f t="shared" si="178"/>
        <v>0</v>
      </c>
      <c r="K156" s="30" t="s">
        <v>72</v>
      </c>
      <c r="L156" s="27"/>
      <c r="Z156" s="28">
        <f t="shared" si="179"/>
        <v>0</v>
      </c>
      <c r="AB156" s="28">
        <f t="shared" si="180"/>
        <v>0</v>
      </c>
      <c r="AC156" s="28">
        <f t="shared" si="181"/>
        <v>0</v>
      </c>
      <c r="AD156" s="28">
        <f t="shared" si="182"/>
        <v>0</v>
      </c>
      <c r="AE156" s="28">
        <f t="shared" si="183"/>
        <v>0</v>
      </c>
      <c r="AF156" s="28">
        <f t="shared" si="184"/>
        <v>0</v>
      </c>
      <c r="AG156" s="28">
        <f t="shared" si="185"/>
        <v>0</v>
      </c>
      <c r="AH156" s="28">
        <f t="shared" si="186"/>
        <v>0</v>
      </c>
      <c r="AI156" s="11" t="s">
        <v>51</v>
      </c>
      <c r="AJ156" s="28">
        <f t="shared" si="187"/>
        <v>0</v>
      </c>
      <c r="AK156" s="28">
        <f t="shared" si="188"/>
        <v>0</v>
      </c>
      <c r="AL156" s="28">
        <f t="shared" si="189"/>
        <v>0</v>
      </c>
      <c r="AN156" s="28">
        <v>21</v>
      </c>
      <c r="AO156" s="28">
        <f>G156*0.486852086</f>
        <v>0</v>
      </c>
      <c r="AP156" s="28">
        <f>G156*(1-0.486852086)</f>
        <v>0</v>
      </c>
      <c r="AQ156" s="30" t="s">
        <v>61</v>
      </c>
      <c r="AV156" s="28">
        <f t="shared" si="190"/>
        <v>0</v>
      </c>
      <c r="AW156" s="28">
        <f t="shared" si="191"/>
        <v>0</v>
      </c>
      <c r="AX156" s="28">
        <f t="shared" si="192"/>
        <v>0</v>
      </c>
      <c r="AY156" s="30" t="s">
        <v>484</v>
      </c>
      <c r="AZ156" s="30" t="s">
        <v>413</v>
      </c>
      <c r="BA156" s="11" t="s">
        <v>60</v>
      </c>
      <c r="BC156" s="28">
        <f t="shared" si="193"/>
        <v>0</v>
      </c>
      <c r="BD156" s="28">
        <f t="shared" si="194"/>
        <v>0</v>
      </c>
      <c r="BE156" s="28">
        <v>0</v>
      </c>
      <c r="BF156" s="28">
        <f>156</f>
        <v>156</v>
      </c>
      <c r="BH156" s="28">
        <f t="shared" si="195"/>
        <v>0</v>
      </c>
      <c r="BI156" s="28">
        <f t="shared" si="196"/>
        <v>0</v>
      </c>
      <c r="BJ156" s="28">
        <f t="shared" si="197"/>
        <v>0</v>
      </c>
      <c r="BK156" s="28"/>
      <c r="BL156" s="28"/>
      <c r="BW156" s="28">
        <v>21</v>
      </c>
    </row>
    <row r="157" spans="1:75" ht="27" customHeight="1">
      <c r="A157" s="2" t="s">
        <v>491</v>
      </c>
      <c r="B157" s="3" t="s">
        <v>492</v>
      </c>
      <c r="C157" s="75" t="s">
        <v>493</v>
      </c>
      <c r="D157" s="76"/>
      <c r="E157" s="3" t="s">
        <v>57</v>
      </c>
      <c r="F157" s="28">
        <v>8</v>
      </c>
      <c r="G157" s="29">
        <v>0</v>
      </c>
      <c r="H157" s="28">
        <f t="shared" si="176"/>
        <v>0</v>
      </c>
      <c r="I157" s="28">
        <f t="shared" si="177"/>
        <v>0</v>
      </c>
      <c r="J157" s="28">
        <f t="shared" si="178"/>
        <v>0</v>
      </c>
      <c r="K157" s="30" t="s">
        <v>72</v>
      </c>
      <c r="L157" s="27"/>
      <c r="Z157" s="28">
        <f t="shared" si="179"/>
        <v>0</v>
      </c>
      <c r="AB157" s="28">
        <f t="shared" si="180"/>
        <v>0</v>
      </c>
      <c r="AC157" s="28">
        <f t="shared" si="181"/>
        <v>0</v>
      </c>
      <c r="AD157" s="28">
        <f t="shared" si="182"/>
        <v>0</v>
      </c>
      <c r="AE157" s="28">
        <f t="shared" si="183"/>
        <v>0</v>
      </c>
      <c r="AF157" s="28">
        <f t="shared" si="184"/>
        <v>0</v>
      </c>
      <c r="AG157" s="28">
        <f t="shared" si="185"/>
        <v>0</v>
      </c>
      <c r="AH157" s="28">
        <f t="shared" si="186"/>
        <v>0</v>
      </c>
      <c r="AI157" s="11" t="s">
        <v>51</v>
      </c>
      <c r="AJ157" s="28">
        <f t="shared" si="187"/>
        <v>0</v>
      </c>
      <c r="AK157" s="28">
        <f t="shared" si="188"/>
        <v>0</v>
      </c>
      <c r="AL157" s="28">
        <f t="shared" si="189"/>
        <v>0</v>
      </c>
      <c r="AN157" s="28">
        <v>21</v>
      </c>
      <c r="AO157" s="28">
        <f>G157*0.522770384</f>
        <v>0</v>
      </c>
      <c r="AP157" s="28">
        <f>G157*(1-0.522770384)</f>
        <v>0</v>
      </c>
      <c r="AQ157" s="30" t="s">
        <v>61</v>
      </c>
      <c r="AV157" s="28">
        <f t="shared" si="190"/>
        <v>0</v>
      </c>
      <c r="AW157" s="28">
        <f t="shared" si="191"/>
        <v>0</v>
      </c>
      <c r="AX157" s="28">
        <f t="shared" si="192"/>
        <v>0</v>
      </c>
      <c r="AY157" s="30" t="s">
        <v>484</v>
      </c>
      <c r="AZ157" s="30" t="s">
        <v>413</v>
      </c>
      <c r="BA157" s="11" t="s">
        <v>60</v>
      </c>
      <c r="BC157" s="28">
        <f t="shared" si="193"/>
        <v>0</v>
      </c>
      <c r="BD157" s="28">
        <f t="shared" si="194"/>
        <v>0</v>
      </c>
      <c r="BE157" s="28">
        <v>0</v>
      </c>
      <c r="BF157" s="28">
        <f>157</f>
        <v>157</v>
      </c>
      <c r="BH157" s="28">
        <f t="shared" si="195"/>
        <v>0</v>
      </c>
      <c r="BI157" s="28">
        <f t="shared" si="196"/>
        <v>0</v>
      </c>
      <c r="BJ157" s="28">
        <f t="shared" si="197"/>
        <v>0</v>
      </c>
      <c r="BK157" s="28"/>
      <c r="BL157" s="28"/>
      <c r="BW157" s="28">
        <v>21</v>
      </c>
    </row>
    <row r="158" spans="1:75" ht="27" customHeight="1">
      <c r="A158" s="2" t="s">
        <v>494</v>
      </c>
      <c r="B158" s="3" t="s">
        <v>495</v>
      </c>
      <c r="C158" s="75" t="s">
        <v>496</v>
      </c>
      <c r="D158" s="76"/>
      <c r="E158" s="3" t="s">
        <v>57</v>
      </c>
      <c r="F158" s="28">
        <v>12</v>
      </c>
      <c r="G158" s="29">
        <v>0</v>
      </c>
      <c r="H158" s="28">
        <f t="shared" si="176"/>
        <v>0</v>
      </c>
      <c r="I158" s="28">
        <f t="shared" si="177"/>
        <v>0</v>
      </c>
      <c r="J158" s="28">
        <f t="shared" si="178"/>
        <v>0</v>
      </c>
      <c r="K158" s="30" t="s">
        <v>72</v>
      </c>
      <c r="L158" s="27"/>
      <c r="Z158" s="28">
        <f t="shared" si="179"/>
        <v>0</v>
      </c>
      <c r="AB158" s="28">
        <f t="shared" si="180"/>
        <v>0</v>
      </c>
      <c r="AC158" s="28">
        <f t="shared" si="181"/>
        <v>0</v>
      </c>
      <c r="AD158" s="28">
        <f t="shared" si="182"/>
        <v>0</v>
      </c>
      <c r="AE158" s="28">
        <f t="shared" si="183"/>
        <v>0</v>
      </c>
      <c r="AF158" s="28">
        <f t="shared" si="184"/>
        <v>0</v>
      </c>
      <c r="AG158" s="28">
        <f t="shared" si="185"/>
        <v>0</v>
      </c>
      <c r="AH158" s="28">
        <f t="shared" si="186"/>
        <v>0</v>
      </c>
      <c r="AI158" s="11" t="s">
        <v>51</v>
      </c>
      <c r="AJ158" s="28">
        <f t="shared" si="187"/>
        <v>0</v>
      </c>
      <c r="AK158" s="28">
        <f t="shared" si="188"/>
        <v>0</v>
      </c>
      <c r="AL158" s="28">
        <f t="shared" si="189"/>
        <v>0</v>
      </c>
      <c r="AN158" s="28">
        <v>21</v>
      </c>
      <c r="AO158" s="28">
        <f>G158*0.77615719</f>
        <v>0</v>
      </c>
      <c r="AP158" s="28">
        <f>G158*(1-0.77615719)</f>
        <v>0</v>
      </c>
      <c r="AQ158" s="30" t="s">
        <v>61</v>
      </c>
      <c r="AV158" s="28">
        <f t="shared" si="190"/>
        <v>0</v>
      </c>
      <c r="AW158" s="28">
        <f t="shared" si="191"/>
        <v>0</v>
      </c>
      <c r="AX158" s="28">
        <f t="shared" si="192"/>
        <v>0</v>
      </c>
      <c r="AY158" s="30" t="s">
        <v>484</v>
      </c>
      <c r="AZ158" s="30" t="s">
        <v>413</v>
      </c>
      <c r="BA158" s="11" t="s">
        <v>60</v>
      </c>
      <c r="BC158" s="28">
        <f t="shared" si="193"/>
        <v>0</v>
      </c>
      <c r="BD158" s="28">
        <f t="shared" si="194"/>
        <v>0</v>
      </c>
      <c r="BE158" s="28">
        <v>0</v>
      </c>
      <c r="BF158" s="28">
        <f>158</f>
        <v>158</v>
      </c>
      <c r="BH158" s="28">
        <f t="shared" si="195"/>
        <v>0</v>
      </c>
      <c r="BI158" s="28">
        <f t="shared" si="196"/>
        <v>0</v>
      </c>
      <c r="BJ158" s="28">
        <f t="shared" si="197"/>
        <v>0</v>
      </c>
      <c r="BK158" s="28"/>
      <c r="BL158" s="28"/>
      <c r="BW158" s="28">
        <v>21</v>
      </c>
    </row>
    <row r="159" spans="1:75" ht="27" customHeight="1">
      <c r="A159" s="2" t="s">
        <v>497</v>
      </c>
      <c r="B159" s="3" t="s">
        <v>498</v>
      </c>
      <c r="C159" s="75" t="s">
        <v>499</v>
      </c>
      <c r="D159" s="76"/>
      <c r="E159" s="3" t="s">
        <v>57</v>
      </c>
      <c r="F159" s="28">
        <v>16</v>
      </c>
      <c r="G159" s="29">
        <v>0</v>
      </c>
      <c r="H159" s="28">
        <f t="shared" si="176"/>
        <v>0</v>
      </c>
      <c r="I159" s="28">
        <f t="shared" si="177"/>
        <v>0</v>
      </c>
      <c r="J159" s="28">
        <f t="shared" si="178"/>
        <v>0</v>
      </c>
      <c r="K159" s="30" t="s">
        <v>72</v>
      </c>
      <c r="L159" s="27"/>
      <c r="Z159" s="28">
        <f t="shared" si="179"/>
        <v>0</v>
      </c>
      <c r="AB159" s="28">
        <f t="shared" si="180"/>
        <v>0</v>
      </c>
      <c r="AC159" s="28">
        <f t="shared" si="181"/>
        <v>0</v>
      </c>
      <c r="AD159" s="28">
        <f t="shared" si="182"/>
        <v>0</v>
      </c>
      <c r="AE159" s="28">
        <f t="shared" si="183"/>
        <v>0</v>
      </c>
      <c r="AF159" s="28">
        <f t="shared" si="184"/>
        <v>0</v>
      </c>
      <c r="AG159" s="28">
        <f t="shared" si="185"/>
        <v>0</v>
      </c>
      <c r="AH159" s="28">
        <f t="shared" si="186"/>
        <v>0</v>
      </c>
      <c r="AI159" s="11" t="s">
        <v>51</v>
      </c>
      <c r="AJ159" s="28">
        <f t="shared" si="187"/>
        <v>0</v>
      </c>
      <c r="AK159" s="28">
        <f t="shared" si="188"/>
        <v>0</v>
      </c>
      <c r="AL159" s="28">
        <f t="shared" si="189"/>
        <v>0</v>
      </c>
      <c r="AN159" s="28">
        <v>21</v>
      </c>
      <c r="AO159" s="28">
        <f>G159*0.433950413</f>
        <v>0</v>
      </c>
      <c r="AP159" s="28">
        <f>G159*(1-0.433950413)</f>
        <v>0</v>
      </c>
      <c r="AQ159" s="30" t="s">
        <v>61</v>
      </c>
      <c r="AV159" s="28">
        <f t="shared" si="190"/>
        <v>0</v>
      </c>
      <c r="AW159" s="28">
        <f t="shared" si="191"/>
        <v>0</v>
      </c>
      <c r="AX159" s="28">
        <f t="shared" si="192"/>
        <v>0</v>
      </c>
      <c r="AY159" s="30" t="s">
        <v>484</v>
      </c>
      <c r="AZ159" s="30" t="s">
        <v>413</v>
      </c>
      <c r="BA159" s="11" t="s">
        <v>60</v>
      </c>
      <c r="BC159" s="28">
        <f t="shared" si="193"/>
        <v>0</v>
      </c>
      <c r="BD159" s="28">
        <f t="shared" si="194"/>
        <v>0</v>
      </c>
      <c r="BE159" s="28">
        <v>0</v>
      </c>
      <c r="BF159" s="28">
        <f>159</f>
        <v>159</v>
      </c>
      <c r="BH159" s="28">
        <f t="shared" si="195"/>
        <v>0</v>
      </c>
      <c r="BI159" s="28">
        <f t="shared" si="196"/>
        <v>0</v>
      </c>
      <c r="BJ159" s="28">
        <f t="shared" si="197"/>
        <v>0</v>
      </c>
      <c r="BK159" s="28"/>
      <c r="BL159" s="28"/>
      <c r="BW159" s="28">
        <v>21</v>
      </c>
    </row>
    <row r="160" spans="1:75" ht="27" customHeight="1">
      <c r="A160" s="2" t="s">
        <v>500</v>
      </c>
      <c r="B160" s="3" t="s">
        <v>501</v>
      </c>
      <c r="C160" s="75" t="s">
        <v>502</v>
      </c>
      <c r="D160" s="76"/>
      <c r="E160" s="3" t="s">
        <v>57</v>
      </c>
      <c r="F160" s="28">
        <v>25</v>
      </c>
      <c r="G160" s="29">
        <v>0</v>
      </c>
      <c r="H160" s="28">
        <f t="shared" si="176"/>
        <v>0</v>
      </c>
      <c r="I160" s="28">
        <f t="shared" si="177"/>
        <v>0</v>
      </c>
      <c r="J160" s="28">
        <f t="shared" si="178"/>
        <v>0</v>
      </c>
      <c r="K160" s="30" t="s">
        <v>72</v>
      </c>
      <c r="L160" s="27"/>
      <c r="Z160" s="28">
        <f t="shared" si="179"/>
        <v>0</v>
      </c>
      <c r="AB160" s="28">
        <f t="shared" si="180"/>
        <v>0</v>
      </c>
      <c r="AC160" s="28">
        <f t="shared" si="181"/>
        <v>0</v>
      </c>
      <c r="AD160" s="28">
        <f t="shared" si="182"/>
        <v>0</v>
      </c>
      <c r="AE160" s="28">
        <f t="shared" si="183"/>
        <v>0</v>
      </c>
      <c r="AF160" s="28">
        <f t="shared" si="184"/>
        <v>0</v>
      </c>
      <c r="AG160" s="28">
        <f t="shared" si="185"/>
        <v>0</v>
      </c>
      <c r="AH160" s="28">
        <f t="shared" si="186"/>
        <v>0</v>
      </c>
      <c r="AI160" s="11" t="s">
        <v>51</v>
      </c>
      <c r="AJ160" s="28">
        <f t="shared" si="187"/>
        <v>0</v>
      </c>
      <c r="AK160" s="28">
        <f t="shared" si="188"/>
        <v>0</v>
      </c>
      <c r="AL160" s="28">
        <f t="shared" si="189"/>
        <v>0</v>
      </c>
      <c r="AN160" s="28">
        <v>21</v>
      </c>
      <c r="AO160" s="28">
        <f>G160*0.61594504</f>
        <v>0</v>
      </c>
      <c r="AP160" s="28">
        <f>G160*(1-0.61594504)</f>
        <v>0</v>
      </c>
      <c r="AQ160" s="30" t="s">
        <v>61</v>
      </c>
      <c r="AV160" s="28">
        <f t="shared" si="190"/>
        <v>0</v>
      </c>
      <c r="AW160" s="28">
        <f t="shared" si="191"/>
        <v>0</v>
      </c>
      <c r="AX160" s="28">
        <f t="shared" si="192"/>
        <v>0</v>
      </c>
      <c r="AY160" s="30" t="s">
        <v>484</v>
      </c>
      <c r="AZ160" s="30" t="s">
        <v>413</v>
      </c>
      <c r="BA160" s="11" t="s">
        <v>60</v>
      </c>
      <c r="BC160" s="28">
        <f t="shared" si="193"/>
        <v>0</v>
      </c>
      <c r="BD160" s="28">
        <f t="shared" si="194"/>
        <v>0</v>
      </c>
      <c r="BE160" s="28">
        <v>0</v>
      </c>
      <c r="BF160" s="28">
        <f>160</f>
        <v>160</v>
      </c>
      <c r="BH160" s="28">
        <f t="shared" si="195"/>
        <v>0</v>
      </c>
      <c r="BI160" s="28">
        <f t="shared" si="196"/>
        <v>0</v>
      </c>
      <c r="BJ160" s="28">
        <f t="shared" si="197"/>
        <v>0</v>
      </c>
      <c r="BK160" s="28"/>
      <c r="BL160" s="28"/>
      <c r="BW160" s="28">
        <v>21</v>
      </c>
    </row>
    <row r="161" spans="1:75" ht="27" customHeight="1">
      <c r="A161" s="2" t="s">
        <v>503</v>
      </c>
      <c r="B161" s="3" t="s">
        <v>504</v>
      </c>
      <c r="C161" s="75" t="s">
        <v>505</v>
      </c>
      <c r="D161" s="76"/>
      <c r="E161" s="3" t="s">
        <v>57</v>
      </c>
      <c r="F161" s="28">
        <v>3</v>
      </c>
      <c r="G161" s="29">
        <v>0</v>
      </c>
      <c r="H161" s="28">
        <f t="shared" si="176"/>
        <v>0</v>
      </c>
      <c r="I161" s="28">
        <f t="shared" si="177"/>
        <v>0</v>
      </c>
      <c r="J161" s="28">
        <f t="shared" si="178"/>
        <v>0</v>
      </c>
      <c r="K161" s="30" t="s">
        <v>72</v>
      </c>
      <c r="L161" s="27"/>
      <c r="Z161" s="28">
        <f t="shared" si="179"/>
        <v>0</v>
      </c>
      <c r="AB161" s="28">
        <f t="shared" si="180"/>
        <v>0</v>
      </c>
      <c r="AC161" s="28">
        <f t="shared" si="181"/>
        <v>0</v>
      </c>
      <c r="AD161" s="28">
        <f t="shared" si="182"/>
        <v>0</v>
      </c>
      <c r="AE161" s="28">
        <f t="shared" si="183"/>
        <v>0</v>
      </c>
      <c r="AF161" s="28">
        <f t="shared" si="184"/>
        <v>0</v>
      </c>
      <c r="AG161" s="28">
        <f t="shared" si="185"/>
        <v>0</v>
      </c>
      <c r="AH161" s="28">
        <f t="shared" si="186"/>
        <v>0</v>
      </c>
      <c r="AI161" s="11" t="s">
        <v>51</v>
      </c>
      <c r="AJ161" s="28">
        <f t="shared" si="187"/>
        <v>0</v>
      </c>
      <c r="AK161" s="28">
        <f t="shared" si="188"/>
        <v>0</v>
      </c>
      <c r="AL161" s="28">
        <f t="shared" si="189"/>
        <v>0</v>
      </c>
      <c r="AN161" s="28">
        <v>21</v>
      </c>
      <c r="AO161" s="28">
        <f>G161*0.496885592</f>
        <v>0</v>
      </c>
      <c r="AP161" s="28">
        <f>G161*(1-0.496885592)</f>
        <v>0</v>
      </c>
      <c r="AQ161" s="30" t="s">
        <v>61</v>
      </c>
      <c r="AV161" s="28">
        <f t="shared" si="190"/>
        <v>0</v>
      </c>
      <c r="AW161" s="28">
        <f t="shared" si="191"/>
        <v>0</v>
      </c>
      <c r="AX161" s="28">
        <f t="shared" si="192"/>
        <v>0</v>
      </c>
      <c r="AY161" s="30" t="s">
        <v>484</v>
      </c>
      <c r="AZ161" s="30" t="s">
        <v>413</v>
      </c>
      <c r="BA161" s="11" t="s">
        <v>60</v>
      </c>
      <c r="BC161" s="28">
        <f t="shared" si="193"/>
        <v>0</v>
      </c>
      <c r="BD161" s="28">
        <f t="shared" si="194"/>
        <v>0</v>
      </c>
      <c r="BE161" s="28">
        <v>0</v>
      </c>
      <c r="BF161" s="28">
        <f>161</f>
        <v>161</v>
      </c>
      <c r="BH161" s="28">
        <f t="shared" si="195"/>
        <v>0</v>
      </c>
      <c r="BI161" s="28">
        <f t="shared" si="196"/>
        <v>0</v>
      </c>
      <c r="BJ161" s="28">
        <f t="shared" si="197"/>
        <v>0</v>
      </c>
      <c r="BK161" s="28"/>
      <c r="BL161" s="28"/>
      <c r="BW161" s="28">
        <v>21</v>
      </c>
    </row>
    <row r="162" spans="1:75" ht="27" customHeight="1">
      <c r="A162" s="2" t="s">
        <v>506</v>
      </c>
      <c r="B162" s="3" t="s">
        <v>507</v>
      </c>
      <c r="C162" s="75" t="s">
        <v>508</v>
      </c>
      <c r="D162" s="76"/>
      <c r="E162" s="3" t="s">
        <v>57</v>
      </c>
      <c r="F162" s="28">
        <v>1</v>
      </c>
      <c r="G162" s="29">
        <v>0</v>
      </c>
      <c r="H162" s="28">
        <f t="shared" si="176"/>
        <v>0</v>
      </c>
      <c r="I162" s="28">
        <f t="shared" si="177"/>
        <v>0</v>
      </c>
      <c r="J162" s="28">
        <f t="shared" si="178"/>
        <v>0</v>
      </c>
      <c r="K162" s="30" t="s">
        <v>72</v>
      </c>
      <c r="L162" s="27"/>
      <c r="Z162" s="28">
        <f t="shared" si="179"/>
        <v>0</v>
      </c>
      <c r="AB162" s="28">
        <f t="shared" si="180"/>
        <v>0</v>
      </c>
      <c r="AC162" s="28">
        <f t="shared" si="181"/>
        <v>0</v>
      </c>
      <c r="AD162" s="28">
        <f t="shared" si="182"/>
        <v>0</v>
      </c>
      <c r="AE162" s="28">
        <f t="shared" si="183"/>
        <v>0</v>
      </c>
      <c r="AF162" s="28">
        <f t="shared" si="184"/>
        <v>0</v>
      </c>
      <c r="AG162" s="28">
        <f t="shared" si="185"/>
        <v>0</v>
      </c>
      <c r="AH162" s="28">
        <f t="shared" si="186"/>
        <v>0</v>
      </c>
      <c r="AI162" s="11" t="s">
        <v>51</v>
      </c>
      <c r="AJ162" s="28">
        <f t="shared" si="187"/>
        <v>0</v>
      </c>
      <c r="AK162" s="28">
        <f t="shared" si="188"/>
        <v>0</v>
      </c>
      <c r="AL162" s="28">
        <f t="shared" si="189"/>
        <v>0</v>
      </c>
      <c r="AN162" s="28">
        <v>21</v>
      </c>
      <c r="AO162" s="28">
        <f>G162*0.490936556</f>
        <v>0</v>
      </c>
      <c r="AP162" s="28">
        <f>G162*(1-0.490936556)</f>
        <v>0</v>
      </c>
      <c r="AQ162" s="30" t="s">
        <v>61</v>
      </c>
      <c r="AV162" s="28">
        <f t="shared" si="190"/>
        <v>0</v>
      </c>
      <c r="AW162" s="28">
        <f t="shared" si="191"/>
        <v>0</v>
      </c>
      <c r="AX162" s="28">
        <f t="shared" si="192"/>
        <v>0</v>
      </c>
      <c r="AY162" s="30" t="s">
        <v>484</v>
      </c>
      <c r="AZ162" s="30" t="s">
        <v>413</v>
      </c>
      <c r="BA162" s="11" t="s">
        <v>60</v>
      </c>
      <c r="BC162" s="28">
        <f t="shared" si="193"/>
        <v>0</v>
      </c>
      <c r="BD162" s="28">
        <f t="shared" si="194"/>
        <v>0</v>
      </c>
      <c r="BE162" s="28">
        <v>0</v>
      </c>
      <c r="BF162" s="28">
        <f>162</f>
        <v>162</v>
      </c>
      <c r="BH162" s="28">
        <f t="shared" si="195"/>
        <v>0</v>
      </c>
      <c r="BI162" s="28">
        <f t="shared" si="196"/>
        <v>0</v>
      </c>
      <c r="BJ162" s="28">
        <f t="shared" si="197"/>
        <v>0</v>
      </c>
      <c r="BK162" s="28"/>
      <c r="BL162" s="28"/>
      <c r="BW162" s="28">
        <v>21</v>
      </c>
    </row>
    <row r="163" spans="1:75" ht="27" customHeight="1">
      <c r="A163" s="2" t="s">
        <v>509</v>
      </c>
      <c r="B163" s="3" t="s">
        <v>510</v>
      </c>
      <c r="C163" s="75" t="s">
        <v>511</v>
      </c>
      <c r="D163" s="76"/>
      <c r="E163" s="3" t="s">
        <v>57</v>
      </c>
      <c r="F163" s="28">
        <v>3</v>
      </c>
      <c r="G163" s="29">
        <v>0</v>
      </c>
      <c r="H163" s="28">
        <f t="shared" si="176"/>
        <v>0</v>
      </c>
      <c r="I163" s="28">
        <f t="shared" si="177"/>
        <v>0</v>
      </c>
      <c r="J163" s="28">
        <f t="shared" si="178"/>
        <v>0</v>
      </c>
      <c r="K163" s="30" t="s">
        <v>72</v>
      </c>
      <c r="L163" s="27"/>
      <c r="Z163" s="28">
        <f t="shared" si="179"/>
        <v>0</v>
      </c>
      <c r="AB163" s="28">
        <f t="shared" si="180"/>
        <v>0</v>
      </c>
      <c r="AC163" s="28">
        <f t="shared" si="181"/>
        <v>0</v>
      </c>
      <c r="AD163" s="28">
        <f t="shared" si="182"/>
        <v>0</v>
      </c>
      <c r="AE163" s="28">
        <f t="shared" si="183"/>
        <v>0</v>
      </c>
      <c r="AF163" s="28">
        <f t="shared" si="184"/>
        <v>0</v>
      </c>
      <c r="AG163" s="28">
        <f t="shared" si="185"/>
        <v>0</v>
      </c>
      <c r="AH163" s="28">
        <f t="shared" si="186"/>
        <v>0</v>
      </c>
      <c r="AI163" s="11" t="s">
        <v>51</v>
      </c>
      <c r="AJ163" s="28">
        <f t="shared" si="187"/>
        <v>0</v>
      </c>
      <c r="AK163" s="28">
        <f t="shared" si="188"/>
        <v>0</v>
      </c>
      <c r="AL163" s="28">
        <f t="shared" si="189"/>
        <v>0</v>
      </c>
      <c r="AN163" s="28">
        <v>21</v>
      </c>
      <c r="AO163" s="28">
        <f>G163*0.678062491</f>
        <v>0</v>
      </c>
      <c r="AP163" s="28">
        <f>G163*(1-0.678062491)</f>
        <v>0</v>
      </c>
      <c r="AQ163" s="30" t="s">
        <v>61</v>
      </c>
      <c r="AV163" s="28">
        <f t="shared" si="190"/>
        <v>0</v>
      </c>
      <c r="AW163" s="28">
        <f t="shared" si="191"/>
        <v>0</v>
      </c>
      <c r="AX163" s="28">
        <f t="shared" si="192"/>
        <v>0</v>
      </c>
      <c r="AY163" s="30" t="s">
        <v>484</v>
      </c>
      <c r="AZ163" s="30" t="s">
        <v>413</v>
      </c>
      <c r="BA163" s="11" t="s">
        <v>60</v>
      </c>
      <c r="BC163" s="28">
        <f t="shared" si="193"/>
        <v>0</v>
      </c>
      <c r="BD163" s="28">
        <f t="shared" si="194"/>
        <v>0</v>
      </c>
      <c r="BE163" s="28">
        <v>0</v>
      </c>
      <c r="BF163" s="28">
        <f>163</f>
        <v>163</v>
      </c>
      <c r="BH163" s="28">
        <f t="shared" si="195"/>
        <v>0</v>
      </c>
      <c r="BI163" s="28">
        <f t="shared" si="196"/>
        <v>0</v>
      </c>
      <c r="BJ163" s="28">
        <f t="shared" si="197"/>
        <v>0</v>
      </c>
      <c r="BK163" s="28"/>
      <c r="BL163" s="28"/>
      <c r="BW163" s="28">
        <v>21</v>
      </c>
    </row>
    <row r="164" spans="1:75" ht="13.5" customHeight="1">
      <c r="A164" s="2" t="s">
        <v>512</v>
      </c>
      <c r="B164" s="3" t="s">
        <v>513</v>
      </c>
      <c r="C164" s="75" t="s">
        <v>514</v>
      </c>
      <c r="D164" s="76"/>
      <c r="E164" s="3" t="s">
        <v>57</v>
      </c>
      <c r="F164" s="28">
        <v>15</v>
      </c>
      <c r="G164" s="29">
        <v>0</v>
      </c>
      <c r="H164" s="28">
        <f t="shared" si="176"/>
        <v>0</v>
      </c>
      <c r="I164" s="28">
        <f t="shared" si="177"/>
        <v>0</v>
      </c>
      <c r="J164" s="28">
        <f t="shared" si="178"/>
        <v>0</v>
      </c>
      <c r="K164" s="30" t="s">
        <v>72</v>
      </c>
      <c r="L164" s="27"/>
      <c r="Z164" s="28">
        <f t="shared" si="179"/>
        <v>0</v>
      </c>
      <c r="AB164" s="28">
        <f t="shared" si="180"/>
        <v>0</v>
      </c>
      <c r="AC164" s="28">
        <f t="shared" si="181"/>
        <v>0</v>
      </c>
      <c r="AD164" s="28">
        <f t="shared" si="182"/>
        <v>0</v>
      </c>
      <c r="AE164" s="28">
        <f t="shared" si="183"/>
        <v>0</v>
      </c>
      <c r="AF164" s="28">
        <f t="shared" si="184"/>
        <v>0</v>
      </c>
      <c r="AG164" s="28">
        <f t="shared" si="185"/>
        <v>0</v>
      </c>
      <c r="AH164" s="28">
        <f t="shared" si="186"/>
        <v>0</v>
      </c>
      <c r="AI164" s="11" t="s">
        <v>51</v>
      </c>
      <c r="AJ164" s="28">
        <f t="shared" si="187"/>
        <v>0</v>
      </c>
      <c r="AK164" s="28">
        <f t="shared" si="188"/>
        <v>0</v>
      </c>
      <c r="AL164" s="28">
        <f t="shared" si="189"/>
        <v>0</v>
      </c>
      <c r="AN164" s="28">
        <v>21</v>
      </c>
      <c r="AO164" s="28">
        <f>G164*0.623674691</f>
        <v>0</v>
      </c>
      <c r="AP164" s="28">
        <f>G164*(1-0.623674691)</f>
        <v>0</v>
      </c>
      <c r="AQ164" s="30" t="s">
        <v>61</v>
      </c>
      <c r="AV164" s="28">
        <f t="shared" si="190"/>
        <v>0</v>
      </c>
      <c r="AW164" s="28">
        <f t="shared" si="191"/>
        <v>0</v>
      </c>
      <c r="AX164" s="28">
        <f t="shared" si="192"/>
        <v>0</v>
      </c>
      <c r="AY164" s="30" t="s">
        <v>484</v>
      </c>
      <c r="AZ164" s="30" t="s">
        <v>413</v>
      </c>
      <c r="BA164" s="11" t="s">
        <v>60</v>
      </c>
      <c r="BC164" s="28">
        <f t="shared" si="193"/>
        <v>0</v>
      </c>
      <c r="BD164" s="28">
        <f t="shared" si="194"/>
        <v>0</v>
      </c>
      <c r="BE164" s="28">
        <v>0</v>
      </c>
      <c r="BF164" s="28">
        <f>164</f>
        <v>164</v>
      </c>
      <c r="BH164" s="28">
        <f t="shared" si="195"/>
        <v>0</v>
      </c>
      <c r="BI164" s="28">
        <f t="shared" si="196"/>
        <v>0</v>
      </c>
      <c r="BJ164" s="28">
        <f t="shared" si="197"/>
        <v>0</v>
      </c>
      <c r="BK164" s="28"/>
      <c r="BL164" s="28"/>
      <c r="BW164" s="28">
        <v>21</v>
      </c>
    </row>
    <row r="165" spans="1:75" ht="13.5" customHeight="1">
      <c r="A165" s="2" t="s">
        <v>515</v>
      </c>
      <c r="B165" s="3" t="s">
        <v>516</v>
      </c>
      <c r="C165" s="75" t="s">
        <v>517</v>
      </c>
      <c r="D165" s="76"/>
      <c r="E165" s="3" t="s">
        <v>57</v>
      </c>
      <c r="F165" s="28">
        <v>10</v>
      </c>
      <c r="G165" s="29">
        <v>0</v>
      </c>
      <c r="H165" s="28">
        <f t="shared" si="176"/>
        <v>0</v>
      </c>
      <c r="I165" s="28">
        <f t="shared" si="177"/>
        <v>0</v>
      </c>
      <c r="J165" s="28">
        <f t="shared" si="178"/>
        <v>0</v>
      </c>
      <c r="K165" s="30" t="s">
        <v>72</v>
      </c>
      <c r="L165" s="27"/>
      <c r="Z165" s="28">
        <f t="shared" si="179"/>
        <v>0</v>
      </c>
      <c r="AB165" s="28">
        <f t="shared" si="180"/>
        <v>0</v>
      </c>
      <c r="AC165" s="28">
        <f t="shared" si="181"/>
        <v>0</v>
      </c>
      <c r="AD165" s="28">
        <f t="shared" si="182"/>
        <v>0</v>
      </c>
      <c r="AE165" s="28">
        <f t="shared" si="183"/>
        <v>0</v>
      </c>
      <c r="AF165" s="28">
        <f t="shared" si="184"/>
        <v>0</v>
      </c>
      <c r="AG165" s="28">
        <f t="shared" si="185"/>
        <v>0</v>
      </c>
      <c r="AH165" s="28">
        <f t="shared" si="186"/>
        <v>0</v>
      </c>
      <c r="AI165" s="11" t="s">
        <v>51</v>
      </c>
      <c r="AJ165" s="28">
        <f t="shared" si="187"/>
        <v>0</v>
      </c>
      <c r="AK165" s="28">
        <f t="shared" si="188"/>
        <v>0</v>
      </c>
      <c r="AL165" s="28">
        <f t="shared" si="189"/>
        <v>0</v>
      </c>
      <c r="AN165" s="28">
        <v>21</v>
      </c>
      <c r="AO165" s="28">
        <f>G165*0.714298009</f>
        <v>0</v>
      </c>
      <c r="AP165" s="28">
        <f>G165*(1-0.714298009)</f>
        <v>0</v>
      </c>
      <c r="AQ165" s="30" t="s">
        <v>61</v>
      </c>
      <c r="AV165" s="28">
        <f t="shared" si="190"/>
        <v>0</v>
      </c>
      <c r="AW165" s="28">
        <f t="shared" si="191"/>
        <v>0</v>
      </c>
      <c r="AX165" s="28">
        <f t="shared" si="192"/>
        <v>0</v>
      </c>
      <c r="AY165" s="30" t="s">
        <v>484</v>
      </c>
      <c r="AZ165" s="30" t="s">
        <v>413</v>
      </c>
      <c r="BA165" s="11" t="s">
        <v>60</v>
      </c>
      <c r="BC165" s="28">
        <f t="shared" si="193"/>
        <v>0</v>
      </c>
      <c r="BD165" s="28">
        <f t="shared" si="194"/>
        <v>0</v>
      </c>
      <c r="BE165" s="28">
        <v>0</v>
      </c>
      <c r="BF165" s="28">
        <f>165</f>
        <v>165</v>
      </c>
      <c r="BH165" s="28">
        <f t="shared" si="195"/>
        <v>0</v>
      </c>
      <c r="BI165" s="28">
        <f t="shared" si="196"/>
        <v>0</v>
      </c>
      <c r="BJ165" s="28">
        <f t="shared" si="197"/>
        <v>0</v>
      </c>
      <c r="BK165" s="28"/>
      <c r="BL165" s="28"/>
      <c r="BW165" s="28">
        <v>21</v>
      </c>
    </row>
    <row r="166" spans="1:75" ht="13.5" customHeight="1">
      <c r="A166" s="2" t="s">
        <v>518</v>
      </c>
      <c r="B166" s="3" t="s">
        <v>519</v>
      </c>
      <c r="C166" s="75" t="s">
        <v>520</v>
      </c>
      <c r="D166" s="76"/>
      <c r="E166" s="3" t="s">
        <v>57</v>
      </c>
      <c r="F166" s="28">
        <v>1</v>
      </c>
      <c r="G166" s="29">
        <v>0</v>
      </c>
      <c r="H166" s="28">
        <f t="shared" si="176"/>
        <v>0</v>
      </c>
      <c r="I166" s="28">
        <f t="shared" si="177"/>
        <v>0</v>
      </c>
      <c r="J166" s="28">
        <f t="shared" si="178"/>
        <v>0</v>
      </c>
      <c r="K166" s="30" t="s">
        <v>72</v>
      </c>
      <c r="L166" s="27"/>
      <c r="Z166" s="28">
        <f t="shared" si="179"/>
        <v>0</v>
      </c>
      <c r="AB166" s="28">
        <f t="shared" si="180"/>
        <v>0</v>
      </c>
      <c r="AC166" s="28">
        <f t="shared" si="181"/>
        <v>0</v>
      </c>
      <c r="AD166" s="28">
        <f t="shared" si="182"/>
        <v>0</v>
      </c>
      <c r="AE166" s="28">
        <f t="shared" si="183"/>
        <v>0</v>
      </c>
      <c r="AF166" s="28">
        <f t="shared" si="184"/>
        <v>0</v>
      </c>
      <c r="AG166" s="28">
        <f t="shared" si="185"/>
        <v>0</v>
      </c>
      <c r="AH166" s="28">
        <f t="shared" si="186"/>
        <v>0</v>
      </c>
      <c r="AI166" s="11" t="s">
        <v>51</v>
      </c>
      <c r="AJ166" s="28">
        <f t="shared" si="187"/>
        <v>0</v>
      </c>
      <c r="AK166" s="28">
        <f t="shared" si="188"/>
        <v>0</v>
      </c>
      <c r="AL166" s="28">
        <f t="shared" si="189"/>
        <v>0</v>
      </c>
      <c r="AN166" s="28">
        <v>21</v>
      </c>
      <c r="AO166" s="28">
        <f>G166*0.703052729</f>
        <v>0</v>
      </c>
      <c r="AP166" s="28">
        <f>G166*(1-0.703052729)</f>
        <v>0</v>
      </c>
      <c r="AQ166" s="30" t="s">
        <v>61</v>
      </c>
      <c r="AV166" s="28">
        <f t="shared" si="190"/>
        <v>0</v>
      </c>
      <c r="AW166" s="28">
        <f t="shared" si="191"/>
        <v>0</v>
      </c>
      <c r="AX166" s="28">
        <f t="shared" si="192"/>
        <v>0</v>
      </c>
      <c r="AY166" s="30" t="s">
        <v>484</v>
      </c>
      <c r="AZ166" s="30" t="s">
        <v>413</v>
      </c>
      <c r="BA166" s="11" t="s">
        <v>60</v>
      </c>
      <c r="BC166" s="28">
        <f t="shared" si="193"/>
        <v>0</v>
      </c>
      <c r="BD166" s="28">
        <f t="shared" si="194"/>
        <v>0</v>
      </c>
      <c r="BE166" s="28">
        <v>0</v>
      </c>
      <c r="BF166" s="28">
        <f>166</f>
        <v>166</v>
      </c>
      <c r="BH166" s="28">
        <f t="shared" si="195"/>
        <v>0</v>
      </c>
      <c r="BI166" s="28">
        <f t="shared" si="196"/>
        <v>0</v>
      </c>
      <c r="BJ166" s="28">
        <f t="shared" si="197"/>
        <v>0</v>
      </c>
      <c r="BK166" s="28"/>
      <c r="BL166" s="28"/>
      <c r="BW166" s="28">
        <v>21</v>
      </c>
    </row>
    <row r="167" spans="1:75" ht="13.5" customHeight="1">
      <c r="A167" s="2" t="s">
        <v>521</v>
      </c>
      <c r="B167" s="3" t="s">
        <v>522</v>
      </c>
      <c r="C167" s="75" t="s">
        <v>523</v>
      </c>
      <c r="D167" s="76"/>
      <c r="E167" s="3" t="s">
        <v>57</v>
      </c>
      <c r="F167" s="28">
        <v>3</v>
      </c>
      <c r="G167" s="29">
        <v>0</v>
      </c>
      <c r="H167" s="28">
        <f t="shared" si="176"/>
        <v>0</v>
      </c>
      <c r="I167" s="28">
        <f t="shared" si="177"/>
        <v>0</v>
      </c>
      <c r="J167" s="28">
        <f t="shared" si="178"/>
        <v>0</v>
      </c>
      <c r="K167" s="30" t="s">
        <v>72</v>
      </c>
      <c r="L167" s="27"/>
      <c r="Z167" s="28">
        <f t="shared" si="179"/>
        <v>0</v>
      </c>
      <c r="AB167" s="28">
        <f t="shared" si="180"/>
        <v>0</v>
      </c>
      <c r="AC167" s="28">
        <f t="shared" si="181"/>
        <v>0</v>
      </c>
      <c r="AD167" s="28">
        <f t="shared" si="182"/>
        <v>0</v>
      </c>
      <c r="AE167" s="28">
        <f t="shared" si="183"/>
        <v>0</v>
      </c>
      <c r="AF167" s="28">
        <f t="shared" si="184"/>
        <v>0</v>
      </c>
      <c r="AG167" s="28">
        <f t="shared" si="185"/>
        <v>0</v>
      </c>
      <c r="AH167" s="28">
        <f t="shared" si="186"/>
        <v>0</v>
      </c>
      <c r="AI167" s="11" t="s">
        <v>51</v>
      </c>
      <c r="AJ167" s="28">
        <f t="shared" si="187"/>
        <v>0</v>
      </c>
      <c r="AK167" s="28">
        <f t="shared" si="188"/>
        <v>0</v>
      </c>
      <c r="AL167" s="28">
        <f t="shared" si="189"/>
        <v>0</v>
      </c>
      <c r="AN167" s="28">
        <v>21</v>
      </c>
      <c r="AO167" s="28">
        <f>G167*0</f>
        <v>0</v>
      </c>
      <c r="AP167" s="28">
        <f>G167*(1-0)</f>
        <v>0</v>
      </c>
      <c r="AQ167" s="30" t="s">
        <v>61</v>
      </c>
      <c r="AV167" s="28">
        <f t="shared" si="190"/>
        <v>0</v>
      </c>
      <c r="AW167" s="28">
        <f t="shared" si="191"/>
        <v>0</v>
      </c>
      <c r="AX167" s="28">
        <f t="shared" si="192"/>
        <v>0</v>
      </c>
      <c r="AY167" s="30" t="s">
        <v>484</v>
      </c>
      <c r="AZ167" s="30" t="s">
        <v>413</v>
      </c>
      <c r="BA167" s="11" t="s">
        <v>60</v>
      </c>
      <c r="BC167" s="28">
        <f t="shared" si="193"/>
        <v>0</v>
      </c>
      <c r="BD167" s="28">
        <f t="shared" si="194"/>
        <v>0</v>
      </c>
      <c r="BE167" s="28">
        <v>0</v>
      </c>
      <c r="BF167" s="28">
        <f>167</f>
        <v>167</v>
      </c>
      <c r="BH167" s="28">
        <f t="shared" si="195"/>
        <v>0</v>
      </c>
      <c r="BI167" s="28">
        <f t="shared" si="196"/>
        <v>0</v>
      </c>
      <c r="BJ167" s="28">
        <f t="shared" si="197"/>
        <v>0</v>
      </c>
      <c r="BK167" s="28"/>
      <c r="BL167" s="28"/>
      <c r="BW167" s="28">
        <v>21</v>
      </c>
    </row>
    <row r="168" spans="1:75" ht="26.25" customHeight="1">
      <c r="A168" s="31" t="s">
        <v>51</v>
      </c>
      <c r="B168" s="32" t="s">
        <v>524</v>
      </c>
      <c r="C168" s="79" t="s">
        <v>525</v>
      </c>
      <c r="D168" s="80"/>
      <c r="E168" s="33" t="s">
        <v>4</v>
      </c>
      <c r="F168" s="33" t="s">
        <v>4</v>
      </c>
      <c r="G168" s="34" t="s">
        <v>4</v>
      </c>
      <c r="H168" s="1">
        <f>SUM(H169:H173)</f>
        <v>0</v>
      </c>
      <c r="I168" s="1">
        <f>SUM(I169:I173)</f>
        <v>0</v>
      </c>
      <c r="J168" s="1">
        <f>SUM(J169:J173)</f>
        <v>0</v>
      </c>
      <c r="K168" s="11" t="s">
        <v>51</v>
      </c>
      <c r="L168" s="27"/>
      <c r="AI168" s="11" t="s">
        <v>51</v>
      </c>
      <c r="AS168" s="1">
        <f>SUM(AJ169:AJ173)</f>
        <v>0</v>
      </c>
      <c r="AT168" s="1">
        <f>SUM(AK169:AK173)</f>
        <v>0</v>
      </c>
      <c r="AU168" s="1">
        <f>SUM(AL169:AL173)</f>
        <v>0</v>
      </c>
    </row>
    <row r="169" spans="1:75" ht="13.5" customHeight="1">
      <c r="A169" s="2" t="s">
        <v>526</v>
      </c>
      <c r="B169" s="3" t="s">
        <v>527</v>
      </c>
      <c r="C169" s="75" t="s">
        <v>528</v>
      </c>
      <c r="D169" s="76"/>
      <c r="E169" s="3" t="s">
        <v>140</v>
      </c>
      <c r="F169" s="28">
        <v>250</v>
      </c>
      <c r="G169" s="29">
        <v>0</v>
      </c>
      <c r="H169" s="28">
        <f>F169*AO169</f>
        <v>0</v>
      </c>
      <c r="I169" s="28">
        <f>F169*AP169</f>
        <v>0</v>
      </c>
      <c r="J169" s="28">
        <f>F169*G169</f>
        <v>0</v>
      </c>
      <c r="K169" s="30" t="s">
        <v>72</v>
      </c>
      <c r="L169" s="27"/>
      <c r="Z169" s="28">
        <f>IF(AQ169="5",BJ169,0)</f>
        <v>0</v>
      </c>
      <c r="AB169" s="28">
        <f>IF(AQ169="1",BH169,0)</f>
        <v>0</v>
      </c>
      <c r="AC169" s="28">
        <f>IF(AQ169="1",BI169,0)</f>
        <v>0</v>
      </c>
      <c r="AD169" s="28">
        <f>IF(AQ169="7",BH169,0)</f>
        <v>0</v>
      </c>
      <c r="AE169" s="28">
        <f>IF(AQ169="7",BI169,0)</f>
        <v>0</v>
      </c>
      <c r="AF169" s="28">
        <f>IF(AQ169="2",BH169,0)</f>
        <v>0</v>
      </c>
      <c r="AG169" s="28">
        <f>IF(AQ169="2",BI169,0)</f>
        <v>0</v>
      </c>
      <c r="AH169" s="28">
        <f>IF(AQ169="0",BJ169,0)</f>
        <v>0</v>
      </c>
      <c r="AI169" s="11" t="s">
        <v>51</v>
      </c>
      <c r="AJ169" s="28">
        <f>IF(AN169=0,J169,0)</f>
        <v>0</v>
      </c>
      <c r="AK169" s="28">
        <f>IF(AN169=12,J169,0)</f>
        <v>0</v>
      </c>
      <c r="AL169" s="28">
        <f>IF(AN169=21,J169,0)</f>
        <v>0</v>
      </c>
      <c r="AN169" s="28">
        <v>21</v>
      </c>
      <c r="AO169" s="28">
        <f>G169*0.9312</f>
        <v>0</v>
      </c>
      <c r="AP169" s="28">
        <f>G169*(1-0.9312)</f>
        <v>0</v>
      </c>
      <c r="AQ169" s="30" t="s">
        <v>61</v>
      </c>
      <c r="AV169" s="28">
        <f>AW169+AX169</f>
        <v>0</v>
      </c>
      <c r="AW169" s="28">
        <f>F169*AO169</f>
        <v>0</v>
      </c>
      <c r="AX169" s="28">
        <f>F169*AP169</f>
        <v>0</v>
      </c>
      <c r="AY169" s="30" t="s">
        <v>529</v>
      </c>
      <c r="AZ169" s="30" t="s">
        <v>413</v>
      </c>
      <c r="BA169" s="11" t="s">
        <v>60</v>
      </c>
      <c r="BC169" s="28">
        <f>AW169+AX169</f>
        <v>0</v>
      </c>
      <c r="BD169" s="28">
        <f>G169/(100-BE169)*100</f>
        <v>0</v>
      </c>
      <c r="BE169" s="28">
        <v>0</v>
      </c>
      <c r="BF169" s="28">
        <f>169</f>
        <v>169</v>
      </c>
      <c r="BH169" s="28">
        <f>F169*AO169</f>
        <v>0</v>
      </c>
      <c r="BI169" s="28">
        <f>F169*AP169</f>
        <v>0</v>
      </c>
      <c r="BJ169" s="28">
        <f>F169*G169</f>
        <v>0</v>
      </c>
      <c r="BK169" s="28"/>
      <c r="BL169" s="28"/>
      <c r="BW169" s="28">
        <v>21</v>
      </c>
    </row>
    <row r="170" spans="1:75" ht="13.5" customHeight="1">
      <c r="A170" s="2" t="s">
        <v>530</v>
      </c>
      <c r="B170" s="3" t="s">
        <v>531</v>
      </c>
      <c r="C170" s="75" t="s">
        <v>532</v>
      </c>
      <c r="D170" s="76"/>
      <c r="E170" s="3" t="s">
        <v>57</v>
      </c>
      <c r="F170" s="28">
        <v>1</v>
      </c>
      <c r="G170" s="29">
        <v>0</v>
      </c>
      <c r="H170" s="28">
        <f>F170*AO170</f>
        <v>0</v>
      </c>
      <c r="I170" s="28">
        <f>F170*AP170</f>
        <v>0</v>
      </c>
      <c r="J170" s="28">
        <f>F170*G170</f>
        <v>0</v>
      </c>
      <c r="K170" s="30" t="s">
        <v>72</v>
      </c>
      <c r="L170" s="27"/>
      <c r="Z170" s="28">
        <f>IF(AQ170="5",BJ170,0)</f>
        <v>0</v>
      </c>
      <c r="AB170" s="28">
        <f>IF(AQ170="1",BH170,0)</f>
        <v>0</v>
      </c>
      <c r="AC170" s="28">
        <f>IF(AQ170="1",BI170,0)</f>
        <v>0</v>
      </c>
      <c r="AD170" s="28">
        <f>IF(AQ170="7",BH170,0)</f>
        <v>0</v>
      </c>
      <c r="AE170" s="28">
        <f>IF(AQ170="7",BI170,0)</f>
        <v>0</v>
      </c>
      <c r="AF170" s="28">
        <f>IF(AQ170="2",BH170,0)</f>
        <v>0</v>
      </c>
      <c r="AG170" s="28">
        <f>IF(AQ170="2",BI170,0)</f>
        <v>0</v>
      </c>
      <c r="AH170" s="28">
        <f>IF(AQ170="0",BJ170,0)</f>
        <v>0</v>
      </c>
      <c r="AI170" s="11" t="s">
        <v>51</v>
      </c>
      <c r="AJ170" s="28">
        <f>IF(AN170=0,J170,0)</f>
        <v>0</v>
      </c>
      <c r="AK170" s="28">
        <f>IF(AN170=12,J170,0)</f>
        <v>0</v>
      </c>
      <c r="AL170" s="28">
        <f>IF(AN170=21,J170,0)</f>
        <v>0</v>
      </c>
      <c r="AN170" s="28">
        <v>21</v>
      </c>
      <c r="AO170" s="28">
        <f>G170*0.736217627</f>
        <v>0</v>
      </c>
      <c r="AP170" s="28">
        <f>G170*(1-0.736217627)</f>
        <v>0</v>
      </c>
      <c r="AQ170" s="30" t="s">
        <v>61</v>
      </c>
      <c r="AV170" s="28">
        <f>AW170+AX170</f>
        <v>0</v>
      </c>
      <c r="AW170" s="28">
        <f>F170*AO170</f>
        <v>0</v>
      </c>
      <c r="AX170" s="28">
        <f>F170*AP170</f>
        <v>0</v>
      </c>
      <c r="AY170" s="30" t="s">
        <v>529</v>
      </c>
      <c r="AZ170" s="30" t="s">
        <v>413</v>
      </c>
      <c r="BA170" s="11" t="s">
        <v>60</v>
      </c>
      <c r="BC170" s="28">
        <f>AW170+AX170</f>
        <v>0</v>
      </c>
      <c r="BD170" s="28">
        <f>G170/(100-BE170)*100</f>
        <v>0</v>
      </c>
      <c r="BE170" s="28">
        <v>0</v>
      </c>
      <c r="BF170" s="28">
        <f>170</f>
        <v>170</v>
      </c>
      <c r="BH170" s="28">
        <f>F170*AO170</f>
        <v>0</v>
      </c>
      <c r="BI170" s="28">
        <f>F170*AP170</f>
        <v>0</v>
      </c>
      <c r="BJ170" s="28">
        <f>F170*G170</f>
        <v>0</v>
      </c>
      <c r="BK170" s="28"/>
      <c r="BL170" s="28"/>
      <c r="BW170" s="28">
        <v>21</v>
      </c>
    </row>
    <row r="171" spans="1:75" ht="13.5" customHeight="1">
      <c r="A171" s="2" t="s">
        <v>533</v>
      </c>
      <c r="B171" s="3" t="s">
        <v>534</v>
      </c>
      <c r="C171" s="75" t="s">
        <v>535</v>
      </c>
      <c r="D171" s="76"/>
      <c r="E171" s="3" t="s">
        <v>57</v>
      </c>
      <c r="F171" s="28">
        <v>8</v>
      </c>
      <c r="G171" s="29">
        <v>0</v>
      </c>
      <c r="H171" s="28">
        <f>F171*AO171</f>
        <v>0</v>
      </c>
      <c r="I171" s="28">
        <f>F171*AP171</f>
        <v>0</v>
      </c>
      <c r="J171" s="28">
        <f>F171*G171</f>
        <v>0</v>
      </c>
      <c r="K171" s="30" t="s">
        <v>72</v>
      </c>
      <c r="L171" s="27"/>
      <c r="Z171" s="28">
        <f>IF(AQ171="5",BJ171,0)</f>
        <v>0</v>
      </c>
      <c r="AB171" s="28">
        <f>IF(AQ171="1",BH171,0)</f>
        <v>0</v>
      </c>
      <c r="AC171" s="28">
        <f>IF(AQ171="1",BI171,0)</f>
        <v>0</v>
      </c>
      <c r="AD171" s="28">
        <f>IF(AQ171="7",BH171,0)</f>
        <v>0</v>
      </c>
      <c r="AE171" s="28">
        <f>IF(AQ171="7",BI171,0)</f>
        <v>0</v>
      </c>
      <c r="AF171" s="28">
        <f>IF(AQ171="2",BH171,0)</f>
        <v>0</v>
      </c>
      <c r="AG171" s="28">
        <f>IF(AQ171="2",BI171,0)</f>
        <v>0</v>
      </c>
      <c r="AH171" s="28">
        <f>IF(AQ171="0",BJ171,0)</f>
        <v>0</v>
      </c>
      <c r="AI171" s="11" t="s">
        <v>51</v>
      </c>
      <c r="AJ171" s="28">
        <f>IF(AN171=0,J171,0)</f>
        <v>0</v>
      </c>
      <c r="AK171" s="28">
        <f>IF(AN171=12,J171,0)</f>
        <v>0</v>
      </c>
      <c r="AL171" s="28">
        <f>IF(AN171=21,J171,0)</f>
        <v>0</v>
      </c>
      <c r="AN171" s="28">
        <v>21</v>
      </c>
      <c r="AO171" s="28">
        <f>G171*0.512898551</f>
        <v>0</v>
      </c>
      <c r="AP171" s="28">
        <f>G171*(1-0.512898551)</f>
        <v>0</v>
      </c>
      <c r="AQ171" s="30" t="s">
        <v>61</v>
      </c>
      <c r="AV171" s="28">
        <f>AW171+AX171</f>
        <v>0</v>
      </c>
      <c r="AW171" s="28">
        <f>F171*AO171</f>
        <v>0</v>
      </c>
      <c r="AX171" s="28">
        <f>F171*AP171</f>
        <v>0</v>
      </c>
      <c r="AY171" s="30" t="s">
        <v>529</v>
      </c>
      <c r="AZ171" s="30" t="s">
        <v>413</v>
      </c>
      <c r="BA171" s="11" t="s">
        <v>60</v>
      </c>
      <c r="BC171" s="28">
        <f>AW171+AX171</f>
        <v>0</v>
      </c>
      <c r="BD171" s="28">
        <f>G171/(100-BE171)*100</f>
        <v>0</v>
      </c>
      <c r="BE171" s="28">
        <v>0</v>
      </c>
      <c r="BF171" s="28">
        <f>171</f>
        <v>171</v>
      </c>
      <c r="BH171" s="28">
        <f>F171*AO171</f>
        <v>0</v>
      </c>
      <c r="BI171" s="28">
        <f>F171*AP171</f>
        <v>0</v>
      </c>
      <c r="BJ171" s="28">
        <f>F171*G171</f>
        <v>0</v>
      </c>
      <c r="BK171" s="28"/>
      <c r="BL171" s="28"/>
      <c r="BW171" s="28">
        <v>21</v>
      </c>
    </row>
    <row r="172" spans="1:75" ht="13.5" customHeight="1">
      <c r="A172" s="2" t="s">
        <v>536</v>
      </c>
      <c r="B172" s="3" t="s">
        <v>537</v>
      </c>
      <c r="C172" s="75" t="s">
        <v>538</v>
      </c>
      <c r="D172" s="76"/>
      <c r="E172" s="3" t="s">
        <v>57</v>
      </c>
      <c r="F172" s="28">
        <v>2</v>
      </c>
      <c r="G172" s="29">
        <v>0</v>
      </c>
      <c r="H172" s="28">
        <f>F172*AO172</f>
        <v>0</v>
      </c>
      <c r="I172" s="28">
        <f>F172*AP172</f>
        <v>0</v>
      </c>
      <c r="J172" s="28">
        <f>F172*G172</f>
        <v>0</v>
      </c>
      <c r="K172" s="30" t="s">
        <v>72</v>
      </c>
      <c r="L172" s="27"/>
      <c r="Z172" s="28">
        <f>IF(AQ172="5",BJ172,0)</f>
        <v>0</v>
      </c>
      <c r="AB172" s="28">
        <f>IF(AQ172="1",BH172,0)</f>
        <v>0</v>
      </c>
      <c r="AC172" s="28">
        <f>IF(AQ172="1",BI172,0)</f>
        <v>0</v>
      </c>
      <c r="AD172" s="28">
        <f>IF(AQ172="7",BH172,0)</f>
        <v>0</v>
      </c>
      <c r="AE172" s="28">
        <f>IF(AQ172="7",BI172,0)</f>
        <v>0</v>
      </c>
      <c r="AF172" s="28">
        <f>IF(AQ172="2",BH172,0)</f>
        <v>0</v>
      </c>
      <c r="AG172" s="28">
        <f>IF(AQ172="2",BI172,0)</f>
        <v>0</v>
      </c>
      <c r="AH172" s="28">
        <f>IF(AQ172="0",BJ172,0)</f>
        <v>0</v>
      </c>
      <c r="AI172" s="11" t="s">
        <v>51</v>
      </c>
      <c r="AJ172" s="28">
        <f>IF(AN172=0,J172,0)</f>
        <v>0</v>
      </c>
      <c r="AK172" s="28">
        <f>IF(AN172=12,J172,0)</f>
        <v>0</v>
      </c>
      <c r="AL172" s="28">
        <f>IF(AN172=21,J172,0)</f>
        <v>0</v>
      </c>
      <c r="AN172" s="28">
        <v>21</v>
      </c>
      <c r="AO172" s="28">
        <f>G172*0.760567322</f>
        <v>0</v>
      </c>
      <c r="AP172" s="28">
        <f>G172*(1-0.760567322)</f>
        <v>0</v>
      </c>
      <c r="AQ172" s="30" t="s">
        <v>61</v>
      </c>
      <c r="AV172" s="28">
        <f>AW172+AX172</f>
        <v>0</v>
      </c>
      <c r="AW172" s="28">
        <f>F172*AO172</f>
        <v>0</v>
      </c>
      <c r="AX172" s="28">
        <f>F172*AP172</f>
        <v>0</v>
      </c>
      <c r="AY172" s="30" t="s">
        <v>529</v>
      </c>
      <c r="AZ172" s="30" t="s">
        <v>413</v>
      </c>
      <c r="BA172" s="11" t="s">
        <v>60</v>
      </c>
      <c r="BC172" s="28">
        <f>AW172+AX172</f>
        <v>0</v>
      </c>
      <c r="BD172" s="28">
        <f>G172/(100-BE172)*100</f>
        <v>0</v>
      </c>
      <c r="BE172" s="28">
        <v>0</v>
      </c>
      <c r="BF172" s="28">
        <f>172</f>
        <v>172</v>
      </c>
      <c r="BH172" s="28">
        <f>F172*AO172</f>
        <v>0</v>
      </c>
      <c r="BI172" s="28">
        <f>F172*AP172</f>
        <v>0</v>
      </c>
      <c r="BJ172" s="28">
        <f>F172*G172</f>
        <v>0</v>
      </c>
      <c r="BK172" s="28"/>
      <c r="BL172" s="28"/>
      <c r="BW172" s="28">
        <v>21</v>
      </c>
    </row>
    <row r="173" spans="1:75" ht="27" customHeight="1">
      <c r="A173" s="2" t="s">
        <v>539</v>
      </c>
      <c r="B173" s="3" t="s">
        <v>540</v>
      </c>
      <c r="C173" s="75" t="s">
        <v>541</v>
      </c>
      <c r="D173" s="76"/>
      <c r="E173" s="3" t="s">
        <v>57</v>
      </c>
      <c r="F173" s="28">
        <v>4</v>
      </c>
      <c r="G173" s="29">
        <v>0</v>
      </c>
      <c r="H173" s="28">
        <f>F173*AO173</f>
        <v>0</v>
      </c>
      <c r="I173" s="28">
        <f>F173*AP173</f>
        <v>0</v>
      </c>
      <c r="J173" s="28">
        <f>F173*G173</f>
        <v>0</v>
      </c>
      <c r="K173" s="30" t="s">
        <v>72</v>
      </c>
      <c r="L173" s="27"/>
      <c r="Z173" s="28">
        <f>IF(AQ173="5",BJ173,0)</f>
        <v>0</v>
      </c>
      <c r="AB173" s="28">
        <f>IF(AQ173="1",BH173,0)</f>
        <v>0</v>
      </c>
      <c r="AC173" s="28">
        <f>IF(AQ173="1",BI173,0)</f>
        <v>0</v>
      </c>
      <c r="AD173" s="28">
        <f>IF(AQ173="7",BH173,0)</f>
        <v>0</v>
      </c>
      <c r="AE173" s="28">
        <f>IF(AQ173="7",BI173,0)</f>
        <v>0</v>
      </c>
      <c r="AF173" s="28">
        <f>IF(AQ173="2",BH173,0)</f>
        <v>0</v>
      </c>
      <c r="AG173" s="28">
        <f>IF(AQ173="2",BI173,0)</f>
        <v>0</v>
      </c>
      <c r="AH173" s="28">
        <f>IF(AQ173="0",BJ173,0)</f>
        <v>0</v>
      </c>
      <c r="AI173" s="11" t="s">
        <v>51</v>
      </c>
      <c r="AJ173" s="28">
        <f>IF(AN173=0,J173,0)</f>
        <v>0</v>
      </c>
      <c r="AK173" s="28">
        <f>IF(AN173=12,J173,0)</f>
        <v>0</v>
      </c>
      <c r="AL173" s="28">
        <f>IF(AN173=21,J173,0)</f>
        <v>0</v>
      </c>
      <c r="AN173" s="28">
        <v>21</v>
      </c>
      <c r="AO173" s="28">
        <f>G173*0.836960161</f>
        <v>0</v>
      </c>
      <c r="AP173" s="28">
        <f>G173*(1-0.836960161)</f>
        <v>0</v>
      </c>
      <c r="AQ173" s="30" t="s">
        <v>61</v>
      </c>
      <c r="AV173" s="28">
        <f>AW173+AX173</f>
        <v>0</v>
      </c>
      <c r="AW173" s="28">
        <f>F173*AO173</f>
        <v>0</v>
      </c>
      <c r="AX173" s="28">
        <f>F173*AP173</f>
        <v>0</v>
      </c>
      <c r="AY173" s="30" t="s">
        <v>529</v>
      </c>
      <c r="AZ173" s="30" t="s">
        <v>413</v>
      </c>
      <c r="BA173" s="11" t="s">
        <v>60</v>
      </c>
      <c r="BC173" s="28">
        <f>AW173+AX173</f>
        <v>0</v>
      </c>
      <c r="BD173" s="28">
        <f>G173/(100-BE173)*100</f>
        <v>0</v>
      </c>
      <c r="BE173" s="28">
        <v>0</v>
      </c>
      <c r="BF173" s="28">
        <f>173</f>
        <v>173</v>
      </c>
      <c r="BH173" s="28">
        <f>F173*AO173</f>
        <v>0</v>
      </c>
      <c r="BI173" s="28">
        <f>F173*AP173</f>
        <v>0</v>
      </c>
      <c r="BJ173" s="28">
        <f>F173*G173</f>
        <v>0</v>
      </c>
      <c r="BK173" s="28"/>
      <c r="BL173" s="28"/>
      <c r="BW173" s="28">
        <v>21</v>
      </c>
    </row>
    <row r="174" spans="1:75">
      <c r="A174" s="31" t="s">
        <v>51</v>
      </c>
      <c r="B174" s="32" t="s">
        <v>542</v>
      </c>
      <c r="C174" s="79" t="s">
        <v>543</v>
      </c>
      <c r="D174" s="80"/>
      <c r="E174" s="33" t="s">
        <v>4</v>
      </c>
      <c r="F174" s="33" t="s">
        <v>4</v>
      </c>
      <c r="G174" s="34" t="s">
        <v>4</v>
      </c>
      <c r="H174" s="1">
        <f>SUM(H175:H175)</f>
        <v>0</v>
      </c>
      <c r="I174" s="1">
        <f>SUM(I175:I175)</f>
        <v>0</v>
      </c>
      <c r="J174" s="1">
        <f>SUM(J175:J175)</f>
        <v>0</v>
      </c>
      <c r="K174" s="11" t="s">
        <v>51</v>
      </c>
      <c r="L174" s="27"/>
      <c r="AI174" s="11" t="s">
        <v>51</v>
      </c>
      <c r="AS174" s="1">
        <f>SUM(AJ175:AJ175)</f>
        <v>0</v>
      </c>
      <c r="AT174" s="1">
        <f>SUM(AK175:AK175)</f>
        <v>0</v>
      </c>
      <c r="AU174" s="1">
        <f>SUM(AL175:AL175)</f>
        <v>0</v>
      </c>
    </row>
    <row r="175" spans="1:75" ht="27" customHeight="1">
      <c r="A175" s="2" t="s">
        <v>544</v>
      </c>
      <c r="B175" s="3" t="s">
        <v>545</v>
      </c>
      <c r="C175" s="75" t="s">
        <v>546</v>
      </c>
      <c r="D175" s="76"/>
      <c r="E175" s="3" t="s">
        <v>57</v>
      </c>
      <c r="F175" s="28">
        <v>1</v>
      </c>
      <c r="G175" s="29">
        <v>0</v>
      </c>
      <c r="H175" s="28">
        <f>F175*AO175</f>
        <v>0</v>
      </c>
      <c r="I175" s="28">
        <f>F175*AP175</f>
        <v>0</v>
      </c>
      <c r="J175" s="28">
        <f>F175*G175</f>
        <v>0</v>
      </c>
      <c r="K175" s="30" t="s">
        <v>72</v>
      </c>
      <c r="L175" s="27"/>
      <c r="Z175" s="28">
        <f>IF(AQ175="5",BJ175,0)</f>
        <v>0</v>
      </c>
      <c r="AB175" s="28">
        <f>IF(AQ175="1",BH175,0)</f>
        <v>0</v>
      </c>
      <c r="AC175" s="28">
        <f>IF(AQ175="1",BI175,0)</f>
        <v>0</v>
      </c>
      <c r="AD175" s="28">
        <f>IF(AQ175="7",BH175,0)</f>
        <v>0</v>
      </c>
      <c r="AE175" s="28">
        <f>IF(AQ175="7",BI175,0)</f>
        <v>0</v>
      </c>
      <c r="AF175" s="28">
        <f>IF(AQ175="2",BH175,0)</f>
        <v>0</v>
      </c>
      <c r="AG175" s="28">
        <f>IF(AQ175="2",BI175,0)</f>
        <v>0</v>
      </c>
      <c r="AH175" s="28">
        <f>IF(AQ175="0",BJ175,0)</f>
        <v>0</v>
      </c>
      <c r="AI175" s="11" t="s">
        <v>51</v>
      </c>
      <c r="AJ175" s="28">
        <f>IF(AN175=0,J175,0)</f>
        <v>0</v>
      </c>
      <c r="AK175" s="28">
        <f>IF(AN175=12,J175,0)</f>
        <v>0</v>
      </c>
      <c r="AL175" s="28">
        <f>IF(AN175=21,J175,0)</f>
        <v>0</v>
      </c>
      <c r="AN175" s="28">
        <v>21</v>
      </c>
      <c r="AO175" s="28">
        <f>G175*0.060963422</f>
        <v>0</v>
      </c>
      <c r="AP175" s="28">
        <f>G175*(1-0.060963422)</f>
        <v>0</v>
      </c>
      <c r="AQ175" s="30" t="s">
        <v>61</v>
      </c>
      <c r="AV175" s="28">
        <f>AW175+AX175</f>
        <v>0</v>
      </c>
      <c r="AW175" s="28">
        <f>F175*AO175</f>
        <v>0</v>
      </c>
      <c r="AX175" s="28">
        <f>F175*AP175</f>
        <v>0</v>
      </c>
      <c r="AY175" s="30" t="s">
        <v>547</v>
      </c>
      <c r="AZ175" s="30" t="s">
        <v>413</v>
      </c>
      <c r="BA175" s="11" t="s">
        <v>60</v>
      </c>
      <c r="BC175" s="28">
        <f>AW175+AX175</f>
        <v>0</v>
      </c>
      <c r="BD175" s="28">
        <f>G175/(100-BE175)*100</f>
        <v>0</v>
      </c>
      <c r="BE175" s="28">
        <v>0</v>
      </c>
      <c r="BF175" s="28">
        <f>175</f>
        <v>175</v>
      </c>
      <c r="BH175" s="28">
        <f>F175*AO175</f>
        <v>0</v>
      </c>
      <c r="BI175" s="28">
        <f>F175*AP175</f>
        <v>0</v>
      </c>
      <c r="BJ175" s="28">
        <f>F175*G175</f>
        <v>0</v>
      </c>
      <c r="BK175" s="28"/>
      <c r="BL175" s="28"/>
      <c r="BW175" s="28">
        <v>21</v>
      </c>
    </row>
    <row r="176" spans="1:75">
      <c r="A176" s="31" t="s">
        <v>51</v>
      </c>
      <c r="B176" s="32" t="s">
        <v>548</v>
      </c>
      <c r="C176" s="79" t="s">
        <v>549</v>
      </c>
      <c r="D176" s="80"/>
      <c r="E176" s="33" t="s">
        <v>4</v>
      </c>
      <c r="F176" s="33" t="s">
        <v>4</v>
      </c>
      <c r="G176" s="34" t="s">
        <v>4</v>
      </c>
      <c r="H176" s="1">
        <f>SUM(H177:H180)</f>
        <v>0</v>
      </c>
      <c r="I176" s="1">
        <f>SUM(I177:I180)</f>
        <v>0</v>
      </c>
      <c r="J176" s="1">
        <f>SUM(J177:J180)</f>
        <v>0</v>
      </c>
      <c r="K176" s="11" t="s">
        <v>51</v>
      </c>
      <c r="L176" s="27"/>
      <c r="AI176" s="11" t="s">
        <v>51</v>
      </c>
      <c r="AS176" s="1">
        <f>SUM(AJ177:AJ180)</f>
        <v>0</v>
      </c>
      <c r="AT176" s="1">
        <f>SUM(AK177:AK180)</f>
        <v>0</v>
      </c>
      <c r="AU176" s="1">
        <f>SUM(AL177:AL180)</f>
        <v>0</v>
      </c>
    </row>
    <row r="177" spans="1:75" ht="27" customHeight="1">
      <c r="A177" s="2" t="s">
        <v>550</v>
      </c>
      <c r="B177" s="3" t="s">
        <v>551</v>
      </c>
      <c r="C177" s="75" t="s">
        <v>552</v>
      </c>
      <c r="D177" s="76"/>
      <c r="E177" s="3" t="s">
        <v>411</v>
      </c>
      <c r="F177" s="28">
        <v>9.4499999999999993</v>
      </c>
      <c r="G177" s="29">
        <v>0</v>
      </c>
      <c r="H177" s="28">
        <f>F177*AO177</f>
        <v>0</v>
      </c>
      <c r="I177" s="28">
        <f>F177*AP177</f>
        <v>0</v>
      </c>
      <c r="J177" s="28">
        <f>F177*G177</f>
        <v>0</v>
      </c>
      <c r="K177" s="30" t="s">
        <v>72</v>
      </c>
      <c r="L177" s="27"/>
      <c r="Z177" s="28">
        <f>IF(AQ177="5",BJ177,0)</f>
        <v>0</v>
      </c>
      <c r="AB177" s="28">
        <f>IF(AQ177="1",BH177,0)</f>
        <v>0</v>
      </c>
      <c r="AC177" s="28">
        <f>IF(AQ177="1",BI177,0)</f>
        <v>0</v>
      </c>
      <c r="AD177" s="28">
        <f>IF(AQ177="7",BH177,0)</f>
        <v>0</v>
      </c>
      <c r="AE177" s="28">
        <f>IF(AQ177="7",BI177,0)</f>
        <v>0</v>
      </c>
      <c r="AF177" s="28">
        <f>IF(AQ177="2",BH177,0)</f>
        <v>0</v>
      </c>
      <c r="AG177" s="28">
        <f>IF(AQ177="2",BI177,0)</f>
        <v>0</v>
      </c>
      <c r="AH177" s="28">
        <f>IF(AQ177="0",BJ177,0)</f>
        <v>0</v>
      </c>
      <c r="AI177" s="11" t="s">
        <v>51</v>
      </c>
      <c r="AJ177" s="28">
        <f>IF(AN177=0,J177,0)</f>
        <v>0</v>
      </c>
      <c r="AK177" s="28">
        <f>IF(AN177=12,J177,0)</f>
        <v>0</v>
      </c>
      <c r="AL177" s="28">
        <f>IF(AN177=21,J177,0)</f>
        <v>0</v>
      </c>
      <c r="AN177" s="28">
        <v>21</v>
      </c>
      <c r="AO177" s="28">
        <f>G177*0</f>
        <v>0</v>
      </c>
      <c r="AP177" s="28">
        <f>G177*(1-0)</f>
        <v>0</v>
      </c>
      <c r="AQ177" s="30" t="s">
        <v>74</v>
      </c>
      <c r="AV177" s="28">
        <f>AW177+AX177</f>
        <v>0</v>
      </c>
      <c r="AW177" s="28">
        <f>F177*AO177</f>
        <v>0</v>
      </c>
      <c r="AX177" s="28">
        <f>F177*AP177</f>
        <v>0</v>
      </c>
      <c r="AY177" s="30" t="s">
        <v>553</v>
      </c>
      <c r="AZ177" s="30" t="s">
        <v>413</v>
      </c>
      <c r="BA177" s="11" t="s">
        <v>60</v>
      </c>
      <c r="BC177" s="28">
        <f>AW177+AX177</f>
        <v>0</v>
      </c>
      <c r="BD177" s="28">
        <f>G177/(100-BE177)*100</f>
        <v>0</v>
      </c>
      <c r="BE177" s="28">
        <v>0</v>
      </c>
      <c r="BF177" s="28">
        <f>177</f>
        <v>177</v>
      </c>
      <c r="BH177" s="28">
        <f>F177*AO177</f>
        <v>0</v>
      </c>
      <c r="BI177" s="28">
        <f>F177*AP177</f>
        <v>0</v>
      </c>
      <c r="BJ177" s="28">
        <f>F177*G177</f>
        <v>0</v>
      </c>
      <c r="BK177" s="28"/>
      <c r="BL177" s="28"/>
      <c r="BW177" s="28">
        <v>21</v>
      </c>
    </row>
    <row r="178" spans="1:75" ht="13.5" customHeight="1">
      <c r="A178" s="2" t="s">
        <v>554</v>
      </c>
      <c r="B178" s="3" t="s">
        <v>555</v>
      </c>
      <c r="C178" s="75" t="s">
        <v>556</v>
      </c>
      <c r="D178" s="76"/>
      <c r="E178" s="3" t="s">
        <v>411</v>
      </c>
      <c r="F178" s="28">
        <v>47.25</v>
      </c>
      <c r="G178" s="29">
        <v>0</v>
      </c>
      <c r="H178" s="28">
        <f>F178*AO178</f>
        <v>0</v>
      </c>
      <c r="I178" s="28">
        <f>F178*AP178</f>
        <v>0</v>
      </c>
      <c r="J178" s="28">
        <f>F178*G178</f>
        <v>0</v>
      </c>
      <c r="K178" s="30" t="s">
        <v>72</v>
      </c>
      <c r="L178" s="27"/>
      <c r="Z178" s="28">
        <f>IF(AQ178="5",BJ178,0)</f>
        <v>0</v>
      </c>
      <c r="AB178" s="28">
        <f>IF(AQ178="1",BH178,0)</f>
        <v>0</v>
      </c>
      <c r="AC178" s="28">
        <f>IF(AQ178="1",BI178,0)</f>
        <v>0</v>
      </c>
      <c r="AD178" s="28">
        <f>IF(AQ178="7",BH178,0)</f>
        <v>0</v>
      </c>
      <c r="AE178" s="28">
        <f>IF(AQ178="7",BI178,0)</f>
        <v>0</v>
      </c>
      <c r="AF178" s="28">
        <f>IF(AQ178="2",BH178,0)</f>
        <v>0</v>
      </c>
      <c r="AG178" s="28">
        <f>IF(AQ178="2",BI178,0)</f>
        <v>0</v>
      </c>
      <c r="AH178" s="28">
        <f>IF(AQ178="0",BJ178,0)</f>
        <v>0</v>
      </c>
      <c r="AI178" s="11" t="s">
        <v>51</v>
      </c>
      <c r="AJ178" s="28">
        <f>IF(AN178=0,J178,0)</f>
        <v>0</v>
      </c>
      <c r="AK178" s="28">
        <f>IF(AN178=12,J178,0)</f>
        <v>0</v>
      </c>
      <c r="AL178" s="28">
        <f>IF(AN178=21,J178,0)</f>
        <v>0</v>
      </c>
      <c r="AN178" s="28">
        <v>21</v>
      </c>
      <c r="AO178" s="28">
        <f>G178*0</f>
        <v>0</v>
      </c>
      <c r="AP178" s="28">
        <f>G178*(1-0)</f>
        <v>0</v>
      </c>
      <c r="AQ178" s="30" t="s">
        <v>74</v>
      </c>
      <c r="AV178" s="28">
        <f>AW178+AX178</f>
        <v>0</v>
      </c>
      <c r="AW178" s="28">
        <f>F178*AO178</f>
        <v>0</v>
      </c>
      <c r="AX178" s="28">
        <f>F178*AP178</f>
        <v>0</v>
      </c>
      <c r="AY178" s="30" t="s">
        <v>553</v>
      </c>
      <c r="AZ178" s="30" t="s">
        <v>413</v>
      </c>
      <c r="BA178" s="11" t="s">
        <v>60</v>
      </c>
      <c r="BC178" s="28">
        <f>AW178+AX178</f>
        <v>0</v>
      </c>
      <c r="BD178" s="28">
        <f>G178/(100-BE178)*100</f>
        <v>0</v>
      </c>
      <c r="BE178" s="28">
        <v>0</v>
      </c>
      <c r="BF178" s="28">
        <f>178</f>
        <v>178</v>
      </c>
      <c r="BH178" s="28">
        <f>F178*AO178</f>
        <v>0</v>
      </c>
      <c r="BI178" s="28">
        <f>F178*AP178</f>
        <v>0</v>
      </c>
      <c r="BJ178" s="28">
        <f>F178*G178</f>
        <v>0</v>
      </c>
      <c r="BK178" s="28"/>
      <c r="BL178" s="28"/>
      <c r="BW178" s="28">
        <v>21</v>
      </c>
    </row>
    <row r="179" spans="1:75" ht="13.5" customHeight="1">
      <c r="A179" s="2" t="s">
        <v>557</v>
      </c>
      <c r="B179" s="3" t="s">
        <v>558</v>
      </c>
      <c r="C179" s="75" t="s">
        <v>559</v>
      </c>
      <c r="D179" s="76"/>
      <c r="E179" s="3" t="s">
        <v>411</v>
      </c>
      <c r="F179" s="28">
        <v>9.4499999999999993</v>
      </c>
      <c r="G179" s="29">
        <v>0</v>
      </c>
      <c r="H179" s="28">
        <f>F179*AO179</f>
        <v>0</v>
      </c>
      <c r="I179" s="28">
        <f>F179*AP179</f>
        <v>0</v>
      </c>
      <c r="J179" s="28">
        <f>F179*G179</f>
        <v>0</v>
      </c>
      <c r="K179" s="30" t="s">
        <v>72</v>
      </c>
      <c r="L179" s="27"/>
      <c r="Z179" s="28">
        <f>IF(AQ179="5",BJ179,0)</f>
        <v>0</v>
      </c>
      <c r="AB179" s="28">
        <f>IF(AQ179="1",BH179,0)</f>
        <v>0</v>
      </c>
      <c r="AC179" s="28">
        <f>IF(AQ179="1",BI179,0)</f>
        <v>0</v>
      </c>
      <c r="AD179" s="28">
        <f>IF(AQ179="7",BH179,0)</f>
        <v>0</v>
      </c>
      <c r="AE179" s="28">
        <f>IF(AQ179="7",BI179,0)</f>
        <v>0</v>
      </c>
      <c r="AF179" s="28">
        <f>IF(AQ179="2",BH179,0)</f>
        <v>0</v>
      </c>
      <c r="AG179" s="28">
        <f>IF(AQ179="2",BI179,0)</f>
        <v>0</v>
      </c>
      <c r="AH179" s="28">
        <f>IF(AQ179="0",BJ179,0)</f>
        <v>0</v>
      </c>
      <c r="AI179" s="11" t="s">
        <v>51</v>
      </c>
      <c r="AJ179" s="28">
        <f>IF(AN179=0,J179,0)</f>
        <v>0</v>
      </c>
      <c r="AK179" s="28">
        <f>IF(AN179=12,J179,0)</f>
        <v>0</v>
      </c>
      <c r="AL179" s="28">
        <f>IF(AN179=21,J179,0)</f>
        <v>0</v>
      </c>
      <c r="AN179" s="28">
        <v>21</v>
      </c>
      <c r="AO179" s="28">
        <f>G179*0</f>
        <v>0</v>
      </c>
      <c r="AP179" s="28">
        <f>G179*(1-0)</f>
        <v>0</v>
      </c>
      <c r="AQ179" s="30" t="s">
        <v>74</v>
      </c>
      <c r="AV179" s="28">
        <f>AW179+AX179</f>
        <v>0</v>
      </c>
      <c r="AW179" s="28">
        <f>F179*AO179</f>
        <v>0</v>
      </c>
      <c r="AX179" s="28">
        <f>F179*AP179</f>
        <v>0</v>
      </c>
      <c r="AY179" s="30" t="s">
        <v>553</v>
      </c>
      <c r="AZ179" s="30" t="s">
        <v>413</v>
      </c>
      <c r="BA179" s="11" t="s">
        <v>60</v>
      </c>
      <c r="BC179" s="28">
        <f>AW179+AX179</f>
        <v>0</v>
      </c>
      <c r="BD179" s="28">
        <f>G179/(100-BE179)*100</f>
        <v>0</v>
      </c>
      <c r="BE179" s="28">
        <v>0</v>
      </c>
      <c r="BF179" s="28">
        <f>179</f>
        <v>179</v>
      </c>
      <c r="BH179" s="28">
        <f>F179*AO179</f>
        <v>0</v>
      </c>
      <c r="BI179" s="28">
        <f>F179*AP179</f>
        <v>0</v>
      </c>
      <c r="BJ179" s="28">
        <f>F179*G179</f>
        <v>0</v>
      </c>
      <c r="BK179" s="28"/>
      <c r="BL179" s="28"/>
      <c r="BW179" s="28">
        <v>21</v>
      </c>
    </row>
    <row r="180" spans="1:75" ht="27" customHeight="1">
      <c r="A180" s="2" t="s">
        <v>560</v>
      </c>
      <c r="B180" s="3" t="s">
        <v>561</v>
      </c>
      <c r="C180" s="75" t="s">
        <v>562</v>
      </c>
      <c r="D180" s="76"/>
      <c r="E180" s="3" t="s">
        <v>411</v>
      </c>
      <c r="F180" s="28">
        <v>9.4499999999999993</v>
      </c>
      <c r="G180" s="29">
        <v>0</v>
      </c>
      <c r="H180" s="28">
        <f>F180*AO180</f>
        <v>0</v>
      </c>
      <c r="I180" s="28">
        <f>F180*AP180</f>
        <v>0</v>
      </c>
      <c r="J180" s="28">
        <f>F180*G180</f>
        <v>0</v>
      </c>
      <c r="K180" s="30" t="s">
        <v>72</v>
      </c>
      <c r="L180" s="27"/>
      <c r="Z180" s="28">
        <f>IF(AQ180="5",BJ180,0)</f>
        <v>0</v>
      </c>
      <c r="AB180" s="28">
        <f>IF(AQ180="1",BH180,0)</f>
        <v>0</v>
      </c>
      <c r="AC180" s="28">
        <f>IF(AQ180="1",BI180,0)</f>
        <v>0</v>
      </c>
      <c r="AD180" s="28">
        <f>IF(AQ180="7",BH180,0)</f>
        <v>0</v>
      </c>
      <c r="AE180" s="28">
        <f>IF(AQ180="7",BI180,0)</f>
        <v>0</v>
      </c>
      <c r="AF180" s="28">
        <f>IF(AQ180="2",BH180,0)</f>
        <v>0</v>
      </c>
      <c r="AG180" s="28">
        <f>IF(AQ180="2",BI180,0)</f>
        <v>0</v>
      </c>
      <c r="AH180" s="28">
        <f>IF(AQ180="0",BJ180,0)</f>
        <v>0</v>
      </c>
      <c r="AI180" s="11" t="s">
        <v>51</v>
      </c>
      <c r="AJ180" s="28">
        <f>IF(AN180=0,J180,0)</f>
        <v>0</v>
      </c>
      <c r="AK180" s="28">
        <f>IF(AN180=12,J180,0)</f>
        <v>0</v>
      </c>
      <c r="AL180" s="28">
        <f>IF(AN180=21,J180,0)</f>
        <v>0</v>
      </c>
      <c r="AN180" s="28">
        <v>21</v>
      </c>
      <c r="AO180" s="28">
        <f>G180*0</f>
        <v>0</v>
      </c>
      <c r="AP180" s="28">
        <f>G180*(1-0)</f>
        <v>0</v>
      </c>
      <c r="AQ180" s="30" t="s">
        <v>74</v>
      </c>
      <c r="AV180" s="28">
        <f>AW180+AX180</f>
        <v>0</v>
      </c>
      <c r="AW180" s="28">
        <f>F180*AO180</f>
        <v>0</v>
      </c>
      <c r="AX180" s="28">
        <f>F180*AP180</f>
        <v>0</v>
      </c>
      <c r="AY180" s="30" t="s">
        <v>553</v>
      </c>
      <c r="AZ180" s="30" t="s">
        <v>413</v>
      </c>
      <c r="BA180" s="11" t="s">
        <v>60</v>
      </c>
      <c r="BC180" s="28">
        <f>AW180+AX180</f>
        <v>0</v>
      </c>
      <c r="BD180" s="28">
        <f>G180/(100-BE180)*100</f>
        <v>0</v>
      </c>
      <c r="BE180" s="28">
        <v>0</v>
      </c>
      <c r="BF180" s="28">
        <f>180</f>
        <v>180</v>
      </c>
      <c r="BH180" s="28">
        <f>F180*AO180</f>
        <v>0</v>
      </c>
      <c r="BI180" s="28">
        <f>F180*AP180</f>
        <v>0</v>
      </c>
      <c r="BJ180" s="28">
        <f>F180*G180</f>
        <v>0</v>
      </c>
      <c r="BK180" s="28"/>
      <c r="BL180" s="28"/>
      <c r="BW180" s="28">
        <v>21</v>
      </c>
    </row>
    <row r="181" spans="1:75">
      <c r="A181" s="31" t="s">
        <v>51</v>
      </c>
      <c r="B181" s="32" t="s">
        <v>51</v>
      </c>
      <c r="C181" s="79" t="s">
        <v>563</v>
      </c>
      <c r="D181" s="80"/>
      <c r="E181" s="33" t="s">
        <v>4</v>
      </c>
      <c r="F181" s="33" t="s">
        <v>4</v>
      </c>
      <c r="G181" s="34" t="s">
        <v>4</v>
      </c>
      <c r="H181" s="1">
        <f>SUM(H182:H194)</f>
        <v>0</v>
      </c>
      <c r="I181" s="1">
        <f>SUM(I182:I194)</f>
        <v>0</v>
      </c>
      <c r="J181" s="1">
        <f>SUM(J182:J194)</f>
        <v>0</v>
      </c>
      <c r="K181" s="11" t="s">
        <v>51</v>
      </c>
      <c r="L181" s="27"/>
      <c r="AI181" s="11" t="s">
        <v>51</v>
      </c>
      <c r="AS181" s="1">
        <f>SUM(AJ182:AJ194)</f>
        <v>0</v>
      </c>
      <c r="AT181" s="1">
        <f>SUM(AK182:AK194)</f>
        <v>0</v>
      </c>
      <c r="AU181" s="1">
        <f>SUM(AL182:AL194)</f>
        <v>0</v>
      </c>
    </row>
    <row r="182" spans="1:75" ht="27" customHeight="1">
      <c r="A182" s="2" t="s">
        <v>564</v>
      </c>
      <c r="B182" s="3" t="s">
        <v>565</v>
      </c>
      <c r="C182" s="75" t="s">
        <v>566</v>
      </c>
      <c r="D182" s="76"/>
      <c r="E182" s="3" t="s">
        <v>57</v>
      </c>
      <c r="F182" s="28">
        <v>6</v>
      </c>
      <c r="G182" s="29">
        <v>0</v>
      </c>
      <c r="H182" s="28">
        <f t="shared" ref="H182:H194" si="198">F182*AO182</f>
        <v>0</v>
      </c>
      <c r="I182" s="28">
        <f t="shared" ref="I182:I194" si="199">F182*AP182</f>
        <v>0</v>
      </c>
      <c r="J182" s="28">
        <f t="shared" ref="J182:J194" si="200">F182*G182</f>
        <v>0</v>
      </c>
      <c r="K182" s="30" t="s">
        <v>58</v>
      </c>
      <c r="L182" s="27"/>
      <c r="Z182" s="28">
        <f t="shared" ref="Z182:Z194" si="201">IF(AQ182="5",BJ182,0)</f>
        <v>0</v>
      </c>
      <c r="AB182" s="28">
        <f t="shared" ref="AB182:AB194" si="202">IF(AQ182="1",BH182,0)</f>
        <v>0</v>
      </c>
      <c r="AC182" s="28">
        <f t="shared" ref="AC182:AC194" si="203">IF(AQ182="1",BI182,0)</f>
        <v>0</v>
      </c>
      <c r="AD182" s="28">
        <f t="shared" ref="AD182:AD194" si="204">IF(AQ182="7",BH182,0)</f>
        <v>0</v>
      </c>
      <c r="AE182" s="28">
        <f t="shared" ref="AE182:AE194" si="205">IF(AQ182="7",BI182,0)</f>
        <v>0</v>
      </c>
      <c r="AF182" s="28">
        <f t="shared" ref="AF182:AF194" si="206">IF(AQ182="2",BH182,0)</f>
        <v>0</v>
      </c>
      <c r="AG182" s="28">
        <f t="shared" ref="AG182:AG194" si="207">IF(AQ182="2",BI182,0)</f>
        <v>0</v>
      </c>
      <c r="AH182" s="28">
        <f t="shared" ref="AH182:AH194" si="208">IF(AQ182="0",BJ182,0)</f>
        <v>0</v>
      </c>
      <c r="AI182" s="11" t="s">
        <v>51</v>
      </c>
      <c r="AJ182" s="28">
        <f t="shared" ref="AJ182:AJ194" si="209">IF(AN182=0,J182,0)</f>
        <v>0</v>
      </c>
      <c r="AK182" s="28">
        <f t="shared" ref="AK182:AK194" si="210">IF(AN182=12,J182,0)</f>
        <v>0</v>
      </c>
      <c r="AL182" s="28">
        <f t="shared" ref="AL182:AL194" si="211">IF(AN182=21,J182,0)</f>
        <v>0</v>
      </c>
      <c r="AN182" s="28">
        <v>21</v>
      </c>
      <c r="AO182" s="28">
        <f t="shared" ref="AO182:AO194" si="212">G182*1</f>
        <v>0</v>
      </c>
      <c r="AP182" s="28">
        <f t="shared" ref="AP182:AP194" si="213">G182*(1-1)</f>
        <v>0</v>
      </c>
      <c r="AQ182" s="30" t="s">
        <v>52</v>
      </c>
      <c r="AV182" s="28">
        <f t="shared" ref="AV182:AV194" si="214">AW182+AX182</f>
        <v>0</v>
      </c>
      <c r="AW182" s="28">
        <f t="shared" ref="AW182:AW194" si="215">F182*AO182</f>
        <v>0</v>
      </c>
      <c r="AX182" s="28">
        <f t="shared" ref="AX182:AX194" si="216">F182*AP182</f>
        <v>0</v>
      </c>
      <c r="AY182" s="30" t="s">
        <v>567</v>
      </c>
      <c r="AZ182" s="30" t="s">
        <v>568</v>
      </c>
      <c r="BA182" s="11" t="s">
        <v>60</v>
      </c>
      <c r="BC182" s="28">
        <f t="shared" ref="BC182:BC194" si="217">AW182+AX182</f>
        <v>0</v>
      </c>
      <c r="BD182" s="28">
        <f t="shared" ref="BD182:BD194" si="218">G182/(100-BE182)*100</f>
        <v>0</v>
      </c>
      <c r="BE182" s="28">
        <v>0</v>
      </c>
      <c r="BF182" s="28">
        <f>182</f>
        <v>182</v>
      </c>
      <c r="BH182" s="28">
        <f t="shared" ref="BH182:BH194" si="219">F182*AO182</f>
        <v>0</v>
      </c>
      <c r="BI182" s="28">
        <f t="shared" ref="BI182:BI194" si="220">F182*AP182</f>
        <v>0</v>
      </c>
      <c r="BJ182" s="28">
        <f t="shared" ref="BJ182:BJ194" si="221">F182*G182</f>
        <v>0</v>
      </c>
      <c r="BK182" s="28"/>
      <c r="BL182" s="28"/>
      <c r="BW182" s="28">
        <v>21</v>
      </c>
    </row>
    <row r="183" spans="1:75" ht="27" customHeight="1">
      <c r="A183" s="2" t="s">
        <v>569</v>
      </c>
      <c r="B183" s="3" t="s">
        <v>570</v>
      </c>
      <c r="C183" s="75" t="s">
        <v>571</v>
      </c>
      <c r="D183" s="76"/>
      <c r="E183" s="3" t="s">
        <v>57</v>
      </c>
      <c r="F183" s="28">
        <v>3</v>
      </c>
      <c r="G183" s="29">
        <v>0</v>
      </c>
      <c r="H183" s="28">
        <f t="shared" si="198"/>
        <v>0</v>
      </c>
      <c r="I183" s="28">
        <f t="shared" si="199"/>
        <v>0</v>
      </c>
      <c r="J183" s="28">
        <f t="shared" si="200"/>
        <v>0</v>
      </c>
      <c r="K183" s="30" t="s">
        <v>58</v>
      </c>
      <c r="L183" s="27"/>
      <c r="Z183" s="28">
        <f t="shared" si="201"/>
        <v>0</v>
      </c>
      <c r="AB183" s="28">
        <f t="shared" si="202"/>
        <v>0</v>
      </c>
      <c r="AC183" s="28">
        <f t="shared" si="203"/>
        <v>0</v>
      </c>
      <c r="AD183" s="28">
        <f t="shared" si="204"/>
        <v>0</v>
      </c>
      <c r="AE183" s="28">
        <f t="shared" si="205"/>
        <v>0</v>
      </c>
      <c r="AF183" s="28">
        <f t="shared" si="206"/>
        <v>0</v>
      </c>
      <c r="AG183" s="28">
        <f t="shared" si="207"/>
        <v>0</v>
      </c>
      <c r="AH183" s="28">
        <f t="shared" si="208"/>
        <v>0</v>
      </c>
      <c r="AI183" s="11" t="s">
        <v>51</v>
      </c>
      <c r="AJ183" s="28">
        <f t="shared" si="209"/>
        <v>0</v>
      </c>
      <c r="AK183" s="28">
        <f t="shared" si="210"/>
        <v>0</v>
      </c>
      <c r="AL183" s="28">
        <f t="shared" si="211"/>
        <v>0</v>
      </c>
      <c r="AN183" s="28">
        <v>21</v>
      </c>
      <c r="AO183" s="28">
        <f t="shared" si="212"/>
        <v>0</v>
      </c>
      <c r="AP183" s="28">
        <f t="shared" si="213"/>
        <v>0</v>
      </c>
      <c r="AQ183" s="30" t="s">
        <v>52</v>
      </c>
      <c r="AV183" s="28">
        <f t="shared" si="214"/>
        <v>0</v>
      </c>
      <c r="AW183" s="28">
        <f t="shared" si="215"/>
        <v>0</v>
      </c>
      <c r="AX183" s="28">
        <f t="shared" si="216"/>
        <v>0</v>
      </c>
      <c r="AY183" s="30" t="s">
        <v>567</v>
      </c>
      <c r="AZ183" s="30" t="s">
        <v>568</v>
      </c>
      <c r="BA183" s="11" t="s">
        <v>60</v>
      </c>
      <c r="BC183" s="28">
        <f t="shared" si="217"/>
        <v>0</v>
      </c>
      <c r="BD183" s="28">
        <f t="shared" si="218"/>
        <v>0</v>
      </c>
      <c r="BE183" s="28">
        <v>0</v>
      </c>
      <c r="BF183" s="28">
        <f>183</f>
        <v>183</v>
      </c>
      <c r="BH183" s="28">
        <f t="shared" si="219"/>
        <v>0</v>
      </c>
      <c r="BI183" s="28">
        <f t="shared" si="220"/>
        <v>0</v>
      </c>
      <c r="BJ183" s="28">
        <f t="shared" si="221"/>
        <v>0</v>
      </c>
      <c r="BK183" s="28"/>
      <c r="BL183" s="28"/>
      <c r="BW183" s="28">
        <v>21</v>
      </c>
    </row>
    <row r="184" spans="1:75" ht="27" customHeight="1">
      <c r="A184" s="2" t="s">
        <v>572</v>
      </c>
      <c r="B184" s="3" t="s">
        <v>573</v>
      </c>
      <c r="C184" s="75" t="s">
        <v>574</v>
      </c>
      <c r="D184" s="76"/>
      <c r="E184" s="3" t="s">
        <v>57</v>
      </c>
      <c r="F184" s="28">
        <v>2</v>
      </c>
      <c r="G184" s="29">
        <v>0</v>
      </c>
      <c r="H184" s="28">
        <f t="shared" si="198"/>
        <v>0</v>
      </c>
      <c r="I184" s="28">
        <f t="shared" si="199"/>
        <v>0</v>
      </c>
      <c r="J184" s="28">
        <f t="shared" si="200"/>
        <v>0</v>
      </c>
      <c r="K184" s="30" t="s">
        <v>58</v>
      </c>
      <c r="L184" s="27"/>
      <c r="Z184" s="28">
        <f t="shared" si="201"/>
        <v>0</v>
      </c>
      <c r="AB184" s="28">
        <f t="shared" si="202"/>
        <v>0</v>
      </c>
      <c r="AC184" s="28">
        <f t="shared" si="203"/>
        <v>0</v>
      </c>
      <c r="AD184" s="28">
        <f t="shared" si="204"/>
        <v>0</v>
      </c>
      <c r="AE184" s="28">
        <f t="shared" si="205"/>
        <v>0</v>
      </c>
      <c r="AF184" s="28">
        <f t="shared" si="206"/>
        <v>0</v>
      </c>
      <c r="AG184" s="28">
        <f t="shared" si="207"/>
        <v>0</v>
      </c>
      <c r="AH184" s="28">
        <f t="shared" si="208"/>
        <v>0</v>
      </c>
      <c r="AI184" s="11" t="s">
        <v>51</v>
      </c>
      <c r="AJ184" s="28">
        <f t="shared" si="209"/>
        <v>0</v>
      </c>
      <c r="AK184" s="28">
        <f t="shared" si="210"/>
        <v>0</v>
      </c>
      <c r="AL184" s="28">
        <f t="shared" si="211"/>
        <v>0</v>
      </c>
      <c r="AN184" s="28">
        <v>21</v>
      </c>
      <c r="AO184" s="28">
        <f t="shared" si="212"/>
        <v>0</v>
      </c>
      <c r="AP184" s="28">
        <f t="shared" si="213"/>
        <v>0</v>
      </c>
      <c r="AQ184" s="30" t="s">
        <v>52</v>
      </c>
      <c r="AV184" s="28">
        <f t="shared" si="214"/>
        <v>0</v>
      </c>
      <c r="AW184" s="28">
        <f t="shared" si="215"/>
        <v>0</v>
      </c>
      <c r="AX184" s="28">
        <f t="shared" si="216"/>
        <v>0</v>
      </c>
      <c r="AY184" s="30" t="s">
        <v>567</v>
      </c>
      <c r="AZ184" s="30" t="s">
        <v>568</v>
      </c>
      <c r="BA184" s="11" t="s">
        <v>60</v>
      </c>
      <c r="BC184" s="28">
        <f t="shared" si="217"/>
        <v>0</v>
      </c>
      <c r="BD184" s="28">
        <f t="shared" si="218"/>
        <v>0</v>
      </c>
      <c r="BE184" s="28">
        <v>0</v>
      </c>
      <c r="BF184" s="28">
        <f>184</f>
        <v>184</v>
      </c>
      <c r="BH184" s="28">
        <f t="shared" si="219"/>
        <v>0</v>
      </c>
      <c r="BI184" s="28">
        <f t="shared" si="220"/>
        <v>0</v>
      </c>
      <c r="BJ184" s="28">
        <f t="shared" si="221"/>
        <v>0</v>
      </c>
      <c r="BK184" s="28"/>
      <c r="BL184" s="28"/>
      <c r="BW184" s="28">
        <v>21</v>
      </c>
    </row>
    <row r="185" spans="1:75" ht="27" customHeight="1">
      <c r="A185" s="2" t="s">
        <v>575</v>
      </c>
      <c r="B185" s="3" t="s">
        <v>576</v>
      </c>
      <c r="C185" s="75" t="s">
        <v>577</v>
      </c>
      <c r="D185" s="76"/>
      <c r="E185" s="3" t="s">
        <v>57</v>
      </c>
      <c r="F185" s="28">
        <v>8</v>
      </c>
      <c r="G185" s="29">
        <v>0</v>
      </c>
      <c r="H185" s="28">
        <f t="shared" si="198"/>
        <v>0</v>
      </c>
      <c r="I185" s="28">
        <f t="shared" si="199"/>
        <v>0</v>
      </c>
      <c r="J185" s="28">
        <f t="shared" si="200"/>
        <v>0</v>
      </c>
      <c r="K185" s="30" t="s">
        <v>58</v>
      </c>
      <c r="L185" s="27"/>
      <c r="Z185" s="28">
        <f t="shared" si="201"/>
        <v>0</v>
      </c>
      <c r="AB185" s="28">
        <f t="shared" si="202"/>
        <v>0</v>
      </c>
      <c r="AC185" s="28">
        <f t="shared" si="203"/>
        <v>0</v>
      </c>
      <c r="AD185" s="28">
        <f t="shared" si="204"/>
        <v>0</v>
      </c>
      <c r="AE185" s="28">
        <f t="shared" si="205"/>
        <v>0</v>
      </c>
      <c r="AF185" s="28">
        <f t="shared" si="206"/>
        <v>0</v>
      </c>
      <c r="AG185" s="28">
        <f t="shared" si="207"/>
        <v>0</v>
      </c>
      <c r="AH185" s="28">
        <f t="shared" si="208"/>
        <v>0</v>
      </c>
      <c r="AI185" s="11" t="s">
        <v>51</v>
      </c>
      <c r="AJ185" s="28">
        <f t="shared" si="209"/>
        <v>0</v>
      </c>
      <c r="AK185" s="28">
        <f t="shared" si="210"/>
        <v>0</v>
      </c>
      <c r="AL185" s="28">
        <f t="shared" si="211"/>
        <v>0</v>
      </c>
      <c r="AN185" s="28">
        <v>21</v>
      </c>
      <c r="AO185" s="28">
        <f t="shared" si="212"/>
        <v>0</v>
      </c>
      <c r="AP185" s="28">
        <f t="shared" si="213"/>
        <v>0</v>
      </c>
      <c r="AQ185" s="30" t="s">
        <v>52</v>
      </c>
      <c r="AV185" s="28">
        <f t="shared" si="214"/>
        <v>0</v>
      </c>
      <c r="AW185" s="28">
        <f t="shared" si="215"/>
        <v>0</v>
      </c>
      <c r="AX185" s="28">
        <f t="shared" si="216"/>
        <v>0</v>
      </c>
      <c r="AY185" s="30" t="s">
        <v>567</v>
      </c>
      <c r="AZ185" s="30" t="s">
        <v>568</v>
      </c>
      <c r="BA185" s="11" t="s">
        <v>60</v>
      </c>
      <c r="BC185" s="28">
        <f t="shared" si="217"/>
        <v>0</v>
      </c>
      <c r="BD185" s="28">
        <f t="shared" si="218"/>
        <v>0</v>
      </c>
      <c r="BE185" s="28">
        <v>0</v>
      </c>
      <c r="BF185" s="28">
        <f>185</f>
        <v>185</v>
      </c>
      <c r="BH185" s="28">
        <f t="shared" si="219"/>
        <v>0</v>
      </c>
      <c r="BI185" s="28">
        <f t="shared" si="220"/>
        <v>0</v>
      </c>
      <c r="BJ185" s="28">
        <f t="shared" si="221"/>
        <v>0</v>
      </c>
      <c r="BK185" s="28"/>
      <c r="BL185" s="28"/>
      <c r="BW185" s="28">
        <v>21</v>
      </c>
    </row>
    <row r="186" spans="1:75" ht="13.5" customHeight="1">
      <c r="A186" s="2" t="s">
        <v>578</v>
      </c>
      <c r="B186" s="3" t="s">
        <v>579</v>
      </c>
      <c r="C186" s="75" t="s">
        <v>580</v>
      </c>
      <c r="D186" s="76"/>
      <c r="E186" s="3" t="s">
        <v>57</v>
      </c>
      <c r="F186" s="28">
        <v>2</v>
      </c>
      <c r="G186" s="29">
        <v>0</v>
      </c>
      <c r="H186" s="28">
        <f t="shared" si="198"/>
        <v>0</v>
      </c>
      <c r="I186" s="28">
        <f t="shared" si="199"/>
        <v>0</v>
      </c>
      <c r="J186" s="28">
        <f t="shared" si="200"/>
        <v>0</v>
      </c>
      <c r="K186" s="30" t="s">
        <v>72</v>
      </c>
      <c r="L186" s="27"/>
      <c r="Z186" s="28">
        <f t="shared" si="201"/>
        <v>0</v>
      </c>
      <c r="AB186" s="28">
        <f t="shared" si="202"/>
        <v>0</v>
      </c>
      <c r="AC186" s="28">
        <f t="shared" si="203"/>
        <v>0</v>
      </c>
      <c r="AD186" s="28">
        <f t="shared" si="204"/>
        <v>0</v>
      </c>
      <c r="AE186" s="28">
        <f t="shared" si="205"/>
        <v>0</v>
      </c>
      <c r="AF186" s="28">
        <f t="shared" si="206"/>
        <v>0</v>
      </c>
      <c r="AG186" s="28">
        <f t="shared" si="207"/>
        <v>0</v>
      </c>
      <c r="AH186" s="28">
        <f t="shared" si="208"/>
        <v>0</v>
      </c>
      <c r="AI186" s="11" t="s">
        <v>51</v>
      </c>
      <c r="AJ186" s="28">
        <f t="shared" si="209"/>
        <v>0</v>
      </c>
      <c r="AK186" s="28">
        <f t="shared" si="210"/>
        <v>0</v>
      </c>
      <c r="AL186" s="28">
        <f t="shared" si="211"/>
        <v>0</v>
      </c>
      <c r="AN186" s="28">
        <v>21</v>
      </c>
      <c r="AO186" s="28">
        <f t="shared" si="212"/>
        <v>0</v>
      </c>
      <c r="AP186" s="28">
        <f t="shared" si="213"/>
        <v>0</v>
      </c>
      <c r="AQ186" s="30" t="s">
        <v>52</v>
      </c>
      <c r="AV186" s="28">
        <f t="shared" si="214"/>
        <v>0</v>
      </c>
      <c r="AW186" s="28">
        <f t="shared" si="215"/>
        <v>0</v>
      </c>
      <c r="AX186" s="28">
        <f t="shared" si="216"/>
        <v>0</v>
      </c>
      <c r="AY186" s="30" t="s">
        <v>567</v>
      </c>
      <c r="AZ186" s="30" t="s">
        <v>568</v>
      </c>
      <c r="BA186" s="11" t="s">
        <v>60</v>
      </c>
      <c r="BC186" s="28">
        <f t="shared" si="217"/>
        <v>0</v>
      </c>
      <c r="BD186" s="28">
        <f t="shared" si="218"/>
        <v>0</v>
      </c>
      <c r="BE186" s="28">
        <v>0</v>
      </c>
      <c r="BF186" s="28">
        <f>186</f>
        <v>186</v>
      </c>
      <c r="BH186" s="28">
        <f t="shared" si="219"/>
        <v>0</v>
      </c>
      <c r="BI186" s="28">
        <f t="shared" si="220"/>
        <v>0</v>
      </c>
      <c r="BJ186" s="28">
        <f t="shared" si="221"/>
        <v>0</v>
      </c>
      <c r="BK186" s="28"/>
      <c r="BL186" s="28"/>
      <c r="BW186" s="28">
        <v>21</v>
      </c>
    </row>
    <row r="187" spans="1:75" ht="27" customHeight="1">
      <c r="A187" s="2" t="s">
        <v>581</v>
      </c>
      <c r="B187" s="3" t="s">
        <v>582</v>
      </c>
      <c r="C187" s="75" t="s">
        <v>583</v>
      </c>
      <c r="D187" s="76"/>
      <c r="E187" s="3" t="s">
        <v>57</v>
      </c>
      <c r="F187" s="28">
        <v>1</v>
      </c>
      <c r="G187" s="29">
        <v>0</v>
      </c>
      <c r="H187" s="28">
        <f t="shared" si="198"/>
        <v>0</v>
      </c>
      <c r="I187" s="28">
        <f t="shared" si="199"/>
        <v>0</v>
      </c>
      <c r="J187" s="28">
        <f t="shared" si="200"/>
        <v>0</v>
      </c>
      <c r="K187" s="30" t="s">
        <v>584</v>
      </c>
      <c r="L187" s="27"/>
      <c r="Z187" s="28">
        <f t="shared" si="201"/>
        <v>0</v>
      </c>
      <c r="AB187" s="28">
        <f t="shared" si="202"/>
        <v>0</v>
      </c>
      <c r="AC187" s="28">
        <f t="shared" si="203"/>
        <v>0</v>
      </c>
      <c r="AD187" s="28">
        <f t="shared" si="204"/>
        <v>0</v>
      </c>
      <c r="AE187" s="28">
        <f t="shared" si="205"/>
        <v>0</v>
      </c>
      <c r="AF187" s="28">
        <f t="shared" si="206"/>
        <v>0</v>
      </c>
      <c r="AG187" s="28">
        <f t="shared" si="207"/>
        <v>0</v>
      </c>
      <c r="AH187" s="28">
        <f t="shared" si="208"/>
        <v>0</v>
      </c>
      <c r="AI187" s="11" t="s">
        <v>51</v>
      </c>
      <c r="AJ187" s="28">
        <f t="shared" si="209"/>
        <v>0</v>
      </c>
      <c r="AK187" s="28">
        <f t="shared" si="210"/>
        <v>0</v>
      </c>
      <c r="AL187" s="28">
        <f t="shared" si="211"/>
        <v>0</v>
      </c>
      <c r="AN187" s="28">
        <v>21</v>
      </c>
      <c r="AO187" s="28">
        <f t="shared" si="212"/>
        <v>0</v>
      </c>
      <c r="AP187" s="28">
        <f t="shared" si="213"/>
        <v>0</v>
      </c>
      <c r="AQ187" s="30" t="s">
        <v>52</v>
      </c>
      <c r="AV187" s="28">
        <f t="shared" si="214"/>
        <v>0</v>
      </c>
      <c r="AW187" s="28">
        <f t="shared" si="215"/>
        <v>0</v>
      </c>
      <c r="AX187" s="28">
        <f t="shared" si="216"/>
        <v>0</v>
      </c>
      <c r="AY187" s="30" t="s">
        <v>567</v>
      </c>
      <c r="AZ187" s="30" t="s">
        <v>568</v>
      </c>
      <c r="BA187" s="11" t="s">
        <v>60</v>
      </c>
      <c r="BC187" s="28">
        <f t="shared" si="217"/>
        <v>0</v>
      </c>
      <c r="BD187" s="28">
        <f t="shared" si="218"/>
        <v>0</v>
      </c>
      <c r="BE187" s="28">
        <v>0</v>
      </c>
      <c r="BF187" s="28">
        <f>187</f>
        <v>187</v>
      </c>
      <c r="BH187" s="28">
        <f t="shared" si="219"/>
        <v>0</v>
      </c>
      <c r="BI187" s="28">
        <f t="shared" si="220"/>
        <v>0</v>
      </c>
      <c r="BJ187" s="28">
        <f t="shared" si="221"/>
        <v>0</v>
      </c>
      <c r="BK187" s="28"/>
      <c r="BL187" s="28"/>
      <c r="BW187" s="28">
        <v>21</v>
      </c>
    </row>
    <row r="188" spans="1:75" ht="13.5" customHeight="1">
      <c r="A188" s="2" t="s">
        <v>585</v>
      </c>
      <c r="B188" s="3" t="s">
        <v>586</v>
      </c>
      <c r="C188" s="75" t="s">
        <v>587</v>
      </c>
      <c r="D188" s="76"/>
      <c r="E188" s="3" t="s">
        <v>71</v>
      </c>
      <c r="F188" s="28">
        <v>16.5</v>
      </c>
      <c r="G188" s="29">
        <v>0</v>
      </c>
      <c r="H188" s="28">
        <f t="shared" si="198"/>
        <v>0</v>
      </c>
      <c r="I188" s="28">
        <f t="shared" si="199"/>
        <v>0</v>
      </c>
      <c r="J188" s="28">
        <f t="shared" si="200"/>
        <v>0</v>
      </c>
      <c r="K188" s="30" t="s">
        <v>58</v>
      </c>
      <c r="L188" s="27"/>
      <c r="Z188" s="28">
        <f t="shared" si="201"/>
        <v>0</v>
      </c>
      <c r="AB188" s="28">
        <f t="shared" si="202"/>
        <v>0</v>
      </c>
      <c r="AC188" s="28">
        <f t="shared" si="203"/>
        <v>0</v>
      </c>
      <c r="AD188" s="28">
        <f t="shared" si="204"/>
        <v>0</v>
      </c>
      <c r="AE188" s="28">
        <f t="shared" si="205"/>
        <v>0</v>
      </c>
      <c r="AF188" s="28">
        <f t="shared" si="206"/>
        <v>0</v>
      </c>
      <c r="AG188" s="28">
        <f t="shared" si="207"/>
        <v>0</v>
      </c>
      <c r="AH188" s="28">
        <f t="shared" si="208"/>
        <v>0</v>
      </c>
      <c r="AI188" s="11" t="s">
        <v>51</v>
      </c>
      <c r="AJ188" s="28">
        <f t="shared" si="209"/>
        <v>0</v>
      </c>
      <c r="AK188" s="28">
        <f t="shared" si="210"/>
        <v>0</v>
      </c>
      <c r="AL188" s="28">
        <f t="shared" si="211"/>
        <v>0</v>
      </c>
      <c r="AN188" s="28">
        <v>21</v>
      </c>
      <c r="AO188" s="28">
        <f t="shared" si="212"/>
        <v>0</v>
      </c>
      <c r="AP188" s="28">
        <f t="shared" si="213"/>
        <v>0</v>
      </c>
      <c r="AQ188" s="30" t="s">
        <v>52</v>
      </c>
      <c r="AV188" s="28">
        <f t="shared" si="214"/>
        <v>0</v>
      </c>
      <c r="AW188" s="28">
        <f t="shared" si="215"/>
        <v>0</v>
      </c>
      <c r="AX188" s="28">
        <f t="shared" si="216"/>
        <v>0</v>
      </c>
      <c r="AY188" s="30" t="s">
        <v>567</v>
      </c>
      <c r="AZ188" s="30" t="s">
        <v>568</v>
      </c>
      <c r="BA188" s="11" t="s">
        <v>60</v>
      </c>
      <c r="BC188" s="28">
        <f t="shared" si="217"/>
        <v>0</v>
      </c>
      <c r="BD188" s="28">
        <f t="shared" si="218"/>
        <v>0</v>
      </c>
      <c r="BE188" s="28">
        <v>0</v>
      </c>
      <c r="BF188" s="28">
        <f>188</f>
        <v>188</v>
      </c>
      <c r="BH188" s="28">
        <f t="shared" si="219"/>
        <v>0</v>
      </c>
      <c r="BI188" s="28">
        <f t="shared" si="220"/>
        <v>0</v>
      </c>
      <c r="BJ188" s="28">
        <f t="shared" si="221"/>
        <v>0</v>
      </c>
      <c r="BK188" s="28"/>
      <c r="BL188" s="28"/>
      <c r="BW188" s="28">
        <v>21</v>
      </c>
    </row>
    <row r="189" spans="1:75" ht="27" customHeight="1">
      <c r="A189" s="2" t="s">
        <v>588</v>
      </c>
      <c r="B189" s="3" t="s">
        <v>589</v>
      </c>
      <c r="C189" s="75" t="s">
        <v>590</v>
      </c>
      <c r="D189" s="76"/>
      <c r="E189" s="3" t="s">
        <v>57</v>
      </c>
      <c r="F189" s="28">
        <v>3</v>
      </c>
      <c r="G189" s="29">
        <v>0</v>
      </c>
      <c r="H189" s="28">
        <f t="shared" si="198"/>
        <v>0</v>
      </c>
      <c r="I189" s="28">
        <f t="shared" si="199"/>
        <v>0</v>
      </c>
      <c r="J189" s="28">
        <f t="shared" si="200"/>
        <v>0</v>
      </c>
      <c r="K189" s="30" t="s">
        <v>72</v>
      </c>
      <c r="L189" s="27"/>
      <c r="Z189" s="28">
        <f t="shared" si="201"/>
        <v>0</v>
      </c>
      <c r="AB189" s="28">
        <f t="shared" si="202"/>
        <v>0</v>
      </c>
      <c r="AC189" s="28">
        <f t="shared" si="203"/>
        <v>0</v>
      </c>
      <c r="AD189" s="28">
        <f t="shared" si="204"/>
        <v>0</v>
      </c>
      <c r="AE189" s="28">
        <f t="shared" si="205"/>
        <v>0</v>
      </c>
      <c r="AF189" s="28">
        <f t="shared" si="206"/>
        <v>0</v>
      </c>
      <c r="AG189" s="28">
        <f t="shared" si="207"/>
        <v>0</v>
      </c>
      <c r="AH189" s="28">
        <f t="shared" si="208"/>
        <v>0</v>
      </c>
      <c r="AI189" s="11" t="s">
        <v>51</v>
      </c>
      <c r="AJ189" s="28">
        <f t="shared" si="209"/>
        <v>0</v>
      </c>
      <c r="AK189" s="28">
        <f t="shared" si="210"/>
        <v>0</v>
      </c>
      <c r="AL189" s="28">
        <f t="shared" si="211"/>
        <v>0</v>
      </c>
      <c r="AN189" s="28">
        <v>21</v>
      </c>
      <c r="AO189" s="28">
        <f t="shared" si="212"/>
        <v>0</v>
      </c>
      <c r="AP189" s="28">
        <f t="shared" si="213"/>
        <v>0</v>
      </c>
      <c r="AQ189" s="30" t="s">
        <v>52</v>
      </c>
      <c r="AV189" s="28">
        <f t="shared" si="214"/>
        <v>0</v>
      </c>
      <c r="AW189" s="28">
        <f t="shared" si="215"/>
        <v>0</v>
      </c>
      <c r="AX189" s="28">
        <f t="shared" si="216"/>
        <v>0</v>
      </c>
      <c r="AY189" s="30" t="s">
        <v>567</v>
      </c>
      <c r="AZ189" s="30" t="s">
        <v>568</v>
      </c>
      <c r="BA189" s="11" t="s">
        <v>60</v>
      </c>
      <c r="BC189" s="28">
        <f t="shared" si="217"/>
        <v>0</v>
      </c>
      <c r="BD189" s="28">
        <f t="shared" si="218"/>
        <v>0</v>
      </c>
      <c r="BE189" s="28">
        <v>0</v>
      </c>
      <c r="BF189" s="28">
        <f>189</f>
        <v>189</v>
      </c>
      <c r="BH189" s="28">
        <f t="shared" si="219"/>
        <v>0</v>
      </c>
      <c r="BI189" s="28">
        <f t="shared" si="220"/>
        <v>0</v>
      </c>
      <c r="BJ189" s="28">
        <f t="shared" si="221"/>
        <v>0</v>
      </c>
      <c r="BK189" s="28"/>
      <c r="BL189" s="28"/>
      <c r="BW189" s="28">
        <v>21</v>
      </c>
    </row>
    <row r="190" spans="1:75" ht="13.5" customHeight="1">
      <c r="A190" s="2" t="s">
        <v>591</v>
      </c>
      <c r="B190" s="3" t="s">
        <v>592</v>
      </c>
      <c r="C190" s="75" t="s">
        <v>593</v>
      </c>
      <c r="D190" s="76"/>
      <c r="E190" s="3" t="s">
        <v>57</v>
      </c>
      <c r="F190" s="28">
        <v>2</v>
      </c>
      <c r="G190" s="29">
        <v>0</v>
      </c>
      <c r="H190" s="28">
        <f t="shared" si="198"/>
        <v>0</v>
      </c>
      <c r="I190" s="28">
        <f t="shared" si="199"/>
        <v>0</v>
      </c>
      <c r="J190" s="28">
        <f t="shared" si="200"/>
        <v>0</v>
      </c>
      <c r="K190" s="30" t="s">
        <v>58</v>
      </c>
      <c r="L190" s="27"/>
      <c r="Z190" s="28">
        <f t="shared" si="201"/>
        <v>0</v>
      </c>
      <c r="AB190" s="28">
        <f t="shared" si="202"/>
        <v>0</v>
      </c>
      <c r="AC190" s="28">
        <f t="shared" si="203"/>
        <v>0</v>
      </c>
      <c r="AD190" s="28">
        <f t="shared" si="204"/>
        <v>0</v>
      </c>
      <c r="AE190" s="28">
        <f t="shared" si="205"/>
        <v>0</v>
      </c>
      <c r="AF190" s="28">
        <f t="shared" si="206"/>
        <v>0</v>
      </c>
      <c r="AG190" s="28">
        <f t="shared" si="207"/>
        <v>0</v>
      </c>
      <c r="AH190" s="28">
        <f t="shared" si="208"/>
        <v>0</v>
      </c>
      <c r="AI190" s="11" t="s">
        <v>51</v>
      </c>
      <c r="AJ190" s="28">
        <f t="shared" si="209"/>
        <v>0</v>
      </c>
      <c r="AK190" s="28">
        <f t="shared" si="210"/>
        <v>0</v>
      </c>
      <c r="AL190" s="28">
        <f t="shared" si="211"/>
        <v>0</v>
      </c>
      <c r="AN190" s="28">
        <v>21</v>
      </c>
      <c r="AO190" s="28">
        <f t="shared" si="212"/>
        <v>0</v>
      </c>
      <c r="AP190" s="28">
        <f t="shared" si="213"/>
        <v>0</v>
      </c>
      <c r="AQ190" s="30" t="s">
        <v>52</v>
      </c>
      <c r="AV190" s="28">
        <f t="shared" si="214"/>
        <v>0</v>
      </c>
      <c r="AW190" s="28">
        <f t="shared" si="215"/>
        <v>0</v>
      </c>
      <c r="AX190" s="28">
        <f t="shared" si="216"/>
        <v>0</v>
      </c>
      <c r="AY190" s="30" t="s">
        <v>567</v>
      </c>
      <c r="AZ190" s="30" t="s">
        <v>568</v>
      </c>
      <c r="BA190" s="11" t="s">
        <v>60</v>
      </c>
      <c r="BC190" s="28">
        <f t="shared" si="217"/>
        <v>0</v>
      </c>
      <c r="BD190" s="28">
        <f t="shared" si="218"/>
        <v>0</v>
      </c>
      <c r="BE190" s="28">
        <v>0</v>
      </c>
      <c r="BF190" s="28">
        <f>190</f>
        <v>190</v>
      </c>
      <c r="BH190" s="28">
        <f t="shared" si="219"/>
        <v>0</v>
      </c>
      <c r="BI190" s="28">
        <f t="shared" si="220"/>
        <v>0</v>
      </c>
      <c r="BJ190" s="28">
        <f t="shared" si="221"/>
        <v>0</v>
      </c>
      <c r="BK190" s="28"/>
      <c r="BL190" s="28"/>
      <c r="BW190" s="28">
        <v>21</v>
      </c>
    </row>
    <row r="191" spans="1:75" ht="27" customHeight="1">
      <c r="A191" s="2" t="s">
        <v>594</v>
      </c>
      <c r="B191" s="3" t="s">
        <v>595</v>
      </c>
      <c r="C191" s="75" t="s">
        <v>596</v>
      </c>
      <c r="D191" s="76"/>
      <c r="E191" s="3" t="s">
        <v>57</v>
      </c>
      <c r="F191" s="28">
        <v>2</v>
      </c>
      <c r="G191" s="29">
        <v>0</v>
      </c>
      <c r="H191" s="28">
        <f t="shared" si="198"/>
        <v>0</v>
      </c>
      <c r="I191" s="28">
        <f t="shared" si="199"/>
        <v>0</v>
      </c>
      <c r="J191" s="28">
        <f t="shared" si="200"/>
        <v>0</v>
      </c>
      <c r="K191" s="30" t="s">
        <v>72</v>
      </c>
      <c r="L191" s="27"/>
      <c r="Z191" s="28">
        <f t="shared" si="201"/>
        <v>0</v>
      </c>
      <c r="AB191" s="28">
        <f t="shared" si="202"/>
        <v>0</v>
      </c>
      <c r="AC191" s="28">
        <f t="shared" si="203"/>
        <v>0</v>
      </c>
      <c r="AD191" s="28">
        <f t="shared" si="204"/>
        <v>0</v>
      </c>
      <c r="AE191" s="28">
        <f t="shared" si="205"/>
        <v>0</v>
      </c>
      <c r="AF191" s="28">
        <f t="shared" si="206"/>
        <v>0</v>
      </c>
      <c r="AG191" s="28">
        <f t="shared" si="207"/>
        <v>0</v>
      </c>
      <c r="AH191" s="28">
        <f t="shared" si="208"/>
        <v>0</v>
      </c>
      <c r="AI191" s="11" t="s">
        <v>51</v>
      </c>
      <c r="AJ191" s="28">
        <f t="shared" si="209"/>
        <v>0</v>
      </c>
      <c r="AK191" s="28">
        <f t="shared" si="210"/>
        <v>0</v>
      </c>
      <c r="AL191" s="28">
        <f t="shared" si="211"/>
        <v>0</v>
      </c>
      <c r="AN191" s="28">
        <v>21</v>
      </c>
      <c r="AO191" s="28">
        <f t="shared" si="212"/>
        <v>0</v>
      </c>
      <c r="AP191" s="28">
        <f t="shared" si="213"/>
        <v>0</v>
      </c>
      <c r="AQ191" s="30" t="s">
        <v>52</v>
      </c>
      <c r="AV191" s="28">
        <f t="shared" si="214"/>
        <v>0</v>
      </c>
      <c r="AW191" s="28">
        <f t="shared" si="215"/>
        <v>0</v>
      </c>
      <c r="AX191" s="28">
        <f t="shared" si="216"/>
        <v>0</v>
      </c>
      <c r="AY191" s="30" t="s">
        <v>567</v>
      </c>
      <c r="AZ191" s="30" t="s">
        <v>568</v>
      </c>
      <c r="BA191" s="11" t="s">
        <v>60</v>
      </c>
      <c r="BC191" s="28">
        <f t="shared" si="217"/>
        <v>0</v>
      </c>
      <c r="BD191" s="28">
        <f t="shared" si="218"/>
        <v>0</v>
      </c>
      <c r="BE191" s="28">
        <v>0</v>
      </c>
      <c r="BF191" s="28">
        <f>191</f>
        <v>191</v>
      </c>
      <c r="BH191" s="28">
        <f t="shared" si="219"/>
        <v>0</v>
      </c>
      <c r="BI191" s="28">
        <f t="shared" si="220"/>
        <v>0</v>
      </c>
      <c r="BJ191" s="28">
        <f t="shared" si="221"/>
        <v>0</v>
      </c>
      <c r="BK191" s="28"/>
      <c r="BL191" s="28"/>
      <c r="BW191" s="28">
        <v>21</v>
      </c>
    </row>
    <row r="192" spans="1:75" ht="13.5" customHeight="1">
      <c r="A192" s="2" t="s">
        <v>597</v>
      </c>
      <c r="B192" s="3" t="s">
        <v>598</v>
      </c>
      <c r="C192" s="75" t="s">
        <v>599</v>
      </c>
      <c r="D192" s="76"/>
      <c r="E192" s="3" t="s">
        <v>57</v>
      </c>
      <c r="F192" s="28">
        <v>1</v>
      </c>
      <c r="G192" s="29">
        <v>0</v>
      </c>
      <c r="H192" s="28">
        <f t="shared" si="198"/>
        <v>0</v>
      </c>
      <c r="I192" s="28">
        <f t="shared" si="199"/>
        <v>0</v>
      </c>
      <c r="J192" s="28">
        <f t="shared" si="200"/>
        <v>0</v>
      </c>
      <c r="K192" s="30" t="s">
        <v>58</v>
      </c>
      <c r="L192" s="27"/>
      <c r="Z192" s="28">
        <f t="shared" si="201"/>
        <v>0</v>
      </c>
      <c r="AB192" s="28">
        <f t="shared" si="202"/>
        <v>0</v>
      </c>
      <c r="AC192" s="28">
        <f t="shared" si="203"/>
        <v>0</v>
      </c>
      <c r="AD192" s="28">
        <f t="shared" si="204"/>
        <v>0</v>
      </c>
      <c r="AE192" s="28">
        <f t="shared" si="205"/>
        <v>0</v>
      </c>
      <c r="AF192" s="28">
        <f t="shared" si="206"/>
        <v>0</v>
      </c>
      <c r="AG192" s="28">
        <f t="shared" si="207"/>
        <v>0</v>
      </c>
      <c r="AH192" s="28">
        <f t="shared" si="208"/>
        <v>0</v>
      </c>
      <c r="AI192" s="11" t="s">
        <v>51</v>
      </c>
      <c r="AJ192" s="28">
        <f t="shared" si="209"/>
        <v>0</v>
      </c>
      <c r="AK192" s="28">
        <f t="shared" si="210"/>
        <v>0</v>
      </c>
      <c r="AL192" s="28">
        <f t="shared" si="211"/>
        <v>0</v>
      </c>
      <c r="AN192" s="28">
        <v>21</v>
      </c>
      <c r="AO192" s="28">
        <f t="shared" si="212"/>
        <v>0</v>
      </c>
      <c r="AP192" s="28">
        <f t="shared" si="213"/>
        <v>0</v>
      </c>
      <c r="AQ192" s="30" t="s">
        <v>52</v>
      </c>
      <c r="AV192" s="28">
        <f t="shared" si="214"/>
        <v>0</v>
      </c>
      <c r="AW192" s="28">
        <f t="shared" si="215"/>
        <v>0</v>
      </c>
      <c r="AX192" s="28">
        <f t="shared" si="216"/>
        <v>0</v>
      </c>
      <c r="AY192" s="30" t="s">
        <v>567</v>
      </c>
      <c r="AZ192" s="30" t="s">
        <v>568</v>
      </c>
      <c r="BA192" s="11" t="s">
        <v>60</v>
      </c>
      <c r="BC192" s="28">
        <f t="shared" si="217"/>
        <v>0</v>
      </c>
      <c r="BD192" s="28">
        <f t="shared" si="218"/>
        <v>0</v>
      </c>
      <c r="BE192" s="28">
        <v>0</v>
      </c>
      <c r="BF192" s="28">
        <f>192</f>
        <v>192</v>
      </c>
      <c r="BH192" s="28">
        <f t="shared" si="219"/>
        <v>0</v>
      </c>
      <c r="BI192" s="28">
        <f t="shared" si="220"/>
        <v>0</v>
      </c>
      <c r="BJ192" s="28">
        <f t="shared" si="221"/>
        <v>0</v>
      </c>
      <c r="BK192" s="28"/>
      <c r="BL192" s="28"/>
      <c r="BW192" s="28">
        <v>21</v>
      </c>
    </row>
    <row r="193" spans="1:75" ht="13.5" customHeight="1">
      <c r="A193" s="2" t="s">
        <v>600</v>
      </c>
      <c r="B193" s="3" t="s">
        <v>601</v>
      </c>
      <c r="C193" s="75" t="s">
        <v>602</v>
      </c>
      <c r="D193" s="76"/>
      <c r="E193" s="3" t="s">
        <v>71</v>
      </c>
      <c r="F193" s="28">
        <v>8.4</v>
      </c>
      <c r="G193" s="29">
        <v>0</v>
      </c>
      <c r="H193" s="28">
        <f t="shared" si="198"/>
        <v>0</v>
      </c>
      <c r="I193" s="28">
        <f t="shared" si="199"/>
        <v>0</v>
      </c>
      <c r="J193" s="28">
        <f t="shared" si="200"/>
        <v>0</v>
      </c>
      <c r="K193" s="30" t="s">
        <v>72</v>
      </c>
      <c r="L193" s="27"/>
      <c r="Z193" s="28">
        <f t="shared" si="201"/>
        <v>0</v>
      </c>
      <c r="AB193" s="28">
        <f t="shared" si="202"/>
        <v>0</v>
      </c>
      <c r="AC193" s="28">
        <f t="shared" si="203"/>
        <v>0</v>
      </c>
      <c r="AD193" s="28">
        <f t="shared" si="204"/>
        <v>0</v>
      </c>
      <c r="AE193" s="28">
        <f t="shared" si="205"/>
        <v>0</v>
      </c>
      <c r="AF193" s="28">
        <f t="shared" si="206"/>
        <v>0</v>
      </c>
      <c r="AG193" s="28">
        <f t="shared" si="207"/>
        <v>0</v>
      </c>
      <c r="AH193" s="28">
        <f t="shared" si="208"/>
        <v>0</v>
      </c>
      <c r="AI193" s="11" t="s">
        <v>51</v>
      </c>
      <c r="AJ193" s="28">
        <f t="shared" si="209"/>
        <v>0</v>
      </c>
      <c r="AK193" s="28">
        <f t="shared" si="210"/>
        <v>0</v>
      </c>
      <c r="AL193" s="28">
        <f t="shared" si="211"/>
        <v>0</v>
      </c>
      <c r="AN193" s="28">
        <v>21</v>
      </c>
      <c r="AO193" s="28">
        <f t="shared" si="212"/>
        <v>0</v>
      </c>
      <c r="AP193" s="28">
        <f t="shared" si="213"/>
        <v>0</v>
      </c>
      <c r="AQ193" s="30" t="s">
        <v>52</v>
      </c>
      <c r="AV193" s="28">
        <f t="shared" si="214"/>
        <v>0</v>
      </c>
      <c r="AW193" s="28">
        <f t="shared" si="215"/>
        <v>0</v>
      </c>
      <c r="AX193" s="28">
        <f t="shared" si="216"/>
        <v>0</v>
      </c>
      <c r="AY193" s="30" t="s">
        <v>567</v>
      </c>
      <c r="AZ193" s="30" t="s">
        <v>568</v>
      </c>
      <c r="BA193" s="11" t="s">
        <v>60</v>
      </c>
      <c r="BC193" s="28">
        <f t="shared" si="217"/>
        <v>0</v>
      </c>
      <c r="BD193" s="28">
        <f t="shared" si="218"/>
        <v>0</v>
      </c>
      <c r="BE193" s="28">
        <v>0</v>
      </c>
      <c r="BF193" s="28">
        <f>193</f>
        <v>193</v>
      </c>
      <c r="BH193" s="28">
        <f t="shared" si="219"/>
        <v>0</v>
      </c>
      <c r="BI193" s="28">
        <f t="shared" si="220"/>
        <v>0</v>
      </c>
      <c r="BJ193" s="28">
        <f t="shared" si="221"/>
        <v>0</v>
      </c>
      <c r="BK193" s="28"/>
      <c r="BL193" s="28"/>
      <c r="BW193" s="28">
        <v>21</v>
      </c>
    </row>
    <row r="194" spans="1:75" ht="13.5" customHeight="1">
      <c r="A194" s="35" t="s">
        <v>603</v>
      </c>
      <c r="B194" s="36" t="s">
        <v>604</v>
      </c>
      <c r="C194" s="77" t="s">
        <v>605</v>
      </c>
      <c r="D194" s="78"/>
      <c r="E194" s="36" t="s">
        <v>57</v>
      </c>
      <c r="F194" s="37">
        <v>3</v>
      </c>
      <c r="G194" s="38">
        <v>0</v>
      </c>
      <c r="H194" s="37">
        <f t="shared" si="198"/>
        <v>0</v>
      </c>
      <c r="I194" s="37">
        <f t="shared" si="199"/>
        <v>0</v>
      </c>
      <c r="J194" s="37">
        <f t="shared" si="200"/>
        <v>0</v>
      </c>
      <c r="K194" s="39" t="s">
        <v>72</v>
      </c>
      <c r="L194" s="40"/>
      <c r="Z194" s="28">
        <f t="shared" si="201"/>
        <v>0</v>
      </c>
      <c r="AB194" s="28">
        <f t="shared" si="202"/>
        <v>0</v>
      </c>
      <c r="AC194" s="28">
        <f t="shared" si="203"/>
        <v>0</v>
      </c>
      <c r="AD194" s="28">
        <f t="shared" si="204"/>
        <v>0</v>
      </c>
      <c r="AE194" s="28">
        <f t="shared" si="205"/>
        <v>0</v>
      </c>
      <c r="AF194" s="28">
        <f t="shared" si="206"/>
        <v>0</v>
      </c>
      <c r="AG194" s="28">
        <f t="shared" si="207"/>
        <v>0</v>
      </c>
      <c r="AH194" s="28">
        <f t="shared" si="208"/>
        <v>0</v>
      </c>
      <c r="AI194" s="11" t="s">
        <v>51</v>
      </c>
      <c r="AJ194" s="28">
        <f t="shared" si="209"/>
        <v>0</v>
      </c>
      <c r="AK194" s="28">
        <f t="shared" si="210"/>
        <v>0</v>
      </c>
      <c r="AL194" s="28">
        <f t="shared" si="211"/>
        <v>0</v>
      </c>
      <c r="AN194" s="28">
        <v>21</v>
      </c>
      <c r="AO194" s="28">
        <f t="shared" si="212"/>
        <v>0</v>
      </c>
      <c r="AP194" s="28">
        <f t="shared" si="213"/>
        <v>0</v>
      </c>
      <c r="AQ194" s="30" t="s">
        <v>52</v>
      </c>
      <c r="AV194" s="28">
        <f t="shared" si="214"/>
        <v>0</v>
      </c>
      <c r="AW194" s="28">
        <f t="shared" si="215"/>
        <v>0</v>
      </c>
      <c r="AX194" s="28">
        <f t="shared" si="216"/>
        <v>0</v>
      </c>
      <c r="AY194" s="30" t="s">
        <v>567</v>
      </c>
      <c r="AZ194" s="30" t="s">
        <v>568</v>
      </c>
      <c r="BA194" s="11" t="s">
        <v>60</v>
      </c>
      <c r="BC194" s="28">
        <f t="shared" si="217"/>
        <v>0</v>
      </c>
      <c r="BD194" s="28">
        <f t="shared" si="218"/>
        <v>0</v>
      </c>
      <c r="BE194" s="28">
        <v>0</v>
      </c>
      <c r="BF194" s="28">
        <f>194</f>
        <v>194</v>
      </c>
      <c r="BH194" s="28">
        <f t="shared" si="219"/>
        <v>0</v>
      </c>
      <c r="BI194" s="28">
        <f t="shared" si="220"/>
        <v>0</v>
      </c>
      <c r="BJ194" s="28">
        <f t="shared" si="221"/>
        <v>0</v>
      </c>
      <c r="BK194" s="28"/>
      <c r="BL194" s="28"/>
      <c r="BW194" s="28">
        <v>21</v>
      </c>
    </row>
    <row r="195" spans="1:75">
      <c r="H195" s="74" t="s">
        <v>606</v>
      </c>
      <c r="I195" s="74"/>
      <c r="J195" s="41">
        <f>J12+J16+J22+J25+J27+J29+J33+J37+J41+J46+J48+J55+J58+J70+J80+J94+J98+J107+J109+J111+J114+J122+J124+J128+J130+J134+J136+J145+J153+J168+J174+J176+J181</f>
        <v>0</v>
      </c>
    </row>
    <row r="196" spans="1:75">
      <c r="A196" s="42" t="s">
        <v>607</v>
      </c>
    </row>
    <row r="197" spans="1:75" ht="12.75" customHeight="1">
      <c r="A197" s="75" t="s">
        <v>51</v>
      </c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</row>
  </sheetData>
  <sheetProtection password="DD23" sheet="1" objects="1" scenarios="1"/>
  <mergeCells count="213">
    <mergeCell ref="A1:L1"/>
    <mergeCell ref="A2:B3"/>
    <mergeCell ref="A4:B5"/>
    <mergeCell ref="A6:B7"/>
    <mergeCell ref="A8:B9"/>
    <mergeCell ref="G2:H3"/>
    <mergeCell ref="G4:H5"/>
    <mergeCell ref="G6:H7"/>
    <mergeCell ref="G8:H9"/>
    <mergeCell ref="J2:J3"/>
    <mergeCell ref="J4:J5"/>
    <mergeCell ref="J6:J7"/>
    <mergeCell ref="J8:J9"/>
    <mergeCell ref="C2:F3"/>
    <mergeCell ref="C4:F5"/>
    <mergeCell ref="C6:F7"/>
    <mergeCell ref="C11:D11"/>
    <mergeCell ref="H10:J10"/>
    <mergeCell ref="C12:D12"/>
    <mergeCell ref="C13:D13"/>
    <mergeCell ref="C14:D14"/>
    <mergeCell ref="K2:L3"/>
    <mergeCell ref="K4:L5"/>
    <mergeCell ref="K6:L7"/>
    <mergeCell ref="K8:L9"/>
    <mergeCell ref="C10:D10"/>
    <mergeCell ref="C8:F9"/>
    <mergeCell ref="I2:I3"/>
    <mergeCell ref="I4:I5"/>
    <mergeCell ref="I6:I7"/>
    <mergeCell ref="I8:I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80:D80"/>
    <mergeCell ref="C81:D81"/>
    <mergeCell ref="C82:D82"/>
    <mergeCell ref="C83:D83"/>
    <mergeCell ref="C84:D84"/>
    <mergeCell ref="C75:D75"/>
    <mergeCell ref="C76:D76"/>
    <mergeCell ref="C77:D77"/>
    <mergeCell ref="C78:D78"/>
    <mergeCell ref="C79:D79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110:D110"/>
    <mergeCell ref="C111:D111"/>
    <mergeCell ref="C112:D112"/>
    <mergeCell ref="C113:D113"/>
    <mergeCell ref="C114:D114"/>
    <mergeCell ref="C105:D105"/>
    <mergeCell ref="C106:D106"/>
    <mergeCell ref="C107:D107"/>
    <mergeCell ref="C108:D108"/>
    <mergeCell ref="C109:D109"/>
    <mergeCell ref="C120:D120"/>
    <mergeCell ref="C121:D121"/>
    <mergeCell ref="C122:D122"/>
    <mergeCell ref="C123:D123"/>
    <mergeCell ref="C124:D124"/>
    <mergeCell ref="C115:D115"/>
    <mergeCell ref="C116:D116"/>
    <mergeCell ref="C117:D117"/>
    <mergeCell ref="C118:D118"/>
    <mergeCell ref="C119:D119"/>
    <mergeCell ref="C130:D130"/>
    <mergeCell ref="C131:D131"/>
    <mergeCell ref="C132:D132"/>
    <mergeCell ref="C133:D133"/>
    <mergeCell ref="C134:D134"/>
    <mergeCell ref="C125:D125"/>
    <mergeCell ref="C126:D126"/>
    <mergeCell ref="C127:D127"/>
    <mergeCell ref="C128:D128"/>
    <mergeCell ref="C129:D129"/>
    <mergeCell ref="C140:D140"/>
    <mergeCell ref="C141:D141"/>
    <mergeCell ref="C142:D142"/>
    <mergeCell ref="C143:D143"/>
    <mergeCell ref="C144:D144"/>
    <mergeCell ref="C135:D135"/>
    <mergeCell ref="C136:D136"/>
    <mergeCell ref="C137:D137"/>
    <mergeCell ref="C138:D138"/>
    <mergeCell ref="C139:D139"/>
    <mergeCell ref="C150:D150"/>
    <mergeCell ref="C151:D151"/>
    <mergeCell ref="C152:D152"/>
    <mergeCell ref="C153:D153"/>
    <mergeCell ref="C154:D154"/>
    <mergeCell ref="C145:D145"/>
    <mergeCell ref="C146:D146"/>
    <mergeCell ref="C147:D147"/>
    <mergeCell ref="C148:D148"/>
    <mergeCell ref="C149:D149"/>
    <mergeCell ref="C160:D160"/>
    <mergeCell ref="C161:D161"/>
    <mergeCell ref="C162:D162"/>
    <mergeCell ref="C163:D163"/>
    <mergeCell ref="C164:D164"/>
    <mergeCell ref="C155:D155"/>
    <mergeCell ref="C156:D156"/>
    <mergeCell ref="C157:D157"/>
    <mergeCell ref="C158:D158"/>
    <mergeCell ref="C159:D159"/>
    <mergeCell ref="C170:D170"/>
    <mergeCell ref="C171:D171"/>
    <mergeCell ref="C172:D172"/>
    <mergeCell ref="C173:D173"/>
    <mergeCell ref="C174:D174"/>
    <mergeCell ref="C165:D165"/>
    <mergeCell ref="C166:D166"/>
    <mergeCell ref="C167:D167"/>
    <mergeCell ref="C168:D168"/>
    <mergeCell ref="C169:D169"/>
    <mergeCell ref="C180:D180"/>
    <mergeCell ref="C181:D181"/>
    <mergeCell ref="C182:D182"/>
    <mergeCell ref="C183:D183"/>
    <mergeCell ref="C184:D184"/>
    <mergeCell ref="C175:D175"/>
    <mergeCell ref="C176:D176"/>
    <mergeCell ref="C177:D177"/>
    <mergeCell ref="C178:D178"/>
    <mergeCell ref="C179:D179"/>
    <mergeCell ref="H195:I195"/>
    <mergeCell ref="A197:L197"/>
    <mergeCell ref="C190:D190"/>
    <mergeCell ref="C191:D191"/>
    <mergeCell ref="C192:D192"/>
    <mergeCell ref="C193:D193"/>
    <mergeCell ref="C194:D194"/>
    <mergeCell ref="C185:D185"/>
    <mergeCell ref="C186:D186"/>
    <mergeCell ref="C187:D187"/>
    <mergeCell ref="C188:D188"/>
    <mergeCell ref="C189:D189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pane ySplit="11" topLeftCell="A12" activePane="bottomLeft" state="frozen"/>
      <selection pane="bottomLeft" activeCell="C4" sqref="C4:C5"/>
    </sheetView>
  </sheetViews>
  <sheetFormatPr defaultColWidth="12.140625" defaultRowHeight="15" customHeight="1"/>
  <cols>
    <col min="1" max="2" width="8.5703125" customWidth="1"/>
    <col min="3" max="3" width="71.42578125" customWidth="1"/>
    <col min="4" max="4" width="12.140625" customWidth="1"/>
    <col min="5" max="7" width="27.85546875" customWidth="1"/>
    <col min="8" max="9" width="0" hidden="1" customWidth="1"/>
  </cols>
  <sheetData>
    <row r="1" spans="1:9" ht="54.75" customHeight="1">
      <c r="A1" s="100" t="s">
        <v>608</v>
      </c>
      <c r="B1" s="100"/>
      <c r="C1" s="100"/>
      <c r="D1" s="100"/>
      <c r="E1" s="100"/>
      <c r="F1" s="100"/>
      <c r="G1" s="100"/>
    </row>
    <row r="2" spans="1:9">
      <c r="A2" s="101" t="s">
        <v>1</v>
      </c>
      <c r="B2" s="102"/>
      <c r="C2" s="106" t="str">
        <f>'Stavební rozpočet'!C2</f>
        <v>Oprava objektu</v>
      </c>
      <c r="D2" s="102" t="s">
        <v>3</v>
      </c>
      <c r="E2" s="102" t="s">
        <v>4</v>
      </c>
      <c r="F2" s="88" t="s">
        <v>5</v>
      </c>
      <c r="G2" s="109" t="str">
        <f>'Stavební rozpočet'!K2</f>
        <v>obec Povrly, Mírová 165/7, 403 32</v>
      </c>
    </row>
    <row r="3" spans="1:9" ht="15" customHeight="1">
      <c r="A3" s="103"/>
      <c r="B3" s="76"/>
      <c r="C3" s="108"/>
      <c r="D3" s="76"/>
      <c r="E3" s="76"/>
      <c r="F3" s="76"/>
      <c r="G3" s="90"/>
    </row>
    <row r="4" spans="1:9">
      <c r="A4" s="104" t="s">
        <v>7</v>
      </c>
      <c r="B4" s="76"/>
      <c r="C4" s="75" t="str">
        <f>'Stavební rozpočet'!C4</f>
        <v>sběrného dvora druhotných sorovin</v>
      </c>
      <c r="D4" s="76" t="s">
        <v>9</v>
      </c>
      <c r="E4" s="76"/>
      <c r="F4" s="75" t="s">
        <v>10</v>
      </c>
      <c r="G4" s="110" t="str">
        <f>'Stavební rozpočet'!K4</f>
        <v>Ing. Kříž Jiří</v>
      </c>
    </row>
    <row r="5" spans="1:9" ht="15" customHeight="1">
      <c r="A5" s="103"/>
      <c r="B5" s="76"/>
      <c r="C5" s="76"/>
      <c r="D5" s="76"/>
      <c r="E5" s="76"/>
      <c r="F5" s="76"/>
      <c r="G5" s="90"/>
    </row>
    <row r="6" spans="1:9">
      <c r="A6" s="104" t="s">
        <v>12</v>
      </c>
      <c r="B6" s="76"/>
      <c r="C6" s="75" t="str">
        <f>'Stavební rozpočet'!C6</f>
        <v>ulice Mládeže ev.č.557, Povrly</v>
      </c>
      <c r="D6" s="76" t="s">
        <v>14</v>
      </c>
      <c r="E6" s="76" t="s">
        <v>4</v>
      </c>
      <c r="F6" s="75" t="s">
        <v>15</v>
      </c>
      <c r="G6" s="110" t="str">
        <f>'Stavební rozpočet'!K6</f>
        <v> </v>
      </c>
    </row>
    <row r="7" spans="1:9" ht="15" customHeight="1">
      <c r="A7" s="103"/>
      <c r="B7" s="76"/>
      <c r="C7" s="76"/>
      <c r="D7" s="76"/>
      <c r="E7" s="76"/>
      <c r="F7" s="76"/>
      <c r="G7" s="90"/>
    </row>
    <row r="8" spans="1:9">
      <c r="A8" s="104" t="s">
        <v>20</v>
      </c>
      <c r="B8" s="76"/>
      <c r="C8" s="75" t="str">
        <f>'Stavební rozpočet'!K8</f>
        <v>Ing. Jiří Kříž</v>
      </c>
      <c r="D8" s="76" t="s">
        <v>18</v>
      </c>
      <c r="E8" s="76" t="s">
        <v>19</v>
      </c>
      <c r="F8" s="76" t="s">
        <v>18</v>
      </c>
      <c r="G8" s="110" t="str">
        <f>'Stavební rozpočet'!I8</f>
        <v>24.04.2024</v>
      </c>
    </row>
    <row r="9" spans="1:9">
      <c r="A9" s="105"/>
      <c r="B9" s="98"/>
      <c r="C9" s="98"/>
      <c r="D9" s="78"/>
      <c r="E9" s="98"/>
      <c r="F9" s="98"/>
      <c r="G9" s="111"/>
    </row>
    <row r="10" spans="1:9">
      <c r="A10" s="43" t="s">
        <v>609</v>
      </c>
      <c r="B10" s="44" t="s">
        <v>23</v>
      </c>
      <c r="C10" s="45" t="s">
        <v>24</v>
      </c>
      <c r="E10" s="46" t="s">
        <v>610</v>
      </c>
      <c r="F10" s="47" t="s">
        <v>611</v>
      </c>
      <c r="G10" s="47" t="s">
        <v>612</v>
      </c>
    </row>
    <row r="11" spans="1:9">
      <c r="A11" s="48" t="s">
        <v>51</v>
      </c>
      <c r="B11" s="49" t="s">
        <v>52</v>
      </c>
      <c r="C11" s="76" t="s">
        <v>53</v>
      </c>
      <c r="D11" s="76"/>
      <c r="E11" s="50">
        <f>'Stavební rozpočet'!H12</f>
        <v>0</v>
      </c>
      <c r="F11" s="50">
        <f>'Stavební rozpočet'!I12</f>
        <v>0</v>
      </c>
      <c r="G11" s="50">
        <f>'Stavební rozpočet'!J12</f>
        <v>0</v>
      </c>
      <c r="H11" s="30" t="s">
        <v>613</v>
      </c>
      <c r="I11" s="28">
        <f t="shared" ref="I11:I43" si="0">IF(H11="F",0,G11)</f>
        <v>0</v>
      </c>
    </row>
    <row r="12" spans="1:9">
      <c r="A12" s="2" t="s">
        <v>51</v>
      </c>
      <c r="B12" s="3" t="s">
        <v>54</v>
      </c>
      <c r="C12" s="76" t="s">
        <v>67</v>
      </c>
      <c r="D12" s="76"/>
      <c r="E12" s="28">
        <f>'Stavební rozpočet'!H16</f>
        <v>0</v>
      </c>
      <c r="F12" s="28">
        <f>'Stavební rozpočet'!I16</f>
        <v>0</v>
      </c>
      <c r="G12" s="28">
        <f>'Stavební rozpočet'!J16</f>
        <v>0</v>
      </c>
      <c r="H12" s="30" t="s">
        <v>613</v>
      </c>
      <c r="I12" s="28">
        <f t="shared" si="0"/>
        <v>0</v>
      </c>
    </row>
    <row r="13" spans="1:9">
      <c r="A13" s="2" t="s">
        <v>51</v>
      </c>
      <c r="B13" s="3" t="s">
        <v>87</v>
      </c>
      <c r="C13" s="76" t="s">
        <v>88</v>
      </c>
      <c r="D13" s="76"/>
      <c r="E13" s="28">
        <f>'Stavební rozpočet'!H22</f>
        <v>0</v>
      </c>
      <c r="F13" s="28">
        <f>'Stavební rozpočet'!I22</f>
        <v>0</v>
      </c>
      <c r="G13" s="28">
        <f>'Stavební rozpočet'!J22</f>
        <v>0</v>
      </c>
      <c r="H13" s="30" t="s">
        <v>613</v>
      </c>
      <c r="I13" s="28">
        <f t="shared" si="0"/>
        <v>0</v>
      </c>
    </row>
    <row r="14" spans="1:9">
      <c r="A14" s="2" t="s">
        <v>51</v>
      </c>
      <c r="B14" s="3" t="s">
        <v>97</v>
      </c>
      <c r="C14" s="76" t="s">
        <v>98</v>
      </c>
      <c r="D14" s="76"/>
      <c r="E14" s="28">
        <f>'Stavební rozpočet'!H25</f>
        <v>0</v>
      </c>
      <c r="F14" s="28">
        <f>'Stavební rozpočet'!I25</f>
        <v>0</v>
      </c>
      <c r="G14" s="28">
        <f>'Stavební rozpočet'!J25</f>
        <v>0</v>
      </c>
      <c r="H14" s="30" t="s">
        <v>613</v>
      </c>
      <c r="I14" s="28">
        <f t="shared" si="0"/>
        <v>0</v>
      </c>
    </row>
    <row r="15" spans="1:9">
      <c r="A15" s="2" t="s">
        <v>51</v>
      </c>
      <c r="B15" s="3" t="s">
        <v>104</v>
      </c>
      <c r="C15" s="76" t="s">
        <v>105</v>
      </c>
      <c r="D15" s="76"/>
      <c r="E15" s="28">
        <f>'Stavební rozpočet'!H27</f>
        <v>0</v>
      </c>
      <c r="F15" s="28">
        <f>'Stavební rozpočet'!I27</f>
        <v>0</v>
      </c>
      <c r="G15" s="28">
        <f>'Stavební rozpočet'!J27</f>
        <v>0</v>
      </c>
      <c r="H15" s="30" t="s">
        <v>613</v>
      </c>
      <c r="I15" s="28">
        <f t="shared" si="0"/>
        <v>0</v>
      </c>
    </row>
    <row r="16" spans="1:9">
      <c r="A16" s="2" t="s">
        <v>51</v>
      </c>
      <c r="B16" s="3" t="s">
        <v>110</v>
      </c>
      <c r="C16" s="76" t="s">
        <v>111</v>
      </c>
      <c r="D16" s="76"/>
      <c r="E16" s="28">
        <f>'Stavební rozpočet'!H29</f>
        <v>0</v>
      </c>
      <c r="F16" s="28">
        <f>'Stavební rozpočet'!I29</f>
        <v>0</v>
      </c>
      <c r="G16" s="28">
        <f>'Stavební rozpočet'!J29</f>
        <v>0</v>
      </c>
      <c r="H16" s="30" t="s">
        <v>613</v>
      </c>
      <c r="I16" s="28">
        <f t="shared" si="0"/>
        <v>0</v>
      </c>
    </row>
    <row r="17" spans="1:9">
      <c r="A17" s="2" t="s">
        <v>51</v>
      </c>
      <c r="B17" s="3" t="s">
        <v>123</v>
      </c>
      <c r="C17" s="76" t="s">
        <v>124</v>
      </c>
      <c r="D17" s="76"/>
      <c r="E17" s="28">
        <f>'Stavební rozpočet'!H33</f>
        <v>0</v>
      </c>
      <c r="F17" s="28">
        <f>'Stavební rozpočet'!I33</f>
        <v>0</v>
      </c>
      <c r="G17" s="28">
        <f>'Stavební rozpočet'!J33</f>
        <v>0</v>
      </c>
      <c r="H17" s="30" t="s">
        <v>613</v>
      </c>
      <c r="I17" s="28">
        <f t="shared" si="0"/>
        <v>0</v>
      </c>
    </row>
    <row r="18" spans="1:9">
      <c r="A18" s="2" t="s">
        <v>51</v>
      </c>
      <c r="B18" s="3" t="s">
        <v>135</v>
      </c>
      <c r="C18" s="76" t="s">
        <v>136</v>
      </c>
      <c r="D18" s="76"/>
      <c r="E18" s="28">
        <f>'Stavební rozpočet'!H37</f>
        <v>0</v>
      </c>
      <c r="F18" s="28">
        <f>'Stavební rozpočet'!I37</f>
        <v>0</v>
      </c>
      <c r="G18" s="28">
        <f>'Stavební rozpočet'!J37</f>
        <v>0</v>
      </c>
      <c r="H18" s="30" t="s">
        <v>613</v>
      </c>
      <c r="I18" s="28">
        <f t="shared" si="0"/>
        <v>0</v>
      </c>
    </row>
    <row r="19" spans="1:9">
      <c r="A19" s="2" t="s">
        <v>51</v>
      </c>
      <c r="B19" s="3" t="s">
        <v>149</v>
      </c>
      <c r="C19" s="76" t="s">
        <v>150</v>
      </c>
      <c r="D19" s="76"/>
      <c r="E19" s="28">
        <f>'Stavební rozpočet'!H41</f>
        <v>0</v>
      </c>
      <c r="F19" s="28">
        <f>'Stavební rozpočet'!I41</f>
        <v>0</v>
      </c>
      <c r="G19" s="28">
        <f>'Stavební rozpočet'!J41</f>
        <v>0</v>
      </c>
      <c r="H19" s="30" t="s">
        <v>613</v>
      </c>
      <c r="I19" s="28">
        <f t="shared" si="0"/>
        <v>0</v>
      </c>
    </row>
    <row r="20" spans="1:9">
      <c r="A20" s="2" t="s">
        <v>51</v>
      </c>
      <c r="B20" s="3" t="s">
        <v>164</v>
      </c>
      <c r="C20" s="76" t="s">
        <v>165</v>
      </c>
      <c r="D20" s="76"/>
      <c r="E20" s="28">
        <f>'Stavební rozpočet'!H46</f>
        <v>0</v>
      </c>
      <c r="F20" s="28">
        <f>'Stavební rozpočet'!I46</f>
        <v>0</v>
      </c>
      <c r="G20" s="28">
        <f>'Stavební rozpočet'!J46</f>
        <v>0</v>
      </c>
      <c r="H20" s="30" t="s">
        <v>613</v>
      </c>
      <c r="I20" s="28">
        <f t="shared" si="0"/>
        <v>0</v>
      </c>
    </row>
    <row r="21" spans="1:9">
      <c r="A21" s="2" t="s">
        <v>51</v>
      </c>
      <c r="B21" s="3" t="s">
        <v>170</v>
      </c>
      <c r="C21" s="76" t="s">
        <v>171</v>
      </c>
      <c r="D21" s="76"/>
      <c r="E21" s="28">
        <f>'Stavební rozpočet'!H48</f>
        <v>0</v>
      </c>
      <c r="F21" s="28">
        <f>'Stavební rozpočet'!I48</f>
        <v>0</v>
      </c>
      <c r="G21" s="28">
        <f>'Stavební rozpočet'!J48</f>
        <v>0</v>
      </c>
      <c r="H21" s="30" t="s">
        <v>613</v>
      </c>
      <c r="I21" s="28">
        <f t="shared" si="0"/>
        <v>0</v>
      </c>
    </row>
    <row r="22" spans="1:9">
      <c r="A22" s="2" t="s">
        <v>51</v>
      </c>
      <c r="B22" s="3" t="s">
        <v>191</v>
      </c>
      <c r="C22" s="76" t="s">
        <v>192</v>
      </c>
      <c r="D22" s="76"/>
      <c r="E22" s="28">
        <f>'Stavební rozpočet'!H55</f>
        <v>0</v>
      </c>
      <c r="F22" s="28">
        <f>'Stavební rozpočet'!I55</f>
        <v>0</v>
      </c>
      <c r="G22" s="28">
        <f>'Stavební rozpočet'!J55</f>
        <v>0</v>
      </c>
      <c r="H22" s="30" t="s">
        <v>613</v>
      </c>
      <c r="I22" s="28">
        <f t="shared" si="0"/>
        <v>0</v>
      </c>
    </row>
    <row r="23" spans="1:9">
      <c r="A23" s="2" t="s">
        <v>51</v>
      </c>
      <c r="B23" s="3" t="s">
        <v>200</v>
      </c>
      <c r="C23" s="76" t="s">
        <v>201</v>
      </c>
      <c r="D23" s="76"/>
      <c r="E23" s="28">
        <f>'Stavební rozpočet'!H58</f>
        <v>0</v>
      </c>
      <c r="F23" s="28">
        <f>'Stavební rozpočet'!I58</f>
        <v>0</v>
      </c>
      <c r="G23" s="28">
        <f>'Stavební rozpočet'!J58</f>
        <v>0</v>
      </c>
      <c r="H23" s="30" t="s">
        <v>613</v>
      </c>
      <c r="I23" s="28">
        <f t="shared" si="0"/>
        <v>0</v>
      </c>
    </row>
    <row r="24" spans="1:9">
      <c r="A24" s="2" t="s">
        <v>51</v>
      </c>
      <c r="B24" s="3" t="s">
        <v>235</v>
      </c>
      <c r="C24" s="76" t="s">
        <v>236</v>
      </c>
      <c r="D24" s="76"/>
      <c r="E24" s="28">
        <f>'Stavební rozpočet'!H70</f>
        <v>0</v>
      </c>
      <c r="F24" s="28">
        <f>'Stavební rozpočet'!I70</f>
        <v>0</v>
      </c>
      <c r="G24" s="28">
        <f>'Stavební rozpočet'!J70</f>
        <v>0</v>
      </c>
      <c r="H24" s="30" t="s">
        <v>613</v>
      </c>
      <c r="I24" s="28">
        <f t="shared" si="0"/>
        <v>0</v>
      </c>
    </row>
    <row r="25" spans="1:9">
      <c r="A25" s="2" t="s">
        <v>51</v>
      </c>
      <c r="B25" s="3" t="s">
        <v>265</v>
      </c>
      <c r="C25" s="76" t="s">
        <v>266</v>
      </c>
      <c r="D25" s="76"/>
      <c r="E25" s="28">
        <f>'Stavební rozpočet'!H80</f>
        <v>0</v>
      </c>
      <c r="F25" s="28">
        <f>'Stavební rozpočet'!I80</f>
        <v>0</v>
      </c>
      <c r="G25" s="28">
        <f>'Stavební rozpočet'!J80</f>
        <v>0</v>
      </c>
      <c r="H25" s="30" t="s">
        <v>613</v>
      </c>
      <c r="I25" s="28">
        <f t="shared" si="0"/>
        <v>0</v>
      </c>
    </row>
    <row r="26" spans="1:9">
      <c r="A26" s="2" t="s">
        <v>51</v>
      </c>
      <c r="B26" s="3" t="s">
        <v>302</v>
      </c>
      <c r="C26" s="76" t="s">
        <v>303</v>
      </c>
      <c r="D26" s="76"/>
      <c r="E26" s="28">
        <f>'Stavební rozpočet'!H94</f>
        <v>0</v>
      </c>
      <c r="F26" s="28">
        <f>'Stavební rozpočet'!I94</f>
        <v>0</v>
      </c>
      <c r="G26" s="28">
        <f>'Stavební rozpočet'!J94</f>
        <v>0</v>
      </c>
      <c r="H26" s="30" t="s">
        <v>613</v>
      </c>
      <c r="I26" s="28">
        <f t="shared" si="0"/>
        <v>0</v>
      </c>
    </row>
    <row r="27" spans="1:9">
      <c r="A27" s="2" t="s">
        <v>51</v>
      </c>
      <c r="B27" s="3" t="s">
        <v>315</v>
      </c>
      <c r="C27" s="76" t="s">
        <v>316</v>
      </c>
      <c r="D27" s="76"/>
      <c r="E27" s="28">
        <f>'Stavební rozpočet'!H98</f>
        <v>0</v>
      </c>
      <c r="F27" s="28">
        <f>'Stavební rozpočet'!I98</f>
        <v>0</v>
      </c>
      <c r="G27" s="28">
        <f>'Stavební rozpočet'!J98</f>
        <v>0</v>
      </c>
      <c r="H27" s="30" t="s">
        <v>613</v>
      </c>
      <c r="I27" s="28">
        <f t="shared" si="0"/>
        <v>0</v>
      </c>
    </row>
    <row r="28" spans="1:9">
      <c r="A28" s="2" t="s">
        <v>51</v>
      </c>
      <c r="B28" s="3" t="s">
        <v>342</v>
      </c>
      <c r="C28" s="76" t="s">
        <v>343</v>
      </c>
      <c r="D28" s="76"/>
      <c r="E28" s="28">
        <f>'Stavební rozpočet'!H107</f>
        <v>0</v>
      </c>
      <c r="F28" s="28">
        <f>'Stavební rozpočet'!I107</f>
        <v>0</v>
      </c>
      <c r="G28" s="28">
        <f>'Stavební rozpočet'!J107</f>
        <v>0</v>
      </c>
      <c r="H28" s="30" t="s">
        <v>613</v>
      </c>
      <c r="I28" s="28">
        <f t="shared" si="0"/>
        <v>0</v>
      </c>
    </row>
    <row r="29" spans="1:9">
      <c r="A29" s="2" t="s">
        <v>51</v>
      </c>
      <c r="B29" s="3" t="s">
        <v>348</v>
      </c>
      <c r="C29" s="76" t="s">
        <v>349</v>
      </c>
      <c r="D29" s="76"/>
      <c r="E29" s="28">
        <f>'Stavební rozpočet'!H109</f>
        <v>0</v>
      </c>
      <c r="F29" s="28">
        <f>'Stavební rozpočet'!I109</f>
        <v>0</v>
      </c>
      <c r="G29" s="28">
        <f>'Stavební rozpočet'!J109</f>
        <v>0</v>
      </c>
      <c r="H29" s="30" t="s">
        <v>613</v>
      </c>
      <c r="I29" s="28">
        <f t="shared" si="0"/>
        <v>0</v>
      </c>
    </row>
    <row r="30" spans="1:9">
      <c r="A30" s="2" t="s">
        <v>51</v>
      </c>
      <c r="B30" s="3" t="s">
        <v>354</v>
      </c>
      <c r="C30" s="76" t="s">
        <v>355</v>
      </c>
      <c r="D30" s="76"/>
      <c r="E30" s="28">
        <f>'Stavební rozpočet'!H111</f>
        <v>0</v>
      </c>
      <c r="F30" s="28">
        <f>'Stavební rozpočet'!I111</f>
        <v>0</v>
      </c>
      <c r="G30" s="28">
        <f>'Stavební rozpočet'!J111</f>
        <v>0</v>
      </c>
      <c r="H30" s="30" t="s">
        <v>613</v>
      </c>
      <c r="I30" s="28">
        <f t="shared" si="0"/>
        <v>0</v>
      </c>
    </row>
    <row r="31" spans="1:9">
      <c r="A31" s="2" t="s">
        <v>51</v>
      </c>
      <c r="B31" s="3" t="s">
        <v>364</v>
      </c>
      <c r="C31" s="76" t="s">
        <v>365</v>
      </c>
      <c r="D31" s="76"/>
      <c r="E31" s="28">
        <f>'Stavební rozpočet'!H114</f>
        <v>0</v>
      </c>
      <c r="F31" s="28">
        <f>'Stavební rozpočet'!I114</f>
        <v>0</v>
      </c>
      <c r="G31" s="28">
        <f>'Stavební rozpočet'!J114</f>
        <v>0</v>
      </c>
      <c r="H31" s="30" t="s">
        <v>613</v>
      </c>
      <c r="I31" s="28">
        <f t="shared" si="0"/>
        <v>0</v>
      </c>
    </row>
    <row r="32" spans="1:9">
      <c r="A32" s="2" t="s">
        <v>51</v>
      </c>
      <c r="B32" s="3" t="s">
        <v>389</v>
      </c>
      <c r="C32" s="76" t="s">
        <v>390</v>
      </c>
      <c r="D32" s="76"/>
      <c r="E32" s="28">
        <f>'Stavební rozpočet'!H122</f>
        <v>0</v>
      </c>
      <c r="F32" s="28">
        <f>'Stavební rozpočet'!I122</f>
        <v>0</v>
      </c>
      <c r="G32" s="28">
        <f>'Stavební rozpočet'!J122</f>
        <v>0</v>
      </c>
      <c r="H32" s="30" t="s">
        <v>613</v>
      </c>
      <c r="I32" s="28">
        <f t="shared" si="0"/>
        <v>0</v>
      </c>
    </row>
    <row r="33" spans="1:9">
      <c r="A33" s="2" t="s">
        <v>51</v>
      </c>
      <c r="B33" s="3" t="s">
        <v>395</v>
      </c>
      <c r="C33" s="76" t="s">
        <v>396</v>
      </c>
      <c r="D33" s="76"/>
      <c r="E33" s="28">
        <f>'Stavební rozpočet'!H124</f>
        <v>0</v>
      </c>
      <c r="F33" s="28">
        <f>'Stavební rozpočet'!I124</f>
        <v>0</v>
      </c>
      <c r="G33" s="28">
        <f>'Stavební rozpočet'!J124</f>
        <v>0</v>
      </c>
      <c r="H33" s="30" t="s">
        <v>613</v>
      </c>
      <c r="I33" s="28">
        <f t="shared" si="0"/>
        <v>0</v>
      </c>
    </row>
    <row r="34" spans="1:9">
      <c r="A34" s="2" t="s">
        <v>51</v>
      </c>
      <c r="B34" s="3" t="s">
        <v>397</v>
      </c>
      <c r="C34" s="76" t="s">
        <v>407</v>
      </c>
      <c r="D34" s="76"/>
      <c r="E34" s="28">
        <f>'Stavební rozpočet'!H128</f>
        <v>0</v>
      </c>
      <c r="F34" s="28">
        <f>'Stavební rozpočet'!I128</f>
        <v>0</v>
      </c>
      <c r="G34" s="28">
        <f>'Stavební rozpočet'!J128</f>
        <v>0</v>
      </c>
      <c r="H34" s="30" t="s">
        <v>613</v>
      </c>
      <c r="I34" s="28">
        <f t="shared" si="0"/>
        <v>0</v>
      </c>
    </row>
    <row r="35" spans="1:9">
      <c r="A35" s="2" t="s">
        <v>51</v>
      </c>
      <c r="B35" s="3" t="s">
        <v>408</v>
      </c>
      <c r="C35" s="76" t="s">
        <v>414</v>
      </c>
      <c r="D35" s="76"/>
      <c r="E35" s="28">
        <f>'Stavební rozpočet'!H130</f>
        <v>0</v>
      </c>
      <c r="F35" s="28">
        <f>'Stavební rozpočet'!I130</f>
        <v>0</v>
      </c>
      <c r="G35" s="28">
        <f>'Stavební rozpočet'!J130</f>
        <v>0</v>
      </c>
      <c r="H35" s="30" t="s">
        <v>613</v>
      </c>
      <c r="I35" s="28">
        <f t="shared" si="0"/>
        <v>0</v>
      </c>
    </row>
    <row r="36" spans="1:9">
      <c r="A36" s="2" t="s">
        <v>51</v>
      </c>
      <c r="B36" s="3" t="s">
        <v>415</v>
      </c>
      <c r="C36" s="76" t="s">
        <v>425</v>
      </c>
      <c r="D36" s="76"/>
      <c r="E36" s="28">
        <f>'Stavební rozpočet'!H134</f>
        <v>0</v>
      </c>
      <c r="F36" s="28">
        <f>'Stavební rozpočet'!I134</f>
        <v>0</v>
      </c>
      <c r="G36" s="28">
        <f>'Stavební rozpočet'!J134</f>
        <v>0</v>
      </c>
      <c r="H36" s="30" t="s">
        <v>613</v>
      </c>
      <c r="I36" s="28">
        <f t="shared" si="0"/>
        <v>0</v>
      </c>
    </row>
    <row r="37" spans="1:9">
      <c r="A37" s="2" t="s">
        <v>51</v>
      </c>
      <c r="B37" s="3" t="s">
        <v>419</v>
      </c>
      <c r="C37" s="76" t="s">
        <v>430</v>
      </c>
      <c r="D37" s="76"/>
      <c r="E37" s="28">
        <f>'Stavební rozpočet'!H136</f>
        <v>0</v>
      </c>
      <c r="F37" s="28">
        <f>'Stavební rozpočet'!I136</f>
        <v>0</v>
      </c>
      <c r="G37" s="28">
        <f>'Stavební rozpočet'!J136</f>
        <v>0</v>
      </c>
      <c r="H37" s="30" t="s">
        <v>613</v>
      </c>
      <c r="I37" s="28">
        <f t="shared" si="0"/>
        <v>0</v>
      </c>
    </row>
    <row r="38" spans="1:9">
      <c r="A38" s="2" t="s">
        <v>51</v>
      </c>
      <c r="B38" s="3" t="s">
        <v>422</v>
      </c>
      <c r="C38" s="76" t="s">
        <v>456</v>
      </c>
      <c r="D38" s="76"/>
      <c r="E38" s="28">
        <f>'Stavební rozpočet'!H145</f>
        <v>0</v>
      </c>
      <c r="F38" s="28">
        <f>'Stavební rozpočet'!I145</f>
        <v>0</v>
      </c>
      <c r="G38" s="28">
        <f>'Stavební rozpočet'!J145</f>
        <v>0</v>
      </c>
      <c r="H38" s="30" t="s">
        <v>613</v>
      </c>
      <c r="I38" s="28">
        <f t="shared" si="0"/>
        <v>0</v>
      </c>
    </row>
    <row r="39" spans="1:9">
      <c r="A39" s="2" t="s">
        <v>51</v>
      </c>
      <c r="B39" s="3" t="s">
        <v>479</v>
      </c>
      <c r="C39" s="76" t="s">
        <v>480</v>
      </c>
      <c r="D39" s="76"/>
      <c r="E39" s="28">
        <f>'Stavební rozpočet'!H153</f>
        <v>0</v>
      </c>
      <c r="F39" s="28">
        <f>'Stavební rozpočet'!I153</f>
        <v>0</v>
      </c>
      <c r="G39" s="28">
        <f>'Stavební rozpočet'!J153</f>
        <v>0</v>
      </c>
      <c r="H39" s="30" t="s">
        <v>613</v>
      </c>
      <c r="I39" s="28">
        <f t="shared" si="0"/>
        <v>0</v>
      </c>
    </row>
    <row r="40" spans="1:9">
      <c r="A40" s="2" t="s">
        <v>51</v>
      </c>
      <c r="B40" s="3" t="s">
        <v>524</v>
      </c>
      <c r="C40" s="76" t="s">
        <v>525</v>
      </c>
      <c r="D40" s="76"/>
      <c r="E40" s="28">
        <f>'Stavební rozpočet'!H168</f>
        <v>0</v>
      </c>
      <c r="F40" s="28">
        <f>'Stavební rozpočet'!I168</f>
        <v>0</v>
      </c>
      <c r="G40" s="28">
        <f>'Stavební rozpočet'!J168</f>
        <v>0</v>
      </c>
      <c r="H40" s="30" t="s">
        <v>613</v>
      </c>
      <c r="I40" s="28">
        <f t="shared" si="0"/>
        <v>0</v>
      </c>
    </row>
    <row r="41" spans="1:9">
      <c r="A41" s="2" t="s">
        <v>51</v>
      </c>
      <c r="B41" s="3" t="s">
        <v>542</v>
      </c>
      <c r="C41" s="76" t="s">
        <v>543</v>
      </c>
      <c r="D41" s="76"/>
      <c r="E41" s="28">
        <f>'Stavební rozpočet'!H174</f>
        <v>0</v>
      </c>
      <c r="F41" s="28">
        <f>'Stavební rozpočet'!I174</f>
        <v>0</v>
      </c>
      <c r="G41" s="28">
        <f>'Stavební rozpočet'!J174</f>
        <v>0</v>
      </c>
      <c r="H41" s="30" t="s">
        <v>613</v>
      </c>
      <c r="I41" s="28">
        <f t="shared" si="0"/>
        <v>0</v>
      </c>
    </row>
    <row r="42" spans="1:9">
      <c r="A42" s="2" t="s">
        <v>51</v>
      </c>
      <c r="B42" s="3" t="s">
        <v>548</v>
      </c>
      <c r="C42" s="76" t="s">
        <v>549</v>
      </c>
      <c r="D42" s="76"/>
      <c r="E42" s="28">
        <f>'Stavební rozpočet'!H176</f>
        <v>0</v>
      </c>
      <c r="F42" s="28">
        <f>'Stavební rozpočet'!I176</f>
        <v>0</v>
      </c>
      <c r="G42" s="28">
        <f>'Stavební rozpočet'!J176</f>
        <v>0</v>
      </c>
      <c r="H42" s="30" t="s">
        <v>613</v>
      </c>
      <c r="I42" s="28">
        <f t="shared" si="0"/>
        <v>0</v>
      </c>
    </row>
    <row r="43" spans="1:9">
      <c r="A43" s="2" t="s">
        <v>51</v>
      </c>
      <c r="B43" s="3" t="s">
        <v>51</v>
      </c>
      <c r="C43" s="76" t="s">
        <v>563</v>
      </c>
      <c r="D43" s="76"/>
      <c r="E43" s="28">
        <f>'Stavební rozpočet'!H181</f>
        <v>0</v>
      </c>
      <c r="F43" s="28">
        <f>'Stavební rozpočet'!I181</f>
        <v>0</v>
      </c>
      <c r="G43" s="28">
        <f>'Stavební rozpočet'!J181</f>
        <v>0</v>
      </c>
      <c r="H43" s="30" t="s">
        <v>613</v>
      </c>
      <c r="I43" s="28">
        <f t="shared" si="0"/>
        <v>0</v>
      </c>
    </row>
    <row r="44" spans="1:9">
      <c r="F44" s="4" t="s">
        <v>606</v>
      </c>
      <c r="G44" s="51">
        <f>SUM(I11:I43)</f>
        <v>0</v>
      </c>
    </row>
  </sheetData>
  <sheetProtection password="DD63" sheet="1" objects="1" scenarios="1"/>
  <mergeCells count="58"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  <mergeCell ref="G2:G3"/>
    <mergeCell ref="G4:G5"/>
    <mergeCell ref="G6:G7"/>
    <mergeCell ref="G8:G9"/>
    <mergeCell ref="C11:D11"/>
    <mergeCell ref="C8:C9"/>
    <mergeCell ref="E2:E3"/>
    <mergeCell ref="E4:E5"/>
    <mergeCell ref="E6:E7"/>
    <mergeCell ref="E8:E9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42:D42"/>
    <mergeCell ref="C43:D43"/>
    <mergeCell ref="C37:D37"/>
    <mergeCell ref="C38:D38"/>
    <mergeCell ref="C39:D39"/>
    <mergeCell ref="C40:D40"/>
    <mergeCell ref="C41:D41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7"/>
  <sheetViews>
    <sheetView workbookViewId="0">
      <selection activeCell="A37" sqref="A37:I37"/>
    </sheetView>
  </sheetViews>
  <sheetFormatPr defaultColWidth="12.140625" defaultRowHeight="15" customHeight="1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>
      <c r="A1" s="147" t="s">
        <v>614</v>
      </c>
      <c r="B1" s="100"/>
      <c r="C1" s="100"/>
      <c r="D1" s="100"/>
      <c r="E1" s="100"/>
      <c r="F1" s="100"/>
      <c r="G1" s="100"/>
      <c r="H1" s="100"/>
      <c r="I1" s="100"/>
    </row>
    <row r="2" spans="1:9">
      <c r="A2" s="101" t="s">
        <v>1</v>
      </c>
      <c r="B2" s="102"/>
      <c r="C2" s="106" t="str">
        <f>'Stavební rozpočet'!C2</f>
        <v>Oprava objektu</v>
      </c>
      <c r="D2" s="107"/>
      <c r="E2" s="88" t="s">
        <v>5</v>
      </c>
      <c r="F2" s="88" t="str">
        <f>'Stavební rozpočet'!K2</f>
        <v>obec Povrly, Mírová 165/7, 403 32</v>
      </c>
      <c r="G2" s="102"/>
      <c r="H2" s="88" t="s">
        <v>615</v>
      </c>
      <c r="I2" s="89" t="s">
        <v>51</v>
      </c>
    </row>
    <row r="3" spans="1:9" ht="15" customHeight="1">
      <c r="A3" s="103"/>
      <c r="B3" s="76"/>
      <c r="C3" s="108"/>
      <c r="D3" s="108"/>
      <c r="E3" s="76"/>
      <c r="F3" s="76"/>
      <c r="G3" s="76"/>
      <c r="H3" s="76"/>
      <c r="I3" s="90"/>
    </row>
    <row r="4" spans="1:9">
      <c r="A4" s="104" t="s">
        <v>7</v>
      </c>
      <c r="B4" s="76"/>
      <c r="C4" s="75" t="str">
        <f>'Stavební rozpočet'!C4</f>
        <v>sběrného dvora druhotných sorovin</v>
      </c>
      <c r="D4" s="76"/>
      <c r="E4" s="75" t="s">
        <v>10</v>
      </c>
      <c r="F4" s="75" t="str">
        <f>'Stavební rozpočet'!K4</f>
        <v>Ing. Kříž Jiří</v>
      </c>
      <c r="G4" s="76"/>
      <c r="H4" s="75" t="s">
        <v>615</v>
      </c>
      <c r="I4" s="90" t="s">
        <v>51</v>
      </c>
    </row>
    <row r="5" spans="1:9" ht="15" customHeight="1">
      <c r="A5" s="103"/>
      <c r="B5" s="76"/>
      <c r="C5" s="76"/>
      <c r="D5" s="76"/>
      <c r="E5" s="76"/>
      <c r="F5" s="76"/>
      <c r="G5" s="76"/>
      <c r="H5" s="76"/>
      <c r="I5" s="90"/>
    </row>
    <row r="6" spans="1:9">
      <c r="A6" s="104" t="s">
        <v>12</v>
      </c>
      <c r="B6" s="76"/>
      <c r="C6" s="75" t="str">
        <f>'Stavební rozpočet'!C6</f>
        <v>ulice Mládeže ev.č.557, Povrly</v>
      </c>
      <c r="D6" s="76"/>
      <c r="E6" s="75" t="s">
        <v>15</v>
      </c>
      <c r="F6" s="75" t="str">
        <f>'Stavební rozpočet'!K6</f>
        <v> </v>
      </c>
      <c r="G6" s="76"/>
      <c r="H6" s="75" t="s">
        <v>615</v>
      </c>
      <c r="I6" s="90" t="s">
        <v>51</v>
      </c>
    </row>
    <row r="7" spans="1:9" ht="15" customHeight="1">
      <c r="A7" s="103"/>
      <c r="B7" s="76"/>
      <c r="C7" s="76"/>
      <c r="D7" s="76"/>
      <c r="E7" s="76"/>
      <c r="F7" s="76"/>
      <c r="G7" s="76"/>
      <c r="H7" s="76"/>
      <c r="I7" s="90"/>
    </row>
    <row r="8" spans="1:9">
      <c r="A8" s="104" t="s">
        <v>9</v>
      </c>
      <c r="B8" s="76"/>
      <c r="C8" s="75" t="str">
        <f>'Stavební rozpočet'!I4</f>
        <v xml:space="preserve"> </v>
      </c>
      <c r="D8" s="76"/>
      <c r="E8" s="75" t="s">
        <v>14</v>
      </c>
      <c r="F8" s="75" t="str">
        <f>'Stavební rozpočet'!I6</f>
        <v xml:space="preserve"> </v>
      </c>
      <c r="G8" s="76"/>
      <c r="H8" s="76" t="s">
        <v>616</v>
      </c>
      <c r="I8" s="148">
        <v>150</v>
      </c>
    </row>
    <row r="9" spans="1:9">
      <c r="A9" s="103"/>
      <c r="B9" s="76"/>
      <c r="C9" s="76"/>
      <c r="D9" s="76"/>
      <c r="E9" s="76"/>
      <c r="F9" s="76"/>
      <c r="G9" s="76"/>
      <c r="H9" s="76"/>
      <c r="I9" s="90"/>
    </row>
    <row r="10" spans="1:9">
      <c r="A10" s="104" t="s">
        <v>17</v>
      </c>
      <c r="B10" s="76"/>
      <c r="C10" s="75" t="str">
        <f>'Stavební rozpočet'!C8</f>
        <v xml:space="preserve"> </v>
      </c>
      <c r="D10" s="76"/>
      <c r="E10" s="75" t="s">
        <v>20</v>
      </c>
      <c r="F10" s="75" t="str">
        <f>'Stavební rozpočet'!K8</f>
        <v>Ing. Jiří Kříž</v>
      </c>
      <c r="G10" s="76"/>
      <c r="H10" s="76" t="s">
        <v>617</v>
      </c>
      <c r="I10" s="110" t="str">
        <f>'Stavební rozpočet'!I8</f>
        <v>24.04.2024</v>
      </c>
    </row>
    <row r="11" spans="1:9">
      <c r="A11" s="146"/>
      <c r="B11" s="78"/>
      <c r="C11" s="78"/>
      <c r="D11" s="78"/>
      <c r="E11" s="78"/>
      <c r="F11" s="78"/>
      <c r="G11" s="78"/>
      <c r="H11" s="78"/>
      <c r="I11" s="142"/>
    </row>
    <row r="12" spans="1:9" ht="23.25">
      <c r="A12" s="143" t="s">
        <v>618</v>
      </c>
      <c r="B12" s="143"/>
      <c r="C12" s="143"/>
      <c r="D12" s="143"/>
      <c r="E12" s="143"/>
      <c r="F12" s="143"/>
      <c r="G12" s="143"/>
      <c r="H12" s="143"/>
      <c r="I12" s="143"/>
    </row>
    <row r="13" spans="1:9" ht="26.25" customHeight="1">
      <c r="A13" s="52" t="s">
        <v>619</v>
      </c>
      <c r="B13" s="144" t="s">
        <v>620</v>
      </c>
      <c r="C13" s="145"/>
      <c r="D13" s="53" t="s">
        <v>621</v>
      </c>
      <c r="E13" s="144" t="s">
        <v>622</v>
      </c>
      <c r="F13" s="145"/>
      <c r="G13" s="53" t="s">
        <v>623</v>
      </c>
      <c r="H13" s="144" t="s">
        <v>624</v>
      </c>
      <c r="I13" s="145"/>
    </row>
    <row r="14" spans="1:9" ht="15.75">
      <c r="A14" s="54" t="s">
        <v>625</v>
      </c>
      <c r="B14" s="55" t="s">
        <v>626</v>
      </c>
      <c r="C14" s="56">
        <f>SUM('Stavební rozpočet'!AB12:AB194)</f>
        <v>0</v>
      </c>
      <c r="D14" s="132" t="s">
        <v>627</v>
      </c>
      <c r="E14" s="133"/>
      <c r="F14" s="56">
        <f>VORN!I15</f>
        <v>0</v>
      </c>
      <c r="G14" s="132" t="s">
        <v>628</v>
      </c>
      <c r="H14" s="133"/>
      <c r="I14" s="57">
        <f>VORN!I21</f>
        <v>0</v>
      </c>
    </row>
    <row r="15" spans="1:9" ht="15.75">
      <c r="A15" s="58" t="s">
        <v>51</v>
      </c>
      <c r="B15" s="55" t="s">
        <v>36</v>
      </c>
      <c r="C15" s="56">
        <f>SUM('Stavební rozpočet'!AC12:AC194)</f>
        <v>0</v>
      </c>
      <c r="D15" s="132" t="s">
        <v>629</v>
      </c>
      <c r="E15" s="133"/>
      <c r="F15" s="56">
        <f>VORN!I16</f>
        <v>0</v>
      </c>
      <c r="G15" s="132" t="s">
        <v>630</v>
      </c>
      <c r="H15" s="133"/>
      <c r="I15" s="57">
        <f>VORN!I22</f>
        <v>0</v>
      </c>
    </row>
    <row r="16" spans="1:9" ht="15.75">
      <c r="A16" s="54" t="s">
        <v>631</v>
      </c>
      <c r="B16" s="55" t="s">
        <v>626</v>
      </c>
      <c r="C16" s="56">
        <f>SUM('Stavební rozpočet'!AD12:AD194)</f>
        <v>0</v>
      </c>
      <c r="D16" s="132" t="s">
        <v>632</v>
      </c>
      <c r="E16" s="133"/>
      <c r="F16" s="56">
        <f>VORN!I17</f>
        <v>0</v>
      </c>
      <c r="G16" s="132" t="s">
        <v>633</v>
      </c>
      <c r="H16" s="133"/>
      <c r="I16" s="57">
        <f>VORN!I23</f>
        <v>0</v>
      </c>
    </row>
    <row r="17" spans="1:9" ht="15.75">
      <c r="A17" s="58" t="s">
        <v>51</v>
      </c>
      <c r="B17" s="55" t="s">
        <v>36</v>
      </c>
      <c r="C17" s="56">
        <f>SUM('Stavební rozpočet'!AE12:AE194)</f>
        <v>0</v>
      </c>
      <c r="D17" s="132" t="s">
        <v>51</v>
      </c>
      <c r="E17" s="133"/>
      <c r="F17" s="57" t="s">
        <v>51</v>
      </c>
      <c r="G17" s="132" t="s">
        <v>634</v>
      </c>
      <c r="H17" s="133"/>
      <c r="I17" s="57">
        <f>VORN!I24</f>
        <v>0</v>
      </c>
    </row>
    <row r="18" spans="1:9" ht="15.75">
      <c r="A18" s="54" t="s">
        <v>635</v>
      </c>
      <c r="B18" s="55" t="s">
        <v>626</v>
      </c>
      <c r="C18" s="56">
        <f>SUM('Stavební rozpočet'!AF12:AF194)</f>
        <v>0</v>
      </c>
      <c r="D18" s="132" t="s">
        <v>51</v>
      </c>
      <c r="E18" s="133"/>
      <c r="F18" s="57" t="s">
        <v>51</v>
      </c>
      <c r="G18" s="132" t="s">
        <v>636</v>
      </c>
      <c r="H18" s="133"/>
      <c r="I18" s="57">
        <f>VORN!I25</f>
        <v>0</v>
      </c>
    </row>
    <row r="19" spans="1:9" ht="15.75">
      <c r="A19" s="58" t="s">
        <v>51</v>
      </c>
      <c r="B19" s="55" t="s">
        <v>36</v>
      </c>
      <c r="C19" s="56">
        <f>SUM('Stavební rozpočet'!AG12:AG194)</f>
        <v>0</v>
      </c>
      <c r="D19" s="132" t="s">
        <v>51</v>
      </c>
      <c r="E19" s="133"/>
      <c r="F19" s="57" t="s">
        <v>51</v>
      </c>
      <c r="G19" s="132" t="s">
        <v>637</v>
      </c>
      <c r="H19" s="133"/>
      <c r="I19" s="57">
        <f>VORN!I26</f>
        <v>0</v>
      </c>
    </row>
    <row r="20" spans="1:9" ht="15.75">
      <c r="A20" s="124" t="s">
        <v>563</v>
      </c>
      <c r="B20" s="125"/>
      <c r="C20" s="56">
        <f>SUM('Stavební rozpočet'!AH12:AH194)</f>
        <v>0</v>
      </c>
      <c r="D20" s="132" t="s">
        <v>51</v>
      </c>
      <c r="E20" s="133"/>
      <c r="F20" s="57" t="s">
        <v>51</v>
      </c>
      <c r="G20" s="132" t="s">
        <v>51</v>
      </c>
      <c r="H20" s="133"/>
      <c r="I20" s="57" t="s">
        <v>51</v>
      </c>
    </row>
    <row r="21" spans="1:9" ht="15.75">
      <c r="A21" s="139" t="s">
        <v>638</v>
      </c>
      <c r="B21" s="140"/>
      <c r="C21" s="59">
        <f>SUM('Stavební rozpočet'!Z12:Z194)</f>
        <v>0</v>
      </c>
      <c r="D21" s="134" t="s">
        <v>51</v>
      </c>
      <c r="E21" s="135"/>
      <c r="F21" s="60" t="s">
        <v>51</v>
      </c>
      <c r="G21" s="134" t="s">
        <v>51</v>
      </c>
      <c r="H21" s="135"/>
      <c r="I21" s="60" t="s">
        <v>51</v>
      </c>
    </row>
    <row r="22" spans="1:9" ht="16.5" customHeight="1">
      <c r="A22" s="141" t="s">
        <v>639</v>
      </c>
      <c r="B22" s="137"/>
      <c r="C22" s="61">
        <f>SUM(C14:C21)</f>
        <v>0</v>
      </c>
      <c r="D22" s="136" t="s">
        <v>640</v>
      </c>
      <c r="E22" s="137"/>
      <c r="F22" s="61">
        <f>SUM(F14:F21)</f>
        <v>0</v>
      </c>
      <c r="G22" s="136" t="s">
        <v>641</v>
      </c>
      <c r="H22" s="137"/>
      <c r="I22" s="61">
        <f>SUM(I14:I21)</f>
        <v>0</v>
      </c>
    </row>
    <row r="23" spans="1:9" ht="15.75">
      <c r="D23" s="124" t="s">
        <v>642</v>
      </c>
      <c r="E23" s="125"/>
      <c r="F23" s="62">
        <v>0</v>
      </c>
      <c r="G23" s="138" t="s">
        <v>643</v>
      </c>
      <c r="H23" s="125"/>
      <c r="I23" s="56">
        <v>0</v>
      </c>
    </row>
    <row r="24" spans="1:9" ht="15.75">
      <c r="G24" s="124" t="s">
        <v>644</v>
      </c>
      <c r="H24" s="125"/>
      <c r="I24" s="59">
        <f>vorn_sum</f>
        <v>0</v>
      </c>
    </row>
    <row r="25" spans="1:9" ht="15.75">
      <c r="G25" s="124" t="s">
        <v>645</v>
      </c>
      <c r="H25" s="125"/>
      <c r="I25" s="61">
        <v>0</v>
      </c>
    </row>
    <row r="27" spans="1:9" ht="15.75">
      <c r="A27" s="126" t="s">
        <v>646</v>
      </c>
      <c r="B27" s="127"/>
      <c r="C27" s="63">
        <f>SUM('Stavební rozpočet'!AJ12:AJ194)</f>
        <v>0</v>
      </c>
    </row>
    <row r="28" spans="1:9" ht="15.75">
      <c r="A28" s="128" t="s">
        <v>647</v>
      </c>
      <c r="B28" s="129"/>
      <c r="C28" s="64">
        <f>SUM('Stavební rozpočet'!AK12:AK194)</f>
        <v>0</v>
      </c>
      <c r="D28" s="130" t="s">
        <v>648</v>
      </c>
      <c r="E28" s="127"/>
      <c r="F28" s="63">
        <f>ROUND(C28*(12/100),2)</f>
        <v>0</v>
      </c>
      <c r="G28" s="130" t="s">
        <v>649</v>
      </c>
      <c r="H28" s="127"/>
      <c r="I28" s="63">
        <f>SUM(C27:C29)</f>
        <v>0</v>
      </c>
    </row>
    <row r="29" spans="1:9" ht="15.75">
      <c r="A29" s="128" t="s">
        <v>650</v>
      </c>
      <c r="B29" s="129"/>
      <c r="C29" s="64">
        <f>SUM('Stavební rozpočet'!AL12:AL194)+(F22+I22+F23+I23+I24+I25)</f>
        <v>0</v>
      </c>
      <c r="D29" s="131" t="s">
        <v>651</v>
      </c>
      <c r="E29" s="129"/>
      <c r="F29" s="64">
        <f>ROUND(C29*(21/100),2)</f>
        <v>0</v>
      </c>
      <c r="G29" s="131" t="s">
        <v>652</v>
      </c>
      <c r="H29" s="129"/>
      <c r="I29" s="64">
        <f>SUM(F28:F29)+I28</f>
        <v>0</v>
      </c>
    </row>
    <row r="31" spans="1:9">
      <c r="A31" s="121" t="s">
        <v>653</v>
      </c>
      <c r="B31" s="113"/>
      <c r="C31" s="114"/>
      <c r="D31" s="112" t="s">
        <v>654</v>
      </c>
      <c r="E31" s="113"/>
      <c r="F31" s="114"/>
      <c r="G31" s="112" t="s">
        <v>655</v>
      </c>
      <c r="H31" s="113"/>
      <c r="I31" s="114"/>
    </row>
    <row r="32" spans="1:9">
      <c r="A32" s="122" t="s">
        <v>51</v>
      </c>
      <c r="B32" s="116"/>
      <c r="C32" s="117"/>
      <c r="D32" s="115" t="s">
        <v>51</v>
      </c>
      <c r="E32" s="116"/>
      <c r="F32" s="117"/>
      <c r="G32" s="115" t="s">
        <v>51</v>
      </c>
      <c r="H32" s="116"/>
      <c r="I32" s="117"/>
    </row>
    <row r="33" spans="1:9">
      <c r="A33" s="122" t="s">
        <v>51</v>
      </c>
      <c r="B33" s="116"/>
      <c r="C33" s="117"/>
      <c r="D33" s="115" t="s">
        <v>51</v>
      </c>
      <c r="E33" s="116"/>
      <c r="F33" s="117"/>
      <c r="G33" s="115" t="s">
        <v>51</v>
      </c>
      <c r="H33" s="116"/>
      <c r="I33" s="117"/>
    </row>
    <row r="34" spans="1:9">
      <c r="A34" s="122" t="s">
        <v>51</v>
      </c>
      <c r="B34" s="116"/>
      <c r="C34" s="117"/>
      <c r="D34" s="115" t="s">
        <v>51</v>
      </c>
      <c r="E34" s="116"/>
      <c r="F34" s="117"/>
      <c r="G34" s="115" t="s">
        <v>51</v>
      </c>
      <c r="H34" s="116"/>
      <c r="I34" s="117"/>
    </row>
    <row r="35" spans="1:9">
      <c r="A35" s="123" t="s">
        <v>656</v>
      </c>
      <c r="B35" s="119"/>
      <c r="C35" s="120"/>
      <c r="D35" s="118" t="s">
        <v>656</v>
      </c>
      <c r="E35" s="119"/>
      <c r="F35" s="120"/>
      <c r="G35" s="118" t="s">
        <v>656</v>
      </c>
      <c r="H35" s="119"/>
      <c r="I35" s="120"/>
    </row>
    <row r="36" spans="1:9">
      <c r="A36" s="65" t="s">
        <v>607</v>
      </c>
    </row>
    <row r="37" spans="1:9" ht="12.75" customHeight="1">
      <c r="A37" s="75" t="s">
        <v>51</v>
      </c>
      <c r="B37" s="76"/>
      <c r="C37" s="76"/>
      <c r="D37" s="76"/>
      <c r="E37" s="76"/>
      <c r="F37" s="76"/>
      <c r="G37" s="76"/>
      <c r="H37" s="76"/>
      <c r="I37" s="76"/>
    </row>
  </sheetData>
  <sheetProtection password="DD63" sheet="1"/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"/>
  <sheetViews>
    <sheetView workbookViewId="0">
      <selection activeCell="A36" sqref="A36:E36"/>
    </sheetView>
  </sheetViews>
  <sheetFormatPr defaultColWidth="12.140625" defaultRowHeight="15" customHeight="1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>
      <c r="A1" s="147" t="s">
        <v>657</v>
      </c>
      <c r="B1" s="100"/>
      <c r="C1" s="100"/>
      <c r="D1" s="100"/>
      <c r="E1" s="100"/>
      <c r="F1" s="100"/>
      <c r="G1" s="100"/>
      <c r="H1" s="100"/>
      <c r="I1" s="100"/>
    </row>
    <row r="2" spans="1:9">
      <c r="A2" s="101" t="s">
        <v>1</v>
      </c>
      <c r="B2" s="102"/>
      <c r="C2" s="106" t="str">
        <f>'Stavební rozpočet'!C2</f>
        <v>Oprava objektu</v>
      </c>
      <c r="D2" s="107"/>
      <c r="E2" s="88" t="s">
        <v>5</v>
      </c>
      <c r="F2" s="88" t="str">
        <f>'Stavební rozpočet'!K2</f>
        <v>obec Povrly, Mírová 165/7, 403 32</v>
      </c>
      <c r="G2" s="102"/>
      <c r="H2" s="88" t="s">
        <v>615</v>
      </c>
      <c r="I2" s="89" t="s">
        <v>51</v>
      </c>
    </row>
    <row r="3" spans="1:9" ht="15" customHeight="1">
      <c r="A3" s="103"/>
      <c r="B3" s="76"/>
      <c r="C3" s="108"/>
      <c r="D3" s="108"/>
      <c r="E3" s="76"/>
      <c r="F3" s="76"/>
      <c r="G3" s="76"/>
      <c r="H3" s="76"/>
      <c r="I3" s="90"/>
    </row>
    <row r="4" spans="1:9">
      <c r="A4" s="104" t="s">
        <v>7</v>
      </c>
      <c r="B4" s="76"/>
      <c r="C4" s="75" t="str">
        <f>'Stavební rozpočet'!C4</f>
        <v>sběrného dvora druhotných sorovin</v>
      </c>
      <c r="D4" s="76"/>
      <c r="E4" s="75" t="s">
        <v>10</v>
      </c>
      <c r="F4" s="75" t="str">
        <f>'Stavební rozpočet'!K4</f>
        <v>Ing. Kříž Jiří</v>
      </c>
      <c r="G4" s="76"/>
      <c r="H4" s="75" t="s">
        <v>615</v>
      </c>
      <c r="I4" s="90" t="s">
        <v>51</v>
      </c>
    </row>
    <row r="5" spans="1:9" ht="15" customHeight="1">
      <c r="A5" s="103"/>
      <c r="B5" s="76"/>
      <c r="C5" s="76"/>
      <c r="D5" s="76"/>
      <c r="E5" s="76"/>
      <c r="F5" s="76"/>
      <c r="G5" s="76"/>
      <c r="H5" s="76"/>
      <c r="I5" s="90"/>
    </row>
    <row r="6" spans="1:9">
      <c r="A6" s="104" t="s">
        <v>12</v>
      </c>
      <c r="B6" s="76"/>
      <c r="C6" s="75" t="str">
        <f>'Stavební rozpočet'!C6</f>
        <v>ulice Mládeže ev.č.557, Povrly</v>
      </c>
      <c r="D6" s="76"/>
      <c r="E6" s="75" t="s">
        <v>15</v>
      </c>
      <c r="F6" s="75" t="str">
        <f>'Stavební rozpočet'!K6</f>
        <v> </v>
      </c>
      <c r="G6" s="76"/>
      <c r="H6" s="75" t="s">
        <v>615</v>
      </c>
      <c r="I6" s="90" t="s">
        <v>51</v>
      </c>
    </row>
    <row r="7" spans="1:9" ht="15" customHeight="1">
      <c r="A7" s="103"/>
      <c r="B7" s="76"/>
      <c r="C7" s="76"/>
      <c r="D7" s="76"/>
      <c r="E7" s="76"/>
      <c r="F7" s="76"/>
      <c r="G7" s="76"/>
      <c r="H7" s="76"/>
      <c r="I7" s="90"/>
    </row>
    <row r="8" spans="1:9">
      <c r="A8" s="104" t="s">
        <v>9</v>
      </c>
      <c r="B8" s="76"/>
      <c r="C8" s="75" t="str">
        <f>'Stavební rozpočet'!I4</f>
        <v xml:space="preserve"> </v>
      </c>
      <c r="D8" s="76"/>
      <c r="E8" s="75" t="s">
        <v>14</v>
      </c>
      <c r="F8" s="75" t="str">
        <f>'Stavební rozpočet'!I6</f>
        <v xml:space="preserve"> </v>
      </c>
      <c r="G8" s="76"/>
      <c r="H8" s="76" t="s">
        <v>616</v>
      </c>
      <c r="I8" s="148">
        <v>150</v>
      </c>
    </row>
    <row r="9" spans="1:9">
      <c r="A9" s="103"/>
      <c r="B9" s="76"/>
      <c r="C9" s="76"/>
      <c r="D9" s="76"/>
      <c r="E9" s="76"/>
      <c r="F9" s="76"/>
      <c r="G9" s="76"/>
      <c r="H9" s="76"/>
      <c r="I9" s="90"/>
    </row>
    <row r="10" spans="1:9">
      <c r="A10" s="104" t="s">
        <v>17</v>
      </c>
      <c r="B10" s="76"/>
      <c r="C10" s="75" t="str">
        <f>'Stavební rozpočet'!C8</f>
        <v xml:space="preserve"> </v>
      </c>
      <c r="D10" s="76"/>
      <c r="E10" s="75" t="s">
        <v>20</v>
      </c>
      <c r="F10" s="75" t="str">
        <f>'Stavební rozpočet'!K8</f>
        <v>Ing. Jiří Kříž</v>
      </c>
      <c r="G10" s="76"/>
      <c r="H10" s="76" t="s">
        <v>617</v>
      </c>
      <c r="I10" s="110" t="str">
        <f>'Stavební rozpočet'!I8</f>
        <v>24.04.2024</v>
      </c>
    </row>
    <row r="11" spans="1:9">
      <c r="A11" s="146"/>
      <c r="B11" s="78"/>
      <c r="C11" s="78"/>
      <c r="D11" s="78"/>
      <c r="E11" s="78"/>
      <c r="F11" s="78"/>
      <c r="G11" s="78"/>
      <c r="H11" s="78"/>
      <c r="I11" s="142"/>
    </row>
    <row r="13" spans="1:9" ht="15.75">
      <c r="A13" s="158" t="s">
        <v>658</v>
      </c>
      <c r="B13" s="158"/>
      <c r="C13" s="158"/>
      <c r="D13" s="158"/>
      <c r="E13" s="158"/>
    </row>
    <row r="14" spans="1:9">
      <c r="A14" s="159" t="s">
        <v>659</v>
      </c>
      <c r="B14" s="160"/>
      <c r="C14" s="160"/>
      <c r="D14" s="160"/>
      <c r="E14" s="161"/>
      <c r="F14" s="66" t="s">
        <v>660</v>
      </c>
      <c r="G14" s="66" t="s">
        <v>661</v>
      </c>
      <c r="H14" s="66" t="s">
        <v>662</v>
      </c>
      <c r="I14" s="66" t="s">
        <v>660</v>
      </c>
    </row>
    <row r="15" spans="1:9">
      <c r="A15" s="165" t="s">
        <v>627</v>
      </c>
      <c r="B15" s="166"/>
      <c r="C15" s="166"/>
      <c r="D15" s="166"/>
      <c r="E15" s="167"/>
      <c r="F15" s="67">
        <v>0</v>
      </c>
      <c r="G15" s="68" t="s">
        <v>51</v>
      </c>
      <c r="H15" s="68" t="s">
        <v>51</v>
      </c>
      <c r="I15" s="67">
        <f>F15</f>
        <v>0</v>
      </c>
    </row>
    <row r="16" spans="1:9">
      <c r="A16" s="165" t="s">
        <v>629</v>
      </c>
      <c r="B16" s="166"/>
      <c r="C16" s="166"/>
      <c r="D16" s="166"/>
      <c r="E16" s="167"/>
      <c r="F16" s="67">
        <v>0</v>
      </c>
      <c r="G16" s="68" t="s">
        <v>51</v>
      </c>
      <c r="H16" s="68" t="s">
        <v>51</v>
      </c>
      <c r="I16" s="67">
        <f>F16</f>
        <v>0</v>
      </c>
    </row>
    <row r="17" spans="1:9">
      <c r="A17" s="162" t="s">
        <v>632</v>
      </c>
      <c r="B17" s="163"/>
      <c r="C17" s="163"/>
      <c r="D17" s="163"/>
      <c r="E17" s="164"/>
      <c r="F17" s="69">
        <v>0</v>
      </c>
      <c r="G17" s="70" t="s">
        <v>51</v>
      </c>
      <c r="H17" s="70" t="s">
        <v>51</v>
      </c>
      <c r="I17" s="69">
        <f>F17</f>
        <v>0</v>
      </c>
    </row>
    <row r="18" spans="1:9">
      <c r="A18" s="149" t="s">
        <v>663</v>
      </c>
      <c r="B18" s="150"/>
      <c r="C18" s="150"/>
      <c r="D18" s="150"/>
      <c r="E18" s="151"/>
      <c r="F18" s="71" t="s">
        <v>51</v>
      </c>
      <c r="G18" s="72" t="s">
        <v>51</v>
      </c>
      <c r="H18" s="72" t="s">
        <v>51</v>
      </c>
      <c r="I18" s="73">
        <f>SUM(I15:I17)</f>
        <v>0</v>
      </c>
    </row>
    <row r="20" spans="1:9">
      <c r="A20" s="159" t="s">
        <v>624</v>
      </c>
      <c r="B20" s="160"/>
      <c r="C20" s="160"/>
      <c r="D20" s="160"/>
      <c r="E20" s="161"/>
      <c r="F20" s="66" t="s">
        <v>660</v>
      </c>
      <c r="G20" s="66" t="s">
        <v>661</v>
      </c>
      <c r="H20" s="66" t="s">
        <v>662</v>
      </c>
      <c r="I20" s="66" t="s">
        <v>660</v>
      </c>
    </row>
    <row r="21" spans="1:9">
      <c r="A21" s="165" t="s">
        <v>628</v>
      </c>
      <c r="B21" s="166"/>
      <c r="C21" s="166"/>
      <c r="D21" s="166"/>
      <c r="E21" s="167"/>
      <c r="F21" s="67">
        <v>0</v>
      </c>
      <c r="G21" s="68" t="s">
        <v>51</v>
      </c>
      <c r="H21" s="68" t="s">
        <v>51</v>
      </c>
      <c r="I21" s="67">
        <f t="shared" ref="I21:I26" si="0">F21</f>
        <v>0</v>
      </c>
    </row>
    <row r="22" spans="1:9">
      <c r="A22" s="165" t="s">
        <v>630</v>
      </c>
      <c r="B22" s="166"/>
      <c r="C22" s="166"/>
      <c r="D22" s="166"/>
      <c r="E22" s="167"/>
      <c r="F22" s="67">
        <v>0</v>
      </c>
      <c r="G22" s="68" t="s">
        <v>51</v>
      </c>
      <c r="H22" s="68" t="s">
        <v>51</v>
      </c>
      <c r="I22" s="67">
        <f t="shared" si="0"/>
        <v>0</v>
      </c>
    </row>
    <row r="23" spans="1:9">
      <c r="A23" s="165" t="s">
        <v>633</v>
      </c>
      <c r="B23" s="166"/>
      <c r="C23" s="166"/>
      <c r="D23" s="166"/>
      <c r="E23" s="167"/>
      <c r="F23" s="67">
        <v>0</v>
      </c>
      <c r="G23" s="68" t="s">
        <v>51</v>
      </c>
      <c r="H23" s="68" t="s">
        <v>51</v>
      </c>
      <c r="I23" s="67">
        <f t="shared" si="0"/>
        <v>0</v>
      </c>
    </row>
    <row r="24" spans="1:9">
      <c r="A24" s="165" t="s">
        <v>634</v>
      </c>
      <c r="B24" s="166"/>
      <c r="C24" s="166"/>
      <c r="D24" s="166"/>
      <c r="E24" s="167"/>
      <c r="F24" s="67">
        <v>0</v>
      </c>
      <c r="G24" s="68" t="s">
        <v>51</v>
      </c>
      <c r="H24" s="68" t="s">
        <v>51</v>
      </c>
      <c r="I24" s="67">
        <f t="shared" si="0"/>
        <v>0</v>
      </c>
    </row>
    <row r="25" spans="1:9">
      <c r="A25" s="165" t="s">
        <v>636</v>
      </c>
      <c r="B25" s="166"/>
      <c r="C25" s="166"/>
      <c r="D25" s="166"/>
      <c r="E25" s="167"/>
      <c r="F25" s="67">
        <v>0</v>
      </c>
      <c r="G25" s="68" t="s">
        <v>51</v>
      </c>
      <c r="H25" s="68" t="s">
        <v>51</v>
      </c>
      <c r="I25" s="67">
        <f t="shared" si="0"/>
        <v>0</v>
      </c>
    </row>
    <row r="26" spans="1:9">
      <c r="A26" s="162" t="s">
        <v>637</v>
      </c>
      <c r="B26" s="163"/>
      <c r="C26" s="163"/>
      <c r="D26" s="163"/>
      <c r="E26" s="164"/>
      <c r="F26" s="69">
        <v>0</v>
      </c>
      <c r="G26" s="70" t="s">
        <v>51</v>
      </c>
      <c r="H26" s="70" t="s">
        <v>51</v>
      </c>
      <c r="I26" s="69">
        <f t="shared" si="0"/>
        <v>0</v>
      </c>
    </row>
    <row r="27" spans="1:9">
      <c r="A27" s="149" t="s">
        <v>664</v>
      </c>
      <c r="B27" s="150"/>
      <c r="C27" s="150"/>
      <c r="D27" s="150"/>
      <c r="E27" s="151"/>
      <c r="F27" s="71" t="s">
        <v>51</v>
      </c>
      <c r="G27" s="72" t="s">
        <v>51</v>
      </c>
      <c r="H27" s="72" t="s">
        <v>51</v>
      </c>
      <c r="I27" s="73">
        <f>SUM(I21:I26)</f>
        <v>0</v>
      </c>
    </row>
    <row r="29" spans="1:9" ht="15.75">
      <c r="A29" s="152" t="s">
        <v>665</v>
      </c>
      <c r="B29" s="153"/>
      <c r="C29" s="153"/>
      <c r="D29" s="153"/>
      <c r="E29" s="154"/>
      <c r="F29" s="155">
        <f>I18+I27</f>
        <v>0</v>
      </c>
      <c r="G29" s="156"/>
      <c r="H29" s="156"/>
      <c r="I29" s="157"/>
    </row>
    <row r="33" spans="1:9" ht="15.75">
      <c r="A33" s="158" t="s">
        <v>666</v>
      </c>
      <c r="B33" s="158"/>
      <c r="C33" s="158"/>
      <c r="D33" s="158"/>
      <c r="E33" s="158"/>
    </row>
    <row r="34" spans="1:9">
      <c r="A34" s="159" t="s">
        <v>667</v>
      </c>
      <c r="B34" s="160"/>
      <c r="C34" s="160"/>
      <c r="D34" s="160"/>
      <c r="E34" s="161"/>
      <c r="F34" s="66" t="s">
        <v>660</v>
      </c>
      <c r="G34" s="66" t="s">
        <v>661</v>
      </c>
      <c r="H34" s="66" t="s">
        <v>662</v>
      </c>
      <c r="I34" s="66" t="s">
        <v>660</v>
      </c>
    </row>
    <row r="35" spans="1:9">
      <c r="A35" s="162" t="s">
        <v>51</v>
      </c>
      <c r="B35" s="163"/>
      <c r="C35" s="163"/>
      <c r="D35" s="163"/>
      <c r="E35" s="164"/>
      <c r="F35" s="69">
        <v>0</v>
      </c>
      <c r="G35" s="70" t="s">
        <v>51</v>
      </c>
      <c r="H35" s="70" t="s">
        <v>51</v>
      </c>
      <c r="I35" s="69">
        <f>F35</f>
        <v>0</v>
      </c>
    </row>
    <row r="36" spans="1:9">
      <c r="A36" s="149" t="s">
        <v>668</v>
      </c>
      <c r="B36" s="150"/>
      <c r="C36" s="150"/>
      <c r="D36" s="150"/>
      <c r="E36" s="151"/>
      <c r="F36" s="71" t="s">
        <v>51</v>
      </c>
      <c r="G36" s="72" t="s">
        <v>51</v>
      </c>
      <c r="H36" s="72" t="s">
        <v>51</v>
      </c>
      <c r="I36" s="73">
        <f>SUM(I35:I35)</f>
        <v>0</v>
      </c>
    </row>
  </sheetData>
  <sheetProtection password="DD63" sheet="1"/>
  <mergeCells count="51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36:E36"/>
    <mergeCell ref="A29:E29"/>
    <mergeCell ref="F29:I29"/>
    <mergeCell ref="A33:E33"/>
    <mergeCell ref="A34:E34"/>
    <mergeCell ref="A35:E35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Stavební rozpočet</vt:lpstr>
      <vt:lpstr>Stavební rozpočet - součet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Uživatel systému Windows</cp:lastModifiedBy>
  <dcterms:created xsi:type="dcterms:W3CDTF">2021-06-10T20:06:38Z</dcterms:created>
  <dcterms:modified xsi:type="dcterms:W3CDTF">2024-05-02T13:46:51Z</dcterms:modified>
</cp:coreProperties>
</file>