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ARIPROS\Stochov_město\Vnitrobloky_Stochov\Vnitroblok_Zborovská\DPS_II_etapa_změna_06_2025\"/>
    </mc:Choice>
  </mc:AlternateContent>
  <xr:revisionPtr revIDLastSave="0" documentId="13_ncr:1_{0A6CAB82-C9C7-4881-ADDF-219DEF14C5BE}" xr6:coauthVersionLast="47" xr6:coauthVersionMax="47" xr10:uidLastSave="{00000000-0000-0000-0000-000000000000}"/>
  <bookViews>
    <workbookView xWindow="-120" yWindow="-120" windowWidth="51840" windowHeight="21120" activeTab="2" xr2:uid="{00000000-000D-0000-FFFF-FFFF00000000}"/>
  </bookViews>
  <sheets>
    <sheet name="Stavební rozpočet" sheetId="1" r:id="rId1"/>
    <sheet name="Stavební rozpočet - součet" sheetId="2" r:id="rId2"/>
    <sheet name="Krycí list rozpočtu" sheetId="3" r:id="rId3"/>
    <sheet name="VORN" sheetId="4" state="hidden" r:id="rId4"/>
  </sheets>
  <definedNames>
    <definedName name="vorn_sum">VORN!$I$37</definedName>
  </definedNames>
  <calcPr calcId="191029"/>
</workbook>
</file>

<file path=xl/calcChain.xml><?xml version="1.0" encoding="utf-8"?>
<calcChain xmlns="http://schemas.openxmlformats.org/spreadsheetml/2006/main">
  <c r="I36" i="4" l="1"/>
  <c r="I37" i="4" s="1"/>
  <c r="I24" i="3" s="1"/>
  <c r="I27" i="4"/>
  <c r="I26" i="4"/>
  <c r="I18" i="3" s="1"/>
  <c r="I25" i="4"/>
  <c r="I17" i="3" s="1"/>
  <c r="I24" i="4"/>
  <c r="I23" i="4"/>
  <c r="I22" i="4"/>
  <c r="I28" i="4" s="1"/>
  <c r="I18" i="4"/>
  <c r="I17" i="4"/>
  <c r="I16" i="4"/>
  <c r="F15" i="3" s="1"/>
  <c r="I15" i="4"/>
  <c r="I19" i="4" s="1"/>
  <c r="I10" i="4"/>
  <c r="F10" i="4"/>
  <c r="C10" i="4"/>
  <c r="F8" i="4"/>
  <c r="C8" i="4"/>
  <c r="F6" i="4"/>
  <c r="C6" i="4"/>
  <c r="F4" i="4"/>
  <c r="C4" i="4"/>
  <c r="F2" i="4"/>
  <c r="C2" i="4"/>
  <c r="I19" i="3"/>
  <c r="F17" i="3"/>
  <c r="I16" i="3"/>
  <c r="F16" i="3"/>
  <c r="I15" i="3"/>
  <c r="I14" i="3"/>
  <c r="I22" i="3" s="1"/>
  <c r="F10" i="3"/>
  <c r="C10" i="3"/>
  <c r="F8" i="3"/>
  <c r="C8" i="3"/>
  <c r="F6" i="3"/>
  <c r="C6" i="3"/>
  <c r="F4" i="3"/>
  <c r="C4" i="3"/>
  <c r="F2" i="3"/>
  <c r="C2" i="3"/>
  <c r="C8" i="2"/>
  <c r="G6" i="2"/>
  <c r="C6" i="2"/>
  <c r="G4" i="2"/>
  <c r="C4" i="2"/>
  <c r="G2" i="2"/>
  <c r="C2" i="2"/>
  <c r="BW47" i="1"/>
  <c r="BJ47" i="1"/>
  <c r="Z47" i="1" s="1"/>
  <c r="BD47" i="1"/>
  <c r="AP47" i="1"/>
  <c r="BI47" i="1" s="1"/>
  <c r="AO47" i="1"/>
  <c r="AW47" i="1" s="1"/>
  <c r="AK47" i="1"/>
  <c r="AJ47" i="1"/>
  <c r="AH47" i="1"/>
  <c r="AG47" i="1"/>
  <c r="AF47" i="1"/>
  <c r="AE47" i="1"/>
  <c r="AD47" i="1"/>
  <c r="AC47" i="1"/>
  <c r="AB47" i="1"/>
  <c r="P47" i="1"/>
  <c r="BF47" i="1" s="1"/>
  <c r="L47" i="1"/>
  <c r="M47" i="1" s="1"/>
  <c r="BW46" i="1"/>
  <c r="BJ46" i="1"/>
  <c r="Z46" i="1" s="1"/>
  <c r="BD46" i="1"/>
  <c r="AP46" i="1"/>
  <c r="AX46" i="1" s="1"/>
  <c r="AO46" i="1"/>
  <c r="BH46" i="1" s="1"/>
  <c r="AK46" i="1"/>
  <c r="AJ46" i="1"/>
  <c r="AH46" i="1"/>
  <c r="AG46" i="1"/>
  <c r="AF46" i="1"/>
  <c r="AE46" i="1"/>
  <c r="AD46" i="1"/>
  <c r="AC46" i="1"/>
  <c r="AB46" i="1"/>
  <c r="P46" i="1"/>
  <c r="BF46" i="1" s="1"/>
  <c r="L46" i="1"/>
  <c r="AL46" i="1" s="1"/>
  <c r="K46" i="1"/>
  <c r="BW44" i="1"/>
  <c r="BJ44" i="1"/>
  <c r="Z44" i="1" s="1"/>
  <c r="BF44" i="1"/>
  <c r="BD44" i="1"/>
  <c r="AP44" i="1"/>
  <c r="BI44" i="1" s="1"/>
  <c r="AO44" i="1"/>
  <c r="AW44" i="1" s="1"/>
  <c r="AK44" i="1"/>
  <c r="AJ44" i="1"/>
  <c r="AH44" i="1"/>
  <c r="AG44" i="1"/>
  <c r="AF44" i="1"/>
  <c r="AE44" i="1"/>
  <c r="AD44" i="1"/>
  <c r="AC44" i="1"/>
  <c r="AB44" i="1"/>
  <c r="P44" i="1"/>
  <c r="L44" i="1"/>
  <c r="AL44" i="1" s="1"/>
  <c r="BW42" i="1"/>
  <c r="BJ42" i="1"/>
  <c r="BD42" i="1"/>
  <c r="AP42" i="1"/>
  <c r="BI42" i="1" s="1"/>
  <c r="AO42" i="1"/>
  <c r="BH42" i="1" s="1"/>
  <c r="AK42" i="1"/>
  <c r="AJ42" i="1"/>
  <c r="AS41" i="1" s="1"/>
  <c r="AH42" i="1"/>
  <c r="AG42" i="1"/>
  <c r="AF42" i="1"/>
  <c r="AE42" i="1"/>
  <c r="AD42" i="1"/>
  <c r="AC42" i="1"/>
  <c r="AB42" i="1"/>
  <c r="Z42" i="1"/>
  <c r="P42" i="1"/>
  <c r="BF42" i="1" s="1"/>
  <c r="L42" i="1"/>
  <c r="K42" i="1"/>
  <c r="P41" i="1"/>
  <c r="G17" i="2" s="1"/>
  <c r="BW40" i="1"/>
  <c r="BJ40" i="1"/>
  <c r="Z40" i="1" s="1"/>
  <c r="BD40" i="1"/>
  <c r="AX40" i="1"/>
  <c r="AP40" i="1"/>
  <c r="K40" i="1" s="1"/>
  <c r="K39" i="1" s="1"/>
  <c r="E16" i="2" s="1"/>
  <c r="AO40" i="1"/>
  <c r="BH40" i="1" s="1"/>
  <c r="AK40" i="1"/>
  <c r="AT39" i="1" s="1"/>
  <c r="AJ40" i="1"/>
  <c r="AH40" i="1"/>
  <c r="AG40" i="1"/>
  <c r="AF40" i="1"/>
  <c r="AE40" i="1"/>
  <c r="AD40" i="1"/>
  <c r="AC40" i="1"/>
  <c r="AB40" i="1"/>
  <c r="P40" i="1"/>
  <c r="BF40" i="1" s="1"/>
  <c r="L40" i="1"/>
  <c r="L39" i="1" s="1"/>
  <c r="F16" i="2" s="1"/>
  <c r="I16" i="2" s="1"/>
  <c r="AS39" i="1"/>
  <c r="BW37" i="1"/>
  <c r="BJ37" i="1"/>
  <c r="BD37" i="1"/>
  <c r="AX37" i="1"/>
  <c r="AP37" i="1"/>
  <c r="BI37" i="1" s="1"/>
  <c r="AC37" i="1" s="1"/>
  <c r="AO37" i="1"/>
  <c r="AW37" i="1" s="1"/>
  <c r="AK37" i="1"/>
  <c r="AJ37" i="1"/>
  <c r="AH37" i="1"/>
  <c r="AG37" i="1"/>
  <c r="AF37" i="1"/>
  <c r="AE37" i="1"/>
  <c r="AD37" i="1"/>
  <c r="Z37" i="1"/>
  <c r="P37" i="1"/>
  <c r="BF37" i="1" s="1"/>
  <c r="L37" i="1"/>
  <c r="AL37" i="1" s="1"/>
  <c r="J37" i="1"/>
  <c r="BW36" i="1"/>
  <c r="BJ36" i="1"/>
  <c r="BF36" i="1"/>
  <c r="BD36" i="1"/>
  <c r="AW36" i="1"/>
  <c r="AP36" i="1"/>
  <c r="BI36" i="1" s="1"/>
  <c r="AC36" i="1" s="1"/>
  <c r="AO36" i="1"/>
  <c r="BH36" i="1" s="1"/>
  <c r="AB36" i="1" s="1"/>
  <c r="AK36" i="1"/>
  <c r="AJ36" i="1"/>
  <c r="AS35" i="1" s="1"/>
  <c r="AH36" i="1"/>
  <c r="AG36" i="1"/>
  <c r="AF36" i="1"/>
  <c r="AE36" i="1"/>
  <c r="AD36" i="1"/>
  <c r="Z36" i="1"/>
  <c r="P36" i="1"/>
  <c r="L36" i="1"/>
  <c r="M36" i="1" s="1"/>
  <c r="J36" i="1"/>
  <c r="J35" i="1" s="1"/>
  <c r="D15" i="2" s="1"/>
  <c r="P35" i="1"/>
  <c r="G15" i="2" s="1"/>
  <c r="BW33" i="1"/>
  <c r="BJ33" i="1"/>
  <c r="BD33" i="1"/>
  <c r="AW33" i="1"/>
  <c r="AP33" i="1"/>
  <c r="K33" i="1" s="1"/>
  <c r="K32" i="1" s="1"/>
  <c r="E14" i="2" s="1"/>
  <c r="AO33" i="1"/>
  <c r="BH33" i="1" s="1"/>
  <c r="AD33" i="1" s="1"/>
  <c r="AK33" i="1"/>
  <c r="AT32" i="1" s="1"/>
  <c r="AJ33" i="1"/>
  <c r="AS32" i="1" s="1"/>
  <c r="AH33" i="1"/>
  <c r="AG33" i="1"/>
  <c r="AF33" i="1"/>
  <c r="AC33" i="1"/>
  <c r="AB33" i="1"/>
  <c r="Z33" i="1"/>
  <c r="P33" i="1"/>
  <c r="BF33" i="1" s="1"/>
  <c r="L33" i="1"/>
  <c r="L32" i="1" s="1"/>
  <c r="F14" i="2" s="1"/>
  <c r="I14" i="2" s="1"/>
  <c r="J33" i="1"/>
  <c r="J32" i="1" s="1"/>
  <c r="D14" i="2" s="1"/>
  <c r="BW31" i="1"/>
  <c r="BJ31" i="1"/>
  <c r="BF31" i="1"/>
  <c r="BD31" i="1"/>
  <c r="AP31" i="1"/>
  <c r="BI31" i="1" s="1"/>
  <c r="AE31" i="1" s="1"/>
  <c r="AO31" i="1"/>
  <c r="BH31" i="1" s="1"/>
  <c r="AD31" i="1" s="1"/>
  <c r="AK31" i="1"/>
  <c r="AJ31" i="1"/>
  <c r="AH31" i="1"/>
  <c r="AG31" i="1"/>
  <c r="AF31" i="1"/>
  <c r="AC31" i="1"/>
  <c r="AB31" i="1"/>
  <c r="Z31" i="1"/>
  <c r="P31" i="1"/>
  <c r="L31" i="1"/>
  <c r="AL31" i="1" s="1"/>
  <c r="J31" i="1"/>
  <c r="BW30" i="1"/>
  <c r="BJ30" i="1"/>
  <c r="BD30" i="1"/>
  <c r="AP30" i="1"/>
  <c r="BI30" i="1" s="1"/>
  <c r="AE30" i="1" s="1"/>
  <c r="AO30" i="1"/>
  <c r="AW30" i="1" s="1"/>
  <c r="AK30" i="1"/>
  <c r="AJ30" i="1"/>
  <c r="AH30" i="1"/>
  <c r="AG30" i="1"/>
  <c r="AF30" i="1"/>
  <c r="AC30" i="1"/>
  <c r="AB30" i="1"/>
  <c r="Z30" i="1"/>
  <c r="P30" i="1"/>
  <c r="P29" i="1" s="1"/>
  <c r="G13" i="2" s="1"/>
  <c r="L30" i="1"/>
  <c r="M30" i="1" s="1"/>
  <c r="AT29" i="1"/>
  <c r="AS29" i="1"/>
  <c r="L29" i="1"/>
  <c r="F13" i="2" s="1"/>
  <c r="I13" i="2" s="1"/>
  <c r="BW27" i="1"/>
  <c r="BJ27" i="1"/>
  <c r="BF27" i="1"/>
  <c r="BD27" i="1"/>
  <c r="AP27" i="1"/>
  <c r="BI27" i="1" s="1"/>
  <c r="AC27" i="1" s="1"/>
  <c r="AO27" i="1"/>
  <c r="BH27" i="1" s="1"/>
  <c r="AB27" i="1" s="1"/>
  <c r="AL27" i="1"/>
  <c r="AK27" i="1"/>
  <c r="AJ27" i="1"/>
  <c r="AH27" i="1"/>
  <c r="AG27" i="1"/>
  <c r="AF27" i="1"/>
  <c r="AE27" i="1"/>
  <c r="AD27" i="1"/>
  <c r="Z27" i="1"/>
  <c r="P27" i="1"/>
  <c r="M27" i="1"/>
  <c r="L27" i="1"/>
  <c r="K27" i="1"/>
  <c r="J27" i="1"/>
  <c r="BW25" i="1"/>
  <c r="BJ25" i="1"/>
  <c r="BF25" i="1"/>
  <c r="BD25" i="1"/>
  <c r="AW25" i="1"/>
  <c r="AP25" i="1"/>
  <c r="BI25" i="1" s="1"/>
  <c r="AC25" i="1" s="1"/>
  <c r="AO25" i="1"/>
  <c r="BH25" i="1" s="1"/>
  <c r="AB25" i="1" s="1"/>
  <c r="AK25" i="1"/>
  <c r="AJ25" i="1"/>
  <c r="AH25" i="1"/>
  <c r="AG25" i="1"/>
  <c r="AF25" i="1"/>
  <c r="AE25" i="1"/>
  <c r="AD25" i="1"/>
  <c r="Z25" i="1"/>
  <c r="P25" i="1"/>
  <c r="L25" i="1"/>
  <c r="AL25" i="1" s="1"/>
  <c r="J25" i="1"/>
  <c r="J24" i="1" s="1"/>
  <c r="D12" i="2" s="1"/>
  <c r="AS24" i="1"/>
  <c r="P24" i="1"/>
  <c r="G12" i="2" s="1"/>
  <c r="L24" i="1"/>
  <c r="F12" i="2" s="1"/>
  <c r="I12" i="2" s="1"/>
  <c r="BW22" i="1"/>
  <c r="BJ22" i="1"/>
  <c r="BD22" i="1"/>
  <c r="AP22" i="1"/>
  <c r="AX22" i="1" s="1"/>
  <c r="AO22" i="1"/>
  <c r="BH22" i="1" s="1"/>
  <c r="AB22" i="1" s="1"/>
  <c r="AK22" i="1"/>
  <c r="AJ22" i="1"/>
  <c r="AH22" i="1"/>
  <c r="AG22" i="1"/>
  <c r="AF22" i="1"/>
  <c r="AE22" i="1"/>
  <c r="AD22" i="1"/>
  <c r="Z22" i="1"/>
  <c r="P22" i="1"/>
  <c r="BF22" i="1" s="1"/>
  <c r="L22" i="1"/>
  <c r="M22" i="1" s="1"/>
  <c r="BW20" i="1"/>
  <c r="BJ20" i="1"/>
  <c r="BF20" i="1"/>
  <c r="BD20" i="1"/>
  <c r="AP20" i="1"/>
  <c r="BI20" i="1" s="1"/>
  <c r="AC20" i="1" s="1"/>
  <c r="AO20" i="1"/>
  <c r="BH20" i="1" s="1"/>
  <c r="AB20" i="1" s="1"/>
  <c r="AK20" i="1"/>
  <c r="AJ20" i="1"/>
  <c r="AH20" i="1"/>
  <c r="AG20" i="1"/>
  <c r="AF20" i="1"/>
  <c r="AE20" i="1"/>
  <c r="AD20" i="1"/>
  <c r="Z20" i="1"/>
  <c r="P20" i="1"/>
  <c r="M20" i="1"/>
  <c r="L20" i="1"/>
  <c r="AL20" i="1" s="1"/>
  <c r="K20" i="1"/>
  <c r="J20" i="1"/>
  <c r="BW18" i="1"/>
  <c r="M18" i="1" s="1"/>
  <c r="BJ18" i="1"/>
  <c r="BF18" i="1"/>
  <c r="BD18" i="1"/>
  <c r="AX18" i="1"/>
  <c r="AP18" i="1"/>
  <c r="BI18" i="1" s="1"/>
  <c r="AC18" i="1" s="1"/>
  <c r="AO18" i="1"/>
  <c r="BH18" i="1" s="1"/>
  <c r="AB18" i="1" s="1"/>
  <c r="AL18" i="1"/>
  <c r="AK18" i="1"/>
  <c r="AJ18" i="1"/>
  <c r="AH18" i="1"/>
  <c r="AG18" i="1"/>
  <c r="AF18" i="1"/>
  <c r="AE18" i="1"/>
  <c r="AD18" i="1"/>
  <c r="Z18" i="1"/>
  <c r="P18" i="1"/>
  <c r="L18" i="1"/>
  <c r="K18" i="1"/>
  <c r="J18" i="1"/>
  <c r="BW15" i="1"/>
  <c r="BJ15" i="1"/>
  <c r="BD15" i="1"/>
  <c r="AX15" i="1"/>
  <c r="AP15" i="1"/>
  <c r="BI15" i="1" s="1"/>
  <c r="AC15" i="1" s="1"/>
  <c r="AO15" i="1"/>
  <c r="AW15" i="1" s="1"/>
  <c r="AK15" i="1"/>
  <c r="AJ15" i="1"/>
  <c r="AH15" i="1"/>
  <c r="AG15" i="1"/>
  <c r="AF15" i="1"/>
  <c r="AE15" i="1"/>
  <c r="AD15" i="1"/>
  <c r="Z15" i="1"/>
  <c r="P15" i="1"/>
  <c r="BF15" i="1" s="1"/>
  <c r="L15" i="1"/>
  <c r="M15" i="1" s="1"/>
  <c r="BW13" i="1"/>
  <c r="BJ13" i="1"/>
  <c r="BD13" i="1"/>
  <c r="AP13" i="1"/>
  <c r="K13" i="1" s="1"/>
  <c r="AO13" i="1"/>
  <c r="BH13" i="1" s="1"/>
  <c r="AB13" i="1" s="1"/>
  <c r="AK13" i="1"/>
  <c r="AJ13" i="1"/>
  <c r="AH13" i="1"/>
  <c r="AG13" i="1"/>
  <c r="AF13" i="1"/>
  <c r="AE13" i="1"/>
  <c r="AD13" i="1"/>
  <c r="Z13" i="1"/>
  <c r="P13" i="1"/>
  <c r="BF13" i="1" s="1"/>
  <c r="L13" i="1"/>
  <c r="L12" i="1" s="1"/>
  <c r="AT12" i="1"/>
  <c r="AU1" i="1"/>
  <c r="AT1" i="1"/>
  <c r="AS1" i="1"/>
  <c r="M46" i="1" l="1"/>
  <c r="AW46" i="1"/>
  <c r="BC46" i="1" s="1"/>
  <c r="J46" i="1"/>
  <c r="L41" i="1"/>
  <c r="F17" i="2" s="1"/>
  <c r="I17" i="2" s="1"/>
  <c r="AX44" i="1"/>
  <c r="K44" i="1"/>
  <c r="AT41" i="1"/>
  <c r="M44" i="1"/>
  <c r="M42" i="1"/>
  <c r="AL42" i="1"/>
  <c r="AX42" i="1"/>
  <c r="AW40" i="1"/>
  <c r="BC40" i="1" s="1"/>
  <c r="J40" i="1"/>
  <c r="J39" i="1" s="1"/>
  <c r="D16" i="2" s="1"/>
  <c r="M37" i="1"/>
  <c r="M35" i="1" s="1"/>
  <c r="AT35" i="1"/>
  <c r="AL36" i="1"/>
  <c r="AU35" i="1" s="1"/>
  <c r="AW31" i="1"/>
  <c r="BC31" i="1" s="1"/>
  <c r="AX31" i="1"/>
  <c r="K31" i="1"/>
  <c r="M31" i="1"/>
  <c r="M29" i="1" s="1"/>
  <c r="AX30" i="1"/>
  <c r="K30" i="1"/>
  <c r="K29" i="1" s="1"/>
  <c r="E13" i="2" s="1"/>
  <c r="AU24" i="1"/>
  <c r="M25" i="1"/>
  <c r="M24" i="1" s="1"/>
  <c r="AX25" i="1"/>
  <c r="BC25" i="1" s="1"/>
  <c r="K25" i="1"/>
  <c r="K24" i="1" s="1"/>
  <c r="E12" i="2" s="1"/>
  <c r="AT24" i="1"/>
  <c r="AW22" i="1"/>
  <c r="AV22" i="1" s="1"/>
  <c r="C27" i="3"/>
  <c r="AW18" i="1"/>
  <c r="BC18" i="1" s="1"/>
  <c r="C21" i="3"/>
  <c r="C18" i="3"/>
  <c r="C20" i="3"/>
  <c r="K15" i="1"/>
  <c r="C19" i="3"/>
  <c r="J13" i="1"/>
  <c r="C28" i="3"/>
  <c r="F28" i="3" s="1"/>
  <c r="AV15" i="1"/>
  <c r="BC15" i="1"/>
  <c r="BC37" i="1"/>
  <c r="AV37" i="1"/>
  <c r="AV30" i="1"/>
  <c r="BC30" i="1"/>
  <c r="F11" i="2"/>
  <c r="I11" i="2" s="1"/>
  <c r="F30" i="4"/>
  <c r="BC44" i="1"/>
  <c r="AV44" i="1"/>
  <c r="M13" i="1"/>
  <c r="M12" i="1" s="1"/>
  <c r="AW20" i="1"/>
  <c r="AW27" i="1"/>
  <c r="M33" i="1"/>
  <c r="M32" i="1" s="1"/>
  <c r="AX36" i="1"/>
  <c r="BC36" i="1" s="1"/>
  <c r="BI40" i="1"/>
  <c r="AW42" i="1"/>
  <c r="BI46" i="1"/>
  <c r="AX47" i="1"/>
  <c r="AV47" i="1" s="1"/>
  <c r="BI13" i="1"/>
  <c r="AC13" i="1" s="1"/>
  <c r="P12" i="1"/>
  <c r="G11" i="2" s="1"/>
  <c r="AW13" i="1"/>
  <c r="AX20" i="1"/>
  <c r="J22" i="1"/>
  <c r="AL22" i="1"/>
  <c r="AX27" i="1"/>
  <c r="P32" i="1"/>
  <c r="G14" i="2" s="1"/>
  <c r="K37" i="1"/>
  <c r="BH37" i="1"/>
  <c r="AB37" i="1" s="1"/>
  <c r="M40" i="1"/>
  <c r="M39" i="1" s="1"/>
  <c r="AV40" i="1"/>
  <c r="J44" i="1"/>
  <c r="AV46" i="1"/>
  <c r="BI33" i="1"/>
  <c r="AE33" i="1" s="1"/>
  <c r="C17" i="3" s="1"/>
  <c r="AS12" i="1"/>
  <c r="AX13" i="1"/>
  <c r="J15" i="1"/>
  <c r="AL15" i="1"/>
  <c r="K22" i="1"/>
  <c r="AV25" i="1"/>
  <c r="J30" i="1"/>
  <c r="J29" i="1" s="1"/>
  <c r="D13" i="2" s="1"/>
  <c r="AL30" i="1"/>
  <c r="AU29" i="1" s="1"/>
  <c r="BF30" i="1"/>
  <c r="AX33" i="1"/>
  <c r="P39" i="1"/>
  <c r="G16" i="2" s="1"/>
  <c r="BH44" i="1"/>
  <c r="F14" i="3"/>
  <c r="F22" i="3" s="1"/>
  <c r="J47" i="1"/>
  <c r="AL47" i="1"/>
  <c r="AU41" i="1" s="1"/>
  <c r="L35" i="1"/>
  <c r="F15" i="2" s="1"/>
  <c r="I15" i="2" s="1"/>
  <c r="K36" i="1"/>
  <c r="J42" i="1"/>
  <c r="K47" i="1"/>
  <c r="K41" i="1" s="1"/>
  <c r="E17" i="2" s="1"/>
  <c r="BH47" i="1"/>
  <c r="BH15" i="1"/>
  <c r="AB15" i="1" s="1"/>
  <c r="BI22" i="1"/>
  <c r="AC22" i="1" s="1"/>
  <c r="BH30" i="1"/>
  <c r="AD30" i="1" s="1"/>
  <c r="C16" i="3" s="1"/>
  <c r="AL13" i="1"/>
  <c r="AL33" i="1"/>
  <c r="AU32" i="1" s="1"/>
  <c r="AL40" i="1"/>
  <c r="AU39" i="1" s="1"/>
  <c r="M41" i="1" l="1"/>
  <c r="C14" i="3"/>
  <c r="K35" i="1"/>
  <c r="E15" i="2" s="1"/>
  <c r="AV31" i="1"/>
  <c r="BC22" i="1"/>
  <c r="C15" i="3"/>
  <c r="AV18" i="1"/>
  <c r="K12" i="1"/>
  <c r="E11" i="2" s="1"/>
  <c r="BC33" i="1"/>
  <c r="AV33" i="1"/>
  <c r="J12" i="1"/>
  <c r="D11" i="2" s="1"/>
  <c r="BC13" i="1"/>
  <c r="AV13" i="1"/>
  <c r="AU12" i="1"/>
  <c r="BC27" i="1"/>
  <c r="AV27" i="1"/>
  <c r="L49" i="1"/>
  <c r="AV36" i="1"/>
  <c r="BC20" i="1"/>
  <c r="AV20" i="1"/>
  <c r="F18" i="2"/>
  <c r="AV42" i="1"/>
  <c r="BC42" i="1"/>
  <c r="J41" i="1"/>
  <c r="D17" i="2" s="1"/>
  <c r="M49" i="1"/>
  <c r="BC47" i="1"/>
  <c r="C29" i="3"/>
  <c r="C22" i="3" l="1"/>
  <c r="F29" i="3"/>
  <c r="I28" i="3"/>
  <c r="N47" i="1"/>
  <c r="N41" i="1"/>
  <c r="N35" i="1"/>
  <c r="N30" i="1"/>
  <c r="N15" i="1"/>
  <c r="N44" i="1"/>
  <c r="N29" i="1"/>
  <c r="N22" i="1"/>
  <c r="N31" i="1"/>
  <c r="N25" i="1"/>
  <c r="N18" i="1"/>
  <c r="N37" i="1"/>
  <c r="N46" i="1"/>
  <c r="N40" i="1"/>
  <c r="N24" i="1"/>
  <c r="N36" i="1"/>
  <c r="N39" i="1"/>
  <c r="N33" i="1"/>
  <c r="N13" i="1"/>
  <c r="N42" i="1"/>
  <c r="N32" i="1"/>
  <c r="N27" i="1"/>
  <c r="N20" i="1"/>
  <c r="N12" i="1"/>
  <c r="I29" i="3" l="1"/>
</calcChain>
</file>

<file path=xl/sharedStrings.xml><?xml version="1.0" encoding="utf-8"?>
<sst xmlns="http://schemas.openxmlformats.org/spreadsheetml/2006/main" count="607" uniqueCount="225">
  <si>
    <t>Stavební rozpočet</t>
  </si>
  <si>
    <t>Název stavby:</t>
  </si>
  <si>
    <t xml:space="preserve"> </t>
  </si>
  <si>
    <t>Objednatel:</t>
  </si>
  <si>
    <t>Město Stochov</t>
  </si>
  <si>
    <t>Druh stavby:</t>
  </si>
  <si>
    <t>Zabezpečení a sanace podzemních prostor</t>
  </si>
  <si>
    <t>Začátek výstavby:</t>
  </si>
  <si>
    <t>Projektant:</t>
  </si>
  <si>
    <t>ARIPROS s.r.o.</t>
  </si>
  <si>
    <t>Lokalita:</t>
  </si>
  <si>
    <t>Konec výstavby:</t>
  </si>
  <si>
    <t>Zhotovitel:</t>
  </si>
  <si>
    <t>JKSO:</t>
  </si>
  <si>
    <t>82539</t>
  </si>
  <si>
    <t>Zpracováno dne:</t>
  </si>
  <si>
    <t>Zpracoval:</t>
  </si>
  <si>
    <t>Č</t>
  </si>
  <si>
    <t>Objekt</t>
  </si>
  <si>
    <t>Kód</t>
  </si>
  <si>
    <t>Zkrácený popis / Varianta</t>
  </si>
  <si>
    <t>MJ</t>
  </si>
  <si>
    <t>Množství</t>
  </si>
  <si>
    <t>Cena/MJ</t>
  </si>
  <si>
    <t>Sazba DPH</t>
  </si>
  <si>
    <t>Náklady (Kč)</t>
  </si>
  <si>
    <t>%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</si>
  <si>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</si>
  <si>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</si>
  <si>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</si>
  <si>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</si>
  <si>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</si>
  <si>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</si>
  <si>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</si>
  <si>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</si>
  <si>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</si>
  <si>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</si>
  <si>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Celkem vč. DPH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</si>
  <si>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</si>
  <si>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</si>
  <si>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</si>
  <si>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</si>
  <si>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</si>
  <si>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</si>
  <si>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</si>
  <si>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</si>
  <si>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</si>
  <si>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</si>
  <si>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</si>
  <si>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</si>
  <si>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</si>
  <si>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</si>
  <si>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</si>
  <si>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28</t>
  </si>
  <si>
    <t>Zpevňování hornin a konstrukcí</t>
  </si>
  <si>
    <t>1</t>
  </si>
  <si>
    <t>273320030RAA</t>
  </si>
  <si>
    <t>Základový pás z ŽB, betonu C 16/20, včetně bednění</t>
  </si>
  <si>
    <t>m3</t>
  </si>
  <si>
    <t>RTS I / 2025</t>
  </si>
  <si>
    <t>28_</t>
  </si>
  <si>
    <t>2_</t>
  </si>
  <si>
    <t>_</t>
  </si>
  <si>
    <t>P</t>
  </si>
  <si>
    <t>výztuž 90 kg/m3, zemní práce</t>
  </si>
  <si>
    <t>2</t>
  </si>
  <si>
    <t>239614111R00</t>
  </si>
  <si>
    <t>Samotuhnoucí výplň dutin - popílkový stabilizát</t>
  </si>
  <si>
    <t>materiálová var. jilocementová výplň</t>
  </si>
  <si>
    <t xml:space="preserve">obsahuje dodání materiálu, mychání na stavbě vč. spojených nákladů </t>
  </si>
  <si>
    <t>3</t>
  </si>
  <si>
    <t>899103111RT2</t>
  </si>
  <si>
    <t>Osazení poklopu s rámem do 150 kg</t>
  </si>
  <si>
    <t>kus</t>
  </si>
  <si>
    <t>včetně dodávky poklopu lit. do 60x60 cm, 40t</t>
  </si>
  <si>
    <t>4</t>
  </si>
  <si>
    <t>900      R01</t>
  </si>
  <si>
    <t>HZS - stavební dělník v tarifní třídě 4</t>
  </si>
  <si>
    <t>h</t>
  </si>
  <si>
    <t>repase krytu výtahové šachty vč. nátěru</t>
  </si>
  <si>
    <t>5</t>
  </si>
  <si>
    <t>HZS - vedlejší a kompletační práce</t>
  </si>
  <si>
    <t>kotvení oddělovací stěny do stropní kce apod.</t>
  </si>
  <si>
    <t>31</t>
  </si>
  <si>
    <t>Zdi podpěrné a volné</t>
  </si>
  <si>
    <t>6</t>
  </si>
  <si>
    <t>311112140RT2</t>
  </si>
  <si>
    <t>Stěna z tvárnic ztraceného bednění, tl. 250 mm</t>
  </si>
  <si>
    <t>m2</t>
  </si>
  <si>
    <t>31_</t>
  </si>
  <si>
    <t>3_</t>
  </si>
  <si>
    <t>zalití tvárnic betonem C 16/20 vč. ukotvení do ŽB stropu a vyztužení oc. armaturou</t>
  </si>
  <si>
    <t>7</t>
  </si>
  <si>
    <t>642202012RAB</t>
  </si>
  <si>
    <t>Zazdění dveří dvoukřídlových, omítka, zeď tloušťky 30 cm</t>
  </si>
  <si>
    <t>vč. vyvěšení křídel</t>
  </si>
  <si>
    <t>728</t>
  </si>
  <si>
    <t>Vzduchotechnika</t>
  </si>
  <si>
    <t>8</t>
  </si>
  <si>
    <t>728415114R00</t>
  </si>
  <si>
    <t>Montáž mřížky větrací nebo ventilační do 0,20 m2</t>
  </si>
  <si>
    <t>728_</t>
  </si>
  <si>
    <t>72_</t>
  </si>
  <si>
    <t>9</t>
  </si>
  <si>
    <t>59160854.A</t>
  </si>
  <si>
    <t>Prostup ventilační vč. krycí mřížky, 40x40 cm</t>
  </si>
  <si>
    <t>M</t>
  </si>
  <si>
    <t>783</t>
  </si>
  <si>
    <t>Nátěry</t>
  </si>
  <si>
    <t>10</t>
  </si>
  <si>
    <t>783222921RT2</t>
  </si>
  <si>
    <t>Údržba, nátěr syntetický kovových konstr. 2x - vechní část výtah. kce</t>
  </si>
  <si>
    <t>783_</t>
  </si>
  <si>
    <t>78_</t>
  </si>
  <si>
    <t>přímo na rez kovářská barva</t>
  </si>
  <si>
    <t>97</t>
  </si>
  <si>
    <t>Prorážení otvorů a ostatní bourací práce</t>
  </si>
  <si>
    <t>11</t>
  </si>
  <si>
    <t>971042461R00</t>
  </si>
  <si>
    <t>Vybourání otvorů zdi betonové pl. 0,25 m2, do tl.60cm</t>
  </si>
  <si>
    <t>97_</t>
  </si>
  <si>
    <t>9_</t>
  </si>
  <si>
    <t>12</t>
  </si>
  <si>
    <t>630900020RAC</t>
  </si>
  <si>
    <t>Vybourání betonové mazaniny</t>
  </si>
  <si>
    <t>tloušťka 15 cm</t>
  </si>
  <si>
    <t>H00</t>
  </si>
  <si>
    <t>Běžné stavební práce</t>
  </si>
  <si>
    <t>13</t>
  </si>
  <si>
    <t>999281105R00</t>
  </si>
  <si>
    <t>Přesun hmot pro opravy a údržbu</t>
  </si>
  <si>
    <t>t</t>
  </si>
  <si>
    <t>H00_</t>
  </si>
  <si>
    <t>S</t>
  </si>
  <si>
    <t>Přesuny sutí</t>
  </si>
  <si>
    <t>14</t>
  </si>
  <si>
    <t>979083117R00</t>
  </si>
  <si>
    <t>Vodorovné přemístění suti na skládku do 6000 m</t>
  </si>
  <si>
    <t>S_</t>
  </si>
  <si>
    <t>vč.naložení a složení na skládku</t>
  </si>
  <si>
    <t>15</t>
  </si>
  <si>
    <t>979083191R00</t>
  </si>
  <si>
    <t>Příplatek za dalších započatých 1000 m nad 6000 m</t>
  </si>
  <si>
    <t>skládka Rynholec</t>
  </si>
  <si>
    <t>16</t>
  </si>
  <si>
    <t>979990103R00</t>
  </si>
  <si>
    <t>Poplatek za skládku suti - beton</t>
  </si>
  <si>
    <t>17</t>
  </si>
  <si>
    <t>9790999R</t>
  </si>
  <si>
    <t>Poplatek za přistavění kontejneru na směs. odpad</t>
  </si>
  <si>
    <t>ks</t>
  </si>
  <si>
    <t>objem 9 m3, vč. skládkovného, dopravy, naložení</t>
  </si>
  <si>
    <t>Celkem:</t>
  </si>
  <si>
    <t>Poznámka:</t>
  </si>
  <si>
    <t>Stavební rozpočet - rekapitulace</t>
  </si>
  <si>
    <t>Zkrácený popis</t>
  </si>
  <si>
    <t>Náklady (Kč) - dodávka</t>
  </si>
  <si>
    <t>Náklady (Kč) - Montáž</t>
  </si>
  <si>
    <t>Náklady (Kč) - celkem</t>
  </si>
  <si>
    <t>Celková hmotnost (t)</t>
  </si>
  <si>
    <t>T</t>
  </si>
  <si>
    <t>Krycí list rozpočtu</t>
  </si>
  <si>
    <t>IČO/DIČ:</t>
  </si>
  <si>
    <t>00234923/CZ00234923</t>
  </si>
  <si>
    <t>26174936/CZ26174936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</si>
  <si>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</si>
  <si>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</si>
  <si>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</si>
  <si>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</si>
  <si>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</si>
  <si>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</si>
  <si>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</si>
  <si>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</si>
  <si>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</si>
  <si>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</si>
  <si>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</si>
  <si>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</si>
  <si>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</si>
  <si>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</si>
  <si>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</si>
  <si>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</si>
  <si>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</si>
  <si>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</si>
  <si>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Investiční rezerva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</si>
  <si>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</si>
  <si>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</si>
  <si>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</si>
  <si>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</si>
  <si>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</si>
  <si>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</si>
  <si>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</si>
  <si>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</si>
  <si>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</si>
  <si>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</si>
  <si>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</si>
  <si>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</si>
  <si>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</si>
  <si>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</si>
  <si>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</si>
  <si>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</si>
  <si>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</si>
  <si>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</si>
  <si>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</si>
  <si>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</si>
  <si>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</si>
  <si>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</si>
  <si>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</si>
  <si>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</si>
  <si>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</si>
  <si>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</si>
  <si>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</si>
  <si>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</si>
  <si>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</si>
  <si>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</si>
  <si>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</si>
  <si>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</si>
  <si>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</si>
  <si>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</si>
  <si>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</si>
  <si>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Ing. Martin Trčka (statika), ARIPROS s.r.o. (stavební část)</t>
  </si>
  <si>
    <t>Doba výstavby (dny):</t>
  </si>
  <si>
    <t>Sanace prostoru bývalé uhelny kotelny BD bl. 18, č.p. 312, Stochov</t>
  </si>
  <si>
    <t>BD bl. 18,  Hornická 312, Stochov</t>
  </si>
  <si>
    <t>Dle výběrového řízení</t>
  </si>
  <si>
    <t>Tento rozpočet je zpracován v návaznosti na statický návrh a posouzení bývalé uhelny, které vypracoval Ing. Martin Trčka, ČKAIT 0006018. Výměry v rozpočtu jsou jeho zpracovatelem stanoveny dle digitálního modelu v rámci programu AutoCAD - funkce měření ploch, délek atd. Uchazeč ocení a vyplní žlutě označená pole jednotlivých částí tohoto rozpočtu (výkazu výměr).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</si>
</sst>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  <charset val="1"/>
    </font>
    <font>
      <sz val="1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CC"/>
        <bgColor indexed="64"/>
      </patternFill>
    </fill>
  </fills>
  <borders count="8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4" fontId="2" fillId="2" borderId="35" xfId="0" applyNumberFormat="1" applyFont="1" applyFill="1" applyBorder="1" applyAlignment="1">
      <alignment horizontal="right" vertical="center"/>
    </xf>
    <xf numFmtId="9" fontId="2" fillId="2" borderId="35" xfId="0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36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5" xfId="0" applyBorder="1"/>
    <xf numFmtId="0" fontId="4" fillId="0" borderId="0" xfId="0" applyFont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9" fontId="2" fillId="2" borderId="0" xfId="0" applyNumberFormat="1" applyFont="1" applyFill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0" fillId="0" borderId="37" xfId="0" applyBorder="1"/>
    <xf numFmtId="0" fontId="0" fillId="0" borderId="38" xfId="0" applyBorder="1"/>
    <xf numFmtId="0" fontId="4" fillId="0" borderId="38" xfId="0" applyFont="1" applyBorder="1" applyAlignment="1">
      <alignment horizontal="right" vertical="center"/>
    </xf>
    <xf numFmtId="0" fontId="2" fillId="0" borderId="40" xfId="0" applyFont="1" applyBorder="1" applyAlignment="1">
      <alignment horizontal="left" vertical="center"/>
    </xf>
    <xf numFmtId="4" fontId="2" fillId="0" borderId="4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4" fontId="3" fillId="0" borderId="35" xfId="0" applyNumberFormat="1" applyFont="1" applyBorder="1" applyAlignment="1">
      <alignment horizontal="right" vertical="center"/>
    </xf>
    <xf numFmtId="4" fontId="3" fillId="0" borderId="36" xfId="0" applyNumberFormat="1" applyFont="1" applyBorder="1" applyAlignment="1">
      <alignment horizontal="right" vertical="center"/>
    </xf>
    <xf numFmtId="0" fontId="3" fillId="0" borderId="45" xfId="0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4" fontId="3" fillId="0" borderId="38" xfId="0" applyNumberFormat="1" applyFont="1" applyBorder="1" applyAlignment="1">
      <alignment horizontal="right" vertical="center"/>
    </xf>
    <xf numFmtId="4" fontId="3" fillId="0" borderId="3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left" vertical="center"/>
    </xf>
    <xf numFmtId="0" fontId="2" fillId="0" borderId="75" xfId="0" applyFont="1" applyBorder="1" applyAlignment="1">
      <alignment horizontal="right" vertical="center"/>
    </xf>
    <xf numFmtId="4" fontId="3" fillId="0" borderId="52" xfId="0" applyNumberFormat="1" applyFont="1" applyBorder="1" applyAlignment="1">
      <alignment horizontal="right" vertical="center"/>
    </xf>
    <xf numFmtId="0" fontId="3" fillId="0" borderId="52" xfId="0" applyFont="1" applyBorder="1" applyAlignment="1">
      <alignment horizontal="left" vertical="center"/>
    </xf>
    <xf numFmtId="4" fontId="3" fillId="0" borderId="79" xfId="0" applyNumberFormat="1" applyFont="1" applyBorder="1" applyAlignment="1">
      <alignment horizontal="right" vertical="center"/>
    </xf>
    <xf numFmtId="0" fontId="3" fillId="0" borderId="79" xfId="0" applyFont="1" applyBorder="1" applyAlignment="1">
      <alignment horizontal="left" vertical="center"/>
    </xf>
    <xf numFmtId="0" fontId="2" fillId="0" borderId="83" xfId="0" applyFont="1" applyBorder="1" applyAlignment="1">
      <alignment horizontal="left" vertical="center"/>
    </xf>
    <xf numFmtId="0" fontId="2" fillId="0" borderId="83" xfId="0" applyFont="1" applyBorder="1" applyAlignment="1">
      <alignment horizontal="right" vertical="center"/>
    </xf>
    <xf numFmtId="4" fontId="2" fillId="0" borderId="83" xfId="0" applyNumberFormat="1" applyFont="1" applyBorder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  <xf numFmtId="0" fontId="2" fillId="0" borderId="51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3" fillId="0" borderId="52" xfId="0" applyFont="1" applyBorder="1" applyAlignment="1">
      <alignment horizontal="right" vertical="center"/>
    </xf>
    <xf numFmtId="4" fontId="3" fillId="0" borderId="59" xfId="0" applyNumberFormat="1" applyFont="1" applyBorder="1" applyAlignment="1">
      <alignment horizontal="right" vertical="center"/>
    </xf>
    <xf numFmtId="0" fontId="3" fillId="0" borderId="59" xfId="0" applyFont="1" applyBorder="1" applyAlignment="1">
      <alignment horizontal="right" vertical="center"/>
    </xf>
    <xf numFmtId="4" fontId="3" fillId="0" borderId="50" xfId="0" applyNumberFormat="1" applyFont="1" applyBorder="1" applyAlignment="1">
      <alignment horizontal="right" vertical="center"/>
    </xf>
    <xf numFmtId="0" fontId="8" fillId="0" borderId="0" xfId="0" applyFont="1"/>
    <xf numFmtId="4" fontId="3" fillId="0" borderId="85" xfId="0" applyNumberFormat="1" applyFont="1" applyBorder="1" applyAlignment="1">
      <alignment horizontal="right" vertical="center"/>
    </xf>
    <xf numFmtId="4" fontId="2" fillId="2" borderId="49" xfId="0" applyNumberFormat="1" applyFont="1" applyFill="1" applyBorder="1" applyAlignment="1">
      <alignment horizontal="right" vertical="center"/>
    </xf>
    <xf numFmtId="4" fontId="2" fillId="2" borderId="54" xfId="0" applyNumberFormat="1" applyFont="1" applyFill="1" applyBorder="1" applyAlignment="1">
      <alignment horizontal="right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4" fontId="3" fillId="3" borderId="52" xfId="0" applyNumberFormat="1" applyFont="1" applyFill="1" applyBorder="1" applyAlignment="1">
      <alignment horizontal="right" vertical="center"/>
    </xf>
    <xf numFmtId="0" fontId="2" fillId="0" borderId="40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14" fontId="3" fillId="3" borderId="0" xfId="0" applyNumberFormat="1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0" fontId="3" fillId="0" borderId="69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2" borderId="61" xfId="0" applyFont="1" applyFill="1" applyBorder="1" applyAlignment="1">
      <alignment horizontal="left" vertical="center"/>
    </xf>
    <xf numFmtId="0" fontId="2" fillId="2" borderId="62" xfId="0" applyFont="1" applyFill="1" applyBorder="1" applyAlignment="1">
      <alignment horizontal="left" vertical="center"/>
    </xf>
    <xf numFmtId="0" fontId="2" fillId="2" borderId="56" xfId="0" applyFont="1" applyFill="1" applyBorder="1" applyAlignment="1">
      <alignment horizontal="left" vertical="center"/>
    </xf>
    <xf numFmtId="0" fontId="2" fillId="2" borderId="63" xfId="0" applyFont="1" applyFill="1" applyBorder="1" applyAlignment="1">
      <alignment horizontal="left" vertical="center"/>
    </xf>
    <xf numFmtId="0" fontId="2" fillId="2" borderId="48" xfId="0" applyFont="1" applyFill="1" applyBorder="1" applyAlignment="1">
      <alignment horizontal="left" vertical="center"/>
    </xf>
    <xf numFmtId="0" fontId="2" fillId="2" borderId="53" xfId="0" applyFont="1" applyFill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14" fontId="3" fillId="3" borderId="6" xfId="0" applyNumberFormat="1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/>
    </xf>
    <xf numFmtId="0" fontId="7" fillId="0" borderId="46" xfId="0" applyFont="1" applyBorder="1" applyAlignment="1">
      <alignment horizontal="center" vertical="center"/>
    </xf>
    <xf numFmtId="0" fontId="7" fillId="0" borderId="48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3" fillId="3" borderId="38" xfId="0" applyFont="1" applyFill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0" fontId="3" fillId="0" borderId="77" xfId="0" applyFont="1" applyBorder="1" applyAlignment="1">
      <alignment horizontal="left" vertical="center"/>
    </xf>
    <xf numFmtId="0" fontId="3" fillId="0" borderId="78" xfId="0" applyFont="1" applyBorder="1" applyAlignment="1">
      <alignment horizontal="left" vertical="center"/>
    </xf>
    <xf numFmtId="0" fontId="2" fillId="0" borderId="80" xfId="0" applyFont="1" applyBorder="1" applyAlignment="1">
      <alignment horizontal="left" vertical="center"/>
    </xf>
    <xf numFmtId="0" fontId="2" fillId="0" borderId="81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7" fillId="0" borderId="80" xfId="0" applyFont="1" applyBorder="1" applyAlignment="1">
      <alignment horizontal="left" vertical="center"/>
    </xf>
    <xf numFmtId="0" fontId="7" fillId="0" borderId="81" xfId="0" applyFont="1" applyBorder="1" applyAlignment="1">
      <alignment horizontal="left" vertical="center"/>
    </xf>
    <xf numFmtId="0" fontId="7" fillId="0" borderId="82" xfId="0" applyFont="1" applyBorder="1" applyAlignment="1">
      <alignment horizontal="left" vertical="center"/>
    </xf>
    <xf numFmtId="4" fontId="7" fillId="0" borderId="84" xfId="0" applyNumberFormat="1" applyFont="1" applyBorder="1" applyAlignment="1">
      <alignment horizontal="right" vertical="center"/>
    </xf>
    <xf numFmtId="0" fontId="7" fillId="0" borderId="81" xfId="0" applyFont="1" applyBorder="1" applyAlignment="1">
      <alignment horizontal="right" vertical="center"/>
    </xf>
    <xf numFmtId="0" fontId="7" fillId="0" borderId="82" xfId="0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51"/>
  <sheetViews>
    <sheetView zoomScaleNormal="100" workbookViewId="0">
      <selection activeCell="D48" sqref="D48:Q48"/>
    </sheetView>
  </sheetViews>
  <sheetFormatPr defaultColWidth="12.140625" defaultRowHeight="15" customHeight="1" x14ac:dyDescent="0.25"/>
  <cols>
    <col min="1" max="1" width="4" customWidth="1"/>
    <col min="2" max="2" width="7.5703125" customWidth="1"/>
    <col min="3" max="3" width="17.85546875" customWidth="1"/>
    <col min="4" max="4" width="28.5703125" customWidth="1"/>
    <col min="5" max="5" width="29.42578125" customWidth="1"/>
    <col min="6" max="6" width="4.28515625" customWidth="1"/>
    <col min="7" max="7" width="14" customWidth="1"/>
    <col min="8" max="8" width="12" customWidth="1"/>
    <col min="9" max="9" width="11.140625" customWidth="1"/>
    <col min="10" max="12" width="15.7109375" customWidth="1"/>
    <col min="13" max="13" width="15.7109375" hidden="1" customWidth="1"/>
    <col min="14" max="14" width="7.140625" customWidth="1"/>
    <col min="15" max="16" width="11.7109375" customWidth="1"/>
    <col min="17" max="17" width="13.42578125" customWidth="1"/>
    <col min="25" max="75" width="12.140625" hidden="1"/>
    <col min="76" max="76" width="58" hidden="1" customWidth="1"/>
    <col min="77" max="78" width="12.140625" hidden="1"/>
  </cols>
  <sheetData>
    <row r="1" spans="1:76" ht="54.75" customHeight="1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122" t="s">
        <v>1</v>
      </c>
      <c r="B2" s="108"/>
      <c r="C2" s="108"/>
      <c r="D2" s="126" t="s">
        <v>221</v>
      </c>
      <c r="E2" s="127"/>
      <c r="F2" s="108" t="s">
        <v>220</v>
      </c>
      <c r="G2" s="108"/>
      <c r="H2" s="119" t="s">
        <v>2</v>
      </c>
      <c r="I2" s="107" t="s">
        <v>3</v>
      </c>
      <c r="J2" s="107" t="s">
        <v>4</v>
      </c>
      <c r="K2" s="108"/>
      <c r="L2" s="108"/>
      <c r="M2" s="108"/>
      <c r="N2" s="108"/>
      <c r="O2" s="108"/>
      <c r="P2" s="108"/>
      <c r="Q2" s="109"/>
    </row>
    <row r="3" spans="1:76" x14ac:dyDescent="0.25">
      <c r="A3" s="123"/>
      <c r="B3" s="90"/>
      <c r="C3" s="90"/>
      <c r="D3" s="128"/>
      <c r="E3" s="128"/>
      <c r="F3" s="90"/>
      <c r="G3" s="90"/>
      <c r="H3" s="112"/>
      <c r="I3" s="90"/>
      <c r="J3" s="90"/>
      <c r="K3" s="90"/>
      <c r="L3" s="90"/>
      <c r="M3" s="90"/>
      <c r="N3" s="90"/>
      <c r="O3" s="90"/>
      <c r="P3" s="90"/>
      <c r="Q3" s="110"/>
    </row>
    <row r="4" spans="1:76" x14ac:dyDescent="0.25">
      <c r="A4" s="124" t="s">
        <v>5</v>
      </c>
      <c r="B4" s="90"/>
      <c r="C4" s="90"/>
      <c r="D4" s="89" t="s">
        <v>6</v>
      </c>
      <c r="E4" s="90"/>
      <c r="F4" s="90" t="s">
        <v>7</v>
      </c>
      <c r="G4" s="90"/>
      <c r="H4" s="90" t="s">
        <v>2</v>
      </c>
      <c r="I4" s="89" t="s">
        <v>8</v>
      </c>
      <c r="J4" s="89" t="s">
        <v>219</v>
      </c>
      <c r="K4" s="90"/>
      <c r="L4" s="90"/>
      <c r="M4" s="90"/>
      <c r="N4" s="90"/>
      <c r="O4" s="90"/>
      <c r="P4" s="90"/>
      <c r="Q4" s="110"/>
    </row>
    <row r="5" spans="1:76" x14ac:dyDescent="0.25">
      <c r="A5" s="123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110"/>
    </row>
    <row r="6" spans="1:76" x14ac:dyDescent="0.25">
      <c r="A6" s="124" t="s">
        <v>10</v>
      </c>
      <c r="B6" s="90"/>
      <c r="C6" s="90"/>
      <c r="D6" s="89" t="s">
        <v>222</v>
      </c>
      <c r="E6" s="90"/>
      <c r="F6" s="90" t="s">
        <v>11</v>
      </c>
      <c r="G6" s="90"/>
      <c r="H6" s="90" t="s">
        <v>2</v>
      </c>
      <c r="I6" s="89" t="s">
        <v>12</v>
      </c>
      <c r="J6" s="90" t="s">
        <v>223</v>
      </c>
      <c r="K6" s="90"/>
      <c r="L6" s="90"/>
      <c r="M6" s="90"/>
      <c r="N6" s="90"/>
      <c r="O6" s="90"/>
      <c r="P6" s="90"/>
      <c r="Q6" s="110"/>
    </row>
    <row r="7" spans="1:76" x14ac:dyDescent="0.25">
      <c r="A7" s="123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110"/>
    </row>
    <row r="8" spans="1:76" x14ac:dyDescent="0.25">
      <c r="A8" s="124" t="s">
        <v>13</v>
      </c>
      <c r="B8" s="90"/>
      <c r="C8" s="90"/>
      <c r="D8" s="89" t="s">
        <v>14</v>
      </c>
      <c r="E8" s="90"/>
      <c r="F8" s="90" t="s">
        <v>15</v>
      </c>
      <c r="G8" s="90"/>
      <c r="H8" s="120">
        <v>45987</v>
      </c>
      <c r="I8" s="89" t="s">
        <v>16</v>
      </c>
      <c r="J8" s="111" t="s">
        <v>9</v>
      </c>
      <c r="K8" s="112"/>
      <c r="L8" s="112"/>
      <c r="M8" s="112"/>
      <c r="N8" s="112"/>
      <c r="O8" s="112"/>
      <c r="P8" s="112"/>
      <c r="Q8" s="113"/>
    </row>
    <row r="9" spans="1:76" x14ac:dyDescent="0.25">
      <c r="A9" s="125"/>
      <c r="B9" s="118"/>
      <c r="C9" s="118"/>
      <c r="D9" s="118"/>
      <c r="E9" s="118"/>
      <c r="F9" s="118"/>
      <c r="G9" s="118"/>
      <c r="H9" s="114"/>
      <c r="I9" s="118"/>
      <c r="J9" s="114"/>
      <c r="K9" s="114"/>
      <c r="L9" s="114"/>
      <c r="M9" s="114"/>
      <c r="N9" s="114"/>
      <c r="O9" s="114"/>
      <c r="P9" s="114"/>
      <c r="Q9" s="115"/>
    </row>
    <row r="10" spans="1:76" x14ac:dyDescent="0.25">
      <c r="A10" s="5" t="s">
        <v>17</v>
      </c>
      <c r="B10" s="6" t="s">
        <v>18</v>
      </c>
      <c r="C10" s="6" t="s">
        <v>19</v>
      </c>
      <c r="D10" s="116" t="s">
        <v>20</v>
      </c>
      <c r="E10" s="117"/>
      <c r="F10" s="6" t="s">
        <v>21</v>
      </c>
      <c r="G10" s="7" t="s">
        <v>22</v>
      </c>
      <c r="H10" s="8" t="s">
        <v>23</v>
      </c>
      <c r="I10" s="9" t="s">
        <v>24</v>
      </c>
      <c r="J10" s="101" t="s">
        <v>25</v>
      </c>
      <c r="K10" s="102"/>
      <c r="L10" s="103"/>
      <c r="M10" s="10" t="s">
        <v>25</v>
      </c>
      <c r="N10" s="9" t="s">
        <v>26</v>
      </c>
      <c r="O10" s="101" t="s">
        <v>27</v>
      </c>
      <c r="P10" s="104"/>
      <c r="Q10" s="11" t="s">
        <v>28</v>
      </c>
      <c r="BK10" s="12" t="s">
        <v>29</v>
      </c>
      <c r="BL10" s="13" t="s">
        <v>30</v>
      </c>
      <c r="BW10" s="13" t="s">
        <v>31</v>
      </c>
    </row>
    <row r="11" spans="1:76" x14ac:dyDescent="0.25">
      <c r="A11" s="14" t="s">
        <v>2</v>
      </c>
      <c r="B11" s="15" t="s">
        <v>2</v>
      </c>
      <c r="C11" s="15" t="s">
        <v>2</v>
      </c>
      <c r="D11" s="99" t="s">
        <v>32</v>
      </c>
      <c r="E11" s="100"/>
      <c r="F11" s="15" t="s">
        <v>2</v>
      </c>
      <c r="G11" s="15" t="s">
        <v>2</v>
      </c>
      <c r="H11" s="16" t="s">
        <v>33</v>
      </c>
      <c r="I11" s="17" t="s">
        <v>2</v>
      </c>
      <c r="J11" s="18" t="s">
        <v>34</v>
      </c>
      <c r="K11" s="19" t="s">
        <v>35</v>
      </c>
      <c r="L11" s="20" t="s">
        <v>36</v>
      </c>
      <c r="M11" s="21" t="s">
        <v>37</v>
      </c>
      <c r="N11" s="22" t="s">
        <v>2</v>
      </c>
      <c r="O11" s="18" t="s">
        <v>38</v>
      </c>
      <c r="P11" s="23" t="s">
        <v>36</v>
      </c>
      <c r="Q11" s="24" t="s">
        <v>39</v>
      </c>
      <c r="Z11" s="12" t="s">
        <v>40</v>
      </c>
      <c r="AA11" s="12" t="s">
        <v>41</v>
      </c>
      <c r="AB11" s="12" t="s">
        <v>42</v>
      </c>
      <c r="AC11" s="12" t="s">
        <v>43</v>
      </c>
      <c r="AD11" s="12" t="s">
        <v>44</v>
      </c>
      <c r="AE11" s="12" t="s">
        <v>45</v>
      </c>
      <c r="AF11" s="12" t="s">
        <v>46</v>
      </c>
      <c r="AG11" s="12" t="s">
        <v>47</v>
      </c>
      <c r="AH11" s="12" t="s">
        <v>48</v>
      </c>
      <c r="BH11" s="12" t="s">
        <v>49</v>
      </c>
      <c r="BI11" s="12" t="s">
        <v>50</v>
      </c>
      <c r="BJ11" s="12" t="s">
        <v>51</v>
      </c>
    </row>
    <row r="12" spans="1:76" x14ac:dyDescent="0.25">
      <c r="A12" s="25" t="s">
        <v>52</v>
      </c>
      <c r="B12" s="26" t="s">
        <v>52</v>
      </c>
      <c r="C12" s="26" t="s">
        <v>53</v>
      </c>
      <c r="D12" s="105" t="s">
        <v>54</v>
      </c>
      <c r="E12" s="106"/>
      <c r="F12" s="27" t="s">
        <v>2</v>
      </c>
      <c r="G12" s="27" t="s">
        <v>2</v>
      </c>
      <c r="H12" s="27" t="s">
        <v>2</v>
      </c>
      <c r="I12" s="27" t="s">
        <v>2</v>
      </c>
      <c r="J12" s="28">
        <f>SUM(J13:J22)</f>
        <v>0</v>
      </c>
      <c r="K12" s="28">
        <f>SUM(K13:K22)</f>
        <v>0</v>
      </c>
      <c r="L12" s="28">
        <f>SUM(L13:L22)</f>
        <v>0</v>
      </c>
      <c r="M12" s="28">
        <f>SUM(M13:M22)</f>
        <v>0</v>
      </c>
      <c r="N12" s="29">
        <f>IF(L49=0,0,L12/L49)</f>
        <v>0</v>
      </c>
      <c r="O12" s="30" t="s">
        <v>52</v>
      </c>
      <c r="P12" s="28">
        <f>SUM(P13:P22)</f>
        <v>336.52856737920001</v>
      </c>
      <c r="Q12" s="31" t="s">
        <v>52</v>
      </c>
      <c r="AI12" s="12" t="s">
        <v>52</v>
      </c>
      <c r="AS12" s="1">
        <f>SUM(AJ13:AJ22)</f>
        <v>0</v>
      </c>
      <c r="AT12" s="1">
        <f>SUM(AK13:AK22)</f>
        <v>0</v>
      </c>
      <c r="AU12" s="1">
        <f>SUM(AL13:AL22)</f>
        <v>0</v>
      </c>
    </row>
    <row r="13" spans="1:76" x14ac:dyDescent="0.25">
      <c r="A13" s="2" t="s">
        <v>55</v>
      </c>
      <c r="B13" s="3" t="s">
        <v>52</v>
      </c>
      <c r="C13" s="3" t="s">
        <v>56</v>
      </c>
      <c r="D13" s="89" t="s">
        <v>57</v>
      </c>
      <c r="E13" s="90"/>
      <c r="F13" s="3" t="s">
        <v>58</v>
      </c>
      <c r="G13" s="32">
        <v>17.28</v>
      </c>
      <c r="H13" s="74">
        <v>0</v>
      </c>
      <c r="I13" s="33">
        <v>21</v>
      </c>
      <c r="J13" s="32">
        <f>ROUND(G13*AO13,2)</f>
        <v>0</v>
      </c>
      <c r="K13" s="32">
        <f>ROUND(G13*AP13,2)</f>
        <v>0</v>
      </c>
      <c r="L13" s="32">
        <f>ROUND(G13*H13,2)</f>
        <v>0</v>
      </c>
      <c r="M13" s="32">
        <f>L13*(1+BW13/100)</f>
        <v>0</v>
      </c>
      <c r="N13" s="34">
        <f>IF(L49=0,0,L13/L49)</f>
        <v>0</v>
      </c>
      <c r="O13" s="32">
        <v>3.6639699999999999</v>
      </c>
      <c r="P13" s="32">
        <f>G13*O13</f>
        <v>63.313401600000006</v>
      </c>
      <c r="Q13" s="35" t="s">
        <v>59</v>
      </c>
      <c r="Z13" s="32">
        <f>ROUND(IF(AQ13="5",BJ13,0),2)</f>
        <v>0</v>
      </c>
      <c r="AB13" s="32">
        <f>ROUND(IF(AQ13="1",BH13,0),2)</f>
        <v>0</v>
      </c>
      <c r="AC13" s="32">
        <f>ROUND(IF(AQ13="1",BI13,0),2)</f>
        <v>0</v>
      </c>
      <c r="AD13" s="32">
        <f>ROUND(IF(AQ13="7",BH13,0),2)</f>
        <v>0</v>
      </c>
      <c r="AE13" s="32">
        <f>ROUND(IF(AQ13="7",BI13,0),2)</f>
        <v>0</v>
      </c>
      <c r="AF13" s="32">
        <f>ROUND(IF(AQ13="2",BH13,0),2)</f>
        <v>0</v>
      </c>
      <c r="AG13" s="32">
        <f>ROUND(IF(AQ13="2",BI13,0),2)</f>
        <v>0</v>
      </c>
      <c r="AH13" s="32">
        <f>ROUND(IF(AQ13="0",BJ13,0),2)</f>
        <v>0</v>
      </c>
      <c r="AI13" s="12" t="s">
        <v>52</v>
      </c>
      <c r="AJ13" s="32">
        <f>IF(AN13=0,L13,0)</f>
        <v>0</v>
      </c>
      <c r="AK13" s="32">
        <f>IF(AN13=12,L13,0)</f>
        <v>0</v>
      </c>
      <c r="AL13" s="32">
        <f>IF(AN13=21,L13,0)</f>
        <v>0</v>
      </c>
      <c r="AN13" s="32">
        <v>21</v>
      </c>
      <c r="AO13" s="32">
        <f>H13*0.64158149</f>
        <v>0</v>
      </c>
      <c r="AP13" s="32">
        <f>H13*(1-0.64158149)</f>
        <v>0</v>
      </c>
      <c r="AQ13" s="36" t="s">
        <v>55</v>
      </c>
      <c r="AV13" s="32">
        <f>ROUND(AW13+AX13,2)</f>
        <v>0</v>
      </c>
      <c r="AW13" s="32">
        <f>ROUND(G13*AO13,2)</f>
        <v>0</v>
      </c>
      <c r="AX13" s="32">
        <f>ROUND(G13*AP13,2)</f>
        <v>0</v>
      </c>
      <c r="AY13" s="36" t="s">
        <v>60</v>
      </c>
      <c r="AZ13" s="36" t="s">
        <v>61</v>
      </c>
      <c r="BA13" s="12" t="s">
        <v>62</v>
      </c>
      <c r="BC13" s="32">
        <f>AW13+AX13</f>
        <v>0</v>
      </c>
      <c r="BD13" s="32">
        <f>H13/(100-BE13)*100</f>
        <v>0</v>
      </c>
      <c r="BE13" s="32">
        <v>0</v>
      </c>
      <c r="BF13" s="32">
        <f>P13</f>
        <v>63.313401600000006</v>
      </c>
      <c r="BH13" s="32">
        <f>G13*AO13</f>
        <v>0</v>
      </c>
      <c r="BI13" s="32">
        <f>G13*AP13</f>
        <v>0</v>
      </c>
      <c r="BJ13" s="32">
        <f>G13*H13</f>
        <v>0</v>
      </c>
      <c r="BK13" s="36" t="s">
        <v>63</v>
      </c>
      <c r="BL13" s="32">
        <v>28</v>
      </c>
      <c r="BW13" s="32">
        <f>I13</f>
        <v>21</v>
      </c>
      <c r="BX13" s="4" t="s">
        <v>57</v>
      </c>
    </row>
    <row r="14" spans="1:76" ht="13.5" customHeight="1" x14ac:dyDescent="0.25">
      <c r="A14" s="37"/>
      <c r="C14" s="38"/>
      <c r="D14" s="91" t="s">
        <v>64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3"/>
    </row>
    <row r="15" spans="1:76" x14ac:dyDescent="0.25">
      <c r="A15" s="2" t="s">
        <v>65</v>
      </c>
      <c r="B15" s="3" t="s">
        <v>52</v>
      </c>
      <c r="C15" s="3" t="s">
        <v>66</v>
      </c>
      <c r="D15" s="89" t="s">
        <v>67</v>
      </c>
      <c r="E15" s="90"/>
      <c r="F15" s="3" t="s">
        <v>58</v>
      </c>
      <c r="G15" s="32">
        <v>355.74847999999997</v>
      </c>
      <c r="H15" s="74">
        <v>0</v>
      </c>
      <c r="I15" s="33">
        <v>21</v>
      </c>
      <c r="J15" s="32">
        <f>ROUND(G15*AO15,2)</f>
        <v>0</v>
      </c>
      <c r="K15" s="32">
        <f>ROUND(G15*AP15,2)</f>
        <v>0</v>
      </c>
      <c r="L15" s="32">
        <f>ROUND(G15*H15,2)</f>
        <v>0</v>
      </c>
      <c r="M15" s="32">
        <f>L15*(1+BW15/100)</f>
        <v>0</v>
      </c>
      <c r="N15" s="34">
        <f>IF(L49=0,0,L15/L49)</f>
        <v>0</v>
      </c>
      <c r="O15" s="32">
        <v>0.76429000000000002</v>
      </c>
      <c r="P15" s="32">
        <f>G15*O15</f>
        <v>271.89500577920001</v>
      </c>
      <c r="Q15" s="35" t="s">
        <v>59</v>
      </c>
      <c r="Z15" s="32">
        <f>ROUND(IF(AQ15="5",BJ15,0),2)</f>
        <v>0</v>
      </c>
      <c r="AB15" s="32">
        <f>ROUND(IF(AQ15="1",BH15,0),2)</f>
        <v>0</v>
      </c>
      <c r="AC15" s="32">
        <f>ROUND(IF(AQ15="1",BI15,0),2)</f>
        <v>0</v>
      </c>
      <c r="AD15" s="32">
        <f>ROUND(IF(AQ15="7",BH15,0),2)</f>
        <v>0</v>
      </c>
      <c r="AE15" s="32">
        <f>ROUND(IF(AQ15="7",BI15,0),2)</f>
        <v>0</v>
      </c>
      <c r="AF15" s="32">
        <f>ROUND(IF(AQ15="2",BH15,0),2)</f>
        <v>0</v>
      </c>
      <c r="AG15" s="32">
        <f>ROUND(IF(AQ15="2",BI15,0),2)</f>
        <v>0</v>
      </c>
      <c r="AH15" s="32">
        <f>ROUND(IF(AQ15="0",BJ15,0),2)</f>
        <v>0</v>
      </c>
      <c r="AI15" s="12" t="s">
        <v>52</v>
      </c>
      <c r="AJ15" s="32">
        <f>IF(AN15=0,L15,0)</f>
        <v>0</v>
      </c>
      <c r="AK15" s="32">
        <f>IF(AN15=12,L15,0)</f>
        <v>0</v>
      </c>
      <c r="AL15" s="32">
        <f>IF(AN15=21,L15,0)</f>
        <v>0</v>
      </c>
      <c r="AN15" s="32">
        <v>21</v>
      </c>
      <c r="AO15" s="32">
        <f>H15*0.753398195</f>
        <v>0</v>
      </c>
      <c r="AP15" s="32">
        <f>H15*(1-0.753398195)</f>
        <v>0</v>
      </c>
      <c r="AQ15" s="36" t="s">
        <v>55</v>
      </c>
      <c r="AV15" s="32">
        <f>ROUND(AW15+AX15,2)</f>
        <v>0</v>
      </c>
      <c r="AW15" s="32">
        <f>ROUND(G15*AO15,2)</f>
        <v>0</v>
      </c>
      <c r="AX15" s="32">
        <f>ROUND(G15*AP15,2)</f>
        <v>0</v>
      </c>
      <c r="AY15" s="36" t="s">
        <v>60</v>
      </c>
      <c r="AZ15" s="36" t="s">
        <v>61</v>
      </c>
      <c r="BA15" s="12" t="s">
        <v>62</v>
      </c>
      <c r="BC15" s="32">
        <f>AW15+AX15</f>
        <v>0</v>
      </c>
      <c r="BD15" s="32">
        <f>H15/(100-BE15)*100</f>
        <v>0</v>
      </c>
      <c r="BE15" s="32">
        <v>0</v>
      </c>
      <c r="BF15" s="32">
        <f>P15</f>
        <v>271.89500577920001</v>
      </c>
      <c r="BH15" s="32">
        <f>G15*AO15</f>
        <v>0</v>
      </c>
      <c r="BI15" s="32">
        <f>G15*AP15</f>
        <v>0</v>
      </c>
      <c r="BJ15" s="32">
        <f>G15*H15</f>
        <v>0</v>
      </c>
      <c r="BK15" s="36" t="s">
        <v>63</v>
      </c>
      <c r="BL15" s="32">
        <v>28</v>
      </c>
      <c r="BW15" s="32">
        <f>I15</f>
        <v>21</v>
      </c>
      <c r="BX15" s="4" t="s">
        <v>67</v>
      </c>
    </row>
    <row r="16" spans="1:76" ht="13.5" customHeight="1" x14ac:dyDescent="0.25">
      <c r="A16" s="37"/>
      <c r="C16" s="38"/>
      <c r="D16" s="91" t="s">
        <v>68</v>
      </c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3"/>
    </row>
    <row r="17" spans="1:76" ht="13.5" customHeight="1" x14ac:dyDescent="0.25">
      <c r="A17" s="37"/>
      <c r="C17" s="38"/>
      <c r="D17" s="91" t="s">
        <v>69</v>
      </c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3"/>
      <c r="BX17" t="s">
        <v>69</v>
      </c>
    </row>
    <row r="18" spans="1:76" x14ac:dyDescent="0.25">
      <c r="A18" s="2" t="s">
        <v>70</v>
      </c>
      <c r="B18" s="3" t="s">
        <v>52</v>
      </c>
      <c r="C18" s="3" t="s">
        <v>71</v>
      </c>
      <c r="D18" s="89" t="s">
        <v>72</v>
      </c>
      <c r="E18" s="90"/>
      <c r="F18" s="3" t="s">
        <v>73</v>
      </c>
      <c r="G18" s="32">
        <v>8</v>
      </c>
      <c r="H18" s="74">
        <v>0</v>
      </c>
      <c r="I18" s="33">
        <v>21</v>
      </c>
      <c r="J18" s="32">
        <f>ROUND(G18*AO18,2)</f>
        <v>0</v>
      </c>
      <c r="K18" s="32">
        <f>ROUND(G18*AP18,2)</f>
        <v>0</v>
      </c>
      <c r="L18" s="32">
        <f>ROUND(G18*H18,2)</f>
        <v>0</v>
      </c>
      <c r="M18" s="32">
        <f>L18*(1+BW18/100)</f>
        <v>0</v>
      </c>
      <c r="N18" s="34">
        <f>IF(L49=0,0,L18/L49)</f>
        <v>0</v>
      </c>
      <c r="O18" s="32">
        <v>0.16502</v>
      </c>
      <c r="P18" s="32">
        <f>G18*O18</f>
        <v>1.32016</v>
      </c>
      <c r="Q18" s="35" t="s">
        <v>59</v>
      </c>
      <c r="Z18" s="32">
        <f>ROUND(IF(AQ18="5",BJ18,0),2)</f>
        <v>0</v>
      </c>
      <c r="AB18" s="32">
        <f>ROUND(IF(AQ18="1",BH18,0),2)</f>
        <v>0</v>
      </c>
      <c r="AC18" s="32">
        <f>ROUND(IF(AQ18="1",BI18,0),2)</f>
        <v>0</v>
      </c>
      <c r="AD18" s="32">
        <f>ROUND(IF(AQ18="7",BH18,0),2)</f>
        <v>0</v>
      </c>
      <c r="AE18" s="32">
        <f>ROUND(IF(AQ18="7",BI18,0),2)</f>
        <v>0</v>
      </c>
      <c r="AF18" s="32">
        <f>ROUND(IF(AQ18="2",BH18,0),2)</f>
        <v>0</v>
      </c>
      <c r="AG18" s="32">
        <f>ROUND(IF(AQ18="2",BI18,0),2)</f>
        <v>0</v>
      </c>
      <c r="AH18" s="32">
        <f>ROUND(IF(AQ18="0",BJ18,0),2)</f>
        <v>0</v>
      </c>
      <c r="AI18" s="12" t="s">
        <v>52</v>
      </c>
      <c r="AJ18" s="32">
        <f>IF(AN18=0,L18,0)</f>
        <v>0</v>
      </c>
      <c r="AK18" s="32">
        <f>IF(AN18=12,L18,0)</f>
        <v>0</v>
      </c>
      <c r="AL18" s="32">
        <f>IF(AN18=21,L18,0)</f>
        <v>0</v>
      </c>
      <c r="AN18" s="32">
        <v>21</v>
      </c>
      <c r="AO18" s="32">
        <f>H18*0.81064437</f>
        <v>0</v>
      </c>
      <c r="AP18" s="32">
        <f>H18*(1-0.81064437)</f>
        <v>0</v>
      </c>
      <c r="AQ18" s="36" t="s">
        <v>55</v>
      </c>
      <c r="AV18" s="32">
        <f>ROUND(AW18+AX18,2)</f>
        <v>0</v>
      </c>
      <c r="AW18" s="32">
        <f>ROUND(G18*AO18,2)</f>
        <v>0</v>
      </c>
      <c r="AX18" s="32">
        <f>ROUND(G18*AP18,2)</f>
        <v>0</v>
      </c>
      <c r="AY18" s="36" t="s">
        <v>60</v>
      </c>
      <c r="AZ18" s="36" t="s">
        <v>61</v>
      </c>
      <c r="BA18" s="12" t="s">
        <v>62</v>
      </c>
      <c r="BC18" s="32">
        <f>AW18+AX18</f>
        <v>0</v>
      </c>
      <c r="BD18" s="32">
        <f>H18/(100-BE18)*100</f>
        <v>0</v>
      </c>
      <c r="BE18" s="32">
        <v>0</v>
      </c>
      <c r="BF18" s="32">
        <f>P18</f>
        <v>1.32016</v>
      </c>
      <c r="BH18" s="32">
        <f>G18*AO18</f>
        <v>0</v>
      </c>
      <c r="BI18" s="32">
        <f>G18*AP18</f>
        <v>0</v>
      </c>
      <c r="BJ18" s="32">
        <f>G18*H18</f>
        <v>0</v>
      </c>
      <c r="BK18" s="36" t="s">
        <v>63</v>
      </c>
      <c r="BL18" s="32">
        <v>28</v>
      </c>
      <c r="BW18" s="32">
        <f>I18</f>
        <v>21</v>
      </c>
      <c r="BX18" s="4" t="s">
        <v>72</v>
      </c>
    </row>
    <row r="19" spans="1:76" ht="13.5" customHeight="1" x14ac:dyDescent="0.25">
      <c r="A19" s="37"/>
      <c r="C19" s="38"/>
      <c r="D19" s="91" t="s">
        <v>74</v>
      </c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3"/>
    </row>
    <row r="20" spans="1:76" x14ac:dyDescent="0.25">
      <c r="A20" s="2" t="s">
        <v>75</v>
      </c>
      <c r="B20" s="3" t="s">
        <v>52</v>
      </c>
      <c r="C20" s="3" t="s">
        <v>76</v>
      </c>
      <c r="D20" s="89" t="s">
        <v>77</v>
      </c>
      <c r="E20" s="90"/>
      <c r="F20" s="3" t="s">
        <v>78</v>
      </c>
      <c r="G20" s="32">
        <v>24</v>
      </c>
      <c r="H20" s="74">
        <v>0</v>
      </c>
      <c r="I20" s="33">
        <v>21</v>
      </c>
      <c r="J20" s="32">
        <f>ROUND(G20*AO20,2)</f>
        <v>0</v>
      </c>
      <c r="K20" s="32">
        <f>ROUND(G20*AP20,2)</f>
        <v>0</v>
      </c>
      <c r="L20" s="32">
        <f>ROUND(G20*H20,2)</f>
        <v>0</v>
      </c>
      <c r="M20" s="32">
        <f>L20*(1+BW20/100)</f>
        <v>0</v>
      </c>
      <c r="N20" s="34">
        <f>IF(L49=0,0,L20/L49)</f>
        <v>0</v>
      </c>
      <c r="O20" s="32">
        <v>0</v>
      </c>
      <c r="P20" s="32">
        <f>G20*O20</f>
        <v>0</v>
      </c>
      <c r="Q20" s="35" t="s">
        <v>59</v>
      </c>
      <c r="Z20" s="32">
        <f>ROUND(IF(AQ20="5",BJ20,0),2)</f>
        <v>0</v>
      </c>
      <c r="AB20" s="32">
        <f>ROUND(IF(AQ20="1",BH20,0),2)</f>
        <v>0</v>
      </c>
      <c r="AC20" s="32">
        <f>ROUND(IF(AQ20="1",BI20,0),2)</f>
        <v>0</v>
      </c>
      <c r="AD20" s="32">
        <f>ROUND(IF(AQ20="7",BH20,0),2)</f>
        <v>0</v>
      </c>
      <c r="AE20" s="32">
        <f>ROUND(IF(AQ20="7",BI20,0),2)</f>
        <v>0</v>
      </c>
      <c r="AF20" s="32">
        <f>ROUND(IF(AQ20="2",BH20,0),2)</f>
        <v>0</v>
      </c>
      <c r="AG20" s="32">
        <f>ROUND(IF(AQ20="2",BI20,0),2)</f>
        <v>0</v>
      </c>
      <c r="AH20" s="32">
        <f>ROUND(IF(AQ20="0",BJ20,0),2)</f>
        <v>0</v>
      </c>
      <c r="AI20" s="12" t="s">
        <v>52</v>
      </c>
      <c r="AJ20" s="32">
        <f>IF(AN20=0,L20,0)</f>
        <v>0</v>
      </c>
      <c r="AK20" s="32">
        <f>IF(AN20=12,L20,0)</f>
        <v>0</v>
      </c>
      <c r="AL20" s="32">
        <f>IF(AN20=21,L20,0)</f>
        <v>0</v>
      </c>
      <c r="AN20" s="32">
        <v>21</v>
      </c>
      <c r="AO20" s="32">
        <f>H20*0</f>
        <v>0</v>
      </c>
      <c r="AP20" s="32">
        <f>H20*(1-0)</f>
        <v>0</v>
      </c>
      <c r="AQ20" s="36" t="s">
        <v>55</v>
      </c>
      <c r="AV20" s="32">
        <f>ROUND(AW20+AX20,2)</f>
        <v>0</v>
      </c>
      <c r="AW20" s="32">
        <f>ROUND(G20*AO20,2)</f>
        <v>0</v>
      </c>
      <c r="AX20" s="32">
        <f>ROUND(G20*AP20,2)</f>
        <v>0</v>
      </c>
      <c r="AY20" s="36" t="s">
        <v>60</v>
      </c>
      <c r="AZ20" s="36" t="s">
        <v>61</v>
      </c>
      <c r="BA20" s="12" t="s">
        <v>62</v>
      </c>
      <c r="BC20" s="32">
        <f>AW20+AX20</f>
        <v>0</v>
      </c>
      <c r="BD20" s="32">
        <f>H20/(100-BE20)*100</f>
        <v>0</v>
      </c>
      <c r="BE20" s="32">
        <v>0</v>
      </c>
      <c r="BF20" s="32">
        <f>P20</f>
        <v>0</v>
      </c>
      <c r="BH20" s="32">
        <f>G20*AO20</f>
        <v>0</v>
      </c>
      <c r="BI20" s="32">
        <f>G20*AP20</f>
        <v>0</v>
      </c>
      <c r="BJ20" s="32">
        <f>G20*H20</f>
        <v>0</v>
      </c>
      <c r="BK20" s="36" t="s">
        <v>63</v>
      </c>
      <c r="BL20" s="32">
        <v>28</v>
      </c>
      <c r="BW20" s="32">
        <f>I20</f>
        <v>21</v>
      </c>
      <c r="BX20" s="4" t="s">
        <v>77</v>
      </c>
    </row>
    <row r="21" spans="1:76" ht="13.5" customHeight="1" x14ac:dyDescent="0.25">
      <c r="A21" s="37"/>
      <c r="C21" s="38"/>
      <c r="D21" s="91" t="s">
        <v>79</v>
      </c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3"/>
    </row>
    <row r="22" spans="1:76" x14ac:dyDescent="0.25">
      <c r="A22" s="2" t="s">
        <v>80</v>
      </c>
      <c r="B22" s="3" t="s">
        <v>52</v>
      </c>
      <c r="C22" s="3" t="s">
        <v>76</v>
      </c>
      <c r="D22" s="89" t="s">
        <v>81</v>
      </c>
      <c r="E22" s="90"/>
      <c r="F22" s="3" t="s">
        <v>78</v>
      </c>
      <c r="G22" s="32">
        <v>50</v>
      </c>
      <c r="H22" s="74">
        <v>0</v>
      </c>
      <c r="I22" s="33">
        <v>21</v>
      </c>
      <c r="J22" s="32">
        <f>ROUND(G22*AO22,2)</f>
        <v>0</v>
      </c>
      <c r="K22" s="32">
        <f>ROUND(G22*AP22,2)</f>
        <v>0</v>
      </c>
      <c r="L22" s="32">
        <f>ROUND(G22*H22,2)</f>
        <v>0</v>
      </c>
      <c r="M22" s="32">
        <f>L22*(1+BW22/100)</f>
        <v>0</v>
      </c>
      <c r="N22" s="34">
        <f>IF(L49=0,0,L22/L49)</f>
        <v>0</v>
      </c>
      <c r="O22" s="32">
        <v>0</v>
      </c>
      <c r="P22" s="32">
        <f>G22*O22</f>
        <v>0</v>
      </c>
      <c r="Q22" s="35" t="s">
        <v>59</v>
      </c>
      <c r="Z22" s="32">
        <f>ROUND(IF(AQ22="5",BJ22,0),2)</f>
        <v>0</v>
      </c>
      <c r="AB22" s="32">
        <f>ROUND(IF(AQ22="1",BH22,0),2)</f>
        <v>0</v>
      </c>
      <c r="AC22" s="32">
        <f>ROUND(IF(AQ22="1",BI22,0),2)</f>
        <v>0</v>
      </c>
      <c r="AD22" s="32">
        <f>ROUND(IF(AQ22="7",BH22,0),2)</f>
        <v>0</v>
      </c>
      <c r="AE22" s="32">
        <f>ROUND(IF(AQ22="7",BI22,0),2)</f>
        <v>0</v>
      </c>
      <c r="AF22" s="32">
        <f>ROUND(IF(AQ22="2",BH22,0),2)</f>
        <v>0</v>
      </c>
      <c r="AG22" s="32">
        <f>ROUND(IF(AQ22="2",BI22,0),2)</f>
        <v>0</v>
      </c>
      <c r="AH22" s="32">
        <f>ROUND(IF(AQ22="0",BJ22,0),2)</f>
        <v>0</v>
      </c>
      <c r="AI22" s="12" t="s">
        <v>52</v>
      </c>
      <c r="AJ22" s="32">
        <f>IF(AN22=0,L22,0)</f>
        <v>0</v>
      </c>
      <c r="AK22" s="32">
        <f>IF(AN22=12,L22,0)</f>
        <v>0</v>
      </c>
      <c r="AL22" s="32">
        <f>IF(AN22=21,L22,0)</f>
        <v>0</v>
      </c>
      <c r="AN22" s="32">
        <v>21</v>
      </c>
      <c r="AO22" s="32">
        <f>H22*0</f>
        <v>0</v>
      </c>
      <c r="AP22" s="32">
        <f>H22*(1-0)</f>
        <v>0</v>
      </c>
      <c r="AQ22" s="36" t="s">
        <v>55</v>
      </c>
      <c r="AV22" s="32">
        <f>ROUND(AW22+AX22,2)</f>
        <v>0</v>
      </c>
      <c r="AW22" s="32">
        <f>ROUND(G22*AO22,2)</f>
        <v>0</v>
      </c>
      <c r="AX22" s="32">
        <f>ROUND(G22*AP22,2)</f>
        <v>0</v>
      </c>
      <c r="AY22" s="36" t="s">
        <v>60</v>
      </c>
      <c r="AZ22" s="36" t="s">
        <v>61</v>
      </c>
      <c r="BA22" s="12" t="s">
        <v>62</v>
      </c>
      <c r="BC22" s="32">
        <f>AW22+AX22</f>
        <v>0</v>
      </c>
      <c r="BD22" s="32">
        <f>H22/(100-BE22)*100</f>
        <v>0</v>
      </c>
      <c r="BE22" s="32">
        <v>0</v>
      </c>
      <c r="BF22" s="32">
        <f>P22</f>
        <v>0</v>
      </c>
      <c r="BH22" s="32">
        <f>G22*AO22</f>
        <v>0</v>
      </c>
      <c r="BI22" s="32">
        <f>G22*AP22</f>
        <v>0</v>
      </c>
      <c r="BJ22" s="32">
        <f>G22*H22</f>
        <v>0</v>
      </c>
      <c r="BK22" s="36" t="s">
        <v>63</v>
      </c>
      <c r="BL22" s="32">
        <v>28</v>
      </c>
      <c r="BW22" s="32">
        <f>I22</f>
        <v>21</v>
      </c>
      <c r="BX22" s="4" t="s">
        <v>81</v>
      </c>
    </row>
    <row r="23" spans="1:76" ht="13.5" customHeight="1" x14ac:dyDescent="0.25">
      <c r="A23" s="37"/>
      <c r="C23" s="38"/>
      <c r="D23" s="91" t="s">
        <v>82</v>
      </c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3"/>
    </row>
    <row r="24" spans="1:76" x14ac:dyDescent="0.25">
      <c r="A24" s="39" t="s">
        <v>52</v>
      </c>
      <c r="B24" s="40" t="s">
        <v>52</v>
      </c>
      <c r="C24" s="40" t="s">
        <v>83</v>
      </c>
      <c r="D24" s="97" t="s">
        <v>84</v>
      </c>
      <c r="E24" s="98"/>
      <c r="F24" s="41" t="s">
        <v>2</v>
      </c>
      <c r="G24" s="41" t="s">
        <v>2</v>
      </c>
      <c r="H24" s="41" t="s">
        <v>2</v>
      </c>
      <c r="I24" s="41" t="s">
        <v>2</v>
      </c>
      <c r="J24" s="1">
        <f>SUM(J25:J27)</f>
        <v>0</v>
      </c>
      <c r="K24" s="1">
        <f>SUM(K25:K27)</f>
        <v>0</v>
      </c>
      <c r="L24" s="1">
        <f>SUM(L25:L27)</f>
        <v>0</v>
      </c>
      <c r="M24" s="1">
        <f>SUM(M25:M27)</f>
        <v>0</v>
      </c>
      <c r="N24" s="42">
        <f>IF(L49=0,0,L24/L49)</f>
        <v>0</v>
      </c>
      <c r="O24" s="12" t="s">
        <v>52</v>
      </c>
      <c r="P24" s="1">
        <f>SUM(P25:P27)</f>
        <v>36.650462499999996</v>
      </c>
      <c r="Q24" s="43" t="s">
        <v>52</v>
      </c>
      <c r="AI24" s="12" t="s">
        <v>52</v>
      </c>
      <c r="AS24" s="1">
        <f>SUM(AJ25:AJ27)</f>
        <v>0</v>
      </c>
      <c r="AT24" s="1">
        <f>SUM(AK25:AK27)</f>
        <v>0</v>
      </c>
      <c r="AU24" s="1">
        <f>SUM(AL25:AL27)</f>
        <v>0</v>
      </c>
    </row>
    <row r="25" spans="1:76" x14ac:dyDescent="0.25">
      <c r="A25" s="2" t="s">
        <v>85</v>
      </c>
      <c r="B25" s="3" t="s">
        <v>52</v>
      </c>
      <c r="C25" s="3" t="s">
        <v>86</v>
      </c>
      <c r="D25" s="89" t="s">
        <v>87</v>
      </c>
      <c r="E25" s="90"/>
      <c r="F25" s="3" t="s">
        <v>88</v>
      </c>
      <c r="G25" s="32">
        <v>38.25</v>
      </c>
      <c r="H25" s="74">
        <v>0</v>
      </c>
      <c r="I25" s="33">
        <v>21</v>
      </c>
      <c r="J25" s="32">
        <f>ROUND(G25*AO25,2)</f>
        <v>0</v>
      </c>
      <c r="K25" s="32">
        <f>ROUND(G25*AP25,2)</f>
        <v>0</v>
      </c>
      <c r="L25" s="32">
        <f>ROUND(G25*H25,2)</f>
        <v>0</v>
      </c>
      <c r="M25" s="32">
        <f>L25*(1+BW25/100)</f>
        <v>0</v>
      </c>
      <c r="N25" s="34">
        <f>IF(L49=0,0,L25/L49)</f>
        <v>0</v>
      </c>
      <c r="O25" s="32">
        <v>0.89956999999999998</v>
      </c>
      <c r="P25" s="32">
        <f>G25*O25</f>
        <v>34.408552499999999</v>
      </c>
      <c r="Q25" s="35" t="s">
        <v>59</v>
      </c>
      <c r="Z25" s="32">
        <f>ROUND(IF(AQ25="5",BJ25,0),2)</f>
        <v>0</v>
      </c>
      <c r="AB25" s="32">
        <f>ROUND(IF(AQ25="1",BH25,0),2)</f>
        <v>0</v>
      </c>
      <c r="AC25" s="32">
        <f>ROUND(IF(AQ25="1",BI25,0),2)</f>
        <v>0</v>
      </c>
      <c r="AD25" s="32">
        <f>ROUND(IF(AQ25="7",BH25,0),2)</f>
        <v>0</v>
      </c>
      <c r="AE25" s="32">
        <f>ROUND(IF(AQ25="7",BI25,0),2)</f>
        <v>0</v>
      </c>
      <c r="AF25" s="32">
        <f>ROUND(IF(AQ25="2",BH25,0),2)</f>
        <v>0</v>
      </c>
      <c r="AG25" s="32">
        <f>ROUND(IF(AQ25="2",BI25,0),2)</f>
        <v>0</v>
      </c>
      <c r="AH25" s="32">
        <f>ROUND(IF(AQ25="0",BJ25,0),2)</f>
        <v>0</v>
      </c>
      <c r="AI25" s="12" t="s">
        <v>52</v>
      </c>
      <c r="AJ25" s="32">
        <f>IF(AN25=0,L25,0)</f>
        <v>0</v>
      </c>
      <c r="AK25" s="32">
        <f>IF(AN25=12,L25,0)</f>
        <v>0</v>
      </c>
      <c r="AL25" s="32">
        <f>IF(AN25=21,L25,0)</f>
        <v>0</v>
      </c>
      <c r="AN25" s="32">
        <v>21</v>
      </c>
      <c r="AO25" s="32">
        <f>H25*0.643534789</f>
        <v>0</v>
      </c>
      <c r="AP25" s="32">
        <f>H25*(1-0.643534789)</f>
        <v>0</v>
      </c>
      <c r="AQ25" s="36" t="s">
        <v>55</v>
      </c>
      <c r="AV25" s="32">
        <f>ROUND(AW25+AX25,2)</f>
        <v>0</v>
      </c>
      <c r="AW25" s="32">
        <f>ROUND(G25*AO25,2)</f>
        <v>0</v>
      </c>
      <c r="AX25" s="32">
        <f>ROUND(G25*AP25,2)</f>
        <v>0</v>
      </c>
      <c r="AY25" s="36" t="s">
        <v>89</v>
      </c>
      <c r="AZ25" s="36" t="s">
        <v>90</v>
      </c>
      <c r="BA25" s="12" t="s">
        <v>62</v>
      </c>
      <c r="BC25" s="32">
        <f>AW25+AX25</f>
        <v>0</v>
      </c>
      <c r="BD25" s="32">
        <f>H25/(100-BE25)*100</f>
        <v>0</v>
      </c>
      <c r="BE25" s="32">
        <v>0</v>
      </c>
      <c r="BF25" s="32">
        <f>P25</f>
        <v>34.408552499999999</v>
      </c>
      <c r="BH25" s="32">
        <f>G25*AO25</f>
        <v>0</v>
      </c>
      <c r="BI25" s="32">
        <f>G25*AP25</f>
        <v>0</v>
      </c>
      <c r="BJ25" s="32">
        <f>G25*H25</f>
        <v>0</v>
      </c>
      <c r="BK25" s="36" t="s">
        <v>63</v>
      </c>
      <c r="BL25" s="32">
        <v>31</v>
      </c>
      <c r="BW25" s="32">
        <f>I25</f>
        <v>21</v>
      </c>
      <c r="BX25" s="4" t="s">
        <v>87</v>
      </c>
    </row>
    <row r="26" spans="1:76" ht="13.5" customHeight="1" x14ac:dyDescent="0.25">
      <c r="A26" s="37"/>
      <c r="C26" s="38"/>
      <c r="D26" s="91" t="s">
        <v>91</v>
      </c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3"/>
    </row>
    <row r="27" spans="1:76" x14ac:dyDescent="0.25">
      <c r="A27" s="2" t="s">
        <v>92</v>
      </c>
      <c r="B27" s="3" t="s">
        <v>52</v>
      </c>
      <c r="C27" s="3" t="s">
        <v>93</v>
      </c>
      <c r="D27" s="89" t="s">
        <v>94</v>
      </c>
      <c r="E27" s="90"/>
      <c r="F27" s="3" t="s">
        <v>73</v>
      </c>
      <c r="G27" s="32">
        <v>1</v>
      </c>
      <c r="H27" s="74">
        <v>0</v>
      </c>
      <c r="I27" s="33">
        <v>21</v>
      </c>
      <c r="J27" s="32">
        <f>ROUND(G27*AO27,2)</f>
        <v>0</v>
      </c>
      <c r="K27" s="32">
        <f>ROUND(G27*AP27,2)</f>
        <v>0</v>
      </c>
      <c r="L27" s="32">
        <f>ROUND(G27*H27,2)</f>
        <v>0</v>
      </c>
      <c r="M27" s="32">
        <f>L27*(1+BW27/100)</f>
        <v>0</v>
      </c>
      <c r="N27" s="34">
        <f>IF(L49=0,0,L27/L49)</f>
        <v>0</v>
      </c>
      <c r="O27" s="32">
        <v>2.2419099999999998</v>
      </c>
      <c r="P27" s="32">
        <f>G27*O27</f>
        <v>2.2419099999999998</v>
      </c>
      <c r="Q27" s="35" t="s">
        <v>59</v>
      </c>
      <c r="Z27" s="32">
        <f>ROUND(IF(AQ27="5",BJ27,0),2)</f>
        <v>0</v>
      </c>
      <c r="AB27" s="32">
        <f>ROUND(IF(AQ27="1",BH27,0),2)</f>
        <v>0</v>
      </c>
      <c r="AC27" s="32">
        <f>ROUND(IF(AQ27="1",BI27,0),2)</f>
        <v>0</v>
      </c>
      <c r="AD27" s="32">
        <f>ROUND(IF(AQ27="7",BH27,0),2)</f>
        <v>0</v>
      </c>
      <c r="AE27" s="32">
        <f>ROUND(IF(AQ27="7",BI27,0),2)</f>
        <v>0</v>
      </c>
      <c r="AF27" s="32">
        <f>ROUND(IF(AQ27="2",BH27,0),2)</f>
        <v>0</v>
      </c>
      <c r="AG27" s="32">
        <f>ROUND(IF(AQ27="2",BI27,0),2)</f>
        <v>0</v>
      </c>
      <c r="AH27" s="32">
        <f>ROUND(IF(AQ27="0",BJ27,0),2)</f>
        <v>0</v>
      </c>
      <c r="AI27" s="12" t="s">
        <v>52</v>
      </c>
      <c r="AJ27" s="32">
        <f>IF(AN27=0,L27,0)</f>
        <v>0</v>
      </c>
      <c r="AK27" s="32">
        <f>IF(AN27=12,L27,0)</f>
        <v>0</v>
      </c>
      <c r="AL27" s="32">
        <f>IF(AN27=21,L27,0)</f>
        <v>0</v>
      </c>
      <c r="AN27" s="32">
        <v>21</v>
      </c>
      <c r="AO27" s="32">
        <f>H27*0.285186808</f>
        <v>0</v>
      </c>
      <c r="AP27" s="32">
        <f>H27*(1-0.285186808)</f>
        <v>0</v>
      </c>
      <c r="AQ27" s="36" t="s">
        <v>55</v>
      </c>
      <c r="AV27" s="32">
        <f>ROUND(AW27+AX27,2)</f>
        <v>0</v>
      </c>
      <c r="AW27" s="32">
        <f>ROUND(G27*AO27,2)</f>
        <v>0</v>
      </c>
      <c r="AX27" s="32">
        <f>ROUND(G27*AP27,2)</f>
        <v>0</v>
      </c>
      <c r="AY27" s="36" t="s">
        <v>89</v>
      </c>
      <c r="AZ27" s="36" t="s">
        <v>90</v>
      </c>
      <c r="BA27" s="12" t="s">
        <v>62</v>
      </c>
      <c r="BC27" s="32">
        <f>AW27+AX27</f>
        <v>0</v>
      </c>
      <c r="BD27" s="32">
        <f>H27/(100-BE27)*100</f>
        <v>0</v>
      </c>
      <c r="BE27" s="32">
        <v>0</v>
      </c>
      <c r="BF27" s="32">
        <f>P27</f>
        <v>2.2419099999999998</v>
      </c>
      <c r="BH27" s="32">
        <f>G27*AO27</f>
        <v>0</v>
      </c>
      <c r="BI27" s="32">
        <f>G27*AP27</f>
        <v>0</v>
      </c>
      <c r="BJ27" s="32">
        <f>G27*H27</f>
        <v>0</v>
      </c>
      <c r="BK27" s="36" t="s">
        <v>63</v>
      </c>
      <c r="BL27" s="32">
        <v>31</v>
      </c>
      <c r="BW27" s="32">
        <f>I27</f>
        <v>21</v>
      </c>
      <c r="BX27" s="4" t="s">
        <v>94</v>
      </c>
    </row>
    <row r="28" spans="1:76" ht="13.5" customHeight="1" x14ac:dyDescent="0.25">
      <c r="A28" s="37"/>
      <c r="C28" s="38"/>
      <c r="D28" s="91" t="s">
        <v>95</v>
      </c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3"/>
    </row>
    <row r="29" spans="1:76" x14ac:dyDescent="0.25">
      <c r="A29" s="39" t="s">
        <v>52</v>
      </c>
      <c r="B29" s="40" t="s">
        <v>52</v>
      </c>
      <c r="C29" s="40" t="s">
        <v>96</v>
      </c>
      <c r="D29" s="97" t="s">
        <v>97</v>
      </c>
      <c r="E29" s="98"/>
      <c r="F29" s="41" t="s">
        <v>2</v>
      </c>
      <c r="G29" s="41" t="s">
        <v>2</v>
      </c>
      <c r="H29" s="41" t="s">
        <v>2</v>
      </c>
      <c r="I29" s="41" t="s">
        <v>2</v>
      </c>
      <c r="J29" s="1">
        <f>SUM(J30:J31)</f>
        <v>0</v>
      </c>
      <c r="K29" s="1">
        <f>SUM(K30:K31)</f>
        <v>0</v>
      </c>
      <c r="L29" s="1">
        <f>SUM(L30:L31)</f>
        <v>0</v>
      </c>
      <c r="M29" s="1">
        <f>SUM(M30:M31)</f>
        <v>0</v>
      </c>
      <c r="N29" s="42">
        <f>IF(L49=0,0,L29/L49)</f>
        <v>0</v>
      </c>
      <c r="O29" s="12" t="s">
        <v>52</v>
      </c>
      <c r="P29" s="1">
        <f>SUM(P30:P31)</f>
        <v>9.5999999999999992E-3</v>
      </c>
      <c r="Q29" s="43" t="s">
        <v>52</v>
      </c>
      <c r="AI29" s="12" t="s">
        <v>52</v>
      </c>
      <c r="AS29" s="1">
        <f>SUM(AJ30:AJ31)</f>
        <v>0</v>
      </c>
      <c r="AT29" s="1">
        <f>SUM(AK30:AK31)</f>
        <v>0</v>
      </c>
      <c r="AU29" s="1">
        <f>SUM(AL30:AL31)</f>
        <v>0</v>
      </c>
    </row>
    <row r="30" spans="1:76" x14ac:dyDescent="0.25">
      <c r="A30" s="2" t="s">
        <v>98</v>
      </c>
      <c r="B30" s="3" t="s">
        <v>52</v>
      </c>
      <c r="C30" s="3" t="s">
        <v>99</v>
      </c>
      <c r="D30" s="89" t="s">
        <v>100</v>
      </c>
      <c r="E30" s="90"/>
      <c r="F30" s="3" t="s">
        <v>73</v>
      </c>
      <c r="G30" s="32">
        <v>8</v>
      </c>
      <c r="H30" s="74">
        <v>0</v>
      </c>
      <c r="I30" s="33">
        <v>21</v>
      </c>
      <c r="J30" s="32">
        <f>ROUND(G30*AO30,2)</f>
        <v>0</v>
      </c>
      <c r="K30" s="32">
        <f>ROUND(G30*AP30,2)</f>
        <v>0</v>
      </c>
      <c r="L30" s="32">
        <f>ROUND(G30*H30,2)</f>
        <v>0</v>
      </c>
      <c r="M30" s="32">
        <f>L30*(1+BW30/100)</f>
        <v>0</v>
      </c>
      <c r="N30" s="34">
        <f>IF(L49=0,0,L30/L49)</f>
        <v>0</v>
      </c>
      <c r="O30" s="32">
        <v>0</v>
      </c>
      <c r="P30" s="32">
        <f>G30*O30</f>
        <v>0</v>
      </c>
      <c r="Q30" s="35" t="s">
        <v>59</v>
      </c>
      <c r="Z30" s="32">
        <f>ROUND(IF(AQ30="5",BJ30,0),2)</f>
        <v>0</v>
      </c>
      <c r="AB30" s="32">
        <f>ROUND(IF(AQ30="1",BH30,0),2)</f>
        <v>0</v>
      </c>
      <c r="AC30" s="32">
        <f>ROUND(IF(AQ30="1",BI30,0),2)</f>
        <v>0</v>
      </c>
      <c r="AD30" s="32">
        <f>ROUND(IF(AQ30="7",BH30,0),2)</f>
        <v>0</v>
      </c>
      <c r="AE30" s="32">
        <f>ROUND(IF(AQ30="7",BI30,0),2)</f>
        <v>0</v>
      </c>
      <c r="AF30" s="32">
        <f>ROUND(IF(AQ30="2",BH30,0),2)</f>
        <v>0</v>
      </c>
      <c r="AG30" s="32">
        <f>ROUND(IF(AQ30="2",BI30,0),2)</f>
        <v>0</v>
      </c>
      <c r="AH30" s="32">
        <f>ROUND(IF(AQ30="0",BJ30,0),2)</f>
        <v>0</v>
      </c>
      <c r="AI30" s="12" t="s">
        <v>52</v>
      </c>
      <c r="AJ30" s="32">
        <f>IF(AN30=0,L30,0)</f>
        <v>0</v>
      </c>
      <c r="AK30" s="32">
        <f>IF(AN30=12,L30,0)</f>
        <v>0</v>
      </c>
      <c r="AL30" s="32">
        <f>IF(AN30=21,L30,0)</f>
        <v>0</v>
      </c>
      <c r="AN30" s="32">
        <v>21</v>
      </c>
      <c r="AO30" s="32">
        <f>H30*0</f>
        <v>0</v>
      </c>
      <c r="AP30" s="32">
        <f>H30*(1-0)</f>
        <v>0</v>
      </c>
      <c r="AQ30" s="36" t="s">
        <v>92</v>
      </c>
      <c r="AV30" s="32">
        <f>ROUND(AW30+AX30,2)</f>
        <v>0</v>
      </c>
      <c r="AW30" s="32">
        <f>ROUND(G30*AO30,2)</f>
        <v>0</v>
      </c>
      <c r="AX30" s="32">
        <f>ROUND(G30*AP30,2)</f>
        <v>0</v>
      </c>
      <c r="AY30" s="36" t="s">
        <v>101</v>
      </c>
      <c r="AZ30" s="36" t="s">
        <v>102</v>
      </c>
      <c r="BA30" s="12" t="s">
        <v>62</v>
      </c>
      <c r="BC30" s="32">
        <f>AW30+AX30</f>
        <v>0</v>
      </c>
      <c r="BD30" s="32">
        <f>H30/(100-BE30)*100</f>
        <v>0</v>
      </c>
      <c r="BE30" s="32">
        <v>0</v>
      </c>
      <c r="BF30" s="32">
        <f>P30</f>
        <v>0</v>
      </c>
      <c r="BH30" s="32">
        <f>G30*AO30</f>
        <v>0</v>
      </c>
      <c r="BI30" s="32">
        <f>G30*AP30</f>
        <v>0</v>
      </c>
      <c r="BJ30" s="32">
        <f>G30*H30</f>
        <v>0</v>
      </c>
      <c r="BK30" s="36" t="s">
        <v>63</v>
      </c>
      <c r="BL30" s="32">
        <v>728</v>
      </c>
      <c r="BW30" s="32">
        <f>I30</f>
        <v>21</v>
      </c>
      <c r="BX30" s="4" t="s">
        <v>100</v>
      </c>
    </row>
    <row r="31" spans="1:76" x14ac:dyDescent="0.25">
      <c r="A31" s="2" t="s">
        <v>103</v>
      </c>
      <c r="B31" s="3" t="s">
        <v>52</v>
      </c>
      <c r="C31" s="3" t="s">
        <v>104</v>
      </c>
      <c r="D31" s="89" t="s">
        <v>105</v>
      </c>
      <c r="E31" s="90"/>
      <c r="F31" s="3" t="s">
        <v>73</v>
      </c>
      <c r="G31" s="32">
        <v>8</v>
      </c>
      <c r="H31" s="74">
        <v>0</v>
      </c>
      <c r="I31" s="33">
        <v>21</v>
      </c>
      <c r="J31" s="32">
        <f>ROUND(G31*AO31,2)</f>
        <v>0</v>
      </c>
      <c r="K31" s="32">
        <f>ROUND(G31*AP31,2)</f>
        <v>0</v>
      </c>
      <c r="L31" s="32">
        <f>ROUND(G31*H31,2)</f>
        <v>0</v>
      </c>
      <c r="M31" s="32">
        <f>L31*(1+BW31/100)</f>
        <v>0</v>
      </c>
      <c r="N31" s="34">
        <f>IF(L49=0,0,L31/L49)</f>
        <v>0</v>
      </c>
      <c r="O31" s="32">
        <v>1.1999999999999999E-3</v>
      </c>
      <c r="P31" s="32">
        <f>G31*O31</f>
        <v>9.5999999999999992E-3</v>
      </c>
      <c r="Q31" s="35" t="s">
        <v>59</v>
      </c>
      <c r="Z31" s="32">
        <f>ROUND(IF(AQ31="5",BJ31,0),2)</f>
        <v>0</v>
      </c>
      <c r="AB31" s="32">
        <f>ROUND(IF(AQ31="1",BH31,0),2)</f>
        <v>0</v>
      </c>
      <c r="AC31" s="32">
        <f>ROUND(IF(AQ31="1",BI31,0),2)</f>
        <v>0</v>
      </c>
      <c r="AD31" s="32">
        <f>ROUND(IF(AQ31="7",BH31,0),2)</f>
        <v>0</v>
      </c>
      <c r="AE31" s="32">
        <f>ROUND(IF(AQ31="7",BI31,0),2)</f>
        <v>0</v>
      </c>
      <c r="AF31" s="32">
        <f>ROUND(IF(AQ31="2",BH31,0),2)</f>
        <v>0</v>
      </c>
      <c r="AG31" s="32">
        <f>ROUND(IF(AQ31="2",BI31,0),2)</f>
        <v>0</v>
      </c>
      <c r="AH31" s="32">
        <f>ROUND(IF(AQ31="0",BJ31,0),2)</f>
        <v>0</v>
      </c>
      <c r="AI31" s="12" t="s">
        <v>52</v>
      </c>
      <c r="AJ31" s="32">
        <f>IF(AN31=0,L31,0)</f>
        <v>0</v>
      </c>
      <c r="AK31" s="32">
        <f>IF(AN31=12,L31,0)</f>
        <v>0</v>
      </c>
      <c r="AL31" s="32">
        <f>IF(AN31=21,L31,0)</f>
        <v>0</v>
      </c>
      <c r="AN31" s="32">
        <v>21</v>
      </c>
      <c r="AO31" s="32">
        <f>H31*1</f>
        <v>0</v>
      </c>
      <c r="AP31" s="32">
        <f>H31*(1-1)</f>
        <v>0</v>
      </c>
      <c r="AQ31" s="36" t="s">
        <v>92</v>
      </c>
      <c r="AV31" s="32">
        <f>ROUND(AW31+AX31,2)</f>
        <v>0</v>
      </c>
      <c r="AW31" s="32">
        <f>ROUND(G31*AO31,2)</f>
        <v>0</v>
      </c>
      <c r="AX31" s="32">
        <f>ROUND(G31*AP31,2)</f>
        <v>0</v>
      </c>
      <c r="AY31" s="36" t="s">
        <v>101</v>
      </c>
      <c r="AZ31" s="36" t="s">
        <v>102</v>
      </c>
      <c r="BA31" s="12" t="s">
        <v>62</v>
      </c>
      <c r="BC31" s="32">
        <f>AW31+AX31</f>
        <v>0</v>
      </c>
      <c r="BD31" s="32">
        <f>H31/(100-BE31)*100</f>
        <v>0</v>
      </c>
      <c r="BE31" s="32">
        <v>0</v>
      </c>
      <c r="BF31" s="32">
        <f>P31</f>
        <v>9.5999999999999992E-3</v>
      </c>
      <c r="BH31" s="32">
        <f>G31*AO31</f>
        <v>0</v>
      </c>
      <c r="BI31" s="32">
        <f>G31*AP31</f>
        <v>0</v>
      </c>
      <c r="BJ31" s="32">
        <f>G31*H31</f>
        <v>0</v>
      </c>
      <c r="BK31" s="36" t="s">
        <v>106</v>
      </c>
      <c r="BL31" s="32">
        <v>728</v>
      </c>
      <c r="BW31" s="32">
        <f>I31</f>
        <v>21</v>
      </c>
      <c r="BX31" s="4" t="s">
        <v>105</v>
      </c>
    </row>
    <row r="32" spans="1:76" x14ac:dyDescent="0.25">
      <c r="A32" s="39" t="s">
        <v>52</v>
      </c>
      <c r="B32" s="40" t="s">
        <v>52</v>
      </c>
      <c r="C32" s="40" t="s">
        <v>107</v>
      </c>
      <c r="D32" s="97" t="s">
        <v>108</v>
      </c>
      <c r="E32" s="98"/>
      <c r="F32" s="41" t="s">
        <v>2</v>
      </c>
      <c r="G32" s="41" t="s">
        <v>2</v>
      </c>
      <c r="H32" s="41" t="s">
        <v>2</v>
      </c>
      <c r="I32" s="41" t="s">
        <v>2</v>
      </c>
      <c r="J32" s="1">
        <f>SUM(J33:J33)</f>
        <v>0</v>
      </c>
      <c r="K32" s="1">
        <f>SUM(K33:K33)</f>
        <v>0</v>
      </c>
      <c r="L32" s="1">
        <f>SUM(L33:L33)</f>
        <v>0</v>
      </c>
      <c r="M32" s="1">
        <f>SUM(M33:M33)</f>
        <v>0</v>
      </c>
      <c r="N32" s="42">
        <f>IF(L49=0,0,L32/L49)</f>
        <v>0</v>
      </c>
      <c r="O32" s="12" t="s">
        <v>52</v>
      </c>
      <c r="P32" s="1">
        <f>SUM(P33:P33)</f>
        <v>6.6E-3</v>
      </c>
      <c r="Q32" s="43" t="s">
        <v>52</v>
      </c>
      <c r="AI32" s="12" t="s">
        <v>52</v>
      </c>
      <c r="AS32" s="1">
        <f>SUM(AJ33:AJ33)</f>
        <v>0</v>
      </c>
      <c r="AT32" s="1">
        <f>SUM(AK33:AK33)</f>
        <v>0</v>
      </c>
      <c r="AU32" s="1">
        <f>SUM(AL33:AL33)</f>
        <v>0</v>
      </c>
    </row>
    <row r="33" spans="1:76" ht="25.5" customHeight="1" x14ac:dyDescent="0.25">
      <c r="A33" s="2" t="s">
        <v>109</v>
      </c>
      <c r="B33" s="3" t="s">
        <v>52</v>
      </c>
      <c r="C33" s="3" t="s">
        <v>110</v>
      </c>
      <c r="D33" s="89" t="s">
        <v>111</v>
      </c>
      <c r="E33" s="90"/>
      <c r="F33" s="3" t="s">
        <v>88</v>
      </c>
      <c r="G33" s="32">
        <v>15</v>
      </c>
      <c r="H33" s="74">
        <v>0</v>
      </c>
      <c r="I33" s="33">
        <v>21</v>
      </c>
      <c r="J33" s="32">
        <f>ROUND(G33*AO33,2)</f>
        <v>0</v>
      </c>
      <c r="K33" s="32">
        <f>ROUND(G33*AP33,2)</f>
        <v>0</v>
      </c>
      <c r="L33" s="32">
        <f>ROUND(G33*H33,2)</f>
        <v>0</v>
      </c>
      <c r="M33" s="32">
        <f>L33*(1+BW33/100)</f>
        <v>0</v>
      </c>
      <c r="N33" s="34">
        <f>IF(L49=0,0,L33/L49)</f>
        <v>0</v>
      </c>
      <c r="O33" s="32">
        <v>4.4000000000000002E-4</v>
      </c>
      <c r="P33" s="32">
        <f>G33*O33</f>
        <v>6.6E-3</v>
      </c>
      <c r="Q33" s="35" t="s">
        <v>59</v>
      </c>
      <c r="Z33" s="32">
        <f>ROUND(IF(AQ33="5",BJ33,0),2)</f>
        <v>0</v>
      </c>
      <c r="AB33" s="32">
        <f>ROUND(IF(AQ33="1",BH33,0),2)</f>
        <v>0</v>
      </c>
      <c r="AC33" s="32">
        <f>ROUND(IF(AQ33="1",BI33,0),2)</f>
        <v>0</v>
      </c>
      <c r="AD33" s="32">
        <f>ROUND(IF(AQ33="7",BH33,0),2)</f>
        <v>0</v>
      </c>
      <c r="AE33" s="32">
        <f>ROUND(IF(AQ33="7",BI33,0),2)</f>
        <v>0</v>
      </c>
      <c r="AF33" s="32">
        <f>ROUND(IF(AQ33="2",BH33,0),2)</f>
        <v>0</v>
      </c>
      <c r="AG33" s="32">
        <f>ROUND(IF(AQ33="2",BI33,0),2)</f>
        <v>0</v>
      </c>
      <c r="AH33" s="32">
        <f>ROUND(IF(AQ33="0",BJ33,0),2)</f>
        <v>0</v>
      </c>
      <c r="AI33" s="12" t="s">
        <v>52</v>
      </c>
      <c r="AJ33" s="32">
        <f>IF(AN33=0,L33,0)</f>
        <v>0</v>
      </c>
      <c r="AK33" s="32">
        <f>IF(AN33=12,L33,0)</f>
        <v>0</v>
      </c>
      <c r="AL33" s="32">
        <f>IF(AN33=21,L33,0)</f>
        <v>0</v>
      </c>
      <c r="AN33" s="32">
        <v>21</v>
      </c>
      <c r="AO33" s="32">
        <f>H33*0.420074074</f>
        <v>0</v>
      </c>
      <c r="AP33" s="32">
        <f>H33*(1-0.420074074)</f>
        <v>0</v>
      </c>
      <c r="AQ33" s="36" t="s">
        <v>92</v>
      </c>
      <c r="AV33" s="32">
        <f>ROUND(AW33+AX33,2)</f>
        <v>0</v>
      </c>
      <c r="AW33" s="32">
        <f>ROUND(G33*AO33,2)</f>
        <v>0</v>
      </c>
      <c r="AX33" s="32">
        <f>ROUND(G33*AP33,2)</f>
        <v>0</v>
      </c>
      <c r="AY33" s="36" t="s">
        <v>112</v>
      </c>
      <c r="AZ33" s="36" t="s">
        <v>113</v>
      </c>
      <c r="BA33" s="12" t="s">
        <v>62</v>
      </c>
      <c r="BC33" s="32">
        <f>AW33+AX33</f>
        <v>0</v>
      </c>
      <c r="BD33" s="32">
        <f>H33/(100-BE33)*100</f>
        <v>0</v>
      </c>
      <c r="BE33" s="32">
        <v>0</v>
      </c>
      <c r="BF33" s="32">
        <f>P33</f>
        <v>6.6E-3</v>
      </c>
      <c r="BH33" s="32">
        <f>G33*AO33</f>
        <v>0</v>
      </c>
      <c r="BI33" s="32">
        <f>G33*AP33</f>
        <v>0</v>
      </c>
      <c r="BJ33" s="32">
        <f>G33*H33</f>
        <v>0</v>
      </c>
      <c r="BK33" s="36" t="s">
        <v>63</v>
      </c>
      <c r="BL33" s="32">
        <v>783</v>
      </c>
      <c r="BW33" s="32">
        <f>I33</f>
        <v>21</v>
      </c>
      <c r="BX33" s="4" t="s">
        <v>111</v>
      </c>
    </row>
    <row r="34" spans="1:76" ht="13.5" customHeight="1" x14ac:dyDescent="0.25">
      <c r="A34" s="37"/>
      <c r="C34" s="38"/>
      <c r="D34" s="91" t="s">
        <v>114</v>
      </c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3"/>
    </row>
    <row r="35" spans="1:76" x14ac:dyDescent="0.25">
      <c r="A35" s="39" t="s">
        <v>52</v>
      </c>
      <c r="B35" s="40" t="s">
        <v>52</v>
      </c>
      <c r="C35" s="40" t="s">
        <v>115</v>
      </c>
      <c r="D35" s="97" t="s">
        <v>116</v>
      </c>
      <c r="E35" s="98"/>
      <c r="F35" s="41" t="s">
        <v>2</v>
      </c>
      <c r="G35" s="41" t="s">
        <v>2</v>
      </c>
      <c r="H35" s="41" t="s">
        <v>2</v>
      </c>
      <c r="I35" s="41" t="s">
        <v>2</v>
      </c>
      <c r="J35" s="1">
        <f>SUM(J36:J37)</f>
        <v>0</v>
      </c>
      <c r="K35" s="1">
        <f>SUM(K36:K37)</f>
        <v>0</v>
      </c>
      <c r="L35" s="1">
        <f>SUM(L36:L37)</f>
        <v>0</v>
      </c>
      <c r="M35" s="1">
        <f>SUM(M36:M37)</f>
        <v>0</v>
      </c>
      <c r="N35" s="42">
        <f>IF(L49=0,0,L35/L49)</f>
        <v>0</v>
      </c>
      <c r="O35" s="12" t="s">
        <v>52</v>
      </c>
      <c r="P35" s="1">
        <f>SUM(P36:P37)</f>
        <v>15.273140000000001</v>
      </c>
      <c r="Q35" s="43" t="s">
        <v>52</v>
      </c>
      <c r="AI35" s="12" t="s">
        <v>52</v>
      </c>
      <c r="AS35" s="1">
        <f>SUM(AJ36:AJ37)</f>
        <v>0</v>
      </c>
      <c r="AT35" s="1">
        <f>SUM(AK36:AK37)</f>
        <v>0</v>
      </c>
      <c r="AU35" s="1">
        <f>SUM(AL36:AL37)</f>
        <v>0</v>
      </c>
    </row>
    <row r="36" spans="1:76" x14ac:dyDescent="0.25">
      <c r="A36" s="2" t="s">
        <v>117</v>
      </c>
      <c r="B36" s="3" t="s">
        <v>52</v>
      </c>
      <c r="C36" s="3" t="s">
        <v>118</v>
      </c>
      <c r="D36" s="89" t="s">
        <v>119</v>
      </c>
      <c r="E36" s="90"/>
      <c r="F36" s="3" t="s">
        <v>73</v>
      </c>
      <c r="G36" s="32">
        <v>8</v>
      </c>
      <c r="H36" s="74">
        <v>0</v>
      </c>
      <c r="I36" s="33">
        <v>21</v>
      </c>
      <c r="J36" s="32">
        <f>ROUND(G36*AO36,2)</f>
        <v>0</v>
      </c>
      <c r="K36" s="32">
        <f>ROUND(G36*AP36,2)</f>
        <v>0</v>
      </c>
      <c r="L36" s="32">
        <f>ROUND(G36*H36,2)</f>
        <v>0</v>
      </c>
      <c r="M36" s="32">
        <f>L36*(1+BW36/100)</f>
        <v>0</v>
      </c>
      <c r="N36" s="34">
        <f>IF(L49=0,0,L36/L49)</f>
        <v>0</v>
      </c>
      <c r="O36" s="32">
        <v>0.33133000000000001</v>
      </c>
      <c r="P36" s="32">
        <f>G36*O36</f>
        <v>2.6506400000000001</v>
      </c>
      <c r="Q36" s="35" t="s">
        <v>59</v>
      </c>
      <c r="Z36" s="32">
        <f>ROUND(IF(AQ36="5",BJ36,0),2)</f>
        <v>0</v>
      </c>
      <c r="AB36" s="32">
        <f>ROUND(IF(AQ36="1",BH36,0),2)</f>
        <v>0</v>
      </c>
      <c r="AC36" s="32">
        <f>ROUND(IF(AQ36="1",BI36,0),2)</f>
        <v>0</v>
      </c>
      <c r="AD36" s="32">
        <f>ROUND(IF(AQ36="7",BH36,0),2)</f>
        <v>0</v>
      </c>
      <c r="AE36" s="32">
        <f>ROUND(IF(AQ36="7",BI36,0),2)</f>
        <v>0</v>
      </c>
      <c r="AF36" s="32">
        <f>ROUND(IF(AQ36="2",BH36,0),2)</f>
        <v>0</v>
      </c>
      <c r="AG36" s="32">
        <f>ROUND(IF(AQ36="2",BI36,0),2)</f>
        <v>0</v>
      </c>
      <c r="AH36" s="32">
        <f>ROUND(IF(AQ36="0",BJ36,0),2)</f>
        <v>0</v>
      </c>
      <c r="AI36" s="12" t="s">
        <v>52</v>
      </c>
      <c r="AJ36" s="32">
        <f>IF(AN36=0,L36,0)</f>
        <v>0</v>
      </c>
      <c r="AK36" s="32">
        <f>IF(AN36=12,L36,0)</f>
        <v>0</v>
      </c>
      <c r="AL36" s="32">
        <f>IF(AN36=21,L36,0)</f>
        <v>0</v>
      </c>
      <c r="AN36" s="32">
        <v>21</v>
      </c>
      <c r="AO36" s="32">
        <f>H36*0.012012121</f>
        <v>0</v>
      </c>
      <c r="AP36" s="32">
        <f>H36*(1-0.012012121)</f>
        <v>0</v>
      </c>
      <c r="AQ36" s="36" t="s">
        <v>55</v>
      </c>
      <c r="AV36" s="32">
        <f>ROUND(AW36+AX36,2)</f>
        <v>0</v>
      </c>
      <c r="AW36" s="32">
        <f>ROUND(G36*AO36,2)</f>
        <v>0</v>
      </c>
      <c r="AX36" s="32">
        <f>ROUND(G36*AP36,2)</f>
        <v>0</v>
      </c>
      <c r="AY36" s="36" t="s">
        <v>120</v>
      </c>
      <c r="AZ36" s="36" t="s">
        <v>121</v>
      </c>
      <c r="BA36" s="12" t="s">
        <v>62</v>
      </c>
      <c r="BC36" s="32">
        <f>AW36+AX36</f>
        <v>0</v>
      </c>
      <c r="BD36" s="32">
        <f>H36/(100-BE36)*100</f>
        <v>0</v>
      </c>
      <c r="BE36" s="32">
        <v>0</v>
      </c>
      <c r="BF36" s="32">
        <f>P36</f>
        <v>2.6506400000000001</v>
      </c>
      <c r="BH36" s="32">
        <f>G36*AO36</f>
        <v>0</v>
      </c>
      <c r="BI36" s="32">
        <f>G36*AP36</f>
        <v>0</v>
      </c>
      <c r="BJ36" s="32">
        <f>G36*H36</f>
        <v>0</v>
      </c>
      <c r="BK36" s="36" t="s">
        <v>63</v>
      </c>
      <c r="BL36" s="32">
        <v>97</v>
      </c>
      <c r="BW36" s="32">
        <f>I36</f>
        <v>21</v>
      </c>
      <c r="BX36" s="4" t="s">
        <v>119</v>
      </c>
    </row>
    <row r="37" spans="1:76" x14ac:dyDescent="0.25">
      <c r="A37" s="2" t="s">
        <v>122</v>
      </c>
      <c r="B37" s="3" t="s">
        <v>52</v>
      </c>
      <c r="C37" s="3" t="s">
        <v>123</v>
      </c>
      <c r="D37" s="89" t="s">
        <v>124</v>
      </c>
      <c r="E37" s="90"/>
      <c r="F37" s="3" t="s">
        <v>88</v>
      </c>
      <c r="G37" s="32">
        <v>38.25</v>
      </c>
      <c r="H37" s="74">
        <v>0</v>
      </c>
      <c r="I37" s="33">
        <v>21</v>
      </c>
      <c r="J37" s="32">
        <f>ROUND(G37*AO37,2)</f>
        <v>0</v>
      </c>
      <c r="K37" s="32">
        <f>ROUND(G37*AP37,2)</f>
        <v>0</v>
      </c>
      <c r="L37" s="32">
        <f>ROUND(G37*H37,2)</f>
        <v>0</v>
      </c>
      <c r="M37" s="32">
        <f>L37*(1+BW37/100)</f>
        <v>0</v>
      </c>
      <c r="N37" s="34">
        <f>IF(L49=0,0,L37/L49)</f>
        <v>0</v>
      </c>
      <c r="O37" s="32">
        <v>0.33</v>
      </c>
      <c r="P37" s="32">
        <f>G37*O37</f>
        <v>12.6225</v>
      </c>
      <c r="Q37" s="35" t="s">
        <v>59</v>
      </c>
      <c r="Z37" s="32">
        <f>ROUND(IF(AQ37="5",BJ37,0),2)</f>
        <v>0</v>
      </c>
      <c r="AB37" s="32">
        <f>ROUND(IF(AQ37="1",BH37,0),2)</f>
        <v>0</v>
      </c>
      <c r="AC37" s="32">
        <f>ROUND(IF(AQ37="1",BI37,0),2)</f>
        <v>0</v>
      </c>
      <c r="AD37" s="32">
        <f>ROUND(IF(AQ37="7",BH37,0),2)</f>
        <v>0</v>
      </c>
      <c r="AE37" s="32">
        <f>ROUND(IF(AQ37="7",BI37,0),2)</f>
        <v>0</v>
      </c>
      <c r="AF37" s="32">
        <f>ROUND(IF(AQ37="2",BH37,0),2)</f>
        <v>0</v>
      </c>
      <c r="AG37" s="32">
        <f>ROUND(IF(AQ37="2",BI37,0),2)</f>
        <v>0</v>
      </c>
      <c r="AH37" s="32">
        <f>ROUND(IF(AQ37="0",BJ37,0),2)</f>
        <v>0</v>
      </c>
      <c r="AI37" s="12" t="s">
        <v>52</v>
      </c>
      <c r="AJ37" s="32">
        <f>IF(AN37=0,L37,0)</f>
        <v>0</v>
      </c>
      <c r="AK37" s="32">
        <f>IF(AN37=12,L37,0)</f>
        <v>0</v>
      </c>
      <c r="AL37" s="32">
        <f>IF(AN37=21,L37,0)</f>
        <v>0</v>
      </c>
      <c r="AN37" s="32">
        <v>21</v>
      </c>
      <c r="AO37" s="32">
        <f>H37*0</f>
        <v>0</v>
      </c>
      <c r="AP37" s="32">
        <f>H37*(1-0)</f>
        <v>0</v>
      </c>
      <c r="AQ37" s="36" t="s">
        <v>55</v>
      </c>
      <c r="AV37" s="32">
        <f>ROUND(AW37+AX37,2)</f>
        <v>0</v>
      </c>
      <c r="AW37" s="32">
        <f>ROUND(G37*AO37,2)</f>
        <v>0</v>
      </c>
      <c r="AX37" s="32">
        <f>ROUND(G37*AP37,2)</f>
        <v>0</v>
      </c>
      <c r="AY37" s="36" t="s">
        <v>120</v>
      </c>
      <c r="AZ37" s="36" t="s">
        <v>121</v>
      </c>
      <c r="BA37" s="12" t="s">
        <v>62</v>
      </c>
      <c r="BC37" s="32">
        <f>AW37+AX37</f>
        <v>0</v>
      </c>
      <c r="BD37" s="32">
        <f>H37/(100-BE37)*100</f>
        <v>0</v>
      </c>
      <c r="BE37" s="32">
        <v>0</v>
      </c>
      <c r="BF37" s="32">
        <f>P37</f>
        <v>12.6225</v>
      </c>
      <c r="BH37" s="32">
        <f>G37*AO37</f>
        <v>0</v>
      </c>
      <c r="BI37" s="32">
        <f>G37*AP37</f>
        <v>0</v>
      </c>
      <c r="BJ37" s="32">
        <f>G37*H37</f>
        <v>0</v>
      </c>
      <c r="BK37" s="36" t="s">
        <v>63</v>
      </c>
      <c r="BL37" s="32">
        <v>97</v>
      </c>
      <c r="BW37" s="32">
        <f>I37</f>
        <v>21</v>
      </c>
      <c r="BX37" s="4" t="s">
        <v>124</v>
      </c>
    </row>
    <row r="38" spans="1:76" ht="13.5" customHeight="1" x14ac:dyDescent="0.25">
      <c r="A38" s="37"/>
      <c r="C38" s="38"/>
      <c r="D38" s="91" t="s">
        <v>125</v>
      </c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3"/>
    </row>
    <row r="39" spans="1:76" x14ac:dyDescent="0.25">
      <c r="A39" s="39" t="s">
        <v>52</v>
      </c>
      <c r="B39" s="40" t="s">
        <v>52</v>
      </c>
      <c r="C39" s="40" t="s">
        <v>126</v>
      </c>
      <c r="D39" s="97" t="s">
        <v>127</v>
      </c>
      <c r="E39" s="98"/>
      <c r="F39" s="41" t="s">
        <v>2</v>
      </c>
      <c r="G39" s="41" t="s">
        <v>2</v>
      </c>
      <c r="H39" s="41" t="s">
        <v>2</v>
      </c>
      <c r="I39" s="41" t="s">
        <v>2</v>
      </c>
      <c r="J39" s="1">
        <f>SUM(J40:J40)</f>
        <v>0</v>
      </c>
      <c r="K39" s="1">
        <f>SUM(K40:K40)</f>
        <v>0</v>
      </c>
      <c r="L39" s="1">
        <f>SUM(L40:L40)</f>
        <v>0</v>
      </c>
      <c r="M39" s="1">
        <f>SUM(M40:M40)</f>
        <v>0</v>
      </c>
      <c r="N39" s="42">
        <f>IF(L49=0,0,L39/L49)</f>
        <v>0</v>
      </c>
      <c r="O39" s="12" t="s">
        <v>52</v>
      </c>
      <c r="P39" s="1">
        <f>SUM(P40:P40)</f>
        <v>0</v>
      </c>
      <c r="Q39" s="43" t="s">
        <v>52</v>
      </c>
      <c r="AI39" s="12" t="s">
        <v>52</v>
      </c>
      <c r="AS39" s="1">
        <f>SUM(AJ40:AJ40)</f>
        <v>0</v>
      </c>
      <c r="AT39" s="1">
        <f>SUM(AK40:AK40)</f>
        <v>0</v>
      </c>
      <c r="AU39" s="1">
        <f>SUM(AL40:AL40)</f>
        <v>0</v>
      </c>
    </row>
    <row r="40" spans="1:76" x14ac:dyDescent="0.25">
      <c r="A40" s="2" t="s">
        <v>128</v>
      </c>
      <c r="B40" s="3" t="s">
        <v>52</v>
      </c>
      <c r="C40" s="3" t="s">
        <v>129</v>
      </c>
      <c r="D40" s="89" t="s">
        <v>130</v>
      </c>
      <c r="E40" s="90"/>
      <c r="F40" s="3" t="s">
        <v>131</v>
      </c>
      <c r="G40" s="32">
        <v>361.43599999999998</v>
      </c>
      <c r="H40" s="74">
        <v>0</v>
      </c>
      <c r="I40" s="33">
        <v>21</v>
      </c>
      <c r="J40" s="32">
        <f>ROUND(G40*AO40,2)</f>
        <v>0</v>
      </c>
      <c r="K40" s="32">
        <f>ROUND(G40*AP40,2)</f>
        <v>0</v>
      </c>
      <c r="L40" s="32">
        <f>ROUND(G40*H40,2)</f>
        <v>0</v>
      </c>
      <c r="M40" s="32">
        <f>L40*(1+BW40/100)</f>
        <v>0</v>
      </c>
      <c r="N40" s="34">
        <f>IF(L49=0,0,L40/L49)</f>
        <v>0</v>
      </c>
      <c r="O40" s="32">
        <v>0</v>
      </c>
      <c r="P40" s="32">
        <f>G40*O40</f>
        <v>0</v>
      </c>
      <c r="Q40" s="35" t="s">
        <v>59</v>
      </c>
      <c r="Z40" s="32">
        <f>ROUND(IF(AQ40="5",BJ40,0),2)</f>
        <v>0</v>
      </c>
      <c r="AB40" s="32">
        <f>ROUND(IF(AQ40="1",BH40,0),2)</f>
        <v>0</v>
      </c>
      <c r="AC40" s="32">
        <f>ROUND(IF(AQ40="1",BI40,0),2)</f>
        <v>0</v>
      </c>
      <c r="AD40" s="32">
        <f>ROUND(IF(AQ40="7",BH40,0),2)</f>
        <v>0</v>
      </c>
      <c r="AE40" s="32">
        <f>ROUND(IF(AQ40="7",BI40,0),2)</f>
        <v>0</v>
      </c>
      <c r="AF40" s="32">
        <f>ROUND(IF(AQ40="2",BH40,0),2)</f>
        <v>0</v>
      </c>
      <c r="AG40" s="32">
        <f>ROUND(IF(AQ40="2",BI40,0),2)</f>
        <v>0</v>
      </c>
      <c r="AH40" s="32">
        <f>ROUND(IF(AQ40="0",BJ40,0),2)</f>
        <v>0</v>
      </c>
      <c r="AI40" s="12" t="s">
        <v>52</v>
      </c>
      <c r="AJ40" s="32">
        <f>IF(AN40=0,L40,0)</f>
        <v>0</v>
      </c>
      <c r="AK40" s="32">
        <f>IF(AN40=12,L40,0)</f>
        <v>0</v>
      </c>
      <c r="AL40" s="32">
        <f>IF(AN40=21,L40,0)</f>
        <v>0</v>
      </c>
      <c r="AN40" s="32">
        <v>21</v>
      </c>
      <c r="AO40" s="32">
        <f>H40*0</f>
        <v>0</v>
      </c>
      <c r="AP40" s="32">
        <f>H40*(1-0)</f>
        <v>0</v>
      </c>
      <c r="AQ40" s="36" t="s">
        <v>80</v>
      </c>
      <c r="AV40" s="32">
        <f>ROUND(AW40+AX40,2)</f>
        <v>0</v>
      </c>
      <c r="AW40" s="32">
        <f>ROUND(G40*AO40,2)</f>
        <v>0</v>
      </c>
      <c r="AX40" s="32">
        <f>ROUND(G40*AP40,2)</f>
        <v>0</v>
      </c>
      <c r="AY40" s="36" t="s">
        <v>132</v>
      </c>
      <c r="AZ40" s="36" t="s">
        <v>121</v>
      </c>
      <c r="BA40" s="12" t="s">
        <v>62</v>
      </c>
      <c r="BC40" s="32">
        <f>AW40+AX40</f>
        <v>0</v>
      </c>
      <c r="BD40" s="32">
        <f>H40/(100-BE40)*100</f>
        <v>0</v>
      </c>
      <c r="BE40" s="32">
        <v>0</v>
      </c>
      <c r="BF40" s="32">
        <f>P40</f>
        <v>0</v>
      </c>
      <c r="BH40" s="32">
        <f>G40*AO40</f>
        <v>0</v>
      </c>
      <c r="BI40" s="32">
        <f>G40*AP40</f>
        <v>0</v>
      </c>
      <c r="BJ40" s="32">
        <f>G40*H40</f>
        <v>0</v>
      </c>
      <c r="BK40" s="36" t="s">
        <v>63</v>
      </c>
      <c r="BL40" s="32"/>
      <c r="BW40" s="32">
        <f>I40</f>
        <v>21</v>
      </c>
      <c r="BX40" s="4" t="s">
        <v>130</v>
      </c>
    </row>
    <row r="41" spans="1:76" x14ac:dyDescent="0.25">
      <c r="A41" s="39" t="s">
        <v>52</v>
      </c>
      <c r="B41" s="40" t="s">
        <v>52</v>
      </c>
      <c r="C41" s="40" t="s">
        <v>133</v>
      </c>
      <c r="D41" s="97" t="s">
        <v>134</v>
      </c>
      <c r="E41" s="98"/>
      <c r="F41" s="41" t="s">
        <v>2</v>
      </c>
      <c r="G41" s="41" t="s">
        <v>2</v>
      </c>
      <c r="H41" s="41" t="s">
        <v>2</v>
      </c>
      <c r="I41" s="41" t="s">
        <v>2</v>
      </c>
      <c r="J41" s="1">
        <f>SUM(J42:J47)</f>
        <v>0</v>
      </c>
      <c r="K41" s="1">
        <f>SUM(K42:K47)</f>
        <v>0</v>
      </c>
      <c r="L41" s="1">
        <f>SUM(L42:L47)</f>
        <v>0</v>
      </c>
      <c r="M41" s="1">
        <f>SUM(M42:M47)</f>
        <v>0</v>
      </c>
      <c r="N41" s="42">
        <f>IF(L49=0,0,L41/L49)</f>
        <v>0</v>
      </c>
      <c r="O41" s="12" t="s">
        <v>52</v>
      </c>
      <c r="P41" s="1">
        <f>SUM(P42:P47)</f>
        <v>0</v>
      </c>
      <c r="Q41" s="43" t="s">
        <v>52</v>
      </c>
      <c r="AI41" s="12" t="s">
        <v>52</v>
      </c>
      <c r="AS41" s="1">
        <f>SUM(AJ42:AJ47)</f>
        <v>0</v>
      </c>
      <c r="AT41" s="1">
        <f>SUM(AK42:AK47)</f>
        <v>0</v>
      </c>
      <c r="AU41" s="1">
        <f>SUM(AL42:AL47)</f>
        <v>0</v>
      </c>
    </row>
    <row r="42" spans="1:76" x14ac:dyDescent="0.25">
      <c r="A42" s="2" t="s">
        <v>135</v>
      </c>
      <c r="B42" s="3" t="s">
        <v>52</v>
      </c>
      <c r="C42" s="3" t="s">
        <v>136</v>
      </c>
      <c r="D42" s="89" t="s">
        <v>137</v>
      </c>
      <c r="E42" s="90"/>
      <c r="F42" s="3" t="s">
        <v>131</v>
      </c>
      <c r="G42" s="32">
        <v>15.273</v>
      </c>
      <c r="H42" s="74">
        <v>0</v>
      </c>
      <c r="I42" s="33">
        <v>21</v>
      </c>
      <c r="J42" s="32">
        <f>ROUND(G42*AO42,2)</f>
        <v>0</v>
      </c>
      <c r="K42" s="32">
        <f>ROUND(G42*AP42,2)</f>
        <v>0</v>
      </c>
      <c r="L42" s="32">
        <f>ROUND(G42*H42,2)</f>
        <v>0</v>
      </c>
      <c r="M42" s="32">
        <f>L42*(1+BW42/100)</f>
        <v>0</v>
      </c>
      <c r="N42" s="34">
        <f>IF(L49=0,0,L42/L49)</f>
        <v>0</v>
      </c>
      <c r="O42" s="32">
        <v>0</v>
      </c>
      <c r="P42" s="32">
        <f>G42*O42</f>
        <v>0</v>
      </c>
      <c r="Q42" s="35" t="s">
        <v>59</v>
      </c>
      <c r="Z42" s="32">
        <f>ROUND(IF(AQ42="5",BJ42,0),2)</f>
        <v>0</v>
      </c>
      <c r="AB42" s="32">
        <f>ROUND(IF(AQ42="1",BH42,0),2)</f>
        <v>0</v>
      </c>
      <c r="AC42" s="32">
        <f>ROUND(IF(AQ42="1",BI42,0),2)</f>
        <v>0</v>
      </c>
      <c r="AD42" s="32">
        <f>ROUND(IF(AQ42="7",BH42,0),2)</f>
        <v>0</v>
      </c>
      <c r="AE42" s="32">
        <f>ROUND(IF(AQ42="7",BI42,0),2)</f>
        <v>0</v>
      </c>
      <c r="AF42" s="32">
        <f>ROUND(IF(AQ42="2",BH42,0),2)</f>
        <v>0</v>
      </c>
      <c r="AG42" s="32">
        <f>ROUND(IF(AQ42="2",BI42,0),2)</f>
        <v>0</v>
      </c>
      <c r="AH42" s="32">
        <f>ROUND(IF(AQ42="0",BJ42,0),2)</f>
        <v>0</v>
      </c>
      <c r="AI42" s="12" t="s">
        <v>52</v>
      </c>
      <c r="AJ42" s="32">
        <f>IF(AN42=0,L42,0)</f>
        <v>0</v>
      </c>
      <c r="AK42" s="32">
        <f>IF(AN42=12,L42,0)</f>
        <v>0</v>
      </c>
      <c r="AL42" s="32">
        <f>IF(AN42=21,L42,0)</f>
        <v>0</v>
      </c>
      <c r="AN42" s="32">
        <v>21</v>
      </c>
      <c r="AO42" s="32">
        <f>H42*0.010631076</f>
        <v>0</v>
      </c>
      <c r="AP42" s="32">
        <f>H42*(1-0.010631076)</f>
        <v>0</v>
      </c>
      <c r="AQ42" s="36" t="s">
        <v>80</v>
      </c>
      <c r="AV42" s="32">
        <f>ROUND(AW42+AX42,2)</f>
        <v>0</v>
      </c>
      <c r="AW42" s="32">
        <f>ROUND(G42*AO42,2)</f>
        <v>0</v>
      </c>
      <c r="AX42" s="32">
        <f>ROUND(G42*AP42,2)</f>
        <v>0</v>
      </c>
      <c r="AY42" s="36" t="s">
        <v>138</v>
      </c>
      <c r="AZ42" s="36" t="s">
        <v>121</v>
      </c>
      <c r="BA42" s="12" t="s">
        <v>62</v>
      </c>
      <c r="BC42" s="32">
        <f>AW42+AX42</f>
        <v>0</v>
      </c>
      <c r="BD42" s="32">
        <f>H42/(100-BE42)*100</f>
        <v>0</v>
      </c>
      <c r="BE42" s="32">
        <v>0</v>
      </c>
      <c r="BF42" s="32">
        <f>P42</f>
        <v>0</v>
      </c>
      <c r="BH42" s="32">
        <f>G42*AO42</f>
        <v>0</v>
      </c>
      <c r="BI42" s="32">
        <f>G42*AP42</f>
        <v>0</v>
      </c>
      <c r="BJ42" s="32">
        <f>G42*H42</f>
        <v>0</v>
      </c>
      <c r="BK42" s="36" t="s">
        <v>63</v>
      </c>
      <c r="BL42" s="32"/>
      <c r="BW42" s="32">
        <f>I42</f>
        <v>21</v>
      </c>
      <c r="BX42" s="4" t="s">
        <v>137</v>
      </c>
    </row>
    <row r="43" spans="1:76" ht="13.5" customHeight="1" x14ac:dyDescent="0.25">
      <c r="A43" s="37"/>
      <c r="C43" s="38"/>
      <c r="D43" s="91" t="s">
        <v>139</v>
      </c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3"/>
    </row>
    <row r="44" spans="1:76" x14ac:dyDescent="0.25">
      <c r="A44" s="2" t="s">
        <v>140</v>
      </c>
      <c r="B44" s="3" t="s">
        <v>52</v>
      </c>
      <c r="C44" s="3" t="s">
        <v>141</v>
      </c>
      <c r="D44" s="89" t="s">
        <v>142</v>
      </c>
      <c r="E44" s="90"/>
      <c r="F44" s="3" t="s">
        <v>131</v>
      </c>
      <c r="G44" s="32">
        <v>61.091999999999999</v>
      </c>
      <c r="H44" s="74">
        <v>0</v>
      </c>
      <c r="I44" s="33">
        <v>21</v>
      </c>
      <c r="J44" s="32">
        <f>ROUND(G44*AO44,2)</f>
        <v>0</v>
      </c>
      <c r="K44" s="32">
        <f>ROUND(G44*AP44,2)</f>
        <v>0</v>
      </c>
      <c r="L44" s="32">
        <f>ROUND(G44*H44,2)</f>
        <v>0</v>
      </c>
      <c r="M44" s="32">
        <f>L44*(1+BW44/100)</f>
        <v>0</v>
      </c>
      <c r="N44" s="34">
        <f>IF(L49=0,0,L44/L49)</f>
        <v>0</v>
      </c>
      <c r="O44" s="32">
        <v>0</v>
      </c>
      <c r="P44" s="32">
        <f>G44*O44</f>
        <v>0</v>
      </c>
      <c r="Q44" s="35" t="s">
        <v>59</v>
      </c>
      <c r="Z44" s="32">
        <f>ROUND(IF(AQ44="5",BJ44,0),2)</f>
        <v>0</v>
      </c>
      <c r="AB44" s="32">
        <f>ROUND(IF(AQ44="1",BH44,0),2)</f>
        <v>0</v>
      </c>
      <c r="AC44" s="32">
        <f>ROUND(IF(AQ44="1",BI44,0),2)</f>
        <v>0</v>
      </c>
      <c r="AD44" s="32">
        <f>ROUND(IF(AQ44="7",BH44,0),2)</f>
        <v>0</v>
      </c>
      <c r="AE44" s="32">
        <f>ROUND(IF(AQ44="7",BI44,0),2)</f>
        <v>0</v>
      </c>
      <c r="AF44" s="32">
        <f>ROUND(IF(AQ44="2",BH44,0),2)</f>
        <v>0</v>
      </c>
      <c r="AG44" s="32">
        <f>ROUND(IF(AQ44="2",BI44,0),2)</f>
        <v>0</v>
      </c>
      <c r="AH44" s="32">
        <f>ROUND(IF(AQ44="0",BJ44,0),2)</f>
        <v>0</v>
      </c>
      <c r="AI44" s="12" t="s">
        <v>52</v>
      </c>
      <c r="AJ44" s="32">
        <f>IF(AN44=0,L44,0)</f>
        <v>0</v>
      </c>
      <c r="AK44" s="32">
        <f>IF(AN44=12,L44,0)</f>
        <v>0</v>
      </c>
      <c r="AL44" s="32">
        <f>IF(AN44=21,L44,0)</f>
        <v>0</v>
      </c>
      <c r="AN44" s="32">
        <v>21</v>
      </c>
      <c r="AO44" s="32">
        <f>H44*0</f>
        <v>0</v>
      </c>
      <c r="AP44" s="32">
        <f>H44*(1-0)</f>
        <v>0</v>
      </c>
      <c r="AQ44" s="36" t="s">
        <v>80</v>
      </c>
      <c r="AV44" s="32">
        <f>ROUND(AW44+AX44,2)</f>
        <v>0</v>
      </c>
      <c r="AW44" s="32">
        <f>ROUND(G44*AO44,2)</f>
        <v>0</v>
      </c>
      <c r="AX44" s="32">
        <f>ROUND(G44*AP44,2)</f>
        <v>0</v>
      </c>
      <c r="AY44" s="36" t="s">
        <v>138</v>
      </c>
      <c r="AZ44" s="36" t="s">
        <v>121</v>
      </c>
      <c r="BA44" s="12" t="s">
        <v>62</v>
      </c>
      <c r="BC44" s="32">
        <f>AW44+AX44</f>
        <v>0</v>
      </c>
      <c r="BD44" s="32">
        <f>H44/(100-BE44)*100</f>
        <v>0</v>
      </c>
      <c r="BE44" s="32">
        <v>0</v>
      </c>
      <c r="BF44" s="32">
        <f>P44</f>
        <v>0</v>
      </c>
      <c r="BH44" s="32">
        <f>G44*AO44</f>
        <v>0</v>
      </c>
      <c r="BI44" s="32">
        <f>G44*AP44</f>
        <v>0</v>
      </c>
      <c r="BJ44" s="32">
        <f>G44*H44</f>
        <v>0</v>
      </c>
      <c r="BK44" s="36" t="s">
        <v>63</v>
      </c>
      <c r="BL44" s="32"/>
      <c r="BW44" s="32">
        <f>I44</f>
        <v>21</v>
      </c>
      <c r="BX44" s="4" t="s">
        <v>142</v>
      </c>
    </row>
    <row r="45" spans="1:76" ht="13.5" customHeight="1" x14ac:dyDescent="0.25">
      <c r="A45" s="37"/>
      <c r="C45" s="38"/>
      <c r="D45" s="91" t="s">
        <v>143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3"/>
    </row>
    <row r="46" spans="1:76" x14ac:dyDescent="0.25">
      <c r="A46" s="2" t="s">
        <v>144</v>
      </c>
      <c r="B46" s="3" t="s">
        <v>52</v>
      </c>
      <c r="C46" s="3" t="s">
        <v>145</v>
      </c>
      <c r="D46" s="89" t="s">
        <v>146</v>
      </c>
      <c r="E46" s="90"/>
      <c r="F46" s="3" t="s">
        <v>131</v>
      </c>
      <c r="G46" s="32">
        <v>15.273</v>
      </c>
      <c r="H46" s="74">
        <v>0</v>
      </c>
      <c r="I46" s="33">
        <v>21</v>
      </c>
      <c r="J46" s="32">
        <f>ROUND(G46*AO46,2)</f>
        <v>0</v>
      </c>
      <c r="K46" s="32">
        <f>ROUND(G46*AP46,2)</f>
        <v>0</v>
      </c>
      <c r="L46" s="32">
        <f>ROUND(G46*H46,2)</f>
        <v>0</v>
      </c>
      <c r="M46" s="32">
        <f>L46*(1+BW46/100)</f>
        <v>0</v>
      </c>
      <c r="N46" s="34">
        <f>IF(L49=0,0,L46/L49)</f>
        <v>0</v>
      </c>
      <c r="O46" s="32">
        <v>0</v>
      </c>
      <c r="P46" s="32">
        <f>G46*O46</f>
        <v>0</v>
      </c>
      <c r="Q46" s="35"/>
      <c r="Z46" s="32">
        <f>ROUND(IF(AQ46="5",BJ46,0),2)</f>
        <v>0</v>
      </c>
      <c r="AB46" s="32">
        <f>ROUND(IF(AQ46="1",BH46,0),2)</f>
        <v>0</v>
      </c>
      <c r="AC46" s="32">
        <f>ROUND(IF(AQ46="1",BI46,0),2)</f>
        <v>0</v>
      </c>
      <c r="AD46" s="32">
        <f>ROUND(IF(AQ46="7",BH46,0),2)</f>
        <v>0</v>
      </c>
      <c r="AE46" s="32">
        <f>ROUND(IF(AQ46="7",BI46,0),2)</f>
        <v>0</v>
      </c>
      <c r="AF46" s="32">
        <f>ROUND(IF(AQ46="2",BH46,0),2)</f>
        <v>0</v>
      </c>
      <c r="AG46" s="32">
        <f>ROUND(IF(AQ46="2",BI46,0),2)</f>
        <v>0</v>
      </c>
      <c r="AH46" s="32">
        <f>ROUND(IF(AQ46="0",BJ46,0),2)</f>
        <v>0</v>
      </c>
      <c r="AI46" s="12" t="s">
        <v>52</v>
      </c>
      <c r="AJ46" s="32">
        <f>IF(AN46=0,L46,0)</f>
        <v>0</v>
      </c>
      <c r="AK46" s="32">
        <f>IF(AN46=12,L46,0)</f>
        <v>0</v>
      </c>
      <c r="AL46" s="32">
        <f>IF(AN46=21,L46,0)</f>
        <v>0</v>
      </c>
      <c r="AN46" s="32">
        <v>21</v>
      </c>
      <c r="AO46" s="32">
        <f>H46*0</f>
        <v>0</v>
      </c>
      <c r="AP46" s="32">
        <f>H46*(1-0)</f>
        <v>0</v>
      </c>
      <c r="AQ46" s="36" t="s">
        <v>80</v>
      </c>
      <c r="AV46" s="32">
        <f>ROUND(AW46+AX46,2)</f>
        <v>0</v>
      </c>
      <c r="AW46" s="32">
        <f>ROUND(G46*AO46,2)</f>
        <v>0</v>
      </c>
      <c r="AX46" s="32">
        <f>ROUND(G46*AP46,2)</f>
        <v>0</v>
      </c>
      <c r="AY46" s="36" t="s">
        <v>138</v>
      </c>
      <c r="AZ46" s="36" t="s">
        <v>121</v>
      </c>
      <c r="BA46" s="12" t="s">
        <v>62</v>
      </c>
      <c r="BC46" s="32">
        <f>AW46+AX46</f>
        <v>0</v>
      </c>
      <c r="BD46" s="32">
        <f>H46/(100-BE46)*100</f>
        <v>0</v>
      </c>
      <c r="BE46" s="32">
        <v>0</v>
      </c>
      <c r="BF46" s="32">
        <f>P46</f>
        <v>0</v>
      </c>
      <c r="BH46" s="32">
        <f>G46*AO46</f>
        <v>0</v>
      </c>
      <c r="BI46" s="32">
        <f>G46*AP46</f>
        <v>0</v>
      </c>
      <c r="BJ46" s="32">
        <f>G46*H46</f>
        <v>0</v>
      </c>
      <c r="BK46" s="36" t="s">
        <v>63</v>
      </c>
      <c r="BL46" s="32"/>
      <c r="BW46" s="32">
        <f>I46</f>
        <v>21</v>
      </c>
      <c r="BX46" s="4" t="s">
        <v>146</v>
      </c>
    </row>
    <row r="47" spans="1:76" x14ac:dyDescent="0.25">
      <c r="A47" s="2" t="s">
        <v>147</v>
      </c>
      <c r="B47" s="3" t="s">
        <v>52</v>
      </c>
      <c r="C47" s="3" t="s">
        <v>148</v>
      </c>
      <c r="D47" s="89" t="s">
        <v>149</v>
      </c>
      <c r="E47" s="90"/>
      <c r="F47" s="3" t="s">
        <v>150</v>
      </c>
      <c r="G47" s="32">
        <v>2</v>
      </c>
      <c r="H47" s="74">
        <v>0</v>
      </c>
      <c r="I47" s="33">
        <v>21</v>
      </c>
      <c r="J47" s="32">
        <f>ROUND(G47*AO47,2)</f>
        <v>0</v>
      </c>
      <c r="K47" s="32">
        <f>ROUND(G47*AP47,2)</f>
        <v>0</v>
      </c>
      <c r="L47" s="32">
        <f>ROUND(G47*H47,2)</f>
        <v>0</v>
      </c>
      <c r="M47" s="32">
        <f>L47*(1+BW47/100)</f>
        <v>0</v>
      </c>
      <c r="N47" s="34">
        <f>IF(L49=0,0,L47/L49)</f>
        <v>0</v>
      </c>
      <c r="O47" s="32">
        <v>0</v>
      </c>
      <c r="P47" s="32">
        <f>G47*O47</f>
        <v>0</v>
      </c>
      <c r="Q47" s="35"/>
      <c r="Z47" s="32">
        <f>ROUND(IF(AQ47="5",BJ47,0),2)</f>
        <v>0</v>
      </c>
      <c r="AB47" s="32">
        <f>ROUND(IF(AQ47="1",BH47,0),2)</f>
        <v>0</v>
      </c>
      <c r="AC47" s="32">
        <f>ROUND(IF(AQ47="1",BI47,0),2)</f>
        <v>0</v>
      </c>
      <c r="AD47" s="32">
        <f>ROUND(IF(AQ47="7",BH47,0),2)</f>
        <v>0</v>
      </c>
      <c r="AE47" s="32">
        <f>ROUND(IF(AQ47="7",BI47,0),2)</f>
        <v>0</v>
      </c>
      <c r="AF47" s="32">
        <f>ROUND(IF(AQ47="2",BH47,0),2)</f>
        <v>0</v>
      </c>
      <c r="AG47" s="32">
        <f>ROUND(IF(AQ47="2",BI47,0),2)</f>
        <v>0</v>
      </c>
      <c r="AH47" s="32">
        <f>ROUND(IF(AQ47="0",BJ47,0),2)</f>
        <v>0</v>
      </c>
      <c r="AI47" s="12" t="s">
        <v>52</v>
      </c>
      <c r="AJ47" s="32">
        <f>IF(AN47=0,L47,0)</f>
        <v>0</v>
      </c>
      <c r="AK47" s="32">
        <f>IF(AN47=12,L47,0)</f>
        <v>0</v>
      </c>
      <c r="AL47" s="32">
        <f>IF(AN47=21,L47,0)</f>
        <v>0</v>
      </c>
      <c r="AN47" s="32">
        <v>21</v>
      </c>
      <c r="AO47" s="32">
        <f>H47*0</f>
        <v>0</v>
      </c>
      <c r="AP47" s="32">
        <f>H47*(1-0)</f>
        <v>0</v>
      </c>
      <c r="AQ47" s="36" t="s">
        <v>80</v>
      </c>
      <c r="AV47" s="32">
        <f>ROUND(AW47+AX47,2)</f>
        <v>0</v>
      </c>
      <c r="AW47" s="32">
        <f>ROUND(G47*AO47,2)</f>
        <v>0</v>
      </c>
      <c r="AX47" s="32">
        <f>ROUND(G47*AP47,2)</f>
        <v>0</v>
      </c>
      <c r="AY47" s="36" t="s">
        <v>138</v>
      </c>
      <c r="AZ47" s="36" t="s">
        <v>121</v>
      </c>
      <c r="BA47" s="12" t="s">
        <v>62</v>
      </c>
      <c r="BC47" s="32">
        <f>AW47+AX47</f>
        <v>0</v>
      </c>
      <c r="BD47" s="32">
        <f>H47/(100-BE47)*100</f>
        <v>0</v>
      </c>
      <c r="BE47" s="32">
        <v>0</v>
      </c>
      <c r="BF47" s="32">
        <f>P47</f>
        <v>0</v>
      </c>
      <c r="BH47" s="32">
        <f>G47*AO47</f>
        <v>0</v>
      </c>
      <c r="BI47" s="32">
        <f>G47*AP47</f>
        <v>0</v>
      </c>
      <c r="BJ47" s="32">
        <f>G47*H47</f>
        <v>0</v>
      </c>
      <c r="BK47" s="36" t="s">
        <v>63</v>
      </c>
      <c r="BL47" s="32"/>
      <c r="BW47" s="32">
        <f>I47</f>
        <v>21</v>
      </c>
      <c r="BX47" s="4" t="s">
        <v>149</v>
      </c>
    </row>
    <row r="48" spans="1:76" ht="13.5" customHeight="1" x14ac:dyDescent="0.25">
      <c r="A48" s="44"/>
      <c r="B48" s="45"/>
      <c r="C48" s="46"/>
      <c r="D48" s="94" t="s">
        <v>151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6"/>
    </row>
    <row r="49" spans="1:17" x14ac:dyDescent="0.25">
      <c r="J49" s="88" t="s">
        <v>152</v>
      </c>
      <c r="K49" s="88"/>
      <c r="L49" s="48">
        <f>ROUND(L12+L24+L29+L32+L35+L39+L41,2)</f>
        <v>0</v>
      </c>
      <c r="M49" s="48">
        <f>ROUND(M12+M24+M29+M32+M35+M39+M41,2)</f>
        <v>0</v>
      </c>
    </row>
    <row r="50" spans="1:17" x14ac:dyDescent="0.25">
      <c r="A50" s="49" t="s">
        <v>153</v>
      </c>
    </row>
    <row r="51" spans="1:17" ht="28.5" customHeight="1" x14ac:dyDescent="0.25">
      <c r="A51" s="89" t="s">
        <v>224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</row>
  </sheetData>
  <mergeCells count="68">
    <mergeCell ref="A1:Q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I4:I5"/>
    <mergeCell ref="I6:I7"/>
    <mergeCell ref="I8:I9"/>
    <mergeCell ref="D2:E3"/>
    <mergeCell ref="D4:E5"/>
    <mergeCell ref="D6:E7"/>
    <mergeCell ref="J2:Q3"/>
    <mergeCell ref="J4:Q5"/>
    <mergeCell ref="J6:Q7"/>
    <mergeCell ref="J8:Q9"/>
    <mergeCell ref="D10:E10"/>
    <mergeCell ref="D8:E9"/>
    <mergeCell ref="H2:H3"/>
    <mergeCell ref="H4:H5"/>
    <mergeCell ref="H6:H7"/>
    <mergeCell ref="H8:H9"/>
    <mergeCell ref="D11:E11"/>
    <mergeCell ref="J10:L10"/>
    <mergeCell ref="O10:P10"/>
    <mergeCell ref="D12:E12"/>
    <mergeCell ref="D13:E13"/>
    <mergeCell ref="D14:Q14"/>
    <mergeCell ref="D15:E15"/>
    <mergeCell ref="D16:Q16"/>
    <mergeCell ref="D17:Q17"/>
    <mergeCell ref="D18:E18"/>
    <mergeCell ref="D19:Q19"/>
    <mergeCell ref="D20:E20"/>
    <mergeCell ref="D21:Q21"/>
    <mergeCell ref="D22:E22"/>
    <mergeCell ref="D23:Q23"/>
    <mergeCell ref="D24:E24"/>
    <mergeCell ref="D25:E25"/>
    <mergeCell ref="D26:Q26"/>
    <mergeCell ref="D27:E27"/>
    <mergeCell ref="D28:Q28"/>
    <mergeCell ref="D29:E29"/>
    <mergeCell ref="D30:E30"/>
    <mergeCell ref="D31:E31"/>
    <mergeCell ref="D32:E32"/>
    <mergeCell ref="D33:E33"/>
    <mergeCell ref="D34:Q34"/>
    <mergeCell ref="D35:E35"/>
    <mergeCell ref="D36:E36"/>
    <mergeCell ref="D37:E37"/>
    <mergeCell ref="D38:Q38"/>
    <mergeCell ref="D39:E39"/>
    <mergeCell ref="D40:E40"/>
    <mergeCell ref="D41:E41"/>
    <mergeCell ref="D42:E42"/>
    <mergeCell ref="D43:Q43"/>
    <mergeCell ref="J49:K49"/>
    <mergeCell ref="A51:Q51"/>
    <mergeCell ref="D44:E44"/>
    <mergeCell ref="D45:Q45"/>
    <mergeCell ref="D46:E46"/>
    <mergeCell ref="D47:E47"/>
    <mergeCell ref="D48:Q48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"/>
  <sheetViews>
    <sheetView workbookViewId="0">
      <pane ySplit="11" topLeftCell="A12" activePane="bottomLeft" state="frozen"/>
      <selection pane="bottomLeft" activeCell="E2" sqref="E2:E3"/>
    </sheetView>
  </sheetViews>
  <sheetFormatPr defaultColWidth="12.140625" defaultRowHeight="15" customHeight="1" x14ac:dyDescent="0.25"/>
  <cols>
    <col min="1" max="2" width="8.5703125" customWidth="1"/>
    <col min="3" max="3" width="60.28515625" customWidth="1"/>
    <col min="4" max="6" width="27.85546875" customWidth="1"/>
    <col min="7" max="7" width="37.140625" customWidth="1"/>
    <col min="8" max="9" width="0" hidden="1" customWidth="1"/>
  </cols>
  <sheetData>
    <row r="1" spans="1:9" ht="54.75" customHeight="1" x14ac:dyDescent="0.25">
      <c r="A1" s="121" t="s">
        <v>154</v>
      </c>
      <c r="B1" s="121"/>
      <c r="C1" s="121"/>
      <c r="D1" s="121"/>
      <c r="E1" s="121"/>
      <c r="F1" s="121"/>
      <c r="G1" s="121"/>
    </row>
    <row r="2" spans="1:9" x14ac:dyDescent="0.25">
      <c r="A2" s="122" t="s">
        <v>1</v>
      </c>
      <c r="B2" s="108"/>
      <c r="C2" s="126" t="str">
        <f>'Stavební rozpočet'!D2</f>
        <v>Sanace prostoru bývalé uhelny kotelny BD bl. 18, č.p. 312, Stochov</v>
      </c>
      <c r="D2" s="108" t="s">
        <v>220</v>
      </c>
      <c r="E2" s="119" t="s">
        <v>2</v>
      </c>
      <c r="F2" s="107" t="s">
        <v>3</v>
      </c>
      <c r="G2" s="129" t="str">
        <f>'Stavební rozpočet'!J2</f>
        <v>Město Stochov</v>
      </c>
    </row>
    <row r="3" spans="1:9" ht="15" customHeight="1" x14ac:dyDescent="0.25">
      <c r="A3" s="123"/>
      <c r="B3" s="90"/>
      <c r="C3" s="128"/>
      <c r="D3" s="90"/>
      <c r="E3" s="112"/>
      <c r="F3" s="90"/>
      <c r="G3" s="110"/>
    </row>
    <row r="4" spans="1:9" x14ac:dyDescent="0.25">
      <c r="A4" s="124" t="s">
        <v>5</v>
      </c>
      <c r="B4" s="90"/>
      <c r="C4" s="89" t="str">
        <f>'Stavební rozpočet'!D4</f>
        <v>Zabezpečení a sanace podzemních prostor</v>
      </c>
      <c r="D4" s="90" t="s">
        <v>7</v>
      </c>
      <c r="E4" s="90" t="s">
        <v>2</v>
      </c>
      <c r="F4" s="89" t="s">
        <v>8</v>
      </c>
      <c r="G4" s="130" t="str">
        <f>'Stavební rozpočet'!J4</f>
        <v>Ing. Martin Trčka (statika), ARIPROS s.r.o. (stavební část)</v>
      </c>
    </row>
    <row r="5" spans="1:9" ht="15" customHeight="1" x14ac:dyDescent="0.25">
      <c r="A5" s="123"/>
      <c r="B5" s="90"/>
      <c r="C5" s="90"/>
      <c r="D5" s="90"/>
      <c r="E5" s="90"/>
      <c r="F5" s="90"/>
      <c r="G5" s="110"/>
    </row>
    <row r="6" spans="1:9" x14ac:dyDescent="0.25">
      <c r="A6" s="124" t="s">
        <v>10</v>
      </c>
      <c r="B6" s="90"/>
      <c r="C6" s="89" t="str">
        <f>'Stavební rozpočet'!D6</f>
        <v>BD bl. 18,  Hornická 312, Stochov</v>
      </c>
      <c r="D6" s="90" t="s">
        <v>11</v>
      </c>
      <c r="E6" s="90" t="s">
        <v>2</v>
      </c>
      <c r="F6" s="89" t="s">
        <v>12</v>
      </c>
      <c r="G6" s="130" t="str">
        <f>'Stavební rozpočet'!J6</f>
        <v>Dle výběrového řízení</v>
      </c>
    </row>
    <row r="7" spans="1:9" ht="15" customHeight="1" x14ac:dyDescent="0.25">
      <c r="A7" s="123"/>
      <c r="B7" s="90"/>
      <c r="C7" s="90"/>
      <c r="D7" s="90"/>
      <c r="E7" s="90"/>
      <c r="F7" s="90"/>
      <c r="G7" s="110"/>
    </row>
    <row r="8" spans="1:9" x14ac:dyDescent="0.25">
      <c r="A8" s="124" t="s">
        <v>16</v>
      </c>
      <c r="B8" s="90"/>
      <c r="C8" s="111" t="str">
        <f>'Stavební rozpočet'!J8</f>
        <v>ARIPROS s.r.o.</v>
      </c>
      <c r="D8" s="90" t="s">
        <v>15</v>
      </c>
      <c r="E8" s="120">
        <v>45987</v>
      </c>
      <c r="F8" s="90"/>
      <c r="G8" s="130"/>
    </row>
    <row r="9" spans="1:9" x14ac:dyDescent="0.25">
      <c r="A9" s="125"/>
      <c r="B9" s="118"/>
      <c r="C9" s="114"/>
      <c r="D9" s="118"/>
      <c r="E9" s="114"/>
      <c r="F9" s="118"/>
      <c r="G9" s="131"/>
    </row>
    <row r="10" spans="1:9" x14ac:dyDescent="0.25">
      <c r="A10" s="50" t="s">
        <v>18</v>
      </c>
      <c r="B10" s="51" t="s">
        <v>19</v>
      </c>
      <c r="C10" s="52" t="s">
        <v>155</v>
      </c>
      <c r="D10" s="53" t="s">
        <v>156</v>
      </c>
      <c r="E10" s="53" t="s">
        <v>157</v>
      </c>
      <c r="F10" s="53" t="s">
        <v>158</v>
      </c>
      <c r="G10" s="54" t="s">
        <v>159</v>
      </c>
    </row>
    <row r="11" spans="1:9" x14ac:dyDescent="0.25">
      <c r="A11" s="55" t="s">
        <v>52</v>
      </c>
      <c r="B11" s="56" t="s">
        <v>53</v>
      </c>
      <c r="C11" s="56" t="s">
        <v>54</v>
      </c>
      <c r="D11" s="57">
        <f>ROUND('Stavební rozpočet'!J12,2)</f>
        <v>0</v>
      </c>
      <c r="E11" s="57">
        <f>ROUND('Stavební rozpočet'!K12,2)</f>
        <v>0</v>
      </c>
      <c r="F11" s="57">
        <f>ROUND('Stavební rozpočet'!L12,2)</f>
        <v>0</v>
      </c>
      <c r="G11" s="58">
        <f>'Stavební rozpočet'!P12</f>
        <v>336.52856737920001</v>
      </c>
      <c r="H11" s="59" t="s">
        <v>160</v>
      </c>
      <c r="I11" s="32">
        <f t="shared" ref="I11:I17" si="0">IF(H11="F",0,F11)</f>
        <v>0</v>
      </c>
    </row>
    <row r="12" spans="1:9" x14ac:dyDescent="0.25">
      <c r="A12" s="2" t="s">
        <v>52</v>
      </c>
      <c r="B12" s="3" t="s">
        <v>83</v>
      </c>
      <c r="C12" s="3" t="s">
        <v>84</v>
      </c>
      <c r="D12" s="32">
        <f>ROUND('Stavební rozpočet'!J24,2)</f>
        <v>0</v>
      </c>
      <c r="E12" s="32">
        <f>ROUND('Stavební rozpočet'!K24,2)</f>
        <v>0</v>
      </c>
      <c r="F12" s="32">
        <f>ROUND('Stavební rozpočet'!L24,2)</f>
        <v>0</v>
      </c>
      <c r="G12" s="60">
        <f>'Stavební rozpočet'!P24</f>
        <v>36.650462499999996</v>
      </c>
      <c r="H12" s="59" t="s">
        <v>160</v>
      </c>
      <c r="I12" s="32">
        <f t="shared" si="0"/>
        <v>0</v>
      </c>
    </row>
    <row r="13" spans="1:9" x14ac:dyDescent="0.25">
      <c r="A13" s="2" t="s">
        <v>52</v>
      </c>
      <c r="B13" s="3" t="s">
        <v>96</v>
      </c>
      <c r="C13" s="3" t="s">
        <v>97</v>
      </c>
      <c r="D13" s="32">
        <f>ROUND('Stavební rozpočet'!J29,2)</f>
        <v>0</v>
      </c>
      <c r="E13" s="32">
        <f>ROUND('Stavební rozpočet'!K29,2)</f>
        <v>0</v>
      </c>
      <c r="F13" s="32">
        <f>ROUND('Stavební rozpočet'!L29,2)</f>
        <v>0</v>
      </c>
      <c r="G13" s="60">
        <f>'Stavební rozpočet'!P29</f>
        <v>9.5999999999999992E-3</v>
      </c>
      <c r="H13" s="59" t="s">
        <v>160</v>
      </c>
      <c r="I13" s="32">
        <f t="shared" si="0"/>
        <v>0</v>
      </c>
    </row>
    <row r="14" spans="1:9" x14ac:dyDescent="0.25">
      <c r="A14" s="2" t="s">
        <v>52</v>
      </c>
      <c r="B14" s="3" t="s">
        <v>107</v>
      </c>
      <c r="C14" s="3" t="s">
        <v>108</v>
      </c>
      <c r="D14" s="32">
        <f>ROUND('Stavební rozpočet'!J32,2)</f>
        <v>0</v>
      </c>
      <c r="E14" s="32">
        <f>ROUND('Stavební rozpočet'!K32,2)</f>
        <v>0</v>
      </c>
      <c r="F14" s="32">
        <f>ROUND('Stavební rozpočet'!L32,2)</f>
        <v>0</v>
      </c>
      <c r="G14" s="60">
        <f>'Stavební rozpočet'!P32</f>
        <v>6.6E-3</v>
      </c>
      <c r="H14" s="59" t="s">
        <v>160</v>
      </c>
      <c r="I14" s="32">
        <f t="shared" si="0"/>
        <v>0</v>
      </c>
    </row>
    <row r="15" spans="1:9" x14ac:dyDescent="0.25">
      <c r="A15" s="2" t="s">
        <v>52</v>
      </c>
      <c r="B15" s="3" t="s">
        <v>115</v>
      </c>
      <c r="C15" s="3" t="s">
        <v>116</v>
      </c>
      <c r="D15" s="32">
        <f>ROUND('Stavební rozpočet'!J35,2)</f>
        <v>0</v>
      </c>
      <c r="E15" s="32">
        <f>ROUND('Stavební rozpočet'!K35,2)</f>
        <v>0</v>
      </c>
      <c r="F15" s="32">
        <f>ROUND('Stavební rozpočet'!L35,2)</f>
        <v>0</v>
      </c>
      <c r="G15" s="60">
        <f>'Stavební rozpočet'!P35</f>
        <v>15.273140000000001</v>
      </c>
      <c r="H15" s="59" t="s">
        <v>160</v>
      </c>
      <c r="I15" s="32">
        <f t="shared" si="0"/>
        <v>0</v>
      </c>
    </row>
    <row r="16" spans="1:9" x14ac:dyDescent="0.25">
      <c r="A16" s="2" t="s">
        <v>52</v>
      </c>
      <c r="B16" s="3" t="s">
        <v>126</v>
      </c>
      <c r="C16" s="3" t="s">
        <v>127</v>
      </c>
      <c r="D16" s="32">
        <f>ROUND('Stavební rozpočet'!J39,2)</f>
        <v>0</v>
      </c>
      <c r="E16" s="32">
        <f>ROUND('Stavební rozpočet'!K39,2)</f>
        <v>0</v>
      </c>
      <c r="F16" s="32">
        <f>ROUND('Stavební rozpočet'!L39,2)</f>
        <v>0</v>
      </c>
      <c r="G16" s="60">
        <f>'Stavební rozpočet'!P39</f>
        <v>0</v>
      </c>
      <c r="H16" s="59" t="s">
        <v>160</v>
      </c>
      <c r="I16" s="32">
        <f t="shared" si="0"/>
        <v>0</v>
      </c>
    </row>
    <row r="17" spans="1:9" x14ac:dyDescent="0.25">
      <c r="A17" s="61" t="s">
        <v>52</v>
      </c>
      <c r="B17" s="62" t="s">
        <v>133</v>
      </c>
      <c r="C17" s="62" t="s">
        <v>134</v>
      </c>
      <c r="D17" s="63">
        <f>ROUND('Stavební rozpočet'!J41,2)</f>
        <v>0</v>
      </c>
      <c r="E17" s="63">
        <f>ROUND('Stavební rozpočet'!K41,2)</f>
        <v>0</v>
      </c>
      <c r="F17" s="63">
        <f>ROUND('Stavební rozpočet'!L41,2)</f>
        <v>0</v>
      </c>
      <c r="G17" s="64">
        <f>'Stavební rozpočet'!P41</f>
        <v>0</v>
      </c>
      <c r="H17" s="59" t="s">
        <v>160</v>
      </c>
      <c r="I17" s="32">
        <f t="shared" si="0"/>
        <v>0</v>
      </c>
    </row>
    <row r="18" spans="1:9" x14ac:dyDescent="0.25">
      <c r="E18" s="47" t="s">
        <v>152</v>
      </c>
      <c r="F18" s="48">
        <f>ROUND(SUM(I11:I17),2)</f>
        <v>0</v>
      </c>
    </row>
  </sheetData>
  <mergeCells count="25">
    <mergeCell ref="A1:G1"/>
    <mergeCell ref="A2:B3"/>
    <mergeCell ref="A4:B5"/>
    <mergeCell ref="A6:B7"/>
    <mergeCell ref="A8:B9"/>
    <mergeCell ref="D2:D3"/>
    <mergeCell ref="D4:D5"/>
    <mergeCell ref="D6:D7"/>
    <mergeCell ref="D8:D9"/>
    <mergeCell ref="F2:F3"/>
    <mergeCell ref="F4:F5"/>
    <mergeCell ref="F6:F7"/>
    <mergeCell ref="F8:F9"/>
    <mergeCell ref="C2:C3"/>
    <mergeCell ref="C4:C5"/>
    <mergeCell ref="C6:C7"/>
    <mergeCell ref="G2:G3"/>
    <mergeCell ref="G4:G5"/>
    <mergeCell ref="G6:G7"/>
    <mergeCell ref="G8:G9"/>
    <mergeCell ref="C8:C9"/>
    <mergeCell ref="E2:E3"/>
    <mergeCell ref="E4:E5"/>
    <mergeCell ref="E6:E7"/>
    <mergeCell ref="E8:E9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"/>
  <sheetViews>
    <sheetView tabSelected="1" workbookViewId="0">
      <selection activeCell="I14" sqref="I14:I19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69" t="s">
        <v>161</v>
      </c>
      <c r="B1" s="121"/>
      <c r="C1" s="121"/>
      <c r="D1" s="121"/>
      <c r="E1" s="121"/>
      <c r="F1" s="121"/>
      <c r="G1" s="121"/>
      <c r="H1" s="121"/>
      <c r="I1" s="121"/>
    </row>
    <row r="2" spans="1:9" x14ac:dyDescent="0.25">
      <c r="A2" s="122" t="s">
        <v>1</v>
      </c>
      <c r="B2" s="108"/>
      <c r="C2" s="126" t="str">
        <f>'Stavební rozpočet'!D2</f>
        <v>Sanace prostoru bývalé uhelny kotelny BD bl. 18, č.p. 312, Stochov</v>
      </c>
      <c r="D2" s="127"/>
      <c r="E2" s="107" t="s">
        <v>3</v>
      </c>
      <c r="F2" s="107" t="str">
        <f>'Stavební rozpočet'!J2</f>
        <v>Město Stochov</v>
      </c>
      <c r="G2" s="108"/>
      <c r="H2" s="107" t="s">
        <v>162</v>
      </c>
      <c r="I2" s="109" t="s">
        <v>163</v>
      </c>
    </row>
    <row r="3" spans="1:9" ht="15" customHeight="1" x14ac:dyDescent="0.25">
      <c r="A3" s="123"/>
      <c r="B3" s="90"/>
      <c r="C3" s="128"/>
      <c r="D3" s="128"/>
      <c r="E3" s="90"/>
      <c r="F3" s="90"/>
      <c r="G3" s="90"/>
      <c r="H3" s="90"/>
      <c r="I3" s="110"/>
    </row>
    <row r="4" spans="1:9" x14ac:dyDescent="0.25">
      <c r="A4" s="124" t="s">
        <v>5</v>
      </c>
      <c r="B4" s="90"/>
      <c r="C4" s="89" t="str">
        <f>'Stavební rozpočet'!D4</f>
        <v>Zabezpečení a sanace podzemních prostor</v>
      </c>
      <c r="D4" s="90"/>
      <c r="E4" s="89" t="s">
        <v>8</v>
      </c>
      <c r="F4" s="89" t="str">
        <f>'Stavební rozpočet'!J4</f>
        <v>Ing. Martin Trčka (statika), ARIPROS s.r.o. (stavební část)</v>
      </c>
      <c r="G4" s="90"/>
      <c r="H4" s="89" t="s">
        <v>162</v>
      </c>
      <c r="I4" s="110" t="s">
        <v>164</v>
      </c>
    </row>
    <row r="5" spans="1:9" ht="15" customHeight="1" x14ac:dyDescent="0.25">
      <c r="A5" s="123"/>
      <c r="B5" s="90"/>
      <c r="C5" s="90"/>
      <c r="D5" s="90"/>
      <c r="E5" s="90"/>
      <c r="F5" s="90"/>
      <c r="G5" s="90"/>
      <c r="H5" s="90"/>
      <c r="I5" s="110"/>
    </row>
    <row r="6" spans="1:9" x14ac:dyDescent="0.25">
      <c r="A6" s="124" t="s">
        <v>10</v>
      </c>
      <c r="B6" s="90"/>
      <c r="C6" s="89" t="str">
        <f>'Stavební rozpočet'!D6</f>
        <v>BD bl. 18,  Hornická 312, Stochov</v>
      </c>
      <c r="D6" s="90"/>
      <c r="E6" s="89" t="s">
        <v>12</v>
      </c>
      <c r="F6" s="89" t="str">
        <f>'Stavební rozpočet'!J6</f>
        <v>Dle výběrového řízení</v>
      </c>
      <c r="G6" s="90"/>
      <c r="H6" s="89" t="s">
        <v>162</v>
      </c>
      <c r="I6" s="110" t="s">
        <v>52</v>
      </c>
    </row>
    <row r="7" spans="1:9" ht="15" customHeight="1" x14ac:dyDescent="0.25">
      <c r="A7" s="123"/>
      <c r="B7" s="90"/>
      <c r="C7" s="90"/>
      <c r="D7" s="90"/>
      <c r="E7" s="90"/>
      <c r="F7" s="90"/>
      <c r="G7" s="90"/>
      <c r="H7" s="90"/>
      <c r="I7" s="110"/>
    </row>
    <row r="8" spans="1:9" x14ac:dyDescent="0.25">
      <c r="A8" s="124" t="s">
        <v>7</v>
      </c>
      <c r="B8" s="90"/>
      <c r="C8" s="89" t="str">
        <f>'Stavební rozpočet'!H4</f>
        <v xml:space="preserve"> </v>
      </c>
      <c r="D8" s="90"/>
      <c r="E8" s="89" t="s">
        <v>11</v>
      </c>
      <c r="F8" s="89" t="str">
        <f>'Stavební rozpočet'!H6</f>
        <v xml:space="preserve"> </v>
      </c>
      <c r="G8" s="90"/>
      <c r="H8" s="90" t="s">
        <v>165</v>
      </c>
      <c r="I8" s="170">
        <v>17</v>
      </c>
    </row>
    <row r="9" spans="1:9" x14ac:dyDescent="0.25">
      <c r="A9" s="123"/>
      <c r="B9" s="90"/>
      <c r="C9" s="90"/>
      <c r="D9" s="90"/>
      <c r="E9" s="90"/>
      <c r="F9" s="90"/>
      <c r="G9" s="90"/>
      <c r="H9" s="90"/>
      <c r="I9" s="110"/>
    </row>
    <row r="10" spans="1:9" x14ac:dyDescent="0.25">
      <c r="A10" s="124" t="s">
        <v>13</v>
      </c>
      <c r="B10" s="90"/>
      <c r="C10" s="89" t="str">
        <f>'Stavební rozpočet'!D8</f>
        <v>82539</v>
      </c>
      <c r="D10" s="90"/>
      <c r="E10" s="89" t="s">
        <v>16</v>
      </c>
      <c r="F10" s="111" t="str">
        <f>'Stavební rozpočet'!J8</f>
        <v>ARIPROS s.r.o.</v>
      </c>
      <c r="G10" s="112"/>
      <c r="H10" s="90" t="s">
        <v>166</v>
      </c>
      <c r="I10" s="161">
        <v>45987</v>
      </c>
    </row>
    <row r="11" spans="1:9" x14ac:dyDescent="0.25">
      <c r="A11" s="168"/>
      <c r="B11" s="167"/>
      <c r="C11" s="167"/>
      <c r="D11" s="167"/>
      <c r="E11" s="167"/>
      <c r="F11" s="166"/>
      <c r="G11" s="166"/>
      <c r="H11" s="167"/>
      <c r="I11" s="162"/>
    </row>
    <row r="12" spans="1:9" ht="24" customHeight="1" x14ac:dyDescent="0.25">
      <c r="A12" s="163" t="s">
        <v>167</v>
      </c>
      <c r="B12" s="163"/>
      <c r="C12" s="163"/>
      <c r="D12" s="163"/>
      <c r="E12" s="163"/>
      <c r="F12" s="163"/>
      <c r="G12" s="163"/>
      <c r="H12" s="163"/>
      <c r="I12" s="163"/>
    </row>
    <row r="13" spans="1:9" ht="26.25" customHeight="1" x14ac:dyDescent="0.25">
      <c r="A13" s="85" t="s">
        <v>168</v>
      </c>
      <c r="B13" s="164" t="s">
        <v>169</v>
      </c>
      <c r="C13" s="165"/>
      <c r="D13" s="86" t="s">
        <v>170</v>
      </c>
      <c r="E13" s="164" t="s">
        <v>171</v>
      </c>
      <c r="F13" s="165"/>
      <c r="G13" s="86" t="s">
        <v>172</v>
      </c>
      <c r="H13" s="164" t="s">
        <v>173</v>
      </c>
      <c r="I13" s="165"/>
    </row>
    <row r="14" spans="1:9" x14ac:dyDescent="0.25">
      <c r="A14" s="75" t="s">
        <v>174</v>
      </c>
      <c r="B14" s="68" t="s">
        <v>175</v>
      </c>
      <c r="C14" s="67">
        <f>SUM('Stavební rozpočet'!AB12:AB96)</f>
        <v>0</v>
      </c>
      <c r="D14" s="151" t="s">
        <v>176</v>
      </c>
      <c r="E14" s="152"/>
      <c r="F14" s="67">
        <f>VORN!I15</f>
        <v>0</v>
      </c>
      <c r="G14" s="151" t="s">
        <v>177</v>
      </c>
      <c r="H14" s="152"/>
      <c r="I14" s="87">
        <f>VORN!I22</f>
        <v>15000</v>
      </c>
    </row>
    <row r="15" spans="1:9" x14ac:dyDescent="0.25">
      <c r="A15" s="76" t="s">
        <v>52</v>
      </c>
      <c r="B15" s="68" t="s">
        <v>35</v>
      </c>
      <c r="C15" s="67">
        <f>SUM('Stavební rozpočet'!AC12:AC96)</f>
        <v>0</v>
      </c>
      <c r="D15" s="151" t="s">
        <v>178</v>
      </c>
      <c r="E15" s="152"/>
      <c r="F15" s="67">
        <f>VORN!I16</f>
        <v>0</v>
      </c>
      <c r="G15" s="151" t="s">
        <v>179</v>
      </c>
      <c r="H15" s="152"/>
      <c r="I15" s="87">
        <f>VORN!I23</f>
        <v>20000</v>
      </c>
    </row>
    <row r="16" spans="1:9" x14ac:dyDescent="0.25">
      <c r="A16" s="75" t="s">
        <v>180</v>
      </c>
      <c r="B16" s="68" t="s">
        <v>175</v>
      </c>
      <c r="C16" s="67">
        <f>SUM('Stavební rozpočet'!AD12:AD96)</f>
        <v>0</v>
      </c>
      <c r="D16" s="151" t="s">
        <v>181</v>
      </c>
      <c r="E16" s="152"/>
      <c r="F16" s="67">
        <f>VORN!I17</f>
        <v>0</v>
      </c>
      <c r="G16" s="151" t="s">
        <v>182</v>
      </c>
      <c r="H16" s="152"/>
      <c r="I16" s="87">
        <f>VORN!I24</f>
        <v>0</v>
      </c>
    </row>
    <row r="17" spans="1:9" x14ac:dyDescent="0.25">
      <c r="A17" s="76" t="s">
        <v>52</v>
      </c>
      <c r="B17" s="68" t="s">
        <v>35</v>
      </c>
      <c r="C17" s="67">
        <f>SUM('Stavební rozpočet'!AE12:AE96)</f>
        <v>0</v>
      </c>
      <c r="D17" s="151" t="s">
        <v>183</v>
      </c>
      <c r="E17" s="152"/>
      <c r="F17" s="77">
        <f>VORN!I18</f>
        <v>0</v>
      </c>
      <c r="G17" s="151" t="s">
        <v>184</v>
      </c>
      <c r="H17" s="152"/>
      <c r="I17" s="87">
        <f>VORN!I25</f>
        <v>0</v>
      </c>
    </row>
    <row r="18" spans="1:9" x14ac:dyDescent="0.25">
      <c r="A18" s="75" t="s">
        <v>185</v>
      </c>
      <c r="B18" s="68" t="s">
        <v>175</v>
      </c>
      <c r="C18" s="67">
        <f>SUM('Stavební rozpočet'!AF12:AF96)</f>
        <v>0</v>
      </c>
      <c r="D18" s="151" t="s">
        <v>52</v>
      </c>
      <c r="E18" s="152"/>
      <c r="F18" s="77" t="s">
        <v>52</v>
      </c>
      <c r="G18" s="151" t="s">
        <v>186</v>
      </c>
      <c r="H18" s="152"/>
      <c r="I18" s="87">
        <f>VORN!I26</f>
        <v>0</v>
      </c>
    </row>
    <row r="19" spans="1:9" x14ac:dyDescent="0.25">
      <c r="A19" s="76" t="s">
        <v>52</v>
      </c>
      <c r="B19" s="68" t="s">
        <v>35</v>
      </c>
      <c r="C19" s="67">
        <f>SUM('Stavební rozpočet'!AG12:AG96)</f>
        <v>0</v>
      </c>
      <c r="D19" s="151" t="s">
        <v>52</v>
      </c>
      <c r="E19" s="152"/>
      <c r="F19" s="77" t="s">
        <v>52</v>
      </c>
      <c r="G19" s="151" t="s">
        <v>187</v>
      </c>
      <c r="H19" s="152"/>
      <c r="I19" s="87">
        <f>VORN!I27</f>
        <v>0</v>
      </c>
    </row>
    <row r="20" spans="1:9" x14ac:dyDescent="0.25">
      <c r="A20" s="143" t="s">
        <v>188</v>
      </c>
      <c r="B20" s="144"/>
      <c r="C20" s="67">
        <f>SUM('Stavební rozpočet'!AH12:AH96)</f>
        <v>0</v>
      </c>
      <c r="D20" s="151" t="s">
        <v>52</v>
      </c>
      <c r="E20" s="152"/>
      <c r="F20" s="77" t="s">
        <v>52</v>
      </c>
      <c r="G20" s="151" t="s">
        <v>52</v>
      </c>
      <c r="H20" s="152"/>
      <c r="I20" s="77" t="s">
        <v>52</v>
      </c>
    </row>
    <row r="21" spans="1:9" x14ac:dyDescent="0.25">
      <c r="A21" s="158" t="s">
        <v>189</v>
      </c>
      <c r="B21" s="159"/>
      <c r="C21" s="78">
        <f>SUM('Stavební rozpočet'!Z12:Z96)</f>
        <v>0</v>
      </c>
      <c r="D21" s="153" t="s">
        <v>52</v>
      </c>
      <c r="E21" s="154"/>
      <c r="F21" s="79" t="s">
        <v>52</v>
      </c>
      <c r="G21" s="153" t="s">
        <v>52</v>
      </c>
      <c r="H21" s="154"/>
      <c r="I21" s="79" t="s">
        <v>52</v>
      </c>
    </row>
    <row r="22" spans="1:9" ht="16.5" customHeight="1" x14ac:dyDescent="0.25">
      <c r="A22" s="160" t="s">
        <v>190</v>
      </c>
      <c r="B22" s="156"/>
      <c r="C22" s="80">
        <f>ROUND(SUM(C14:C21),2)</f>
        <v>0</v>
      </c>
      <c r="D22" s="155" t="s">
        <v>191</v>
      </c>
      <c r="E22" s="156"/>
      <c r="F22" s="80">
        <f>SUM(F14:F21)</f>
        <v>0</v>
      </c>
      <c r="G22" s="155" t="s">
        <v>192</v>
      </c>
      <c r="H22" s="156"/>
      <c r="I22" s="80">
        <f>SUM(I14:I21)</f>
        <v>35000</v>
      </c>
    </row>
    <row r="23" spans="1:9" x14ac:dyDescent="0.25">
      <c r="A23" s="81"/>
      <c r="B23" s="81"/>
      <c r="C23" s="81"/>
      <c r="D23" s="143" t="s">
        <v>193</v>
      </c>
      <c r="E23" s="144"/>
      <c r="F23" s="82">
        <v>0</v>
      </c>
      <c r="G23" s="157" t="s">
        <v>194</v>
      </c>
      <c r="H23" s="144"/>
      <c r="I23" s="67">
        <v>0</v>
      </c>
    </row>
    <row r="24" spans="1:9" x14ac:dyDescent="0.25">
      <c r="A24" s="81"/>
      <c r="B24" s="81"/>
      <c r="C24" s="81"/>
      <c r="D24" s="81"/>
      <c r="E24" s="81"/>
      <c r="F24" s="81"/>
      <c r="G24" s="143" t="s">
        <v>195</v>
      </c>
      <c r="H24" s="144"/>
      <c r="I24" s="67">
        <f>vorn_sum</f>
        <v>0</v>
      </c>
    </row>
    <row r="25" spans="1:9" x14ac:dyDescent="0.25">
      <c r="A25" s="81"/>
      <c r="B25" s="81"/>
      <c r="C25" s="81"/>
      <c r="D25" s="81"/>
      <c r="E25" s="81"/>
      <c r="F25" s="81"/>
      <c r="G25" s="143" t="s">
        <v>196</v>
      </c>
      <c r="H25" s="144"/>
      <c r="I25" s="67">
        <v>0</v>
      </c>
    </row>
    <row r="26" spans="1:9" ht="15" customHeight="1" x14ac:dyDescent="0.25">
      <c r="A26" s="81"/>
      <c r="B26" s="81"/>
      <c r="C26" s="81"/>
      <c r="D26" s="81"/>
      <c r="E26" s="81"/>
      <c r="F26" s="81"/>
      <c r="G26" s="81"/>
      <c r="H26" s="81"/>
      <c r="I26" s="81"/>
    </row>
    <row r="27" spans="1:9" x14ac:dyDescent="0.25">
      <c r="A27" s="145" t="s">
        <v>197</v>
      </c>
      <c r="B27" s="146"/>
      <c r="C27" s="83">
        <f>ROUND(SUM('Stavební rozpočet'!AJ12:AJ96),2)</f>
        <v>0</v>
      </c>
      <c r="D27" s="81"/>
      <c r="E27" s="81"/>
      <c r="F27" s="81"/>
      <c r="G27" s="81"/>
      <c r="H27" s="81"/>
      <c r="I27" s="81"/>
    </row>
    <row r="28" spans="1:9" x14ac:dyDescent="0.25">
      <c r="A28" s="147" t="s">
        <v>198</v>
      </c>
      <c r="B28" s="148"/>
      <c r="C28" s="84">
        <f>ROUND(SUM('Stavební rozpočet'!AK12:AK96),2)</f>
        <v>0</v>
      </c>
      <c r="D28" s="149" t="s">
        <v>199</v>
      </c>
      <c r="E28" s="146"/>
      <c r="F28" s="83">
        <f>ROUND(C28*(12/100),2)</f>
        <v>0</v>
      </c>
      <c r="G28" s="149" t="s">
        <v>200</v>
      </c>
      <c r="H28" s="146"/>
      <c r="I28" s="83">
        <f>ROUND(SUM(C27:C29),2)</f>
        <v>35000</v>
      </c>
    </row>
    <row r="29" spans="1:9" x14ac:dyDescent="0.25">
      <c r="A29" s="147" t="s">
        <v>201</v>
      </c>
      <c r="B29" s="148"/>
      <c r="C29" s="84">
        <f>ROUND(SUM('Stavební rozpočet'!AL12:AL96)+(F22+I22+F23+I23+I24+I25),2)</f>
        <v>35000</v>
      </c>
      <c r="D29" s="150" t="s">
        <v>202</v>
      </c>
      <c r="E29" s="148"/>
      <c r="F29" s="84">
        <f>ROUND(C29*(21/100),2)</f>
        <v>7350</v>
      </c>
      <c r="G29" s="150" t="s">
        <v>203</v>
      </c>
      <c r="H29" s="148"/>
      <c r="I29" s="84">
        <f>ROUND(SUM(F28:F29)+I28,2)</f>
        <v>42350</v>
      </c>
    </row>
    <row r="30" spans="1:9" ht="15" customHeight="1" x14ac:dyDescent="0.25">
      <c r="A30" s="81"/>
      <c r="B30" s="81"/>
      <c r="C30" s="81"/>
      <c r="D30" s="81"/>
      <c r="E30" s="81"/>
      <c r="F30" s="81"/>
      <c r="G30" s="81"/>
      <c r="H30" s="81"/>
      <c r="I30" s="81"/>
    </row>
    <row r="31" spans="1:9" x14ac:dyDescent="0.25">
      <c r="A31" s="140" t="s">
        <v>204</v>
      </c>
      <c r="B31" s="133"/>
      <c r="C31" s="134"/>
      <c r="D31" s="132" t="s">
        <v>205</v>
      </c>
      <c r="E31" s="133"/>
      <c r="F31" s="134"/>
      <c r="G31" s="132" t="s">
        <v>206</v>
      </c>
      <c r="H31" s="133"/>
      <c r="I31" s="134"/>
    </row>
    <row r="32" spans="1:9" x14ac:dyDescent="0.25">
      <c r="A32" s="141" t="s">
        <v>52</v>
      </c>
      <c r="B32" s="90"/>
      <c r="C32" s="136"/>
      <c r="D32" s="135" t="s">
        <v>52</v>
      </c>
      <c r="E32" s="90"/>
      <c r="F32" s="136"/>
      <c r="G32" s="135" t="s">
        <v>52</v>
      </c>
      <c r="H32" s="90"/>
      <c r="I32" s="136"/>
    </row>
    <row r="33" spans="1:9" x14ac:dyDescent="0.25">
      <c r="A33" s="141" t="s">
        <v>52</v>
      </c>
      <c r="B33" s="90"/>
      <c r="C33" s="136"/>
      <c r="D33" s="135" t="s">
        <v>52</v>
      </c>
      <c r="E33" s="90"/>
      <c r="F33" s="136"/>
      <c r="G33" s="135" t="s">
        <v>52</v>
      </c>
      <c r="H33" s="90"/>
      <c r="I33" s="136"/>
    </row>
    <row r="34" spans="1:9" x14ac:dyDescent="0.25">
      <c r="A34" s="141" t="s">
        <v>52</v>
      </c>
      <c r="B34" s="90"/>
      <c r="C34" s="136"/>
      <c r="D34" s="135" t="s">
        <v>52</v>
      </c>
      <c r="E34" s="90"/>
      <c r="F34" s="136"/>
      <c r="G34" s="135" t="s">
        <v>52</v>
      </c>
      <c r="H34" s="90"/>
      <c r="I34" s="136"/>
    </row>
    <row r="35" spans="1:9" x14ac:dyDescent="0.25">
      <c r="A35" s="142" t="s">
        <v>207</v>
      </c>
      <c r="B35" s="138"/>
      <c r="C35" s="139"/>
      <c r="D35" s="137" t="s">
        <v>207</v>
      </c>
      <c r="E35" s="138"/>
      <c r="F35" s="139"/>
      <c r="G35" s="137" t="s">
        <v>207</v>
      </c>
      <c r="H35" s="138"/>
      <c r="I35" s="139"/>
    </row>
    <row r="36" spans="1:9" x14ac:dyDescent="0.25">
      <c r="A36" s="65" t="s">
        <v>153</v>
      </c>
    </row>
    <row r="37" spans="1:9" ht="38.25" customHeight="1" x14ac:dyDescent="0.25">
      <c r="A37" s="89" t="s">
        <v>224</v>
      </c>
      <c r="B37" s="90"/>
      <c r="C37" s="90"/>
      <c r="D37" s="90"/>
      <c r="E37" s="90"/>
      <c r="F37" s="90"/>
      <c r="G37" s="90"/>
      <c r="H37" s="90"/>
      <c r="I37" s="90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7"/>
  <sheetViews>
    <sheetView workbookViewId="0">
      <selection activeCell="A37" sqref="A37:E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90" t="s">
        <v>208</v>
      </c>
      <c r="B1" s="191"/>
      <c r="C1" s="191"/>
      <c r="D1" s="191"/>
      <c r="E1" s="191"/>
      <c r="F1" s="191"/>
      <c r="G1" s="191"/>
      <c r="H1" s="191"/>
      <c r="I1" s="191"/>
    </row>
    <row r="2" spans="1:9" x14ac:dyDescent="0.25">
      <c r="A2" s="122" t="s">
        <v>1</v>
      </c>
      <c r="B2" s="108"/>
      <c r="C2" s="126" t="str">
        <f>'Stavební rozpočet'!D2</f>
        <v>Sanace prostoru bývalé uhelny kotelny BD bl. 18, č.p. 312, Stochov</v>
      </c>
      <c r="D2" s="127"/>
      <c r="E2" s="107" t="s">
        <v>3</v>
      </c>
      <c r="F2" s="107" t="str">
        <f>'Stavební rozpočet'!J2</f>
        <v>Město Stochov</v>
      </c>
      <c r="G2" s="108"/>
      <c r="H2" s="107" t="s">
        <v>162</v>
      </c>
      <c r="I2" s="109" t="s">
        <v>163</v>
      </c>
    </row>
    <row r="3" spans="1:9" ht="15" customHeight="1" x14ac:dyDescent="0.25">
      <c r="A3" s="123"/>
      <c r="B3" s="90"/>
      <c r="C3" s="128"/>
      <c r="D3" s="128"/>
      <c r="E3" s="90"/>
      <c r="F3" s="90"/>
      <c r="G3" s="90"/>
      <c r="H3" s="90"/>
      <c r="I3" s="110"/>
    </row>
    <row r="4" spans="1:9" x14ac:dyDescent="0.25">
      <c r="A4" s="124" t="s">
        <v>5</v>
      </c>
      <c r="B4" s="90"/>
      <c r="C4" s="89" t="str">
        <f>'Stavební rozpočet'!D4</f>
        <v>Zabezpečení a sanace podzemních prostor</v>
      </c>
      <c r="D4" s="90"/>
      <c r="E4" s="89" t="s">
        <v>8</v>
      </c>
      <c r="F4" s="89" t="str">
        <f>'Stavební rozpočet'!J4</f>
        <v>Ing. Martin Trčka (statika), ARIPROS s.r.o. (stavební část)</v>
      </c>
      <c r="G4" s="90"/>
      <c r="H4" s="89" t="s">
        <v>162</v>
      </c>
      <c r="I4" s="110" t="s">
        <v>164</v>
      </c>
    </row>
    <row r="5" spans="1:9" ht="15" customHeight="1" x14ac:dyDescent="0.25">
      <c r="A5" s="123"/>
      <c r="B5" s="90"/>
      <c r="C5" s="90"/>
      <c r="D5" s="90"/>
      <c r="E5" s="90"/>
      <c r="F5" s="90"/>
      <c r="G5" s="90"/>
      <c r="H5" s="90"/>
      <c r="I5" s="110"/>
    </row>
    <row r="6" spans="1:9" x14ac:dyDescent="0.25">
      <c r="A6" s="124" t="s">
        <v>10</v>
      </c>
      <c r="B6" s="90"/>
      <c r="C6" s="89" t="str">
        <f>'Stavební rozpočet'!D6</f>
        <v>BD bl. 18,  Hornická 312, Stochov</v>
      </c>
      <c r="D6" s="90"/>
      <c r="E6" s="89" t="s">
        <v>12</v>
      </c>
      <c r="F6" s="89" t="str">
        <f>'Stavební rozpočet'!J6</f>
        <v>Dle výběrového řízení</v>
      </c>
      <c r="G6" s="90"/>
      <c r="H6" s="89" t="s">
        <v>162</v>
      </c>
      <c r="I6" s="110" t="s">
        <v>52</v>
      </c>
    </row>
    <row r="7" spans="1:9" ht="15" customHeight="1" x14ac:dyDescent="0.25">
      <c r="A7" s="123"/>
      <c r="B7" s="90"/>
      <c r="C7" s="90"/>
      <c r="D7" s="90"/>
      <c r="E7" s="90"/>
      <c r="F7" s="90"/>
      <c r="G7" s="90"/>
      <c r="H7" s="90"/>
      <c r="I7" s="110"/>
    </row>
    <row r="8" spans="1:9" x14ac:dyDescent="0.25">
      <c r="A8" s="124" t="s">
        <v>7</v>
      </c>
      <c r="B8" s="90"/>
      <c r="C8" s="89" t="str">
        <f>'Stavební rozpočet'!H4</f>
        <v xml:space="preserve"> </v>
      </c>
      <c r="D8" s="90"/>
      <c r="E8" s="89" t="s">
        <v>11</v>
      </c>
      <c r="F8" s="89" t="str">
        <f>'Stavební rozpočet'!H6</f>
        <v xml:space="preserve"> </v>
      </c>
      <c r="G8" s="90"/>
      <c r="H8" s="90" t="s">
        <v>165</v>
      </c>
      <c r="I8" s="170">
        <v>17</v>
      </c>
    </row>
    <row r="9" spans="1:9" x14ac:dyDescent="0.25">
      <c r="A9" s="123"/>
      <c r="B9" s="90"/>
      <c r="C9" s="90"/>
      <c r="D9" s="90"/>
      <c r="E9" s="90"/>
      <c r="F9" s="90"/>
      <c r="G9" s="90"/>
      <c r="H9" s="90"/>
      <c r="I9" s="110"/>
    </row>
    <row r="10" spans="1:9" x14ac:dyDescent="0.25">
      <c r="A10" s="124" t="s">
        <v>13</v>
      </c>
      <c r="B10" s="90"/>
      <c r="C10" s="89" t="str">
        <f>'Stavební rozpočet'!D8</f>
        <v>82539</v>
      </c>
      <c r="D10" s="90"/>
      <c r="E10" s="89" t="s">
        <v>16</v>
      </c>
      <c r="F10" s="89" t="str">
        <f>'Stavební rozpočet'!J8</f>
        <v>ARIPROS s.r.o.</v>
      </c>
      <c r="G10" s="90"/>
      <c r="H10" s="90" t="s">
        <v>166</v>
      </c>
      <c r="I10" s="130">
        <f>'Stavební rozpočet'!H8</f>
        <v>45987</v>
      </c>
    </row>
    <row r="11" spans="1:9" x14ac:dyDescent="0.25">
      <c r="A11" s="168"/>
      <c r="B11" s="167"/>
      <c r="C11" s="167"/>
      <c r="D11" s="167"/>
      <c r="E11" s="167"/>
      <c r="F11" s="167"/>
      <c r="G11" s="167"/>
      <c r="H11" s="167"/>
      <c r="I11" s="189"/>
    </row>
    <row r="13" spans="1:9" ht="15.75" x14ac:dyDescent="0.25">
      <c r="A13" s="183" t="s">
        <v>209</v>
      </c>
      <c r="B13" s="183"/>
      <c r="C13" s="183"/>
      <c r="D13" s="183"/>
      <c r="E13" s="183"/>
    </row>
    <row r="14" spans="1:9" x14ac:dyDescent="0.25">
      <c r="A14" s="184" t="s">
        <v>210</v>
      </c>
      <c r="B14" s="185"/>
      <c r="C14" s="185"/>
      <c r="D14" s="185"/>
      <c r="E14" s="186"/>
      <c r="F14" s="66" t="s">
        <v>211</v>
      </c>
      <c r="G14" s="66" t="s">
        <v>26</v>
      </c>
      <c r="H14" s="66" t="s">
        <v>212</v>
      </c>
      <c r="I14" s="66" t="s">
        <v>211</v>
      </c>
    </row>
    <row r="15" spans="1:9" x14ac:dyDescent="0.25">
      <c r="A15" s="187" t="s">
        <v>176</v>
      </c>
      <c r="B15" s="188"/>
      <c r="C15" s="188"/>
      <c r="D15" s="188"/>
      <c r="E15" s="152"/>
      <c r="F15" s="67">
        <v>0</v>
      </c>
      <c r="G15" s="68" t="s">
        <v>52</v>
      </c>
      <c r="H15" s="68" t="s">
        <v>52</v>
      </c>
      <c r="I15" s="67">
        <f>F15</f>
        <v>0</v>
      </c>
    </row>
    <row r="16" spans="1:9" x14ac:dyDescent="0.25">
      <c r="A16" s="187" t="s">
        <v>178</v>
      </c>
      <c r="B16" s="188"/>
      <c r="C16" s="188"/>
      <c r="D16" s="188"/>
      <c r="E16" s="152"/>
      <c r="F16" s="67">
        <v>0</v>
      </c>
      <c r="G16" s="68" t="s">
        <v>52</v>
      </c>
      <c r="H16" s="68" t="s">
        <v>52</v>
      </c>
      <c r="I16" s="67">
        <f>F16</f>
        <v>0</v>
      </c>
    </row>
    <row r="17" spans="1:9" x14ac:dyDescent="0.25">
      <c r="A17" s="187" t="s">
        <v>181</v>
      </c>
      <c r="B17" s="188"/>
      <c r="C17" s="188"/>
      <c r="D17" s="188"/>
      <c r="E17" s="152"/>
      <c r="F17" s="67">
        <v>0</v>
      </c>
      <c r="G17" s="68" t="s">
        <v>52</v>
      </c>
      <c r="H17" s="68" t="s">
        <v>52</v>
      </c>
      <c r="I17" s="67">
        <f>F17</f>
        <v>0</v>
      </c>
    </row>
    <row r="18" spans="1:9" x14ac:dyDescent="0.25">
      <c r="A18" s="171" t="s">
        <v>183</v>
      </c>
      <c r="B18" s="172"/>
      <c r="C18" s="172"/>
      <c r="D18" s="172"/>
      <c r="E18" s="173"/>
      <c r="F18" s="69">
        <v>0</v>
      </c>
      <c r="G18" s="70" t="s">
        <v>52</v>
      </c>
      <c r="H18" s="70" t="s">
        <v>52</v>
      </c>
      <c r="I18" s="69">
        <f>F18</f>
        <v>0</v>
      </c>
    </row>
    <row r="19" spans="1:9" x14ac:dyDescent="0.25">
      <c r="A19" s="174" t="s">
        <v>213</v>
      </c>
      <c r="B19" s="175"/>
      <c r="C19" s="175"/>
      <c r="D19" s="175"/>
      <c r="E19" s="176"/>
      <c r="F19" s="71" t="s">
        <v>52</v>
      </c>
      <c r="G19" s="72" t="s">
        <v>52</v>
      </c>
      <c r="H19" s="72" t="s">
        <v>52</v>
      </c>
      <c r="I19" s="73">
        <f>SUM(I15:I18)</f>
        <v>0</v>
      </c>
    </row>
    <row r="21" spans="1:9" x14ac:dyDescent="0.25">
      <c r="A21" s="184" t="s">
        <v>173</v>
      </c>
      <c r="B21" s="185"/>
      <c r="C21" s="185"/>
      <c r="D21" s="185"/>
      <c r="E21" s="186"/>
      <c r="F21" s="66" t="s">
        <v>211</v>
      </c>
      <c r="G21" s="66" t="s">
        <v>26</v>
      </c>
      <c r="H21" s="66" t="s">
        <v>212</v>
      </c>
      <c r="I21" s="66" t="s">
        <v>211</v>
      </c>
    </row>
    <row r="22" spans="1:9" x14ac:dyDescent="0.25">
      <c r="A22" s="187" t="s">
        <v>177</v>
      </c>
      <c r="B22" s="188"/>
      <c r="C22" s="188"/>
      <c r="D22" s="188"/>
      <c r="E22" s="152"/>
      <c r="F22" s="67">
        <v>15000</v>
      </c>
      <c r="G22" s="68" t="s">
        <v>52</v>
      </c>
      <c r="H22" s="68" t="s">
        <v>52</v>
      </c>
      <c r="I22" s="67">
        <f t="shared" ref="I22:I27" si="0">F22</f>
        <v>15000</v>
      </c>
    </row>
    <row r="23" spans="1:9" x14ac:dyDescent="0.25">
      <c r="A23" s="187" t="s">
        <v>179</v>
      </c>
      <c r="B23" s="188"/>
      <c r="C23" s="188"/>
      <c r="D23" s="188"/>
      <c r="E23" s="152"/>
      <c r="F23" s="67">
        <v>20000</v>
      </c>
      <c r="G23" s="68" t="s">
        <v>52</v>
      </c>
      <c r="H23" s="68" t="s">
        <v>52</v>
      </c>
      <c r="I23" s="67">
        <f t="shared" si="0"/>
        <v>20000</v>
      </c>
    </row>
    <row r="24" spans="1:9" x14ac:dyDescent="0.25">
      <c r="A24" s="187" t="s">
        <v>182</v>
      </c>
      <c r="B24" s="188"/>
      <c r="C24" s="188"/>
      <c r="D24" s="188"/>
      <c r="E24" s="152"/>
      <c r="F24" s="67">
        <v>0</v>
      </c>
      <c r="G24" s="68" t="s">
        <v>52</v>
      </c>
      <c r="H24" s="68" t="s">
        <v>52</v>
      </c>
      <c r="I24" s="67">
        <f t="shared" si="0"/>
        <v>0</v>
      </c>
    </row>
    <row r="25" spans="1:9" x14ac:dyDescent="0.25">
      <c r="A25" s="187" t="s">
        <v>184</v>
      </c>
      <c r="B25" s="188"/>
      <c r="C25" s="188"/>
      <c r="D25" s="188"/>
      <c r="E25" s="152"/>
      <c r="F25" s="67">
        <v>0</v>
      </c>
      <c r="G25" s="68" t="s">
        <v>52</v>
      </c>
      <c r="H25" s="68" t="s">
        <v>52</v>
      </c>
      <c r="I25" s="67">
        <f t="shared" si="0"/>
        <v>0</v>
      </c>
    </row>
    <row r="26" spans="1:9" x14ac:dyDescent="0.25">
      <c r="A26" s="187" t="s">
        <v>186</v>
      </c>
      <c r="B26" s="188"/>
      <c r="C26" s="188"/>
      <c r="D26" s="188"/>
      <c r="E26" s="152"/>
      <c r="F26" s="67">
        <v>0</v>
      </c>
      <c r="G26" s="68" t="s">
        <v>52</v>
      </c>
      <c r="H26" s="68" t="s">
        <v>52</v>
      </c>
      <c r="I26" s="67">
        <f t="shared" si="0"/>
        <v>0</v>
      </c>
    </row>
    <row r="27" spans="1:9" x14ac:dyDescent="0.25">
      <c r="A27" s="171" t="s">
        <v>187</v>
      </c>
      <c r="B27" s="172"/>
      <c r="C27" s="172"/>
      <c r="D27" s="172"/>
      <c r="E27" s="173"/>
      <c r="F27" s="69">
        <v>0</v>
      </c>
      <c r="G27" s="70" t="s">
        <v>52</v>
      </c>
      <c r="H27" s="70" t="s">
        <v>52</v>
      </c>
      <c r="I27" s="69">
        <f t="shared" si="0"/>
        <v>0</v>
      </c>
    </row>
    <row r="28" spans="1:9" x14ac:dyDescent="0.25">
      <c r="A28" s="174" t="s">
        <v>214</v>
      </c>
      <c r="B28" s="175"/>
      <c r="C28" s="175"/>
      <c r="D28" s="175"/>
      <c r="E28" s="176"/>
      <c r="F28" s="71" t="s">
        <v>52</v>
      </c>
      <c r="G28" s="72" t="s">
        <v>52</v>
      </c>
      <c r="H28" s="72" t="s">
        <v>52</v>
      </c>
      <c r="I28" s="73">
        <f>SUM(I22:I27)</f>
        <v>35000</v>
      </c>
    </row>
    <row r="30" spans="1:9" ht="15.75" x14ac:dyDescent="0.25">
      <c r="A30" s="177" t="s">
        <v>215</v>
      </c>
      <c r="B30" s="178"/>
      <c r="C30" s="178"/>
      <c r="D30" s="178"/>
      <c r="E30" s="179"/>
      <c r="F30" s="180">
        <f>I19+I28</f>
        <v>35000</v>
      </c>
      <c r="G30" s="181"/>
      <c r="H30" s="181"/>
      <c r="I30" s="182"/>
    </row>
    <row r="34" spans="1:9" ht="15.75" x14ac:dyDescent="0.25">
      <c r="A34" s="183" t="s">
        <v>216</v>
      </c>
      <c r="B34" s="183"/>
      <c r="C34" s="183"/>
      <c r="D34" s="183"/>
      <c r="E34" s="183"/>
    </row>
    <row r="35" spans="1:9" x14ac:dyDescent="0.25">
      <c r="A35" s="184" t="s">
        <v>217</v>
      </c>
      <c r="B35" s="185"/>
      <c r="C35" s="185"/>
      <c r="D35" s="185"/>
      <c r="E35" s="186"/>
      <c r="F35" s="66" t="s">
        <v>211</v>
      </c>
      <c r="G35" s="66" t="s">
        <v>26</v>
      </c>
      <c r="H35" s="66" t="s">
        <v>212</v>
      </c>
      <c r="I35" s="66" t="s">
        <v>211</v>
      </c>
    </row>
    <row r="36" spans="1:9" x14ac:dyDescent="0.25">
      <c r="A36" s="171" t="s">
        <v>52</v>
      </c>
      <c r="B36" s="172"/>
      <c r="C36" s="172"/>
      <c r="D36" s="172"/>
      <c r="E36" s="173"/>
      <c r="F36" s="69">
        <v>0</v>
      </c>
      <c r="G36" s="70" t="s">
        <v>52</v>
      </c>
      <c r="H36" s="70" t="s">
        <v>52</v>
      </c>
      <c r="I36" s="69">
        <f>F36</f>
        <v>0</v>
      </c>
    </row>
    <row r="37" spans="1:9" x14ac:dyDescent="0.25">
      <c r="A37" s="174" t="s">
        <v>218</v>
      </c>
      <c r="B37" s="175"/>
      <c r="C37" s="175"/>
      <c r="D37" s="175"/>
      <c r="E37" s="176"/>
      <c r="F37" s="71" t="s">
        <v>52</v>
      </c>
      <c r="G37" s="72" t="s">
        <v>52</v>
      </c>
      <c r="H37" s="72" t="s">
        <v>52</v>
      </c>
      <c r="I37" s="73">
        <f>SUM(I36:I36)</f>
        <v>0</v>
      </c>
    </row>
  </sheetData>
  <mergeCells count="52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19:E19"/>
    <mergeCell ref="A21:E21"/>
    <mergeCell ref="A22:E22"/>
    <mergeCell ref="A23:E23"/>
    <mergeCell ref="A24:E24"/>
    <mergeCell ref="A25:E25"/>
    <mergeCell ref="A26:E26"/>
    <mergeCell ref="A27:E27"/>
    <mergeCell ref="A36:E36"/>
    <mergeCell ref="A37:E37"/>
    <mergeCell ref="A28:E28"/>
    <mergeCell ref="A30:E30"/>
    <mergeCell ref="F30:I30"/>
    <mergeCell ref="A34:E34"/>
    <mergeCell ref="A35:E35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Stavební rozpočet</vt:lpstr>
      <vt:lpstr>Stavební rozpočet - součet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dcterms:created xsi:type="dcterms:W3CDTF">2021-06-10T20:06:38Z</dcterms:created>
  <dcterms:modified xsi:type="dcterms:W3CDTF">2025-11-26T15:50:36Z</dcterms:modified>
</cp:coreProperties>
</file>